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filterPrivacy="1"/>
  <xr:revisionPtr revIDLastSave="1" documentId="8_{B82529C0-EE18-4A8A-972F-7FB590FC5372}" xr6:coauthVersionLast="47" xr6:coauthVersionMax="47" xr10:uidLastSave="{2A26F88E-8A59-44F5-9A10-2FD031F9AC9C}"/>
  <bookViews>
    <workbookView xWindow="-120" yWindow="-120" windowWidth="51840" windowHeight="21120" tabRatio="851" firstSheet="3" activeTab="3" xr2:uid="{00000000-000D-0000-FFFF-FFFF00000000}"/>
  </bookViews>
  <sheets>
    <sheet name="Titelblad" sheetId="9" r:id="rId1"/>
    <sheet name="Toelichting" sheetId="10" r:id="rId2"/>
    <sheet name="Bronnen en toepassingen" sheetId="11" r:id="rId3"/>
    <sheet name="1. Entry- en exittarieven" sheetId="21" r:id="rId4"/>
    <sheet name="Input --&gt;" sheetId="13" r:id="rId5"/>
    <sheet name="2. Parameters" sheetId="24" r:id="rId6"/>
    <sheet name="3. Input (des)investeringen " sheetId="53" r:id="rId7"/>
    <sheet name="4. Input nacalculaties" sheetId="59" r:id="rId8"/>
    <sheet name="5. Input GAW-waarde desinv." sheetId="69" r:id="rId9"/>
    <sheet name="6. Input incidentele corr. WQA" sheetId="67" r:id="rId10"/>
    <sheet name="7. Input IC peakshaver" sheetId="38" r:id="rId11"/>
    <sheet name="8. Input IC huur Gasunie" sheetId="86" r:id="rId12"/>
    <sheet name="9. Input incidentele correcties" sheetId="88" r:id="rId13"/>
    <sheet name="10. Input capaciteit" sheetId="35" r:id="rId14"/>
    <sheet name="Input database --&gt;" sheetId="52" r:id="rId15"/>
    <sheet name="11. Investeringen (WUI+ombouw)" sheetId="83" r:id="rId16"/>
    <sheet name="12. Investeringen (bijschatten)" sheetId="79" r:id="rId17"/>
    <sheet name="13. Desinvesteringen" sheetId="80" r:id="rId18"/>
    <sheet name="14. Omzet" sheetId="81" r:id="rId19"/>
    <sheet name="15. Operationele kosten" sheetId="84" r:id="rId20"/>
    <sheet name="Berekeningen --&gt;" sheetId="15" r:id="rId21"/>
    <sheet name="16. WUI &amp; ombouwtaak" sheetId="42" r:id="rId22"/>
    <sheet name="17. Nacalculatie bijschatten" sheetId="50" r:id="rId23"/>
    <sheet name="18. Nacalculatie desinv." sheetId="65" r:id="rId24"/>
    <sheet name="19. Indexatie desinvesteringen" sheetId="40" r:id="rId25"/>
    <sheet name="20. Nacalculaties" sheetId="25" r:id="rId26"/>
    <sheet name="21. Correctie WQA" sheetId="68" r:id="rId27"/>
    <sheet name="22. Correctie assetoverdracht" sheetId="37" r:id="rId28"/>
    <sheet name="23. Correctie peakshaver" sheetId="66" r:id="rId29"/>
    <sheet name="24. Correctie schatting ITC" sheetId="91" r:id="rId30"/>
    <sheet name="25. Incidentele correcties" sheetId="89" r:id="rId31"/>
    <sheet name="26. Toegestane inkomsten" sheetId="32" r:id="rId32"/>
    <sheet name="27. RPM" sheetId="34" r:id="rId33"/>
    <sheet name="28. Entry- en exittarieven " sheetId="36" r:id="rId34"/>
    <sheet name="29. Opmerkingen" sheetId="90" r:id="rId35"/>
  </sheets>
  <definedNames>
    <definedName name="__DAT1" localSheetId="28">#REF!</definedName>
    <definedName name="__DAT1">#REF!</definedName>
    <definedName name="__DAT10" localSheetId="28">#REF!</definedName>
    <definedName name="__DAT10">#REF!</definedName>
    <definedName name="__DAT11" localSheetId="28">#REF!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4" hidden="1">'19. Indexatie desinvesteringen'!$D$16:$G$548</definedName>
    <definedName name="AF">#REF!</definedName>
    <definedName name="afd">#REF!</definedName>
    <definedName name="afdtennet">#REF!</definedName>
    <definedName name="afwijking" localSheetId="28">#REF!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 localSheetId="28">#REF!</definedName>
    <definedName name="dd">#REF!</definedName>
    <definedName name="DF_GRID_3" localSheetId="28">#REF!</definedName>
    <definedName name="DF_GRID_3">#REF!</definedName>
    <definedName name="ee" localSheetId="28">#REF!</definedName>
    <definedName name="ee">#REF!</definedName>
    <definedName name="eeee">#REF!</definedName>
    <definedName name="Eigenaar">#REF!</definedName>
    <definedName name="eur" localSheetId="28">#REF!</definedName>
    <definedName name="eur">#REF!</definedName>
    <definedName name="ExternalData_1" localSheetId="17" hidden="1">'13. Desinvesteringen'!$B$19:$I$801</definedName>
    <definedName name="ExternalData_1" localSheetId="18" hidden="1">'14. Omzet'!$B$19:$J$25</definedName>
    <definedName name="ExternalData_2" localSheetId="16" hidden="1">'12. Investeringen (bijschatten)'!$B$19:$G$142</definedName>
    <definedName name="ExternalData_2" localSheetId="19" hidden="1">'15. Operationele kosten'!$B$19:$H$31</definedName>
    <definedName name="ExternalData_3" localSheetId="15" hidden="1">'11. Investeringen (WUI+ombouw)'!$B$19:$H$58</definedName>
    <definedName name="factor" localSheetId="28">#REF!</definedName>
    <definedName name="factor">#REF!</definedName>
    <definedName name="fik">#REF!</definedName>
    <definedName name="Financiering">#REF!</definedName>
    <definedName name="Jaar">#REF!</definedName>
    <definedName name="Kwartaal">#REF!</definedName>
    <definedName name="METHODE" localSheetId="28">#REF!</definedName>
    <definedName name="METHODE">#REF!</definedName>
    <definedName name="Naam">#REF!</definedName>
    <definedName name="NAAM_NE">#REF!</definedName>
    <definedName name="NAAM_VOL">#REF!</definedName>
    <definedName name="omzet_2000_aanpas_kolom" localSheetId="28">#REF!</definedName>
    <definedName name="omzet_2000_aanpas_kolom">#REF!</definedName>
    <definedName name="omzet_2000_kolom" localSheetId="28">#REF!</definedName>
    <definedName name="omzet_2000_kolom">#REF!</definedName>
    <definedName name="omzet_2001_kolom" localSheetId="28">#REF!</definedName>
    <definedName name="omzet_2001_kolom">#REF!</definedName>
    <definedName name="PB">#REF!</definedName>
    <definedName name="PC">#REF!</definedName>
    <definedName name="PGcode">#REF!</definedName>
    <definedName name="PLAATS">#REF!</definedName>
    <definedName name="PR_ME_2000" localSheetId="28">#REF!</definedName>
    <definedName name="PR_ME_2000">#REF!</definedName>
    <definedName name="Projecteigenaar">#REF!</definedName>
    <definedName name="Projectleider">#REF!</definedName>
    <definedName name="Regio">#REF!</definedName>
    <definedName name="required_x" localSheetId="28">#REF!</definedName>
    <definedName name="required_x">#REF!</definedName>
    <definedName name="s" localSheetId="28">#REF!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 localSheetId="28">#REF!</definedName>
    <definedName name="tarief_factor">#REF!</definedName>
    <definedName name="test" localSheetId="28">#REF!</definedName>
    <definedName name="test">#REF!</definedName>
    <definedName name="TEST0" localSheetId="28">#REF!</definedName>
    <definedName name="TEST0">#REF!</definedName>
    <definedName name="TESTHKEY">#REF!</definedName>
    <definedName name="TESTKEYS">#REF!</definedName>
    <definedName name="TESTVKEY">#REF!</definedName>
    <definedName name="TIPROJ">#REF!</definedName>
    <definedName name="TTTI">#REF!</definedName>
    <definedName name="VerbruikstarRC" localSheetId="28">#REF!</definedName>
    <definedName name="VerbruikstarRC">#REF!</definedName>
    <definedName name="wac" localSheetId="28">#REF!</definedName>
    <definedName name="wac">#REF!</definedName>
    <definedName name="wacc" localSheetId="28">#REF!</definedName>
    <definedName name="wacc">#REF!</definedName>
    <definedName name="wacc_exc_tax">#REF!</definedName>
    <definedName name="wacc_inc_tax">#REF!</definedName>
    <definedName name="WvD">#REF!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H237" i="53" l="1"/>
  <c r="N24" i="32"/>
  <c r="N12" i="32" l="1"/>
  <c r="R93" i="25" l="1"/>
  <c r="B840" i="37" l="1"/>
  <c r="F840" i="37"/>
  <c r="G840" i="37"/>
  <c r="H840" i="37"/>
  <c r="I840" i="37"/>
  <c r="K840" i="37" s="1"/>
  <c r="M840" i="37"/>
  <c r="N840" i="37"/>
  <c r="O840" i="37"/>
  <c r="T840" i="37"/>
  <c r="AC840" i="37"/>
  <c r="AD840" i="37"/>
  <c r="AE840" i="37"/>
  <c r="B841" i="37"/>
  <c r="F841" i="37"/>
  <c r="G841" i="37"/>
  <c r="H841" i="37"/>
  <c r="I841" i="37"/>
  <c r="K841" i="37"/>
  <c r="L841" i="37"/>
  <c r="M841" i="37"/>
  <c r="R841" i="37"/>
  <c r="AC841" i="37"/>
  <c r="AD841" i="37"/>
  <c r="B842" i="37"/>
  <c r="F842" i="37"/>
  <c r="G842" i="37"/>
  <c r="H842" i="37"/>
  <c r="I842" i="37"/>
  <c r="K842" i="37"/>
  <c r="O842" i="37"/>
  <c r="B843" i="37"/>
  <c r="F843" i="37"/>
  <c r="G843" i="37"/>
  <c r="AD843" i="37" s="1"/>
  <c r="H843" i="37"/>
  <c r="I843" i="37"/>
  <c r="N843" i="37" s="1"/>
  <c r="B844" i="37"/>
  <c r="F844" i="37"/>
  <c r="G844" i="37"/>
  <c r="AC844" i="37" s="1"/>
  <c r="H844" i="37"/>
  <c r="I844" i="37"/>
  <c r="B845" i="37"/>
  <c r="F845" i="37"/>
  <c r="G845" i="37"/>
  <c r="L845" i="37" s="1"/>
  <c r="H845" i="37"/>
  <c r="I845" i="37"/>
  <c r="B846" i="37"/>
  <c r="F846" i="37"/>
  <c r="G846" i="37"/>
  <c r="AD846" i="37" s="1"/>
  <c r="H846" i="37"/>
  <c r="I846" i="37"/>
  <c r="K846" i="37"/>
  <c r="L846" i="37"/>
  <c r="M846" i="37"/>
  <c r="N846" i="37"/>
  <c r="O846" i="37"/>
  <c r="Q846" i="37"/>
  <c r="R846" i="37"/>
  <c r="S846" i="37"/>
  <c r="AC846" i="37"/>
  <c r="AE846" i="37"/>
  <c r="B847" i="37"/>
  <c r="F847" i="37"/>
  <c r="G847" i="37"/>
  <c r="AC847" i="37" s="1"/>
  <c r="H847" i="37"/>
  <c r="I847" i="37"/>
  <c r="K847" i="37" s="1"/>
  <c r="L847" i="37"/>
  <c r="M847" i="37"/>
  <c r="N847" i="37"/>
  <c r="B848" i="37"/>
  <c r="F848" i="37"/>
  <c r="G848" i="37"/>
  <c r="AC848" i="37" s="1"/>
  <c r="H848" i="37"/>
  <c r="I848" i="37"/>
  <c r="B849" i="37"/>
  <c r="F849" i="37"/>
  <c r="G849" i="37"/>
  <c r="H849" i="37"/>
  <c r="I849" i="37"/>
  <c r="K849" i="37" s="1"/>
  <c r="B850" i="37"/>
  <c r="F850" i="37"/>
  <c r="G850" i="37"/>
  <c r="H850" i="37"/>
  <c r="I850" i="37"/>
  <c r="N850" i="37" s="1"/>
  <c r="M850" i="37"/>
  <c r="R850" i="37"/>
  <c r="S850" i="37"/>
  <c r="T850" i="37"/>
  <c r="B851" i="37"/>
  <c r="F851" i="37"/>
  <c r="G851" i="37"/>
  <c r="AC851" i="37" s="1"/>
  <c r="H851" i="37"/>
  <c r="I851" i="37"/>
  <c r="M851" i="37"/>
  <c r="O851" i="37"/>
  <c r="Q851" i="37"/>
  <c r="R851" i="37"/>
  <c r="S851" i="37"/>
  <c r="AD851" i="37"/>
  <c r="B852" i="37"/>
  <c r="F852" i="37"/>
  <c r="G852" i="37"/>
  <c r="H852" i="37"/>
  <c r="I852" i="37"/>
  <c r="K852" i="37"/>
  <c r="M852" i="37"/>
  <c r="N852" i="37"/>
  <c r="O852" i="37"/>
  <c r="Q852" i="37"/>
  <c r="R852" i="37"/>
  <c r="S852" i="37"/>
  <c r="AD852" i="37"/>
  <c r="AE852" i="37"/>
  <c r="B853" i="37"/>
  <c r="F853" i="37"/>
  <c r="G853" i="37"/>
  <c r="H853" i="37"/>
  <c r="I853" i="37"/>
  <c r="K853" i="37"/>
  <c r="L853" i="37"/>
  <c r="M853" i="37"/>
  <c r="N853" i="37"/>
  <c r="O853" i="37"/>
  <c r="Q853" i="37"/>
  <c r="R853" i="37"/>
  <c r="S853" i="37"/>
  <c r="AC853" i="37"/>
  <c r="AD853" i="37"/>
  <c r="AE853" i="37"/>
  <c r="B854" i="37"/>
  <c r="F854" i="37"/>
  <c r="G854" i="37"/>
  <c r="AC854" i="37" s="1"/>
  <c r="H854" i="37"/>
  <c r="I854" i="37"/>
  <c r="M854" i="37" s="1"/>
  <c r="K854" i="37"/>
  <c r="L854" i="37"/>
  <c r="B855" i="37"/>
  <c r="F855" i="37"/>
  <c r="G855" i="37"/>
  <c r="H855" i="37"/>
  <c r="I855" i="37"/>
  <c r="K855" i="37" s="1"/>
  <c r="L855" i="37"/>
  <c r="M855" i="37"/>
  <c r="R855" i="37"/>
  <c r="B856" i="37"/>
  <c r="F856" i="37"/>
  <c r="G856" i="37"/>
  <c r="H856" i="37"/>
  <c r="I856" i="37"/>
  <c r="K856" i="37"/>
  <c r="N856" i="37"/>
  <c r="O856" i="37"/>
  <c r="AE856" i="37"/>
  <c r="B857" i="37"/>
  <c r="F857" i="37"/>
  <c r="G857" i="37"/>
  <c r="H857" i="37"/>
  <c r="I857" i="37"/>
  <c r="N857" i="37" s="1"/>
  <c r="M857" i="37"/>
  <c r="O857" i="37"/>
  <c r="R857" i="37"/>
  <c r="S857" i="37"/>
  <c r="T857" i="37"/>
  <c r="U857" i="37"/>
  <c r="AC857" i="37"/>
  <c r="AD857" i="37"/>
  <c r="B858" i="37"/>
  <c r="F858" i="37"/>
  <c r="G858" i="37"/>
  <c r="AC858" i="37" s="1"/>
  <c r="H858" i="37"/>
  <c r="I858" i="37"/>
  <c r="AD858" i="37"/>
  <c r="B859" i="37"/>
  <c r="F859" i="37"/>
  <c r="G859" i="37"/>
  <c r="H859" i="37"/>
  <c r="I859" i="37"/>
  <c r="M859" i="37" s="1"/>
  <c r="K859" i="37"/>
  <c r="B860" i="37"/>
  <c r="F860" i="37"/>
  <c r="G860" i="37"/>
  <c r="AC860" i="37" s="1"/>
  <c r="H860" i="37"/>
  <c r="I860" i="37"/>
  <c r="N860" i="37" s="1"/>
  <c r="K860" i="37"/>
  <c r="L860" i="37"/>
  <c r="M860" i="37"/>
  <c r="B861" i="37"/>
  <c r="F861" i="37"/>
  <c r="G861" i="37"/>
  <c r="N861" i="37" s="1"/>
  <c r="H861" i="37"/>
  <c r="I861" i="37"/>
  <c r="M861" i="37" s="1"/>
  <c r="B862" i="37"/>
  <c r="F862" i="37"/>
  <c r="G862" i="37"/>
  <c r="H862" i="37"/>
  <c r="I862" i="37"/>
  <c r="K862" i="37"/>
  <c r="AC862" i="37"/>
  <c r="AD862" i="37"/>
  <c r="AE862" i="37"/>
  <c r="B863" i="37"/>
  <c r="F863" i="37"/>
  <c r="G863" i="37"/>
  <c r="AC863" i="37" s="1"/>
  <c r="H863" i="37"/>
  <c r="I863" i="37"/>
  <c r="K863" i="37" s="1"/>
  <c r="B864" i="37"/>
  <c r="F864" i="37"/>
  <c r="G864" i="37"/>
  <c r="AC864" i="37" s="1"/>
  <c r="H864" i="37"/>
  <c r="I864" i="37"/>
  <c r="L864" i="37" s="1"/>
  <c r="M864" i="37"/>
  <c r="B865" i="37"/>
  <c r="F865" i="37"/>
  <c r="G865" i="37"/>
  <c r="H865" i="37"/>
  <c r="I865" i="37"/>
  <c r="AD865" i="37"/>
  <c r="B866" i="37"/>
  <c r="F866" i="37"/>
  <c r="G866" i="37"/>
  <c r="H866" i="37"/>
  <c r="I866" i="37"/>
  <c r="K866" i="37"/>
  <c r="M866" i="37"/>
  <c r="AD866" i="37"/>
  <c r="AE866" i="37"/>
  <c r="B867" i="37"/>
  <c r="F867" i="37"/>
  <c r="G867" i="37"/>
  <c r="S867" i="37" s="1"/>
  <c r="H867" i="37"/>
  <c r="I867" i="37"/>
  <c r="K867" i="37" s="1"/>
  <c r="B868" i="37"/>
  <c r="F868" i="37"/>
  <c r="G868" i="37"/>
  <c r="H868" i="37"/>
  <c r="I868" i="37"/>
  <c r="K868" i="37"/>
  <c r="L868" i="37"/>
  <c r="M868" i="37"/>
  <c r="N868" i="37"/>
  <c r="O868" i="37"/>
  <c r="Q868" i="37"/>
  <c r="S868" i="37"/>
  <c r="AC868" i="37"/>
  <c r="AD868" i="37"/>
  <c r="AE868" i="37"/>
  <c r="B869" i="37"/>
  <c r="F869" i="37"/>
  <c r="G869" i="37"/>
  <c r="H869" i="37"/>
  <c r="I869" i="37"/>
  <c r="R869" i="37" s="1"/>
  <c r="K869" i="37"/>
  <c r="L869" i="37"/>
  <c r="M869" i="37"/>
  <c r="N869" i="37"/>
  <c r="Q869" i="37"/>
  <c r="S18" i="59"/>
  <c r="N135" i="25"/>
  <c r="O135" i="25"/>
  <c r="P135" i="25"/>
  <c r="Q135" i="25"/>
  <c r="M135" i="25"/>
  <c r="N134" i="25"/>
  <c r="O134" i="25"/>
  <c r="P134" i="25"/>
  <c r="Q134" i="25"/>
  <c r="M134" i="25"/>
  <c r="D1667" i="40"/>
  <c r="E1667" i="40"/>
  <c r="F1667" i="40"/>
  <c r="D1668" i="40"/>
  <c r="E1668" i="40"/>
  <c r="F1668" i="40"/>
  <c r="D1669" i="40"/>
  <c r="E1669" i="40"/>
  <c r="F1669" i="40"/>
  <c r="D1670" i="40"/>
  <c r="E1670" i="40"/>
  <c r="F1670" i="40"/>
  <c r="D1671" i="40"/>
  <c r="E1671" i="40"/>
  <c r="F1671" i="40"/>
  <c r="D1672" i="40"/>
  <c r="E1672" i="40"/>
  <c r="F1672" i="40"/>
  <c r="D1673" i="40"/>
  <c r="E1673" i="40"/>
  <c r="F1673" i="40"/>
  <c r="D1662" i="40"/>
  <c r="E1662" i="40"/>
  <c r="F1662" i="40"/>
  <c r="D1663" i="40"/>
  <c r="E1663" i="40"/>
  <c r="F1663" i="40"/>
  <c r="D1664" i="40"/>
  <c r="E1664" i="40"/>
  <c r="F1664" i="40"/>
  <c r="D1665" i="40"/>
  <c r="E1665" i="40"/>
  <c r="F1665" i="40"/>
  <c r="D1666" i="40"/>
  <c r="E1666" i="40"/>
  <c r="F1666" i="40"/>
  <c r="B789" i="40"/>
  <c r="D789" i="40"/>
  <c r="E789" i="40"/>
  <c r="F789" i="40"/>
  <c r="G789" i="40"/>
  <c r="B790" i="40"/>
  <c r="D790" i="40"/>
  <c r="E790" i="40"/>
  <c r="F790" i="40"/>
  <c r="G790" i="40"/>
  <c r="B791" i="40"/>
  <c r="D791" i="40"/>
  <c r="E791" i="40"/>
  <c r="F791" i="40"/>
  <c r="G791" i="40"/>
  <c r="B792" i="40"/>
  <c r="D792" i="40"/>
  <c r="E792" i="40"/>
  <c r="F792" i="40"/>
  <c r="G792" i="40"/>
  <c r="B793" i="40"/>
  <c r="D793" i="40"/>
  <c r="E793" i="40"/>
  <c r="F793" i="40"/>
  <c r="G793" i="40"/>
  <c r="B513" i="65"/>
  <c r="F513" i="65"/>
  <c r="G513" i="65"/>
  <c r="H513" i="65"/>
  <c r="I513" i="65"/>
  <c r="J513" i="65"/>
  <c r="B514" i="65"/>
  <c r="F514" i="65"/>
  <c r="G514" i="65"/>
  <c r="H514" i="65"/>
  <c r="I514" i="65"/>
  <c r="J514" i="65"/>
  <c r="K514" i="65"/>
  <c r="M514" i="65"/>
  <c r="P514" i="65"/>
  <c r="B515" i="65"/>
  <c r="F515" i="65"/>
  <c r="G515" i="65"/>
  <c r="H515" i="65"/>
  <c r="I515" i="65"/>
  <c r="M515" i="65" s="1"/>
  <c r="J515" i="65"/>
  <c r="K515" i="65"/>
  <c r="V515" i="65"/>
  <c r="W515" i="65"/>
  <c r="Y515" i="65"/>
  <c r="Z515" i="65"/>
  <c r="B516" i="65"/>
  <c r="F516" i="65"/>
  <c r="G516" i="65"/>
  <c r="H516" i="65"/>
  <c r="I516" i="65"/>
  <c r="J516" i="65"/>
  <c r="K516" i="65"/>
  <c r="M516" i="65"/>
  <c r="N516" i="65"/>
  <c r="P516" i="65"/>
  <c r="R516" i="65"/>
  <c r="S516" i="65"/>
  <c r="T516" i="65"/>
  <c r="V516" i="65"/>
  <c r="B517" i="65"/>
  <c r="F517" i="65"/>
  <c r="G517" i="65"/>
  <c r="H517" i="65"/>
  <c r="I517" i="65"/>
  <c r="J517" i="65"/>
  <c r="K517" i="65"/>
  <c r="M517" i="65"/>
  <c r="N517" i="65"/>
  <c r="X517" i="65"/>
  <c r="Y517" i="65"/>
  <c r="B518" i="65"/>
  <c r="F518" i="65"/>
  <c r="G518" i="65"/>
  <c r="H518" i="65"/>
  <c r="I518" i="65"/>
  <c r="J518" i="65"/>
  <c r="K518" i="65"/>
  <c r="M518" i="65"/>
  <c r="Y518" i="65" s="1"/>
  <c r="Q518" i="65"/>
  <c r="R518" i="65"/>
  <c r="AI518" i="65"/>
  <c r="AJ518" i="65"/>
  <c r="AK518" i="65"/>
  <c r="AL518" i="65"/>
  <c r="B508" i="65"/>
  <c r="F508" i="65"/>
  <c r="G508" i="65"/>
  <c r="H508" i="65"/>
  <c r="I508" i="65"/>
  <c r="J508" i="65"/>
  <c r="K508" i="65"/>
  <c r="M508" i="65"/>
  <c r="V508" i="65" s="1"/>
  <c r="N508" i="65"/>
  <c r="P508" i="65"/>
  <c r="AB508" i="65" s="1"/>
  <c r="Q508" i="65"/>
  <c r="R508" i="65"/>
  <c r="S508" i="65"/>
  <c r="AE508" i="65" s="1"/>
  <c r="T508" i="65"/>
  <c r="Y508" i="65"/>
  <c r="B509" i="65"/>
  <c r="F509" i="65"/>
  <c r="G509" i="65"/>
  <c r="H509" i="65"/>
  <c r="I509" i="65"/>
  <c r="J509" i="65"/>
  <c r="K509" i="65"/>
  <c r="M509" i="65"/>
  <c r="N509" i="65" s="1"/>
  <c r="B510" i="65"/>
  <c r="F510" i="65"/>
  <c r="G510" i="65"/>
  <c r="H510" i="65"/>
  <c r="I510" i="65"/>
  <c r="K510" i="65" s="1"/>
  <c r="J510" i="65"/>
  <c r="B511" i="65"/>
  <c r="F511" i="65"/>
  <c r="G511" i="65"/>
  <c r="H511" i="65"/>
  <c r="I511" i="65"/>
  <c r="J511" i="65"/>
  <c r="K511" i="65"/>
  <c r="M511" i="65"/>
  <c r="Q511" i="65" s="1"/>
  <c r="N511" i="65"/>
  <c r="P511" i="65"/>
  <c r="B512" i="65"/>
  <c r="F512" i="65"/>
  <c r="G512" i="65"/>
  <c r="H512" i="65"/>
  <c r="I512" i="65"/>
  <c r="J512" i="65"/>
  <c r="K512" i="65"/>
  <c r="M512" i="65"/>
  <c r="F385" i="65"/>
  <c r="F386" i="65"/>
  <c r="F387" i="65"/>
  <c r="F388" i="65"/>
  <c r="F389" i="65"/>
  <c r="F390" i="65"/>
  <c r="F391" i="65"/>
  <c r="F392" i="65"/>
  <c r="F393" i="65"/>
  <c r="F394" i="65"/>
  <c r="F395" i="65"/>
  <c r="F396" i="65"/>
  <c r="F397" i="65"/>
  <c r="F398" i="65"/>
  <c r="F399" i="65"/>
  <c r="F400" i="65"/>
  <c r="F401" i="65"/>
  <c r="F402" i="65"/>
  <c r="F403" i="65"/>
  <c r="F404" i="65"/>
  <c r="F405" i="65"/>
  <c r="F406" i="65"/>
  <c r="F407" i="65"/>
  <c r="F408" i="65"/>
  <c r="F409" i="65"/>
  <c r="F410" i="65"/>
  <c r="F411" i="65"/>
  <c r="F412" i="65"/>
  <c r="F413" i="65"/>
  <c r="F414" i="65"/>
  <c r="F415" i="65"/>
  <c r="F416" i="65"/>
  <c r="F417" i="65"/>
  <c r="F418" i="65"/>
  <c r="F419" i="65"/>
  <c r="F420" i="65"/>
  <c r="F421" i="65"/>
  <c r="F422" i="65"/>
  <c r="F423" i="65"/>
  <c r="F424" i="65"/>
  <c r="F425" i="65"/>
  <c r="F426" i="65"/>
  <c r="F427" i="65"/>
  <c r="F428" i="65"/>
  <c r="F429" i="65"/>
  <c r="F430" i="65"/>
  <c r="F431" i="65"/>
  <c r="F432" i="65"/>
  <c r="F433" i="65"/>
  <c r="F434" i="65"/>
  <c r="F435" i="65"/>
  <c r="F436" i="65"/>
  <c r="F437" i="65"/>
  <c r="F438" i="65"/>
  <c r="F439" i="65"/>
  <c r="F440" i="65"/>
  <c r="F441" i="65"/>
  <c r="F442" i="65"/>
  <c r="F443" i="65"/>
  <c r="F444" i="65"/>
  <c r="F445" i="65"/>
  <c r="F446" i="65"/>
  <c r="F447" i="65"/>
  <c r="F448" i="65"/>
  <c r="F449" i="65"/>
  <c r="F450" i="65"/>
  <c r="F451" i="65"/>
  <c r="F452" i="65"/>
  <c r="F453" i="65"/>
  <c r="F454" i="65"/>
  <c r="F455" i="65"/>
  <c r="F456" i="65"/>
  <c r="F457" i="65"/>
  <c r="F458" i="65"/>
  <c r="F459" i="65"/>
  <c r="F460" i="65"/>
  <c r="F461" i="65"/>
  <c r="F462" i="65"/>
  <c r="F463" i="65"/>
  <c r="F464" i="65"/>
  <c r="F465" i="65"/>
  <c r="F466" i="65"/>
  <c r="F467" i="65"/>
  <c r="F468" i="65"/>
  <c r="F469" i="65"/>
  <c r="F470" i="65"/>
  <c r="F471" i="65"/>
  <c r="F472" i="65"/>
  <c r="F473" i="65"/>
  <c r="F474" i="65"/>
  <c r="F475" i="65"/>
  <c r="F476" i="65"/>
  <c r="F477" i="65"/>
  <c r="F478" i="65"/>
  <c r="F479" i="65"/>
  <c r="F480" i="65"/>
  <c r="F481" i="65"/>
  <c r="F482" i="65"/>
  <c r="F483" i="65"/>
  <c r="F484" i="65"/>
  <c r="F485" i="65"/>
  <c r="F486" i="65"/>
  <c r="F487" i="65"/>
  <c r="F488" i="65"/>
  <c r="F489" i="65"/>
  <c r="F490" i="65"/>
  <c r="F491" i="65"/>
  <c r="F492" i="65"/>
  <c r="F493" i="65"/>
  <c r="F494" i="65"/>
  <c r="F495" i="65"/>
  <c r="F496" i="65"/>
  <c r="F497" i="65"/>
  <c r="F498" i="65"/>
  <c r="F499" i="65"/>
  <c r="F500" i="65"/>
  <c r="F501" i="65"/>
  <c r="F502" i="65"/>
  <c r="F503" i="65"/>
  <c r="F504" i="65"/>
  <c r="F505" i="65"/>
  <c r="F506" i="65"/>
  <c r="F507" i="65"/>
  <c r="R139" i="25" l="1"/>
  <c r="AE867" i="37"/>
  <c r="AE861" i="37"/>
  <c r="AD867" i="37"/>
  <c r="AD861" i="37"/>
  <c r="S859" i="37"/>
  <c r="AD845" i="37"/>
  <c r="M843" i="37"/>
  <c r="AE845" i="37"/>
  <c r="AC867" i="37"/>
  <c r="AC861" i="37"/>
  <c r="S845" i="37"/>
  <c r="R867" i="37"/>
  <c r="AE860" i="37"/>
  <c r="Q867" i="37"/>
  <c r="AE863" i="37"/>
  <c r="T861" i="37"/>
  <c r="AD860" i="37"/>
  <c r="Q845" i="37"/>
  <c r="AD864" i="37"/>
  <c r="O845" i="37"/>
  <c r="AE869" i="37"/>
  <c r="N867" i="37"/>
  <c r="T867" i="37" s="1"/>
  <c r="U867" i="37" s="1"/>
  <c r="Q861" i="37"/>
  <c r="N845" i="37"/>
  <c r="T845" i="37" s="1"/>
  <c r="U845" i="37" s="1"/>
  <c r="M867" i="37"/>
  <c r="O863" i="37"/>
  <c r="O861" i="37"/>
  <c r="R860" i="37"/>
  <c r="AE859" i="37"/>
  <c r="L857" i="37"/>
  <c r="AE854" i="37"/>
  <c r="K851" i="37"/>
  <c r="M845" i="37"/>
  <c r="M844" i="37"/>
  <c r="R865" i="37"/>
  <c r="R845" i="37"/>
  <c r="O867" i="37"/>
  <c r="S861" i="37"/>
  <c r="R863" i="37"/>
  <c r="L867" i="37"/>
  <c r="S864" i="37"/>
  <c r="N863" i="37"/>
  <c r="T863" i="37" s="1"/>
  <c r="Q860" i="37"/>
  <c r="O859" i="37"/>
  <c r="AD854" i="37"/>
  <c r="T852" i="37"/>
  <c r="U852" i="37" s="1"/>
  <c r="L851" i="37"/>
  <c r="AE847" i="37"/>
  <c r="K845" i="37"/>
  <c r="K844" i="37"/>
  <c r="AD844" i="37"/>
  <c r="S844" i="37"/>
  <c r="S860" i="37"/>
  <c r="Q844" i="37"/>
  <c r="T869" i="37"/>
  <c r="R864" i="37"/>
  <c r="L863" i="37"/>
  <c r="O860" i="37"/>
  <c r="N859" i="37"/>
  <c r="T859" i="37" s="1"/>
  <c r="AD855" i="37"/>
  <c r="L852" i="37"/>
  <c r="O849" i="37"/>
  <c r="AD847" i="37"/>
  <c r="L844" i="37"/>
  <c r="R844" i="37"/>
  <c r="O864" i="37"/>
  <c r="K861" i="37"/>
  <c r="S848" i="37"/>
  <c r="N848" i="37"/>
  <c r="O848" i="37"/>
  <c r="Q848" i="37"/>
  <c r="K848" i="37"/>
  <c r="L848" i="37"/>
  <c r="M848" i="37"/>
  <c r="R848" i="37"/>
  <c r="L858" i="37"/>
  <c r="N858" i="37"/>
  <c r="T858" i="37" s="1"/>
  <c r="U858" i="37" s="1"/>
  <c r="K858" i="37"/>
  <c r="M858" i="37"/>
  <c r="O858" i="37"/>
  <c r="Q858" i="37"/>
  <c r="R858" i="37"/>
  <c r="S858" i="37"/>
  <c r="S862" i="37"/>
  <c r="O862" i="37"/>
  <c r="Q842" i="37"/>
  <c r="R842" i="37"/>
  <c r="S842" i="37"/>
  <c r="L842" i="37"/>
  <c r="M842" i="37"/>
  <c r="N842" i="37"/>
  <c r="T842" i="37" s="1"/>
  <c r="U842" i="37" s="1"/>
  <c r="AE841" i="37"/>
  <c r="L840" i="37"/>
  <c r="Q856" i="37"/>
  <c r="S856" i="37"/>
  <c r="L856" i="37"/>
  <c r="M856" i="37"/>
  <c r="Q854" i="37"/>
  <c r="R854" i="37"/>
  <c r="S854" i="37"/>
  <c r="AD848" i="37"/>
  <c r="L866" i="37"/>
  <c r="AC866" i="37"/>
  <c r="Q847" i="37"/>
  <c r="R847" i="37"/>
  <c r="S847" i="37"/>
  <c r="AC856" i="37"/>
  <c r="AD856" i="37"/>
  <c r="S841" i="37"/>
  <c r="N841" i="37"/>
  <c r="O841" i="37"/>
  <c r="Q841" i="37"/>
  <c r="AD859" i="37"/>
  <c r="R868" i="37"/>
  <c r="S865" i="37"/>
  <c r="AD863" i="37"/>
  <c r="T862" i="37"/>
  <c r="U862" i="37" s="1"/>
  <c r="AE850" i="37"/>
  <c r="O850" i="37"/>
  <c r="L850" i="37"/>
  <c r="AC850" i="37"/>
  <c r="AC865" i="37"/>
  <c r="AE865" i="37"/>
  <c r="AE848" i="37"/>
  <c r="AE843" i="37"/>
  <c r="O843" i="37"/>
  <c r="R843" i="37"/>
  <c r="L843" i="37"/>
  <c r="AC843" i="37"/>
  <c r="Q863" i="37"/>
  <c r="S863" i="37"/>
  <c r="M863" i="37"/>
  <c r="U840" i="37"/>
  <c r="Q840" i="37"/>
  <c r="R840" i="37"/>
  <c r="S840" i="37"/>
  <c r="AC842" i="37"/>
  <c r="AD842" i="37"/>
  <c r="AE842" i="37"/>
  <c r="T865" i="37"/>
  <c r="N864" i="37"/>
  <c r="Q864" i="37"/>
  <c r="K864" i="37"/>
  <c r="R862" i="37"/>
  <c r="T860" i="37"/>
  <c r="AD869" i="37"/>
  <c r="S869" i="37"/>
  <c r="O869" i="37"/>
  <c r="U869" i="37" s="1"/>
  <c r="R866" i="37"/>
  <c r="O865" i="37"/>
  <c r="Q862" i="37"/>
  <c r="L861" i="37"/>
  <c r="S855" i="37"/>
  <c r="N855" i="37"/>
  <c r="O855" i="37"/>
  <c r="Q855" i="37"/>
  <c r="Q849" i="37"/>
  <c r="R849" i="37"/>
  <c r="S849" i="37"/>
  <c r="L849" i="37"/>
  <c r="M849" i="37"/>
  <c r="N849" i="37"/>
  <c r="AC869" i="37"/>
  <c r="Q866" i="37"/>
  <c r="M865" i="37"/>
  <c r="AE864" i="37"/>
  <c r="N862" i="37"/>
  <c r="AE857" i="37"/>
  <c r="AD850" i="37"/>
  <c r="T846" i="37"/>
  <c r="U846" i="37" s="1"/>
  <c r="L859" i="37"/>
  <c r="AC859" i="37"/>
  <c r="S866" i="37"/>
  <c r="Q865" i="37"/>
  <c r="O866" i="37"/>
  <c r="K865" i="37"/>
  <c r="M862" i="37"/>
  <c r="U861" i="37"/>
  <c r="R861" i="37"/>
  <c r="R859" i="37"/>
  <c r="T856" i="37"/>
  <c r="U856" i="37" s="1"/>
  <c r="AE855" i="37"/>
  <c r="O854" i="37"/>
  <c r="T853" i="37"/>
  <c r="U853" i="37" s="1"/>
  <c r="AC849" i="37"/>
  <c r="AD849" i="37"/>
  <c r="AE849" i="37"/>
  <c r="T847" i="37"/>
  <c r="T843" i="37"/>
  <c r="T868" i="37"/>
  <c r="N866" i="37"/>
  <c r="T866" i="37" s="1"/>
  <c r="U866" i="37" s="1"/>
  <c r="L865" i="37"/>
  <c r="N865" i="37"/>
  <c r="L862" i="37"/>
  <c r="Q859" i="37"/>
  <c r="R856" i="37"/>
  <c r="AC855" i="37"/>
  <c r="N854" i="37"/>
  <c r="O847" i="37"/>
  <c r="S843" i="37"/>
  <c r="K857" i="37"/>
  <c r="K850" i="37"/>
  <c r="K843" i="37"/>
  <c r="O844" i="37"/>
  <c r="AE858" i="37"/>
  <c r="Q857" i="37"/>
  <c r="AC852" i="37"/>
  <c r="AE851" i="37"/>
  <c r="N851" i="37"/>
  <c r="Q850" i="37"/>
  <c r="AC845" i="37"/>
  <c r="AE844" i="37"/>
  <c r="N844" i="37"/>
  <c r="Q843" i="37"/>
  <c r="AD518" i="65"/>
  <c r="AP518" i="65" s="1"/>
  <c r="X515" i="65"/>
  <c r="N515" i="65"/>
  <c r="P515" i="65"/>
  <c r="AB515" i="65" s="1"/>
  <c r="AN515" i="65" s="1"/>
  <c r="Q515" i="65"/>
  <c r="AC515" i="65" s="1"/>
  <c r="AH515" i="65"/>
  <c r="R515" i="65"/>
  <c r="AD515" i="65" s="1"/>
  <c r="AI515" i="65"/>
  <c r="S515" i="65"/>
  <c r="AE515" i="65" s="1"/>
  <c r="AJ515" i="65"/>
  <c r="T515" i="65"/>
  <c r="AF515" i="65" s="1"/>
  <c r="AR515" i="65" s="1"/>
  <c r="AK515" i="65"/>
  <c r="N518" i="65"/>
  <c r="P518" i="65"/>
  <c r="Z517" i="65"/>
  <c r="P517" i="65"/>
  <c r="Q517" i="65"/>
  <c r="AC517" i="65" s="1"/>
  <c r="R517" i="65"/>
  <c r="AD517" i="65" s="1"/>
  <c r="S517" i="65"/>
  <c r="AE517" i="65" s="1"/>
  <c r="T517" i="65"/>
  <c r="AF517" i="65" s="1"/>
  <c r="V517" i="65"/>
  <c r="W517" i="65"/>
  <c r="N514" i="65"/>
  <c r="V514" i="65"/>
  <c r="AB514" i="65" s="1"/>
  <c r="AN514" i="65" s="1"/>
  <c r="AH518" i="65"/>
  <c r="X518" i="65"/>
  <c r="W518" i="65"/>
  <c r="AC518" i="65" s="1"/>
  <c r="AO518" i="65" s="1"/>
  <c r="V518" i="65"/>
  <c r="AB516" i="65"/>
  <c r="AH516" i="65" s="1"/>
  <c r="AL515" i="65"/>
  <c r="T518" i="65"/>
  <c r="AF518" i="65" s="1"/>
  <c r="AR518" i="65" s="1"/>
  <c r="S518" i="65"/>
  <c r="AE518" i="65" s="1"/>
  <c r="AQ518" i="65" s="1"/>
  <c r="Q516" i="65"/>
  <c r="AH514" i="65"/>
  <c r="K513" i="65"/>
  <c r="M513" i="65"/>
  <c r="Z516" i="65"/>
  <c r="AF516" i="65" s="1"/>
  <c r="Y516" i="65"/>
  <c r="AE516" i="65" s="1"/>
  <c r="Z518" i="65"/>
  <c r="X516" i="65"/>
  <c r="AD516" i="65" s="1"/>
  <c r="W516" i="65"/>
  <c r="AN508" i="65"/>
  <c r="AH508" i="65"/>
  <c r="T512" i="65"/>
  <c r="AF508" i="65"/>
  <c r="Z512" i="65"/>
  <c r="X512" i="65"/>
  <c r="V512" i="65"/>
  <c r="X509" i="65"/>
  <c r="R512" i="65"/>
  <c r="Y511" i="65"/>
  <c r="W509" i="65"/>
  <c r="Q512" i="65"/>
  <c r="X511" i="65"/>
  <c r="V509" i="65"/>
  <c r="P512" i="65"/>
  <c r="W511" i="65"/>
  <c r="AC511" i="65" s="1"/>
  <c r="M510" i="65"/>
  <c r="T509" i="65"/>
  <c r="N512" i="65"/>
  <c r="Y512" i="65" s="1"/>
  <c r="V511" i="65"/>
  <c r="AB511" i="65" s="1"/>
  <c r="S509" i="65"/>
  <c r="Z508" i="65"/>
  <c r="S512" i="65"/>
  <c r="AE512" i="65" s="1"/>
  <c r="Z511" i="65"/>
  <c r="W512" i="65"/>
  <c r="Z509" i="65"/>
  <c r="Y509" i="65"/>
  <c r="T511" i="65"/>
  <c r="R509" i="65"/>
  <c r="AD509" i="65" s="1"/>
  <c r="S511" i="65"/>
  <c r="AE511" i="65" s="1"/>
  <c r="Q509" i="65"/>
  <c r="X508" i="65"/>
  <c r="AD508" i="65" s="1"/>
  <c r="R511" i="65"/>
  <c r="AD511" i="65" s="1"/>
  <c r="P509" i="65"/>
  <c r="AB509" i="65" s="1"/>
  <c r="W508" i="65"/>
  <c r="AC508" i="65" s="1"/>
  <c r="U863" i="37" l="1"/>
  <c r="U860" i="37"/>
  <c r="U865" i="37"/>
  <c r="T849" i="37"/>
  <c r="U849" i="37" s="1"/>
  <c r="U847" i="37"/>
  <c r="T848" i="37"/>
  <c r="U848" i="37" s="1"/>
  <c r="U859" i="37"/>
  <c r="T851" i="37"/>
  <c r="U851" i="37" s="1"/>
  <c r="U843" i="37"/>
  <c r="T854" i="37"/>
  <c r="U854" i="37" s="1"/>
  <c r="T841" i="37"/>
  <c r="U841" i="37" s="1"/>
  <c r="U868" i="37"/>
  <c r="T844" i="37"/>
  <c r="U844" i="37" s="1"/>
  <c r="U850" i="37"/>
  <c r="T855" i="37"/>
  <c r="U855" i="37" s="1"/>
  <c r="T864" i="37"/>
  <c r="U864" i="37" s="1"/>
  <c r="N513" i="65"/>
  <c r="S513" i="65" s="1"/>
  <c r="P513" i="65"/>
  <c r="AF514" i="65"/>
  <c r="AQ515" i="65"/>
  <c r="AC516" i="65"/>
  <c r="AP515" i="65"/>
  <c r="AO515" i="65"/>
  <c r="AB517" i="65"/>
  <c r="AN516" i="65"/>
  <c r="AE514" i="65"/>
  <c r="AC514" i="65"/>
  <c r="AB518" i="65"/>
  <c r="AN518" i="65" s="1"/>
  <c r="AO508" i="65"/>
  <c r="AH511" i="65"/>
  <c r="AI511" i="65" s="1"/>
  <c r="AJ511" i="65" s="1"/>
  <c r="AK511" i="65" s="1"/>
  <c r="AL511" i="65" s="1"/>
  <c r="AB512" i="65"/>
  <c r="AC509" i="65"/>
  <c r="AC512" i="65"/>
  <c r="AF512" i="65"/>
  <c r="AH509" i="65"/>
  <c r="AI509" i="65" s="1"/>
  <c r="AJ509" i="65" s="1"/>
  <c r="AK509" i="65" s="1"/>
  <c r="AL509" i="65" s="1"/>
  <c r="AE509" i="65"/>
  <c r="AI508" i="65"/>
  <c r="AJ508" i="65" s="1"/>
  <c r="AK508" i="65" s="1"/>
  <c r="N510" i="65"/>
  <c r="Q510" i="65" s="1"/>
  <c r="P510" i="65"/>
  <c r="AQ511" i="65"/>
  <c r="AD512" i="65"/>
  <c r="AF511" i="65"/>
  <c r="AF509" i="65"/>
  <c r="R513" i="65" l="1"/>
  <c r="Z513" i="65"/>
  <c r="AO516" i="65"/>
  <c r="AD514" i="65"/>
  <c r="Q513" i="65"/>
  <c r="AC513" i="65" s="1"/>
  <c r="AH517" i="65"/>
  <c r="AI517" i="65" s="1"/>
  <c r="V513" i="65"/>
  <c r="AB513" i="65" s="1"/>
  <c r="Y513" i="65"/>
  <c r="AE513" i="65" s="1"/>
  <c r="AI516" i="65"/>
  <c r="AJ516" i="65" s="1"/>
  <c r="T513" i="65"/>
  <c r="AF513" i="65" s="1"/>
  <c r="AO514" i="65"/>
  <c r="X513" i="65"/>
  <c r="W513" i="65"/>
  <c r="W510" i="65"/>
  <c r="AC510" i="65" s="1"/>
  <c r="AO512" i="65"/>
  <c r="V510" i="65"/>
  <c r="AO509" i="65"/>
  <c r="AR509" i="65"/>
  <c r="AR511" i="65"/>
  <c r="S510" i="65"/>
  <c r="AE510" i="65" s="1"/>
  <c r="AP511" i="65"/>
  <c r="AH512" i="65"/>
  <c r="AI512" i="65" s="1"/>
  <c r="AJ512" i="65" s="1"/>
  <c r="AK512" i="65" s="1"/>
  <c r="AP509" i="65"/>
  <c r="R510" i="65"/>
  <c r="AD510" i="65" s="1"/>
  <c r="AN509" i="65"/>
  <c r="AB510" i="65"/>
  <c r="Z510" i="65"/>
  <c r="Y510" i="65"/>
  <c r="AN511" i="65"/>
  <c r="X510" i="65"/>
  <c r="T510" i="65"/>
  <c r="AQ508" i="65"/>
  <c r="AL508" i="65"/>
  <c r="AR508" i="65" s="1"/>
  <c r="AO511" i="65"/>
  <c r="AQ509" i="65"/>
  <c r="AP508" i="65"/>
  <c r="AH513" i="65" l="1"/>
  <c r="AI513" i="65" s="1"/>
  <c r="AJ517" i="65"/>
  <c r="AO517" i="65"/>
  <c r="AN517" i="65"/>
  <c r="AO513" i="65"/>
  <c r="AD513" i="65"/>
  <c r="AK516" i="65"/>
  <c r="AP516" i="65"/>
  <c r="AH510" i="65"/>
  <c r="AI510" i="65" s="1"/>
  <c r="AJ510" i="65" s="1"/>
  <c r="AK510" i="65" s="1"/>
  <c r="AL510" i="65" s="1"/>
  <c r="AL512" i="65"/>
  <c r="AR512" i="65" s="1"/>
  <c r="AQ512" i="65"/>
  <c r="AN512" i="65"/>
  <c r="AP512" i="65"/>
  <c r="AF510" i="65"/>
  <c r="AR514" i="65" l="1"/>
  <c r="AQ514" i="65"/>
  <c r="AL516" i="65"/>
  <c r="AR516" i="65" s="1"/>
  <c r="AQ516" i="65"/>
  <c r="AK517" i="65"/>
  <c r="AP517" i="65"/>
  <c r="AP514" i="65"/>
  <c r="AJ513" i="65"/>
  <c r="AK513" i="65" s="1"/>
  <c r="AN513" i="65"/>
  <c r="AR510" i="65"/>
  <c r="AQ510" i="65"/>
  <c r="AN510" i="65"/>
  <c r="AP510" i="65"/>
  <c r="AO510" i="65"/>
  <c r="AL513" i="65" l="1"/>
  <c r="AR513" i="65" s="1"/>
  <c r="AQ513" i="65"/>
  <c r="AL517" i="65"/>
  <c r="AR517" i="65" s="1"/>
  <c r="AQ517" i="65"/>
  <c r="AP513" i="65"/>
  <c r="N47" i="32" l="1"/>
  <c r="N48" i="32" s="1"/>
  <c r="M43" i="32"/>
  <c r="P18" i="91" l="1"/>
  <c r="J12" i="32"/>
  <c r="K12" i="32"/>
  <c r="L12" i="32"/>
  <c r="M12" i="32"/>
  <c r="I12" i="32"/>
  <c r="R92" i="25" l="1"/>
  <c r="R91" i="25"/>
  <c r="Q86" i="25"/>
  <c r="P71" i="25"/>
  <c r="N18" i="34" l="1"/>
  <c r="N15" i="34"/>
  <c r="N16" i="34"/>
  <c r="N13" i="34"/>
  <c r="N12" i="34"/>
  <c r="M20" i="32"/>
  <c r="M21" i="32"/>
  <c r="M22" i="32"/>
  <c r="M23" i="32"/>
  <c r="M24" i="32"/>
  <c r="M25" i="32"/>
  <c r="M26" i="32"/>
  <c r="M27" i="32"/>
  <c r="M28" i="32"/>
  <c r="M29" i="32"/>
  <c r="M30" i="32"/>
  <c r="M31" i="32"/>
  <c r="M34" i="32"/>
  <c r="M35" i="32"/>
  <c r="M19" i="32"/>
  <c r="P15" i="66"/>
  <c r="P55" i="25"/>
  <c r="P105" i="25" a="1"/>
  <c r="P105" i="25" s="1"/>
  <c r="P97" i="25"/>
  <c r="P98" i="25" s="1"/>
  <c r="N23" i="32"/>
  <c r="P88" i="25"/>
  <c r="P79" i="25"/>
  <c r="P80" i="25" s="1"/>
  <c r="P81" i="25" s="1"/>
  <c r="P72" i="25"/>
  <c r="B836" i="37"/>
  <c r="B837" i="37"/>
  <c r="B838" i="37"/>
  <c r="B839" i="37"/>
  <c r="F836" i="37"/>
  <c r="G836" i="37"/>
  <c r="H836" i="37"/>
  <c r="I836" i="37"/>
  <c r="F837" i="37"/>
  <c r="G837" i="37"/>
  <c r="H837" i="37"/>
  <c r="I837" i="37"/>
  <c r="F838" i="37"/>
  <c r="G838" i="37"/>
  <c r="H838" i="37"/>
  <c r="I838" i="37"/>
  <c r="F839" i="37"/>
  <c r="G839" i="37"/>
  <c r="H839" i="37"/>
  <c r="I839" i="37"/>
  <c r="K34" i="68"/>
  <c r="K31" i="68"/>
  <c r="P59" i="25"/>
  <c r="P60" i="25"/>
  <c r="P58" i="25"/>
  <c r="B666" i="40"/>
  <c r="B667" i="40"/>
  <c r="B668" i="40"/>
  <c r="B669" i="40"/>
  <c r="B670" i="40"/>
  <c r="B671" i="40"/>
  <c r="B672" i="40"/>
  <c r="B673" i="40"/>
  <c r="B674" i="40"/>
  <c r="B675" i="40"/>
  <c r="B676" i="40"/>
  <c r="B677" i="40"/>
  <c r="B678" i="40"/>
  <c r="B679" i="40"/>
  <c r="B680" i="40"/>
  <c r="B681" i="40"/>
  <c r="B682" i="40"/>
  <c r="B683" i="40"/>
  <c r="B684" i="40"/>
  <c r="B685" i="40"/>
  <c r="B686" i="40"/>
  <c r="B687" i="40"/>
  <c r="B688" i="40"/>
  <c r="B689" i="40"/>
  <c r="B690" i="40"/>
  <c r="B691" i="40"/>
  <c r="B692" i="40"/>
  <c r="B693" i="40"/>
  <c r="B694" i="40"/>
  <c r="B695" i="40"/>
  <c r="B696" i="40"/>
  <c r="B697" i="40"/>
  <c r="B698" i="40"/>
  <c r="B699" i="40"/>
  <c r="B700" i="40"/>
  <c r="B701" i="40"/>
  <c r="B702" i="40"/>
  <c r="B703" i="40"/>
  <c r="B704" i="40"/>
  <c r="B705" i="40"/>
  <c r="B706" i="40"/>
  <c r="B707" i="40"/>
  <c r="B708" i="40"/>
  <c r="B709" i="40"/>
  <c r="B710" i="40"/>
  <c r="B711" i="40"/>
  <c r="B712" i="40"/>
  <c r="B713" i="40"/>
  <c r="B714" i="40"/>
  <c r="B715" i="40"/>
  <c r="B716" i="40"/>
  <c r="B717" i="40"/>
  <c r="B718" i="40"/>
  <c r="B719" i="40"/>
  <c r="B720" i="40"/>
  <c r="B721" i="40"/>
  <c r="B722" i="40"/>
  <c r="B723" i="40"/>
  <c r="B724" i="40"/>
  <c r="B725" i="40"/>
  <c r="B726" i="40"/>
  <c r="B727" i="40"/>
  <c r="B728" i="40"/>
  <c r="B729" i="40"/>
  <c r="B730" i="40"/>
  <c r="B731" i="40"/>
  <c r="B732" i="40"/>
  <c r="B733" i="40"/>
  <c r="B734" i="40"/>
  <c r="B735" i="40"/>
  <c r="B736" i="40"/>
  <c r="B737" i="40"/>
  <c r="B738" i="40"/>
  <c r="B739" i="40"/>
  <c r="B740" i="40"/>
  <c r="B741" i="40"/>
  <c r="B742" i="40"/>
  <c r="B743" i="40"/>
  <c r="B744" i="40"/>
  <c r="B745" i="40"/>
  <c r="B746" i="40"/>
  <c r="B747" i="40"/>
  <c r="B748" i="40"/>
  <c r="B749" i="40"/>
  <c r="B750" i="40"/>
  <c r="B751" i="40"/>
  <c r="B752" i="40"/>
  <c r="B753" i="40"/>
  <c r="B754" i="40"/>
  <c r="B755" i="40"/>
  <c r="B756" i="40"/>
  <c r="B757" i="40"/>
  <c r="B758" i="40"/>
  <c r="B759" i="40"/>
  <c r="B760" i="40"/>
  <c r="B761" i="40"/>
  <c r="B762" i="40"/>
  <c r="B763" i="40"/>
  <c r="B764" i="40"/>
  <c r="B765" i="40"/>
  <c r="B766" i="40"/>
  <c r="B767" i="40"/>
  <c r="B768" i="40"/>
  <c r="B769" i="40"/>
  <c r="B770" i="40"/>
  <c r="B771" i="40"/>
  <c r="B772" i="40"/>
  <c r="B773" i="40"/>
  <c r="B774" i="40"/>
  <c r="B775" i="40"/>
  <c r="B776" i="40"/>
  <c r="B777" i="40"/>
  <c r="B778" i="40"/>
  <c r="B779" i="40"/>
  <c r="B780" i="40"/>
  <c r="B781" i="40"/>
  <c r="B782" i="40"/>
  <c r="B783" i="40"/>
  <c r="B784" i="40"/>
  <c r="B785" i="40"/>
  <c r="B786" i="40"/>
  <c r="B787" i="40"/>
  <c r="B788" i="40"/>
  <c r="B794" i="40"/>
  <c r="B795" i="40"/>
  <c r="B796" i="40"/>
  <c r="B797" i="40"/>
  <c r="B798" i="40"/>
  <c r="B799" i="40"/>
  <c r="D666" i="40"/>
  <c r="F1540" i="40" s="1"/>
  <c r="E666" i="40"/>
  <c r="F666" i="40"/>
  <c r="G666" i="40"/>
  <c r="D667" i="40"/>
  <c r="F1541" i="40" s="1"/>
  <c r="E667" i="40"/>
  <c r="F667" i="40"/>
  <c r="G667" i="40"/>
  <c r="E1541" i="40" s="1"/>
  <c r="D668" i="40"/>
  <c r="F1542" i="40" s="1"/>
  <c r="E668" i="40"/>
  <c r="F668" i="40"/>
  <c r="G668" i="40"/>
  <c r="E1542" i="40" s="1"/>
  <c r="D669" i="40"/>
  <c r="E669" i="40"/>
  <c r="F669" i="40"/>
  <c r="G669" i="40"/>
  <c r="D670" i="40"/>
  <c r="F1544" i="40" s="1"/>
  <c r="E670" i="40"/>
  <c r="F670" i="40"/>
  <c r="G670" i="40"/>
  <c r="D671" i="40"/>
  <c r="F1545" i="40" s="1"/>
  <c r="E671" i="40"/>
  <c r="F671" i="40"/>
  <c r="G671" i="40"/>
  <c r="E1545" i="40" s="1"/>
  <c r="D672" i="40"/>
  <c r="E672" i="40"/>
  <c r="F672" i="40"/>
  <c r="G672" i="40"/>
  <c r="D673" i="40"/>
  <c r="F1547" i="40" s="1"/>
  <c r="E673" i="40"/>
  <c r="F673" i="40"/>
  <c r="G673" i="40"/>
  <c r="D674" i="40"/>
  <c r="F1548" i="40" s="1"/>
  <c r="E674" i="40"/>
  <c r="F674" i="40"/>
  <c r="G674" i="40"/>
  <c r="D675" i="40"/>
  <c r="F1549" i="40" s="1"/>
  <c r="E675" i="40"/>
  <c r="F675" i="40"/>
  <c r="G675" i="40"/>
  <c r="E1549" i="40" s="1"/>
  <c r="D676" i="40"/>
  <c r="F1550" i="40" s="1"/>
  <c r="E676" i="40"/>
  <c r="F676" i="40"/>
  <c r="G676" i="40"/>
  <c r="E1550" i="40" s="1"/>
  <c r="D677" i="40"/>
  <c r="F1551" i="40" s="1"/>
  <c r="E677" i="40"/>
  <c r="F677" i="40"/>
  <c r="G677" i="40"/>
  <c r="D678" i="40"/>
  <c r="F1552" i="40" s="1"/>
  <c r="E678" i="40"/>
  <c r="F678" i="40"/>
  <c r="G678" i="40"/>
  <c r="D679" i="40"/>
  <c r="F1553" i="40" s="1"/>
  <c r="E679" i="40"/>
  <c r="F679" i="40"/>
  <c r="G679" i="40"/>
  <c r="E1553" i="40" s="1"/>
  <c r="D680" i="40"/>
  <c r="F1554" i="40" s="1"/>
  <c r="E680" i="40"/>
  <c r="F680" i="40"/>
  <c r="G680" i="40"/>
  <c r="E1554" i="40" s="1"/>
  <c r="D681" i="40"/>
  <c r="F1555" i="40" s="1"/>
  <c r="E681" i="40"/>
  <c r="F681" i="40"/>
  <c r="G681" i="40"/>
  <c r="D682" i="40"/>
  <c r="F1556" i="40" s="1"/>
  <c r="E682" i="40"/>
  <c r="F682" i="40"/>
  <c r="G682" i="40"/>
  <c r="D683" i="40"/>
  <c r="F1557" i="40" s="1"/>
  <c r="E683" i="40"/>
  <c r="F683" i="40"/>
  <c r="G683" i="40"/>
  <c r="E1557" i="40" s="1"/>
  <c r="D684" i="40"/>
  <c r="F1558" i="40" s="1"/>
  <c r="E684" i="40"/>
  <c r="F684" i="40"/>
  <c r="G684" i="40"/>
  <c r="E1558" i="40" s="1"/>
  <c r="D685" i="40"/>
  <c r="F1559" i="40" s="1"/>
  <c r="E685" i="40"/>
  <c r="F685" i="40"/>
  <c r="G685" i="40"/>
  <c r="D686" i="40"/>
  <c r="E686" i="40"/>
  <c r="F686" i="40"/>
  <c r="G686" i="40"/>
  <c r="D687" i="40"/>
  <c r="F1561" i="40" s="1"/>
  <c r="E687" i="40"/>
  <c r="F687" i="40"/>
  <c r="G687" i="40"/>
  <c r="E1561" i="40" s="1"/>
  <c r="D688" i="40"/>
  <c r="F1562" i="40" s="1"/>
  <c r="E688" i="40"/>
  <c r="F688" i="40"/>
  <c r="G688" i="40"/>
  <c r="E1562" i="40" s="1"/>
  <c r="D689" i="40"/>
  <c r="F1563" i="40" s="1"/>
  <c r="E689" i="40"/>
  <c r="F689" i="40"/>
  <c r="G689" i="40"/>
  <c r="D690" i="40"/>
  <c r="F1564" i="40" s="1"/>
  <c r="E690" i="40"/>
  <c r="F690" i="40"/>
  <c r="G690" i="40"/>
  <c r="D691" i="40"/>
  <c r="F1565" i="40" s="1"/>
  <c r="E691" i="40"/>
  <c r="F691" i="40"/>
  <c r="G691" i="40"/>
  <c r="E1565" i="40" s="1"/>
  <c r="D692" i="40"/>
  <c r="F1566" i="40" s="1"/>
  <c r="E692" i="40"/>
  <c r="F692" i="40"/>
  <c r="G692" i="40"/>
  <c r="E1566" i="40" s="1"/>
  <c r="D693" i="40"/>
  <c r="F1567" i="40" s="1"/>
  <c r="E693" i="40"/>
  <c r="F693" i="40"/>
  <c r="G693" i="40"/>
  <c r="D694" i="40"/>
  <c r="F1568" i="40" s="1"/>
  <c r="E694" i="40"/>
  <c r="F694" i="40"/>
  <c r="G694" i="40"/>
  <c r="D695" i="40"/>
  <c r="F1569" i="40" s="1"/>
  <c r="E695" i="40"/>
  <c r="F695" i="40"/>
  <c r="G695" i="40"/>
  <c r="E1569" i="40" s="1"/>
  <c r="D696" i="40"/>
  <c r="F1570" i="40" s="1"/>
  <c r="E696" i="40"/>
  <c r="F696" i="40"/>
  <c r="G696" i="40"/>
  <c r="E1570" i="40" s="1"/>
  <c r="D697" i="40"/>
  <c r="F1571" i="40" s="1"/>
  <c r="E697" i="40"/>
  <c r="F697" i="40"/>
  <c r="G697" i="40"/>
  <c r="D698" i="40"/>
  <c r="F1572" i="40" s="1"/>
  <c r="E698" i="40"/>
  <c r="F698" i="40"/>
  <c r="G698" i="40"/>
  <c r="D699" i="40"/>
  <c r="F1573" i="40" s="1"/>
  <c r="E699" i="40"/>
  <c r="F699" i="40"/>
  <c r="G699" i="40"/>
  <c r="E1573" i="40" s="1"/>
  <c r="D700" i="40"/>
  <c r="F1574" i="40" s="1"/>
  <c r="E700" i="40"/>
  <c r="F700" i="40"/>
  <c r="G700" i="40"/>
  <c r="E1574" i="40" s="1"/>
  <c r="D701" i="40"/>
  <c r="F1575" i="40" s="1"/>
  <c r="E701" i="40"/>
  <c r="F701" i="40"/>
  <c r="G701" i="40"/>
  <c r="D702" i="40"/>
  <c r="F1576" i="40" s="1"/>
  <c r="E702" i="40"/>
  <c r="F702" i="40"/>
  <c r="G702" i="40"/>
  <c r="D703" i="40"/>
  <c r="F1577" i="40" s="1"/>
  <c r="E703" i="40"/>
  <c r="F703" i="40"/>
  <c r="G703" i="40"/>
  <c r="E1577" i="40" s="1"/>
  <c r="D704" i="40"/>
  <c r="F1578" i="40" s="1"/>
  <c r="E704" i="40"/>
  <c r="F704" i="40"/>
  <c r="G704" i="40"/>
  <c r="E1578" i="40" s="1"/>
  <c r="D705" i="40"/>
  <c r="F1579" i="40" s="1"/>
  <c r="E705" i="40"/>
  <c r="F705" i="40"/>
  <c r="G705" i="40"/>
  <c r="D706" i="40"/>
  <c r="F1580" i="40" s="1"/>
  <c r="E706" i="40"/>
  <c r="F706" i="40"/>
  <c r="G706" i="40"/>
  <c r="D707" i="40"/>
  <c r="F1581" i="40" s="1"/>
  <c r="E707" i="40"/>
  <c r="F707" i="40"/>
  <c r="G707" i="40"/>
  <c r="E1581" i="40" s="1"/>
  <c r="D708" i="40"/>
  <c r="F1582" i="40" s="1"/>
  <c r="E708" i="40"/>
  <c r="F708" i="40"/>
  <c r="G708" i="40"/>
  <c r="E1582" i="40" s="1"/>
  <c r="D709" i="40"/>
  <c r="F1583" i="40" s="1"/>
  <c r="E709" i="40"/>
  <c r="F709" i="40"/>
  <c r="G709" i="40"/>
  <c r="D710" i="40"/>
  <c r="F1584" i="40" s="1"/>
  <c r="E710" i="40"/>
  <c r="F710" i="40"/>
  <c r="G710" i="40"/>
  <c r="D711" i="40"/>
  <c r="F1585" i="40" s="1"/>
  <c r="E711" i="40"/>
  <c r="F711" i="40"/>
  <c r="G711" i="40"/>
  <c r="E1585" i="40" s="1"/>
  <c r="D712" i="40"/>
  <c r="F1586" i="40" s="1"/>
  <c r="E712" i="40"/>
  <c r="F712" i="40"/>
  <c r="G712" i="40"/>
  <c r="E1586" i="40" s="1"/>
  <c r="D713" i="40"/>
  <c r="F1587" i="40" s="1"/>
  <c r="E713" i="40"/>
  <c r="F713" i="40"/>
  <c r="G713" i="40"/>
  <c r="D714" i="40"/>
  <c r="F1588" i="40" s="1"/>
  <c r="E714" i="40"/>
  <c r="F714" i="40"/>
  <c r="G714" i="40"/>
  <c r="D715" i="40"/>
  <c r="F1589" i="40" s="1"/>
  <c r="E715" i="40"/>
  <c r="F715" i="40"/>
  <c r="G715" i="40"/>
  <c r="E1589" i="40" s="1"/>
  <c r="D716" i="40"/>
  <c r="F1590" i="40" s="1"/>
  <c r="E716" i="40"/>
  <c r="F716" i="40"/>
  <c r="G716" i="40"/>
  <c r="E1590" i="40" s="1"/>
  <c r="D717" i="40"/>
  <c r="F1591" i="40" s="1"/>
  <c r="E717" i="40"/>
  <c r="F717" i="40"/>
  <c r="G717" i="40"/>
  <c r="D718" i="40"/>
  <c r="F1592" i="40" s="1"/>
  <c r="E718" i="40"/>
  <c r="F718" i="40"/>
  <c r="G718" i="40"/>
  <c r="D719" i="40"/>
  <c r="F1593" i="40" s="1"/>
  <c r="E719" i="40"/>
  <c r="F719" i="40"/>
  <c r="G719" i="40"/>
  <c r="E1593" i="40" s="1"/>
  <c r="D720" i="40"/>
  <c r="F1594" i="40" s="1"/>
  <c r="E720" i="40"/>
  <c r="F720" i="40"/>
  <c r="G720" i="40"/>
  <c r="E1594" i="40" s="1"/>
  <c r="D721" i="40"/>
  <c r="F1595" i="40" s="1"/>
  <c r="E721" i="40"/>
  <c r="F721" i="40"/>
  <c r="G721" i="40"/>
  <c r="D722" i="40"/>
  <c r="F1596" i="40" s="1"/>
  <c r="E722" i="40"/>
  <c r="F722" i="40"/>
  <c r="G722" i="40"/>
  <c r="D723" i="40"/>
  <c r="F1597" i="40" s="1"/>
  <c r="E723" i="40"/>
  <c r="F723" i="40"/>
  <c r="G723" i="40"/>
  <c r="E1597" i="40" s="1"/>
  <c r="D724" i="40"/>
  <c r="F1598" i="40" s="1"/>
  <c r="E724" i="40"/>
  <c r="F724" i="40"/>
  <c r="G724" i="40"/>
  <c r="E1598" i="40" s="1"/>
  <c r="D725" i="40"/>
  <c r="F1599" i="40" s="1"/>
  <c r="E725" i="40"/>
  <c r="F725" i="40"/>
  <c r="G725" i="40"/>
  <c r="D726" i="40"/>
  <c r="F1600" i="40" s="1"/>
  <c r="E726" i="40"/>
  <c r="F726" i="40"/>
  <c r="G726" i="40"/>
  <c r="D727" i="40"/>
  <c r="F1601" i="40" s="1"/>
  <c r="E727" i="40"/>
  <c r="F727" i="40"/>
  <c r="G727" i="40"/>
  <c r="E1601" i="40" s="1"/>
  <c r="D728" i="40"/>
  <c r="E728" i="40"/>
  <c r="F728" i="40"/>
  <c r="G728" i="40"/>
  <c r="E1602" i="40" s="1"/>
  <c r="D729" i="40"/>
  <c r="F1603" i="40" s="1"/>
  <c r="E729" i="40"/>
  <c r="F729" i="40"/>
  <c r="G729" i="40"/>
  <c r="D730" i="40"/>
  <c r="F1604" i="40" s="1"/>
  <c r="E730" i="40"/>
  <c r="F730" i="40"/>
  <c r="G730" i="40"/>
  <c r="D731" i="40"/>
  <c r="F1605" i="40" s="1"/>
  <c r="E731" i="40"/>
  <c r="F731" i="40"/>
  <c r="G731" i="40"/>
  <c r="E1605" i="40" s="1"/>
  <c r="D732" i="40"/>
  <c r="F1606" i="40" s="1"/>
  <c r="E732" i="40"/>
  <c r="F732" i="40"/>
  <c r="G732" i="40"/>
  <c r="E1606" i="40" s="1"/>
  <c r="D733" i="40"/>
  <c r="F1607" i="40" s="1"/>
  <c r="E733" i="40"/>
  <c r="F733" i="40"/>
  <c r="G733" i="40"/>
  <c r="D734" i="40"/>
  <c r="F1608" i="40" s="1"/>
  <c r="E734" i="40"/>
  <c r="F734" i="40"/>
  <c r="G734" i="40"/>
  <c r="D735" i="40"/>
  <c r="F1609" i="40" s="1"/>
  <c r="E735" i="40"/>
  <c r="F735" i="40"/>
  <c r="G735" i="40"/>
  <c r="E1609" i="40" s="1"/>
  <c r="D736" i="40"/>
  <c r="F1610" i="40" s="1"/>
  <c r="E736" i="40"/>
  <c r="F736" i="40"/>
  <c r="G736" i="40"/>
  <c r="E1610" i="40" s="1"/>
  <c r="D737" i="40"/>
  <c r="F1611" i="40" s="1"/>
  <c r="E737" i="40"/>
  <c r="F737" i="40"/>
  <c r="G737" i="40"/>
  <c r="D738" i="40"/>
  <c r="F1612" i="40" s="1"/>
  <c r="E738" i="40"/>
  <c r="F738" i="40"/>
  <c r="G738" i="40"/>
  <c r="D739" i="40"/>
  <c r="F1613" i="40" s="1"/>
  <c r="E739" i="40"/>
  <c r="F739" i="40"/>
  <c r="G739" i="40"/>
  <c r="E1613" i="40" s="1"/>
  <c r="D740" i="40"/>
  <c r="F1614" i="40" s="1"/>
  <c r="E740" i="40"/>
  <c r="F740" i="40"/>
  <c r="G740" i="40"/>
  <c r="E1614" i="40" s="1"/>
  <c r="D741" i="40"/>
  <c r="F1615" i="40" s="1"/>
  <c r="E741" i="40"/>
  <c r="F741" i="40"/>
  <c r="G741" i="40"/>
  <c r="D742" i="40"/>
  <c r="F1616" i="40" s="1"/>
  <c r="E742" i="40"/>
  <c r="F742" i="40"/>
  <c r="G742" i="40"/>
  <c r="D743" i="40"/>
  <c r="F1617" i="40" s="1"/>
  <c r="E743" i="40"/>
  <c r="F743" i="40"/>
  <c r="G743" i="40"/>
  <c r="E1617" i="40" s="1"/>
  <c r="D744" i="40"/>
  <c r="F1618" i="40" s="1"/>
  <c r="E744" i="40"/>
  <c r="F744" i="40"/>
  <c r="G744" i="40"/>
  <c r="E1618" i="40" s="1"/>
  <c r="D745" i="40"/>
  <c r="F1619" i="40" s="1"/>
  <c r="E745" i="40"/>
  <c r="F745" i="40"/>
  <c r="G745" i="40"/>
  <c r="D746" i="40"/>
  <c r="F1620" i="40" s="1"/>
  <c r="E746" i="40"/>
  <c r="F746" i="40"/>
  <c r="G746" i="40"/>
  <c r="D747" i="40"/>
  <c r="F1621" i="40" s="1"/>
  <c r="E747" i="40"/>
  <c r="F747" i="40"/>
  <c r="G747" i="40"/>
  <c r="E1621" i="40" s="1"/>
  <c r="D748" i="40"/>
  <c r="F1622" i="40" s="1"/>
  <c r="E748" i="40"/>
  <c r="F748" i="40"/>
  <c r="G748" i="40"/>
  <c r="E1622" i="40" s="1"/>
  <c r="D749" i="40"/>
  <c r="F1623" i="40" s="1"/>
  <c r="E749" i="40"/>
  <c r="F749" i="40"/>
  <c r="G749" i="40"/>
  <c r="D750" i="40"/>
  <c r="F1624" i="40" s="1"/>
  <c r="E750" i="40"/>
  <c r="F750" i="40"/>
  <c r="G750" i="40"/>
  <c r="D751" i="40"/>
  <c r="F1625" i="40" s="1"/>
  <c r="E751" i="40"/>
  <c r="F751" i="40"/>
  <c r="G751" i="40"/>
  <c r="E1625" i="40" s="1"/>
  <c r="D752" i="40"/>
  <c r="F1626" i="40" s="1"/>
  <c r="E752" i="40"/>
  <c r="F752" i="40"/>
  <c r="G752" i="40"/>
  <c r="E1626" i="40" s="1"/>
  <c r="D753" i="40"/>
  <c r="F1627" i="40" s="1"/>
  <c r="E753" i="40"/>
  <c r="F753" i="40"/>
  <c r="G753" i="40"/>
  <c r="D754" i="40"/>
  <c r="F1628" i="40" s="1"/>
  <c r="E754" i="40"/>
  <c r="F754" i="40"/>
  <c r="G754" i="40"/>
  <c r="D755" i="40"/>
  <c r="F1629" i="40" s="1"/>
  <c r="E755" i="40"/>
  <c r="F755" i="40"/>
  <c r="G755" i="40"/>
  <c r="E1629" i="40" s="1"/>
  <c r="D756" i="40"/>
  <c r="F1630" i="40" s="1"/>
  <c r="E756" i="40"/>
  <c r="F756" i="40"/>
  <c r="G756" i="40"/>
  <c r="E1630" i="40" s="1"/>
  <c r="D757" i="40"/>
  <c r="F1631" i="40" s="1"/>
  <c r="E757" i="40"/>
  <c r="F757" i="40"/>
  <c r="G757" i="40"/>
  <c r="D758" i="40"/>
  <c r="F1632" i="40" s="1"/>
  <c r="E758" i="40"/>
  <c r="F758" i="40"/>
  <c r="G758" i="40"/>
  <c r="D759" i="40"/>
  <c r="F1633" i="40" s="1"/>
  <c r="E759" i="40"/>
  <c r="F759" i="40"/>
  <c r="G759" i="40"/>
  <c r="E1633" i="40" s="1"/>
  <c r="D760" i="40"/>
  <c r="F1634" i="40" s="1"/>
  <c r="E760" i="40"/>
  <c r="F760" i="40"/>
  <c r="G760" i="40"/>
  <c r="E1634" i="40" s="1"/>
  <c r="D761" i="40"/>
  <c r="F1635" i="40" s="1"/>
  <c r="E761" i="40"/>
  <c r="F761" i="40"/>
  <c r="G761" i="40"/>
  <c r="D762" i="40"/>
  <c r="F1636" i="40" s="1"/>
  <c r="E762" i="40"/>
  <c r="F762" i="40"/>
  <c r="G762" i="40"/>
  <c r="D763" i="40"/>
  <c r="F1637" i="40" s="1"/>
  <c r="E763" i="40"/>
  <c r="F763" i="40"/>
  <c r="G763" i="40"/>
  <c r="E1637" i="40" s="1"/>
  <c r="D764" i="40"/>
  <c r="F1638" i="40" s="1"/>
  <c r="E764" i="40"/>
  <c r="F764" i="40"/>
  <c r="G764" i="40"/>
  <c r="E1638" i="40" s="1"/>
  <c r="D765" i="40"/>
  <c r="F1639" i="40" s="1"/>
  <c r="E765" i="40"/>
  <c r="F765" i="40"/>
  <c r="G765" i="40"/>
  <c r="D766" i="40"/>
  <c r="F1640" i="40" s="1"/>
  <c r="E766" i="40"/>
  <c r="F766" i="40"/>
  <c r="G766" i="40"/>
  <c r="D767" i="40"/>
  <c r="F1641" i="40" s="1"/>
  <c r="E767" i="40"/>
  <c r="F767" i="40"/>
  <c r="G767" i="40"/>
  <c r="D768" i="40"/>
  <c r="F1642" i="40" s="1"/>
  <c r="E768" i="40"/>
  <c r="F768" i="40"/>
  <c r="G768" i="40"/>
  <c r="D769" i="40"/>
  <c r="F1643" i="40" s="1"/>
  <c r="E769" i="40"/>
  <c r="F769" i="40"/>
  <c r="G769" i="40"/>
  <c r="D770" i="40"/>
  <c r="F1644" i="40" s="1"/>
  <c r="E770" i="40"/>
  <c r="F770" i="40"/>
  <c r="G770" i="40"/>
  <c r="D771" i="40"/>
  <c r="F1645" i="40" s="1"/>
  <c r="E771" i="40"/>
  <c r="F771" i="40"/>
  <c r="G771" i="40"/>
  <c r="E1645" i="40" s="1"/>
  <c r="D772" i="40"/>
  <c r="F1646" i="40" s="1"/>
  <c r="E772" i="40"/>
  <c r="F772" i="40"/>
  <c r="G772" i="40"/>
  <c r="E1646" i="40" s="1"/>
  <c r="D773" i="40"/>
  <c r="F1647" i="40" s="1"/>
  <c r="E773" i="40"/>
  <c r="F773" i="40"/>
  <c r="G773" i="40"/>
  <c r="D774" i="40"/>
  <c r="F1648" i="40" s="1"/>
  <c r="E774" i="40"/>
  <c r="F774" i="40"/>
  <c r="G774" i="40"/>
  <c r="D775" i="40"/>
  <c r="F1649" i="40" s="1"/>
  <c r="E775" i="40"/>
  <c r="F775" i="40"/>
  <c r="G775" i="40"/>
  <c r="D776" i="40"/>
  <c r="F1650" i="40" s="1"/>
  <c r="E776" i="40"/>
  <c r="F776" i="40"/>
  <c r="G776" i="40"/>
  <c r="D777" i="40"/>
  <c r="F1651" i="40" s="1"/>
  <c r="E777" i="40"/>
  <c r="F777" i="40"/>
  <c r="G777" i="40"/>
  <c r="D778" i="40"/>
  <c r="F1652" i="40" s="1"/>
  <c r="E778" i="40"/>
  <c r="F778" i="40"/>
  <c r="G778" i="40"/>
  <c r="D779" i="40"/>
  <c r="F1653" i="40" s="1"/>
  <c r="E779" i="40"/>
  <c r="F779" i="40"/>
  <c r="G779" i="40"/>
  <c r="E1653" i="40" s="1"/>
  <c r="D780" i="40"/>
  <c r="F1654" i="40" s="1"/>
  <c r="E780" i="40"/>
  <c r="F780" i="40"/>
  <c r="G780" i="40"/>
  <c r="E1654" i="40" s="1"/>
  <c r="D781" i="40"/>
  <c r="F1655" i="40" s="1"/>
  <c r="E781" i="40"/>
  <c r="F781" i="40"/>
  <c r="G781" i="40"/>
  <c r="D782" i="40"/>
  <c r="F1656" i="40" s="1"/>
  <c r="E782" i="40"/>
  <c r="F782" i="40"/>
  <c r="G782" i="40"/>
  <c r="D783" i="40"/>
  <c r="F1657" i="40" s="1"/>
  <c r="E783" i="40"/>
  <c r="F783" i="40"/>
  <c r="G783" i="40"/>
  <c r="D784" i="40"/>
  <c r="F1658" i="40" s="1"/>
  <c r="E784" i="40"/>
  <c r="F784" i="40"/>
  <c r="G784" i="40"/>
  <c r="D785" i="40"/>
  <c r="F1659" i="40" s="1"/>
  <c r="E785" i="40"/>
  <c r="F785" i="40"/>
  <c r="G785" i="40"/>
  <c r="D786" i="40"/>
  <c r="F1660" i="40" s="1"/>
  <c r="E786" i="40"/>
  <c r="F786" i="40"/>
  <c r="G786" i="40"/>
  <c r="D787" i="40"/>
  <c r="F1661" i="40" s="1"/>
  <c r="E787" i="40"/>
  <c r="F787" i="40"/>
  <c r="G787" i="40"/>
  <c r="E1661" i="40" s="1"/>
  <c r="D788" i="40"/>
  <c r="E788" i="40"/>
  <c r="F788" i="40"/>
  <c r="G788" i="40"/>
  <c r="D794" i="40"/>
  <c r="E794" i="40"/>
  <c r="F794" i="40"/>
  <c r="G794" i="40"/>
  <c r="D795" i="40"/>
  <c r="E795" i="40"/>
  <c r="F795" i="40"/>
  <c r="G795" i="40"/>
  <c r="D796" i="40"/>
  <c r="E796" i="40"/>
  <c r="F796" i="40"/>
  <c r="G796" i="40"/>
  <c r="D797" i="40"/>
  <c r="E797" i="40"/>
  <c r="F797" i="40"/>
  <c r="G797" i="40"/>
  <c r="D798" i="40"/>
  <c r="E798" i="40"/>
  <c r="F798" i="40"/>
  <c r="G798" i="40"/>
  <c r="D799" i="40"/>
  <c r="E799" i="40"/>
  <c r="F799" i="40"/>
  <c r="G799" i="40"/>
  <c r="F1543" i="40"/>
  <c r="E1546" i="40"/>
  <c r="F1546" i="40"/>
  <c r="F1560" i="40"/>
  <c r="F1602" i="40"/>
  <c r="CI237" i="53"/>
  <c r="G385" i="65"/>
  <c r="H385" i="65"/>
  <c r="I385" i="65"/>
  <c r="M385" i="65" s="1"/>
  <c r="J385" i="65"/>
  <c r="G386" i="65"/>
  <c r="H386" i="65"/>
  <c r="I386" i="65"/>
  <c r="K386" i="65" s="1"/>
  <c r="J386" i="65"/>
  <c r="G387" i="65"/>
  <c r="H387" i="65"/>
  <c r="I387" i="65"/>
  <c r="M387" i="65" s="1"/>
  <c r="J387" i="65"/>
  <c r="G388" i="65"/>
  <c r="H388" i="65"/>
  <c r="I388" i="65"/>
  <c r="J388" i="65"/>
  <c r="G389" i="65"/>
  <c r="H389" i="65"/>
  <c r="I389" i="65"/>
  <c r="M389" i="65" s="1"/>
  <c r="J389" i="65"/>
  <c r="G390" i="65"/>
  <c r="H390" i="65"/>
  <c r="I390" i="65"/>
  <c r="K390" i="65" s="1"/>
  <c r="J390" i="65"/>
  <c r="G391" i="65"/>
  <c r="H391" i="65"/>
  <c r="I391" i="65"/>
  <c r="M391" i="65" s="1"/>
  <c r="J391" i="65"/>
  <c r="G392" i="65"/>
  <c r="H392" i="65"/>
  <c r="I392" i="65"/>
  <c r="K392" i="65" s="1"/>
  <c r="J392" i="65"/>
  <c r="G393" i="65"/>
  <c r="H393" i="65"/>
  <c r="I393" i="65"/>
  <c r="M393" i="65" s="1"/>
  <c r="J393" i="65"/>
  <c r="G394" i="65"/>
  <c r="H394" i="65"/>
  <c r="I394" i="65"/>
  <c r="K394" i="65" s="1"/>
  <c r="J394" i="65"/>
  <c r="G395" i="65"/>
  <c r="H395" i="65"/>
  <c r="I395" i="65"/>
  <c r="M395" i="65" s="1"/>
  <c r="J395" i="65"/>
  <c r="G396" i="65"/>
  <c r="H396" i="65"/>
  <c r="I396" i="65"/>
  <c r="J396" i="65"/>
  <c r="G397" i="65"/>
  <c r="H397" i="65"/>
  <c r="I397" i="65"/>
  <c r="M397" i="65" s="1"/>
  <c r="J397" i="65"/>
  <c r="G398" i="65"/>
  <c r="H398" i="65"/>
  <c r="I398" i="65"/>
  <c r="K398" i="65" s="1"/>
  <c r="J398" i="65"/>
  <c r="G399" i="65"/>
  <c r="H399" i="65"/>
  <c r="I399" i="65"/>
  <c r="M399" i="65" s="1"/>
  <c r="J399" i="65"/>
  <c r="G400" i="65"/>
  <c r="H400" i="65"/>
  <c r="I400" i="65"/>
  <c r="K400" i="65" s="1"/>
  <c r="J400" i="65"/>
  <c r="G401" i="65"/>
  <c r="H401" i="65"/>
  <c r="I401" i="65"/>
  <c r="M401" i="65" s="1"/>
  <c r="J401" i="65"/>
  <c r="G402" i="65"/>
  <c r="H402" i="65"/>
  <c r="I402" i="65"/>
  <c r="K402" i="65" s="1"/>
  <c r="J402" i="65"/>
  <c r="G403" i="65"/>
  <c r="H403" i="65"/>
  <c r="I403" i="65"/>
  <c r="M403" i="65" s="1"/>
  <c r="J403" i="65"/>
  <c r="G404" i="65"/>
  <c r="H404" i="65"/>
  <c r="I404" i="65"/>
  <c r="J404" i="65"/>
  <c r="G405" i="65"/>
  <c r="H405" i="65"/>
  <c r="I405" i="65"/>
  <c r="M405" i="65" s="1"/>
  <c r="J405" i="65"/>
  <c r="G406" i="65"/>
  <c r="H406" i="65"/>
  <c r="I406" i="65"/>
  <c r="K406" i="65" s="1"/>
  <c r="J406" i="65"/>
  <c r="G407" i="65"/>
  <c r="H407" i="65"/>
  <c r="I407" i="65"/>
  <c r="M407" i="65" s="1"/>
  <c r="J407" i="65"/>
  <c r="G408" i="65"/>
  <c r="H408" i="65"/>
  <c r="I408" i="65"/>
  <c r="K408" i="65" s="1"/>
  <c r="J408" i="65"/>
  <c r="G409" i="65"/>
  <c r="H409" i="65"/>
  <c r="I409" i="65"/>
  <c r="M409" i="65" s="1"/>
  <c r="J409" i="65"/>
  <c r="G410" i="65"/>
  <c r="H410" i="65"/>
  <c r="I410" i="65"/>
  <c r="K410" i="65" s="1"/>
  <c r="J410" i="65"/>
  <c r="G411" i="65"/>
  <c r="H411" i="65"/>
  <c r="I411" i="65"/>
  <c r="M411" i="65" s="1"/>
  <c r="J411" i="65"/>
  <c r="G412" i="65"/>
  <c r="H412" i="65"/>
  <c r="I412" i="65"/>
  <c r="J412" i="65"/>
  <c r="G413" i="65"/>
  <c r="H413" i="65"/>
  <c r="I413" i="65"/>
  <c r="M413" i="65" s="1"/>
  <c r="J413" i="65"/>
  <c r="G414" i="65"/>
  <c r="H414" i="65"/>
  <c r="I414" i="65"/>
  <c r="K414" i="65" s="1"/>
  <c r="J414" i="65"/>
  <c r="G415" i="65"/>
  <c r="H415" i="65"/>
  <c r="I415" i="65"/>
  <c r="M415" i="65" s="1"/>
  <c r="J415" i="65"/>
  <c r="G416" i="65"/>
  <c r="H416" i="65"/>
  <c r="I416" i="65"/>
  <c r="K416" i="65" s="1"/>
  <c r="J416" i="65"/>
  <c r="G417" i="65"/>
  <c r="H417" i="65"/>
  <c r="I417" i="65"/>
  <c r="M417" i="65" s="1"/>
  <c r="J417" i="65"/>
  <c r="G418" i="65"/>
  <c r="H418" i="65"/>
  <c r="I418" i="65"/>
  <c r="J418" i="65"/>
  <c r="G419" i="65"/>
  <c r="H419" i="65"/>
  <c r="I419" i="65"/>
  <c r="M419" i="65" s="1"/>
  <c r="J419" i="65"/>
  <c r="G420" i="65"/>
  <c r="H420" i="65"/>
  <c r="I420" i="65"/>
  <c r="J420" i="65"/>
  <c r="G421" i="65"/>
  <c r="H421" i="65"/>
  <c r="I421" i="65"/>
  <c r="J421" i="65"/>
  <c r="G422" i="65"/>
  <c r="H422" i="65"/>
  <c r="I422" i="65"/>
  <c r="K422" i="65" s="1"/>
  <c r="J422" i="65"/>
  <c r="G423" i="65"/>
  <c r="H423" i="65"/>
  <c r="I423" i="65"/>
  <c r="M423" i="65" s="1"/>
  <c r="J423" i="65"/>
  <c r="G424" i="65"/>
  <c r="H424" i="65"/>
  <c r="I424" i="65"/>
  <c r="K424" i="65" s="1"/>
  <c r="J424" i="65"/>
  <c r="G425" i="65"/>
  <c r="H425" i="65"/>
  <c r="I425" i="65"/>
  <c r="M425" i="65" s="1"/>
  <c r="J425" i="65"/>
  <c r="G426" i="65"/>
  <c r="H426" i="65"/>
  <c r="I426" i="65"/>
  <c r="J426" i="65"/>
  <c r="G427" i="65"/>
  <c r="H427" i="65"/>
  <c r="I427" i="65"/>
  <c r="M427" i="65" s="1"/>
  <c r="J427" i="65"/>
  <c r="G428" i="65"/>
  <c r="H428" i="65"/>
  <c r="I428" i="65"/>
  <c r="K428" i="65" s="1"/>
  <c r="J428" i="65"/>
  <c r="G429" i="65"/>
  <c r="H429" i="65"/>
  <c r="I429" i="65"/>
  <c r="J429" i="65"/>
  <c r="G430" i="65"/>
  <c r="H430" i="65"/>
  <c r="I430" i="65"/>
  <c r="K430" i="65" s="1"/>
  <c r="J430" i="65"/>
  <c r="G431" i="65"/>
  <c r="H431" i="65"/>
  <c r="I431" i="65"/>
  <c r="K431" i="65" s="1"/>
  <c r="J431" i="65"/>
  <c r="G432" i="65"/>
  <c r="H432" i="65"/>
  <c r="I432" i="65"/>
  <c r="K432" i="65" s="1"/>
  <c r="J432" i="65"/>
  <c r="G433" i="65"/>
  <c r="H433" i="65"/>
  <c r="I433" i="65"/>
  <c r="M433" i="65" s="1"/>
  <c r="J433" i="65"/>
  <c r="G434" i="65"/>
  <c r="H434" i="65"/>
  <c r="I434" i="65"/>
  <c r="J434" i="65"/>
  <c r="G435" i="65"/>
  <c r="H435" i="65"/>
  <c r="I435" i="65"/>
  <c r="M435" i="65" s="1"/>
  <c r="J435" i="65"/>
  <c r="G436" i="65"/>
  <c r="H436" i="65"/>
  <c r="I436" i="65"/>
  <c r="K436" i="65" s="1"/>
  <c r="J436" i="65"/>
  <c r="G437" i="65"/>
  <c r="H437" i="65"/>
  <c r="I437" i="65"/>
  <c r="J437" i="65"/>
  <c r="G438" i="65"/>
  <c r="H438" i="65"/>
  <c r="I438" i="65"/>
  <c r="J438" i="65"/>
  <c r="G439" i="65"/>
  <c r="H439" i="65"/>
  <c r="I439" i="65"/>
  <c r="M439" i="65" s="1"/>
  <c r="J439" i="65"/>
  <c r="G440" i="65"/>
  <c r="H440" i="65"/>
  <c r="I440" i="65"/>
  <c r="K440" i="65" s="1"/>
  <c r="J440" i="65"/>
  <c r="G441" i="65"/>
  <c r="H441" i="65"/>
  <c r="I441" i="65"/>
  <c r="M441" i="65" s="1"/>
  <c r="J441" i="65"/>
  <c r="G442" i="65"/>
  <c r="H442" i="65"/>
  <c r="I442" i="65"/>
  <c r="J442" i="65"/>
  <c r="G443" i="65"/>
  <c r="H443" i="65"/>
  <c r="I443" i="65"/>
  <c r="M443" i="65" s="1"/>
  <c r="J443" i="65"/>
  <c r="G444" i="65"/>
  <c r="H444" i="65"/>
  <c r="I444" i="65"/>
  <c r="K444" i="65" s="1"/>
  <c r="J444" i="65"/>
  <c r="G445" i="65"/>
  <c r="H445" i="65"/>
  <c r="I445" i="65"/>
  <c r="M445" i="65" s="1"/>
  <c r="J445" i="65"/>
  <c r="G446" i="65"/>
  <c r="H446" i="65"/>
  <c r="I446" i="65"/>
  <c r="J446" i="65"/>
  <c r="G447" i="65"/>
  <c r="H447" i="65"/>
  <c r="I447" i="65"/>
  <c r="M447" i="65" s="1"/>
  <c r="J447" i="65"/>
  <c r="G448" i="65"/>
  <c r="H448" i="65"/>
  <c r="I448" i="65"/>
  <c r="K448" i="65" s="1"/>
  <c r="J448" i="65"/>
  <c r="G449" i="65"/>
  <c r="H449" i="65"/>
  <c r="I449" i="65"/>
  <c r="M449" i="65" s="1"/>
  <c r="J449" i="65"/>
  <c r="G450" i="65"/>
  <c r="H450" i="65"/>
  <c r="I450" i="65"/>
  <c r="J450" i="65"/>
  <c r="G451" i="65"/>
  <c r="H451" i="65"/>
  <c r="I451" i="65"/>
  <c r="M451" i="65" s="1"/>
  <c r="J451" i="65"/>
  <c r="G452" i="65"/>
  <c r="H452" i="65"/>
  <c r="I452" i="65"/>
  <c r="K452" i="65" s="1"/>
  <c r="J452" i="65"/>
  <c r="G453" i="65"/>
  <c r="H453" i="65"/>
  <c r="I453" i="65"/>
  <c r="M453" i="65" s="1"/>
  <c r="J453" i="65"/>
  <c r="G454" i="65"/>
  <c r="H454" i="65"/>
  <c r="I454" i="65"/>
  <c r="J454" i="65"/>
  <c r="G455" i="65"/>
  <c r="H455" i="65"/>
  <c r="I455" i="65"/>
  <c r="M455" i="65" s="1"/>
  <c r="J455" i="65"/>
  <c r="G456" i="65"/>
  <c r="H456" i="65"/>
  <c r="I456" i="65"/>
  <c r="K456" i="65" s="1"/>
  <c r="J456" i="65"/>
  <c r="G457" i="65"/>
  <c r="H457" i="65"/>
  <c r="I457" i="65"/>
  <c r="M457" i="65" s="1"/>
  <c r="J457" i="65"/>
  <c r="G458" i="65"/>
  <c r="H458" i="65"/>
  <c r="I458" i="65"/>
  <c r="J458" i="65"/>
  <c r="G459" i="65"/>
  <c r="H459" i="65"/>
  <c r="I459" i="65"/>
  <c r="M459" i="65" s="1"/>
  <c r="J459" i="65"/>
  <c r="G460" i="65"/>
  <c r="H460" i="65"/>
  <c r="I460" i="65"/>
  <c r="K460" i="65" s="1"/>
  <c r="J460" i="65"/>
  <c r="G461" i="65"/>
  <c r="H461" i="65"/>
  <c r="I461" i="65"/>
  <c r="M461" i="65" s="1"/>
  <c r="J461" i="65"/>
  <c r="G462" i="65"/>
  <c r="H462" i="65"/>
  <c r="I462" i="65"/>
  <c r="J462" i="65"/>
  <c r="G463" i="65"/>
  <c r="H463" i="65"/>
  <c r="I463" i="65"/>
  <c r="M463" i="65" s="1"/>
  <c r="J463" i="65"/>
  <c r="G464" i="65"/>
  <c r="H464" i="65"/>
  <c r="I464" i="65"/>
  <c r="K464" i="65" s="1"/>
  <c r="J464" i="65"/>
  <c r="G465" i="65"/>
  <c r="H465" i="65"/>
  <c r="I465" i="65"/>
  <c r="M465" i="65" s="1"/>
  <c r="J465" i="65"/>
  <c r="G466" i="65"/>
  <c r="H466" i="65"/>
  <c r="I466" i="65"/>
  <c r="J466" i="65"/>
  <c r="G467" i="65"/>
  <c r="H467" i="65"/>
  <c r="I467" i="65"/>
  <c r="M467" i="65" s="1"/>
  <c r="J467" i="65"/>
  <c r="G468" i="65"/>
  <c r="H468" i="65"/>
  <c r="I468" i="65"/>
  <c r="K468" i="65" s="1"/>
  <c r="J468" i="65"/>
  <c r="G469" i="65"/>
  <c r="H469" i="65"/>
  <c r="I469" i="65"/>
  <c r="M469" i="65" s="1"/>
  <c r="J469" i="65"/>
  <c r="G470" i="65"/>
  <c r="H470" i="65"/>
  <c r="I470" i="65"/>
  <c r="J470" i="65"/>
  <c r="G471" i="65"/>
  <c r="H471" i="65"/>
  <c r="I471" i="65"/>
  <c r="J471" i="65"/>
  <c r="G472" i="65"/>
  <c r="H472" i="65"/>
  <c r="I472" i="65"/>
  <c r="J472" i="65"/>
  <c r="G473" i="65"/>
  <c r="H473" i="65"/>
  <c r="I473" i="65"/>
  <c r="M473" i="65" s="1"/>
  <c r="J473" i="65"/>
  <c r="G474" i="65"/>
  <c r="H474" i="65"/>
  <c r="I474" i="65"/>
  <c r="K474" i="65" s="1"/>
  <c r="J474" i="65"/>
  <c r="G475" i="65"/>
  <c r="H475" i="65"/>
  <c r="I475" i="65"/>
  <c r="M475" i="65" s="1"/>
  <c r="J475" i="65"/>
  <c r="G476" i="65"/>
  <c r="H476" i="65"/>
  <c r="I476" i="65"/>
  <c r="J476" i="65"/>
  <c r="G477" i="65"/>
  <c r="H477" i="65"/>
  <c r="I477" i="65"/>
  <c r="K477" i="65" s="1"/>
  <c r="J477" i="65"/>
  <c r="G478" i="65"/>
  <c r="H478" i="65"/>
  <c r="I478" i="65"/>
  <c r="J478" i="65"/>
  <c r="G479" i="65"/>
  <c r="H479" i="65"/>
  <c r="I479" i="65"/>
  <c r="K479" i="65" s="1"/>
  <c r="J479" i="65"/>
  <c r="G480" i="65"/>
  <c r="H480" i="65"/>
  <c r="I480" i="65"/>
  <c r="J480" i="65"/>
  <c r="G481" i="65"/>
  <c r="H481" i="65"/>
  <c r="I481" i="65"/>
  <c r="M481" i="65" s="1"/>
  <c r="J481" i="65"/>
  <c r="G482" i="65"/>
  <c r="H482" i="65"/>
  <c r="I482" i="65"/>
  <c r="K482" i="65" s="1"/>
  <c r="J482" i="65"/>
  <c r="G483" i="65"/>
  <c r="H483" i="65"/>
  <c r="I483" i="65"/>
  <c r="M483" i="65" s="1"/>
  <c r="J483" i="65"/>
  <c r="G484" i="65"/>
  <c r="H484" i="65"/>
  <c r="I484" i="65"/>
  <c r="K484" i="65" s="1"/>
  <c r="J484" i="65"/>
  <c r="G485" i="65"/>
  <c r="H485" i="65"/>
  <c r="I485" i="65"/>
  <c r="M485" i="65" s="1"/>
  <c r="J485" i="65"/>
  <c r="G486" i="65"/>
  <c r="H486" i="65"/>
  <c r="I486" i="65"/>
  <c r="K486" i="65" s="1"/>
  <c r="J486" i="65"/>
  <c r="G487" i="65"/>
  <c r="H487" i="65"/>
  <c r="I487" i="65"/>
  <c r="J487" i="65"/>
  <c r="G488" i="65"/>
  <c r="H488" i="65"/>
  <c r="I488" i="65"/>
  <c r="K488" i="65" s="1"/>
  <c r="J488" i="65"/>
  <c r="G489" i="65"/>
  <c r="H489" i="65"/>
  <c r="I489" i="65"/>
  <c r="K489" i="65" s="1"/>
  <c r="J489" i="65"/>
  <c r="G490" i="65"/>
  <c r="H490" i="65"/>
  <c r="I490" i="65"/>
  <c r="K490" i="65" s="1"/>
  <c r="J490" i="65"/>
  <c r="G491" i="65"/>
  <c r="H491" i="65"/>
  <c r="I491" i="65"/>
  <c r="K491" i="65" s="1"/>
  <c r="J491" i="65"/>
  <c r="G492" i="65"/>
  <c r="H492" i="65"/>
  <c r="I492" i="65"/>
  <c r="K492" i="65" s="1"/>
  <c r="J492" i="65"/>
  <c r="G493" i="65"/>
  <c r="H493" i="65"/>
  <c r="I493" i="65"/>
  <c r="M493" i="65" s="1"/>
  <c r="J493" i="65"/>
  <c r="G494" i="65"/>
  <c r="H494" i="65"/>
  <c r="I494" i="65"/>
  <c r="K494" i="65" s="1"/>
  <c r="J494" i="65"/>
  <c r="G495" i="65"/>
  <c r="H495" i="65"/>
  <c r="I495" i="65"/>
  <c r="M495" i="65" s="1"/>
  <c r="J495" i="65"/>
  <c r="G496" i="65"/>
  <c r="H496" i="65"/>
  <c r="I496" i="65"/>
  <c r="K496" i="65" s="1"/>
  <c r="J496" i="65"/>
  <c r="G497" i="65"/>
  <c r="H497" i="65"/>
  <c r="I497" i="65"/>
  <c r="M497" i="65" s="1"/>
  <c r="J497" i="65"/>
  <c r="G498" i="65"/>
  <c r="H498" i="65"/>
  <c r="I498" i="65"/>
  <c r="K498" i="65" s="1"/>
  <c r="J498" i="65"/>
  <c r="G499" i="65"/>
  <c r="H499" i="65"/>
  <c r="I499" i="65"/>
  <c r="K499" i="65" s="1"/>
  <c r="J499" i="65"/>
  <c r="G500" i="65"/>
  <c r="H500" i="65"/>
  <c r="I500" i="65"/>
  <c r="K500" i="65" s="1"/>
  <c r="J500" i="65"/>
  <c r="G501" i="65"/>
  <c r="H501" i="65"/>
  <c r="I501" i="65"/>
  <c r="M501" i="65" s="1"/>
  <c r="J501" i="65"/>
  <c r="G502" i="65"/>
  <c r="H502" i="65"/>
  <c r="I502" i="65"/>
  <c r="K502" i="65" s="1"/>
  <c r="J502" i="65"/>
  <c r="G503" i="65"/>
  <c r="H503" i="65"/>
  <c r="I503" i="65"/>
  <c r="M503" i="65" s="1"/>
  <c r="J503" i="65"/>
  <c r="G504" i="65"/>
  <c r="H504" i="65"/>
  <c r="I504" i="65"/>
  <c r="K504" i="65" s="1"/>
  <c r="J504" i="65"/>
  <c r="G505" i="65"/>
  <c r="H505" i="65"/>
  <c r="I505" i="65"/>
  <c r="M505" i="65" s="1"/>
  <c r="J505" i="65"/>
  <c r="G506" i="65"/>
  <c r="H506" i="65"/>
  <c r="I506" i="65"/>
  <c r="K506" i="65" s="1"/>
  <c r="J506" i="65"/>
  <c r="G507" i="65"/>
  <c r="H507" i="65"/>
  <c r="I507" i="65"/>
  <c r="K507" i="65" s="1"/>
  <c r="J507" i="65"/>
  <c r="B385" i="65"/>
  <c r="B386" i="65"/>
  <c r="B387" i="65"/>
  <c r="B388" i="65"/>
  <c r="B389" i="65"/>
  <c r="B390" i="65"/>
  <c r="B391" i="65"/>
  <c r="B392" i="65"/>
  <c r="B393" i="65"/>
  <c r="B394" i="65"/>
  <c r="B395" i="65"/>
  <c r="B396" i="65"/>
  <c r="B397" i="65"/>
  <c r="B398" i="65"/>
  <c r="B399" i="65"/>
  <c r="B400" i="65"/>
  <c r="B401" i="65"/>
  <c r="B402" i="65"/>
  <c r="B403" i="65"/>
  <c r="B404" i="65"/>
  <c r="B405" i="65"/>
  <c r="B406" i="65"/>
  <c r="B407" i="65"/>
  <c r="B408" i="65"/>
  <c r="B409" i="65"/>
  <c r="B410" i="65"/>
  <c r="B411" i="65"/>
  <c r="B412" i="65"/>
  <c r="B413" i="65"/>
  <c r="B414" i="65"/>
  <c r="B415" i="65"/>
  <c r="B416" i="65"/>
  <c r="B417" i="65"/>
  <c r="B418" i="65"/>
  <c r="B419" i="65"/>
  <c r="B420" i="65"/>
  <c r="B421" i="65"/>
  <c r="B422" i="65"/>
  <c r="B423" i="65"/>
  <c r="B424" i="65"/>
  <c r="B425" i="65"/>
  <c r="B426" i="65"/>
  <c r="B427" i="65"/>
  <c r="B428" i="65"/>
  <c r="B429" i="65"/>
  <c r="B430" i="65"/>
  <c r="B431" i="65"/>
  <c r="B432" i="65"/>
  <c r="B433" i="65"/>
  <c r="B434" i="65"/>
  <c r="B435" i="65"/>
  <c r="B436" i="65"/>
  <c r="B437" i="65"/>
  <c r="B438" i="65"/>
  <c r="B439" i="65"/>
  <c r="B440" i="65"/>
  <c r="B441" i="65"/>
  <c r="B442" i="65"/>
  <c r="B443" i="65"/>
  <c r="B444" i="65"/>
  <c r="B445" i="65"/>
  <c r="B446" i="65"/>
  <c r="B447" i="65"/>
  <c r="B448" i="65"/>
  <c r="B449" i="65"/>
  <c r="B450" i="65"/>
  <c r="B451" i="65"/>
  <c r="B452" i="65"/>
  <c r="B453" i="65"/>
  <c r="B454" i="65"/>
  <c r="B455" i="65"/>
  <c r="B456" i="65"/>
  <c r="B457" i="65"/>
  <c r="B458" i="65"/>
  <c r="B459" i="65"/>
  <c r="B460" i="65"/>
  <c r="B461" i="65"/>
  <c r="B462" i="65"/>
  <c r="B463" i="65"/>
  <c r="B464" i="65"/>
  <c r="B465" i="65"/>
  <c r="B466" i="65"/>
  <c r="B467" i="65"/>
  <c r="B468" i="65"/>
  <c r="B469" i="65"/>
  <c r="B470" i="65"/>
  <c r="B471" i="65"/>
  <c r="B472" i="65"/>
  <c r="B473" i="65"/>
  <c r="B474" i="65"/>
  <c r="B475" i="65"/>
  <c r="B476" i="65"/>
  <c r="B477" i="65"/>
  <c r="B478" i="65"/>
  <c r="B479" i="65"/>
  <c r="B480" i="65"/>
  <c r="B481" i="65"/>
  <c r="B482" i="65"/>
  <c r="B483" i="65"/>
  <c r="B484" i="65"/>
  <c r="B485" i="65"/>
  <c r="B486" i="65"/>
  <c r="B487" i="65"/>
  <c r="B488" i="65"/>
  <c r="B489" i="65"/>
  <c r="B490" i="65"/>
  <c r="B491" i="65"/>
  <c r="B492" i="65"/>
  <c r="B493" i="65"/>
  <c r="B494" i="65"/>
  <c r="B495" i="65"/>
  <c r="B496" i="65"/>
  <c r="B497" i="65"/>
  <c r="B498" i="65"/>
  <c r="B499" i="65"/>
  <c r="B500" i="65"/>
  <c r="B501" i="65"/>
  <c r="B502" i="65"/>
  <c r="B503" i="65"/>
  <c r="B504" i="65"/>
  <c r="B505" i="65"/>
  <c r="B506" i="65"/>
  <c r="B507" i="65"/>
  <c r="H325" i="50"/>
  <c r="I325" i="50"/>
  <c r="J325" i="50" s="1"/>
  <c r="H326" i="50"/>
  <c r="I326" i="50"/>
  <c r="J326" i="50" s="1"/>
  <c r="H327" i="50"/>
  <c r="I327" i="50"/>
  <c r="J327" i="50" s="1"/>
  <c r="H328" i="50"/>
  <c r="I328" i="50"/>
  <c r="J328" i="50" s="1"/>
  <c r="H329" i="50"/>
  <c r="I329" i="50"/>
  <c r="J329" i="50" s="1"/>
  <c r="H330" i="50"/>
  <c r="I330" i="50"/>
  <c r="J330" i="50" s="1"/>
  <c r="H331" i="50"/>
  <c r="I331" i="50"/>
  <c r="J331" i="50" s="1"/>
  <c r="H332" i="50"/>
  <c r="I332" i="50"/>
  <c r="J332" i="50" s="1"/>
  <c r="H333" i="50"/>
  <c r="I333" i="50"/>
  <c r="J333" i="50" s="1"/>
  <c r="H334" i="50"/>
  <c r="I334" i="50"/>
  <c r="J334" i="50" s="1"/>
  <c r="H335" i="50"/>
  <c r="I335" i="50"/>
  <c r="J335" i="50" s="1"/>
  <c r="H336" i="50"/>
  <c r="I336" i="50"/>
  <c r="J336" i="50" s="1"/>
  <c r="H337" i="50"/>
  <c r="I337" i="50"/>
  <c r="J337" i="50" s="1"/>
  <c r="H338" i="50"/>
  <c r="I338" i="50"/>
  <c r="J338" i="50" s="1"/>
  <c r="H339" i="50"/>
  <c r="I339" i="50"/>
  <c r="J339" i="50" s="1"/>
  <c r="F325" i="50"/>
  <c r="F326" i="50"/>
  <c r="F327" i="50"/>
  <c r="F328" i="50"/>
  <c r="F329" i="50"/>
  <c r="F330" i="50"/>
  <c r="F331" i="50"/>
  <c r="F332" i="50"/>
  <c r="F333" i="50"/>
  <c r="F334" i="50"/>
  <c r="F335" i="50"/>
  <c r="F336" i="50"/>
  <c r="F337" i="50"/>
  <c r="F338" i="50"/>
  <c r="F339" i="50"/>
  <c r="B325" i="50"/>
  <c r="B326" i="50"/>
  <c r="B327" i="50"/>
  <c r="B328" i="50"/>
  <c r="B329" i="50"/>
  <c r="B330" i="50"/>
  <c r="B331" i="50"/>
  <c r="B332" i="50"/>
  <c r="B333" i="50"/>
  <c r="B334" i="50"/>
  <c r="B335" i="50"/>
  <c r="B336" i="50"/>
  <c r="B337" i="50"/>
  <c r="B338" i="50"/>
  <c r="B339" i="50"/>
  <c r="B91" i="42"/>
  <c r="B92" i="42"/>
  <c r="B93" i="42"/>
  <c r="B94" i="42"/>
  <c r="B95" i="42"/>
  <c r="B96" i="42"/>
  <c r="B97" i="42"/>
  <c r="B98" i="42"/>
  <c r="H91" i="42"/>
  <c r="L91" i="42" s="1"/>
  <c r="I91" i="42"/>
  <c r="M91" i="42" s="1"/>
  <c r="J91" i="42"/>
  <c r="K91" i="42"/>
  <c r="H92" i="42"/>
  <c r="L92" i="42" s="1"/>
  <c r="I92" i="42"/>
  <c r="M92" i="42" s="1"/>
  <c r="V92" i="42" s="1"/>
  <c r="J92" i="42"/>
  <c r="K92" i="42"/>
  <c r="H93" i="42"/>
  <c r="L93" i="42" s="1"/>
  <c r="I93" i="42"/>
  <c r="M93" i="42" s="1"/>
  <c r="J93" i="42"/>
  <c r="K93" i="42"/>
  <c r="H94" i="42"/>
  <c r="L94" i="42" s="1"/>
  <c r="I94" i="42"/>
  <c r="M94" i="42" s="1"/>
  <c r="J94" i="42"/>
  <c r="K94" i="42"/>
  <c r="H95" i="42"/>
  <c r="L95" i="42" s="1"/>
  <c r="I95" i="42"/>
  <c r="M95" i="42" s="1"/>
  <c r="J95" i="42"/>
  <c r="K95" i="42"/>
  <c r="H96" i="42"/>
  <c r="L96" i="42" s="1"/>
  <c r="I96" i="42"/>
  <c r="M96" i="42" s="1"/>
  <c r="J96" i="42"/>
  <c r="K96" i="42"/>
  <c r="H97" i="42"/>
  <c r="L97" i="42" s="1"/>
  <c r="I97" i="42"/>
  <c r="M97" i="42" s="1"/>
  <c r="J97" i="42"/>
  <c r="K97" i="42"/>
  <c r="H98" i="42"/>
  <c r="L98" i="42" s="1"/>
  <c r="I98" i="42"/>
  <c r="M98" i="42" s="1"/>
  <c r="J98" i="42"/>
  <c r="K98" i="42"/>
  <c r="F91" i="42"/>
  <c r="F92" i="42"/>
  <c r="F93" i="42"/>
  <c r="F94" i="42"/>
  <c r="F95" i="42"/>
  <c r="F96" i="42"/>
  <c r="F97" i="42"/>
  <c r="F98" i="42"/>
  <c r="R75" i="24"/>
  <c r="Q338" i="50" l="1"/>
  <c r="N461" i="65"/>
  <c r="N445" i="65"/>
  <c r="N441" i="65"/>
  <c r="K495" i="65"/>
  <c r="K837" i="37"/>
  <c r="Q838" i="37"/>
  <c r="M39" i="65"/>
  <c r="N15" i="32"/>
  <c r="N44" i="32" s="1"/>
  <c r="M52" i="32"/>
  <c r="N838" i="37"/>
  <c r="K52" i="68"/>
  <c r="P73" i="25"/>
  <c r="P74" i="25" s="1"/>
  <c r="K425" i="65"/>
  <c r="K447" i="65"/>
  <c r="K465" i="65"/>
  <c r="K385" i="65"/>
  <c r="K395" i="65"/>
  <c r="K475" i="65"/>
  <c r="K449" i="65"/>
  <c r="K485" i="65"/>
  <c r="K415" i="65"/>
  <c r="K393" i="65"/>
  <c r="O94" i="42"/>
  <c r="R94" i="42" s="1"/>
  <c r="V98" i="42"/>
  <c r="O98" i="42"/>
  <c r="R98" i="42" s="1"/>
  <c r="K427" i="65"/>
  <c r="K417" i="65"/>
  <c r="N405" i="65"/>
  <c r="K501" i="65"/>
  <c r="K469" i="65"/>
  <c r="K463" i="65"/>
  <c r="M496" i="65"/>
  <c r="M477" i="65"/>
  <c r="N457" i="65"/>
  <c r="M507" i="65"/>
  <c r="M491" i="65"/>
  <c r="N473" i="65"/>
  <c r="M452" i="65"/>
  <c r="N452" i="65" s="1"/>
  <c r="K503" i="65"/>
  <c r="K455" i="65"/>
  <c r="K439" i="65"/>
  <c r="K433" i="65"/>
  <c r="K407" i="65"/>
  <c r="K401" i="65"/>
  <c r="M504" i="65"/>
  <c r="M484" i="65"/>
  <c r="N484" i="65" s="1"/>
  <c r="M468" i="65"/>
  <c r="N468" i="65" s="1"/>
  <c r="K493" i="65"/>
  <c r="K483" i="65"/>
  <c r="K457" i="65"/>
  <c r="K441" i="65"/>
  <c r="K435" i="65"/>
  <c r="K409" i="65"/>
  <c r="K403" i="65"/>
  <c r="M499" i="65"/>
  <c r="M482" i="65"/>
  <c r="N482" i="65" s="1"/>
  <c r="X339" i="50"/>
  <c r="AC336" i="50"/>
  <c r="N326" i="50"/>
  <c r="W336" i="50"/>
  <c r="AD330" i="50"/>
  <c r="T336" i="50"/>
  <c r="N495" i="65"/>
  <c r="N493" i="65"/>
  <c r="AH505" i="65"/>
  <c r="AI505" i="65" s="1"/>
  <c r="AJ505" i="65" s="1"/>
  <c r="AK505" i="65" s="1"/>
  <c r="AL505" i="65" s="1"/>
  <c r="N505" i="65"/>
  <c r="N501" i="65"/>
  <c r="N497" i="65"/>
  <c r="AH503" i="65"/>
  <c r="AI503" i="65" s="1"/>
  <c r="AJ503" i="65" s="1"/>
  <c r="AK503" i="65" s="1"/>
  <c r="AL503" i="65" s="1"/>
  <c r="N503" i="65"/>
  <c r="M506" i="65"/>
  <c r="M498" i="65"/>
  <c r="M490" i="65"/>
  <c r="K505" i="65"/>
  <c r="K497" i="65"/>
  <c r="M500" i="65"/>
  <c r="M492" i="65"/>
  <c r="M502" i="65"/>
  <c r="M494" i="65"/>
  <c r="K476" i="65"/>
  <c r="M476" i="65"/>
  <c r="N485" i="65"/>
  <c r="N469" i="65"/>
  <c r="M487" i="65"/>
  <c r="K487" i="65"/>
  <c r="M471" i="65"/>
  <c r="K471" i="65"/>
  <c r="M479" i="65"/>
  <c r="K478" i="65"/>
  <c r="M478" i="65"/>
  <c r="N483" i="65"/>
  <c r="K480" i="65"/>
  <c r="M480" i="65"/>
  <c r="N475" i="65"/>
  <c r="K472" i="65"/>
  <c r="M472" i="65"/>
  <c r="M489" i="65"/>
  <c r="M486" i="65"/>
  <c r="N481" i="65"/>
  <c r="AH473" i="65"/>
  <c r="AI473" i="65" s="1"/>
  <c r="AJ473" i="65" s="1"/>
  <c r="AK473" i="65" s="1"/>
  <c r="AL473" i="65" s="1"/>
  <c r="K470" i="65"/>
  <c r="M470" i="65"/>
  <c r="K481" i="65"/>
  <c r="K473" i="65"/>
  <c r="M488" i="65"/>
  <c r="M474" i="65"/>
  <c r="AH483" i="65"/>
  <c r="AI483" i="65" s="1"/>
  <c r="AJ483" i="65" s="1"/>
  <c r="AK483" i="65" s="1"/>
  <c r="AL483" i="65" s="1"/>
  <c r="AH475" i="65"/>
  <c r="AI475" i="65" s="1"/>
  <c r="AJ475" i="65" s="1"/>
  <c r="AK475" i="65" s="1"/>
  <c r="AL475" i="65" s="1"/>
  <c r="AH427" i="65"/>
  <c r="AI427" i="65" s="1"/>
  <c r="AJ427" i="65" s="1"/>
  <c r="AK427" i="65" s="1"/>
  <c r="AL427" i="65" s="1"/>
  <c r="N427" i="65"/>
  <c r="AH467" i="65"/>
  <c r="AI467" i="65" s="1"/>
  <c r="AJ467" i="65" s="1"/>
  <c r="AK467" i="65" s="1"/>
  <c r="AL467" i="65" s="1"/>
  <c r="N467" i="65"/>
  <c r="N455" i="65"/>
  <c r="N451" i="65"/>
  <c r="AH439" i="65"/>
  <c r="AI439" i="65" s="1"/>
  <c r="AJ439" i="65" s="1"/>
  <c r="AK439" i="65" s="1"/>
  <c r="AL439" i="65" s="1"/>
  <c r="N439" i="65"/>
  <c r="N419" i="65"/>
  <c r="AH387" i="65"/>
  <c r="AI387" i="65" s="1"/>
  <c r="AJ387" i="65" s="1"/>
  <c r="AK387" i="65" s="1"/>
  <c r="AL387" i="65" s="1"/>
  <c r="N387" i="65"/>
  <c r="AH435" i="65"/>
  <c r="AI435" i="65" s="1"/>
  <c r="AJ435" i="65" s="1"/>
  <c r="AK435" i="65" s="1"/>
  <c r="AL435" i="65" s="1"/>
  <c r="N435" i="65"/>
  <c r="N403" i="65"/>
  <c r="N459" i="65"/>
  <c r="N443" i="65"/>
  <c r="N411" i="65"/>
  <c r="K450" i="65"/>
  <c r="M450" i="65"/>
  <c r="AH425" i="65"/>
  <c r="AI425" i="65" s="1"/>
  <c r="AJ425" i="65" s="1"/>
  <c r="AK425" i="65" s="1"/>
  <c r="AL425" i="65" s="1"/>
  <c r="K404" i="65"/>
  <c r="M404" i="65"/>
  <c r="N447" i="65"/>
  <c r="M431" i="65"/>
  <c r="N425" i="65"/>
  <c r="M416" i="65"/>
  <c r="K467" i="65"/>
  <c r="K459" i="65"/>
  <c r="K451" i="65"/>
  <c r="K443" i="65"/>
  <c r="AH433" i="65"/>
  <c r="AI433" i="65" s="1"/>
  <c r="AJ433" i="65" s="1"/>
  <c r="AK433" i="65" s="1"/>
  <c r="AL433" i="65" s="1"/>
  <c r="K423" i="65"/>
  <c r="M421" i="65"/>
  <c r="K421" i="65"/>
  <c r="K418" i="65"/>
  <c r="M418" i="65"/>
  <c r="K412" i="65"/>
  <c r="M412" i="65"/>
  <c r="K411" i="65"/>
  <c r="N407" i="65"/>
  <c r="N401" i="65"/>
  <c r="K391" i="65"/>
  <c r="AH389" i="65"/>
  <c r="AI389" i="65" s="1"/>
  <c r="AJ389" i="65" s="1"/>
  <c r="AK389" i="65" s="1"/>
  <c r="AL389" i="65" s="1"/>
  <c r="M456" i="65"/>
  <c r="M440" i="65"/>
  <c r="M424" i="65"/>
  <c r="N413" i="65"/>
  <c r="M392" i="65"/>
  <c r="K466" i="65"/>
  <c r="M466" i="65"/>
  <c r="K442" i="65"/>
  <c r="M442" i="65"/>
  <c r="N399" i="65"/>
  <c r="AH463" i="65"/>
  <c r="AI463" i="65" s="1"/>
  <c r="AJ463" i="65" s="1"/>
  <c r="AK463" i="65" s="1"/>
  <c r="AL463" i="65" s="1"/>
  <c r="N463" i="65"/>
  <c r="N395" i="65"/>
  <c r="AH465" i="65"/>
  <c r="AI465" i="65" s="1"/>
  <c r="AJ465" i="65" s="1"/>
  <c r="AK465" i="65" s="1"/>
  <c r="AL465" i="65" s="1"/>
  <c r="K462" i="65"/>
  <c r="M462" i="65"/>
  <c r="K461" i="65"/>
  <c r="K454" i="65"/>
  <c r="M454" i="65"/>
  <c r="K453" i="65"/>
  <c r="K446" i="65"/>
  <c r="M446" i="65"/>
  <c r="K445" i="65"/>
  <c r="K438" i="65"/>
  <c r="M438" i="65"/>
  <c r="M429" i="65"/>
  <c r="K429" i="65"/>
  <c r="K426" i="65"/>
  <c r="M426" i="65"/>
  <c r="K420" i="65"/>
  <c r="M420" i="65"/>
  <c r="K419" i="65"/>
  <c r="N415" i="65"/>
  <c r="N409" i="65"/>
  <c r="K399" i="65"/>
  <c r="K388" i="65"/>
  <c r="M388" i="65"/>
  <c r="K387" i="65"/>
  <c r="N465" i="65"/>
  <c r="M460" i="65"/>
  <c r="N449" i="65"/>
  <c r="M444" i="65"/>
  <c r="N433" i="65"/>
  <c r="M428" i="65"/>
  <c r="M400" i="65"/>
  <c r="N389" i="65"/>
  <c r="AH461" i="65"/>
  <c r="AI461" i="65" s="1"/>
  <c r="AJ461" i="65" s="1"/>
  <c r="AK461" i="65" s="1"/>
  <c r="AL461" i="65" s="1"/>
  <c r="K458" i="65"/>
  <c r="M458" i="65"/>
  <c r="AH393" i="65"/>
  <c r="AI393" i="65" s="1"/>
  <c r="AJ393" i="65" s="1"/>
  <c r="AK393" i="65" s="1"/>
  <c r="AL393" i="65" s="1"/>
  <c r="N393" i="65"/>
  <c r="M436" i="65"/>
  <c r="M437" i="65"/>
  <c r="K437" i="65"/>
  <c r="K434" i="65"/>
  <c r="M434" i="65"/>
  <c r="AH423" i="65"/>
  <c r="AI423" i="65" s="1"/>
  <c r="AJ423" i="65" s="1"/>
  <c r="AK423" i="65" s="1"/>
  <c r="AL423" i="65" s="1"/>
  <c r="N423" i="65"/>
  <c r="N417" i="65"/>
  <c r="K396" i="65"/>
  <c r="M396" i="65"/>
  <c r="AH391" i="65"/>
  <c r="AI391" i="65" s="1"/>
  <c r="AJ391" i="65" s="1"/>
  <c r="AK391" i="65" s="1"/>
  <c r="AL391" i="65" s="1"/>
  <c r="N391" i="65"/>
  <c r="AH385" i="65"/>
  <c r="AI385" i="65" s="1"/>
  <c r="AJ385" i="65" s="1"/>
  <c r="AK385" i="65" s="1"/>
  <c r="AL385" i="65" s="1"/>
  <c r="N385" i="65"/>
  <c r="M464" i="65"/>
  <c r="N453" i="65"/>
  <c r="M448" i="65"/>
  <c r="M432" i="65"/>
  <c r="M408" i="65"/>
  <c r="N397" i="65"/>
  <c r="K413" i="65"/>
  <c r="K405" i="65"/>
  <c r="K397" i="65"/>
  <c r="K389" i="65"/>
  <c r="M410" i="65"/>
  <c r="M402" i="65"/>
  <c r="M394" i="65"/>
  <c r="M386" i="65"/>
  <c r="M430" i="65"/>
  <c r="M422" i="65"/>
  <c r="M414" i="65"/>
  <c r="M406" i="65"/>
  <c r="M398" i="65"/>
  <c r="M390" i="65"/>
  <c r="N330" i="50"/>
  <c r="Q336" i="50"/>
  <c r="T338" i="50"/>
  <c r="V333" i="50"/>
  <c r="Q330" i="50"/>
  <c r="AB336" i="50"/>
  <c r="N338" i="50"/>
  <c r="Q326" i="50"/>
  <c r="T330" i="50"/>
  <c r="X333" i="50"/>
  <c r="AD338" i="50"/>
  <c r="W330" i="50"/>
  <c r="AC339" i="50"/>
  <c r="AD334" i="50"/>
  <c r="N336" i="50"/>
  <c r="T326" i="50"/>
  <c r="AD339" i="50"/>
  <c r="AJ339" i="50" s="1"/>
  <c r="AE95" i="42"/>
  <c r="AH95" i="42"/>
  <c r="AD95" i="42"/>
  <c r="Z95" i="42"/>
  <c r="P96" i="42"/>
  <c r="BE96" i="42" s="1"/>
  <c r="P92" i="42"/>
  <c r="BE92" i="42" s="1"/>
  <c r="V96" i="42"/>
  <c r="O96" i="42"/>
  <c r="BD96" i="42" s="1"/>
  <c r="O92" i="42"/>
  <c r="BD92" i="42" s="1"/>
  <c r="V94" i="42"/>
  <c r="P98" i="42"/>
  <c r="BE98" i="42" s="1"/>
  <c r="P94" i="42"/>
  <c r="BE94" i="42" s="1"/>
  <c r="N37" i="37"/>
  <c r="R45" i="25"/>
  <c r="R87" i="25" s="1"/>
  <c r="M22" i="68"/>
  <c r="R34" i="66"/>
  <c r="O35" i="42"/>
  <c r="O37" i="50"/>
  <c r="M836" i="37"/>
  <c r="S836" i="37" s="1"/>
  <c r="R836" i="37"/>
  <c r="K836" i="37"/>
  <c r="O836" i="37"/>
  <c r="Q836" i="37"/>
  <c r="N836" i="37"/>
  <c r="O837" i="37"/>
  <c r="N839" i="37"/>
  <c r="T839" i="37" s="1"/>
  <c r="R839" i="37"/>
  <c r="L839" i="37"/>
  <c r="Q839" i="37"/>
  <c r="K839" i="37"/>
  <c r="O839" i="37"/>
  <c r="R838" i="37"/>
  <c r="K838" i="37"/>
  <c r="O838" i="37"/>
  <c r="M838" i="37"/>
  <c r="S838" i="37" s="1"/>
  <c r="L838" i="37"/>
  <c r="S837" i="37"/>
  <c r="L837" i="37"/>
  <c r="Q837" i="37"/>
  <c r="N837" i="37"/>
  <c r="T837" i="37" s="1"/>
  <c r="M837" i="37"/>
  <c r="S839" i="37"/>
  <c r="M839" i="37"/>
  <c r="L836" i="37"/>
  <c r="R837" i="37"/>
  <c r="E1635" i="40"/>
  <c r="E1631" i="40"/>
  <c r="E1627" i="40"/>
  <c r="E1623" i="40"/>
  <c r="E1619" i="40"/>
  <c r="E1615" i="40"/>
  <c r="E1611" i="40"/>
  <c r="E1607" i="40"/>
  <c r="E1603" i="40"/>
  <c r="E1599" i="40"/>
  <c r="E1595" i="40"/>
  <c r="E1591" i="40"/>
  <c r="E1587" i="40"/>
  <c r="E1583" i="40"/>
  <c r="E1579" i="40"/>
  <c r="E1575" i="40"/>
  <c r="E1571" i="40"/>
  <c r="E1567" i="40"/>
  <c r="E1563" i="40"/>
  <c r="E1559" i="40"/>
  <c r="E1555" i="40"/>
  <c r="E1551" i="40"/>
  <c r="E1547" i="40"/>
  <c r="E1543" i="40"/>
  <c r="E1660" i="40"/>
  <c r="E1658" i="40"/>
  <c r="E1656" i="40"/>
  <c r="E1652" i="40"/>
  <c r="E1650" i="40"/>
  <c r="E1648" i="40"/>
  <c r="E1644" i="40"/>
  <c r="E1642" i="40"/>
  <c r="E1640" i="40"/>
  <c r="E1636" i="40"/>
  <c r="E1628" i="40"/>
  <c r="E1620" i="40"/>
  <c r="E1612" i="40"/>
  <c r="E1604" i="40"/>
  <c r="E1596" i="40"/>
  <c r="E1588" i="40"/>
  <c r="E1580" i="40"/>
  <c r="E1572" i="40"/>
  <c r="E1564" i="40"/>
  <c r="E1556" i="40"/>
  <c r="E1548" i="40"/>
  <c r="E1540" i="40"/>
  <c r="E1659" i="40"/>
  <c r="E1657" i="40"/>
  <c r="E1655" i="40"/>
  <c r="E1651" i="40"/>
  <c r="E1649" i="40"/>
  <c r="E1647" i="40"/>
  <c r="E1643" i="40"/>
  <c r="E1641" i="40"/>
  <c r="E1639" i="40"/>
  <c r="E1632" i="40"/>
  <c r="E1624" i="40"/>
  <c r="E1616" i="40"/>
  <c r="E1608" i="40"/>
  <c r="E1600" i="40"/>
  <c r="E1592" i="40"/>
  <c r="E1584" i="40"/>
  <c r="E1576" i="40"/>
  <c r="E1568" i="40"/>
  <c r="E1560" i="40"/>
  <c r="E1552" i="40"/>
  <c r="E1544" i="40"/>
  <c r="AN335" i="50"/>
  <c r="AO335" i="50"/>
  <c r="AB335" i="50"/>
  <c r="AD335" i="50"/>
  <c r="S335" i="50"/>
  <c r="P335" i="50"/>
  <c r="M335" i="50"/>
  <c r="AC335" i="50"/>
  <c r="AP335" i="50"/>
  <c r="V335" i="50"/>
  <c r="T335" i="50"/>
  <c r="Q335" i="50"/>
  <c r="N335" i="50"/>
  <c r="X335" i="50"/>
  <c r="W335" i="50"/>
  <c r="AO329" i="50"/>
  <c r="AP329" i="50"/>
  <c r="AB329" i="50"/>
  <c r="AC329" i="50"/>
  <c r="W329" i="50"/>
  <c r="AD329" i="50"/>
  <c r="X329" i="50"/>
  <c r="S329" i="50"/>
  <c r="P329" i="50"/>
  <c r="M329" i="50"/>
  <c r="T329" i="50"/>
  <c r="Q329" i="50"/>
  <c r="N329" i="50"/>
  <c r="V329" i="50"/>
  <c r="AN329" i="50"/>
  <c r="AO337" i="50"/>
  <c r="AP337" i="50"/>
  <c r="AN337" i="50"/>
  <c r="AC337" i="50"/>
  <c r="W337" i="50"/>
  <c r="S337" i="50"/>
  <c r="P337" i="50"/>
  <c r="M337" i="50"/>
  <c r="X337" i="50"/>
  <c r="T337" i="50"/>
  <c r="Q337" i="50"/>
  <c r="N337" i="50"/>
  <c r="AD337" i="50"/>
  <c r="V337" i="50"/>
  <c r="AB337" i="50"/>
  <c r="AP332" i="50"/>
  <c r="AN332" i="50"/>
  <c r="AC332" i="50"/>
  <c r="AD332" i="50"/>
  <c r="X332" i="50"/>
  <c r="AO332" i="50"/>
  <c r="T332" i="50"/>
  <c r="AB332" i="50"/>
  <c r="Q332" i="50"/>
  <c r="V332" i="50"/>
  <c r="S332" i="50"/>
  <c r="P332" i="50"/>
  <c r="M332" i="50"/>
  <c r="W332" i="50"/>
  <c r="N332" i="50"/>
  <c r="AN327" i="50"/>
  <c r="AO327" i="50"/>
  <c r="AD327" i="50"/>
  <c r="AP327" i="50"/>
  <c r="AB327" i="50"/>
  <c r="W327" i="50"/>
  <c r="S327" i="50"/>
  <c r="P327" i="50"/>
  <c r="M327" i="50"/>
  <c r="V327" i="50"/>
  <c r="AC327" i="50"/>
  <c r="X327" i="50"/>
  <c r="T327" i="50"/>
  <c r="Q327" i="50"/>
  <c r="N327" i="50"/>
  <c r="AN331" i="50"/>
  <c r="AO331" i="50"/>
  <c r="AD331" i="50"/>
  <c r="AP331" i="50"/>
  <c r="AB331" i="50"/>
  <c r="N328" i="50"/>
  <c r="T334" i="50"/>
  <c r="X334" i="50"/>
  <c r="V328" i="50"/>
  <c r="AN338" i="50"/>
  <c r="AO338" i="50"/>
  <c r="AP338" i="50"/>
  <c r="AB338" i="50"/>
  <c r="M338" i="50"/>
  <c r="M336" i="50"/>
  <c r="M334" i="50"/>
  <c r="M330" i="50"/>
  <c r="M328" i="50"/>
  <c r="M326" i="50"/>
  <c r="P338" i="50"/>
  <c r="P336" i="50"/>
  <c r="P334" i="50"/>
  <c r="P330" i="50"/>
  <c r="P328" i="50"/>
  <c r="P326" i="50"/>
  <c r="S338" i="50"/>
  <c r="S336" i="50"/>
  <c r="S334" i="50"/>
  <c r="S330" i="50"/>
  <c r="S328" i="50"/>
  <c r="S326" i="50"/>
  <c r="W339" i="50"/>
  <c r="X338" i="50"/>
  <c r="AJ338" i="50" s="1"/>
  <c r="V336" i="50"/>
  <c r="W334" i="50"/>
  <c r="V331" i="50"/>
  <c r="AC338" i="50"/>
  <c r="AC331" i="50"/>
  <c r="AB328" i="50"/>
  <c r="AN334" i="50"/>
  <c r="AO334" i="50"/>
  <c r="AP334" i="50"/>
  <c r="AB334" i="50"/>
  <c r="V334" i="50"/>
  <c r="AC334" i="50"/>
  <c r="AO325" i="50"/>
  <c r="AP325" i="50"/>
  <c r="AB325" i="50"/>
  <c r="AC325" i="50"/>
  <c r="W325" i="50"/>
  <c r="AN325" i="50"/>
  <c r="AD325" i="50"/>
  <c r="N334" i="50"/>
  <c r="Q334" i="50"/>
  <c r="Q328" i="50"/>
  <c r="AQ339" i="50"/>
  <c r="AR339" i="50" s="1"/>
  <c r="AN339" i="50"/>
  <c r="AO339" i="50"/>
  <c r="AP339" i="50"/>
  <c r="AE339" i="50"/>
  <c r="AP336" i="50"/>
  <c r="AN336" i="50"/>
  <c r="AO336" i="50"/>
  <c r="AD336" i="50"/>
  <c r="AO333" i="50"/>
  <c r="AP333" i="50"/>
  <c r="AN333" i="50"/>
  <c r="AB333" i="50"/>
  <c r="AC333" i="50"/>
  <c r="W333" i="50"/>
  <c r="AD333" i="50"/>
  <c r="AN326" i="50"/>
  <c r="AO326" i="50"/>
  <c r="AP326" i="50"/>
  <c r="AB326" i="50"/>
  <c r="V326" i="50"/>
  <c r="AC326" i="50"/>
  <c r="N339" i="50"/>
  <c r="N333" i="50"/>
  <c r="N331" i="50"/>
  <c r="N325" i="50"/>
  <c r="Q339" i="50"/>
  <c r="Q333" i="50"/>
  <c r="Q331" i="50"/>
  <c r="Q325" i="50"/>
  <c r="T339" i="50"/>
  <c r="T333" i="50"/>
  <c r="T331" i="50"/>
  <c r="T325" i="50"/>
  <c r="Z339" i="50"/>
  <c r="V339" i="50"/>
  <c r="W338" i="50"/>
  <c r="X326" i="50"/>
  <c r="X325" i="50"/>
  <c r="AB339" i="50"/>
  <c r="AP328" i="50"/>
  <c r="AN328" i="50"/>
  <c r="AC328" i="50"/>
  <c r="AD328" i="50"/>
  <c r="X328" i="50"/>
  <c r="AO328" i="50"/>
  <c r="T328" i="50"/>
  <c r="W331" i="50"/>
  <c r="AN330" i="50"/>
  <c r="AO330" i="50"/>
  <c r="AP330" i="50"/>
  <c r="AB330" i="50"/>
  <c r="V330" i="50"/>
  <c r="AC330" i="50"/>
  <c r="M339" i="50"/>
  <c r="M333" i="50"/>
  <c r="M331" i="50"/>
  <c r="M325" i="50"/>
  <c r="P339" i="50"/>
  <c r="P333" i="50"/>
  <c r="P331" i="50"/>
  <c r="P325" i="50"/>
  <c r="S339" i="50"/>
  <c r="S333" i="50"/>
  <c r="S331" i="50"/>
  <c r="S325" i="50"/>
  <c r="Y339" i="50"/>
  <c r="V338" i="50"/>
  <c r="X336" i="50"/>
  <c r="X331" i="50"/>
  <c r="X330" i="50"/>
  <c r="W328" i="50"/>
  <c r="W326" i="50"/>
  <c r="V325" i="50"/>
  <c r="AF339" i="50"/>
  <c r="AD326" i="50"/>
  <c r="V93" i="42"/>
  <c r="P93" i="42"/>
  <c r="BE93" i="42" s="1"/>
  <c r="X95" i="42"/>
  <c r="V97" i="42"/>
  <c r="Y95" i="42"/>
  <c r="AG95" i="42"/>
  <c r="P97" i="42"/>
  <c r="BE97" i="42" s="1"/>
  <c r="P95" i="42"/>
  <c r="BE95" i="42" s="1"/>
  <c r="P91" i="42"/>
  <c r="BE91" i="42" s="1"/>
  <c r="AB95" i="42"/>
  <c r="AF95" i="42"/>
  <c r="O97" i="42"/>
  <c r="BD97" i="42" s="1"/>
  <c r="O95" i="42"/>
  <c r="BD95" i="42" s="1"/>
  <c r="O93" i="42"/>
  <c r="BD93" i="42" s="1"/>
  <c r="O91" i="42"/>
  <c r="BD91" i="42" s="1"/>
  <c r="V95" i="42"/>
  <c r="V91" i="42"/>
  <c r="AA95" i="42"/>
  <c r="U837" i="37" l="1"/>
  <c r="U839" i="37"/>
  <c r="AK95" i="42"/>
  <c r="BG95" i="42" s="1"/>
  <c r="AH482" i="65"/>
  <c r="AI482" i="65" s="1"/>
  <c r="AJ482" i="65" s="1"/>
  <c r="AK482" i="65" s="1"/>
  <c r="AL482" i="65" s="1"/>
  <c r="AH507" i="65"/>
  <c r="AI507" i="65" s="1"/>
  <c r="AJ507" i="65" s="1"/>
  <c r="AK507" i="65" s="1"/>
  <c r="AL507" i="65" s="1"/>
  <c r="N507" i="65"/>
  <c r="N496" i="65"/>
  <c r="AH336" i="50"/>
  <c r="AJ327" i="50"/>
  <c r="AI330" i="50"/>
  <c r="AH333" i="50"/>
  <c r="R96" i="42"/>
  <c r="AN95" i="42"/>
  <c r="BJ95" i="42" s="1"/>
  <c r="BD98" i="42"/>
  <c r="T838" i="37"/>
  <c r="U838" i="37" s="1"/>
  <c r="R95" i="42"/>
  <c r="BD94" i="42"/>
  <c r="AJ95" i="42"/>
  <c r="BF95" i="42" s="1"/>
  <c r="AI336" i="50"/>
  <c r="T836" i="37"/>
  <c r="N499" i="65"/>
  <c r="N477" i="65"/>
  <c r="N504" i="65"/>
  <c r="AJ330" i="50"/>
  <c r="N491" i="65"/>
  <c r="AI339" i="50"/>
  <c r="AJ334" i="50"/>
  <c r="AJ333" i="50"/>
  <c r="N498" i="65"/>
  <c r="N500" i="65"/>
  <c r="N502" i="65"/>
  <c r="N490" i="65"/>
  <c r="N494" i="65"/>
  <c r="N492" i="65"/>
  <c r="N506" i="65"/>
  <c r="AH506" i="65"/>
  <c r="AI506" i="65" s="1"/>
  <c r="AJ506" i="65" s="1"/>
  <c r="AK506" i="65" s="1"/>
  <c r="AL506" i="65" s="1"/>
  <c r="N470" i="65"/>
  <c r="N488" i="65"/>
  <c r="N489" i="65"/>
  <c r="N478" i="65"/>
  <c r="N476" i="65"/>
  <c r="AH476" i="65"/>
  <c r="AI476" i="65" s="1"/>
  <c r="AJ476" i="65" s="1"/>
  <c r="AK476" i="65" s="1"/>
  <c r="AL476" i="65" s="1"/>
  <c r="N474" i="65"/>
  <c r="AH474" i="65"/>
  <c r="AI474" i="65" s="1"/>
  <c r="AJ474" i="65" s="1"/>
  <c r="AK474" i="65" s="1"/>
  <c r="AL474" i="65" s="1"/>
  <c r="N471" i="65"/>
  <c r="N472" i="65"/>
  <c r="AH472" i="65"/>
  <c r="AI472" i="65" s="1"/>
  <c r="AJ472" i="65" s="1"/>
  <c r="AK472" i="65" s="1"/>
  <c r="AL472" i="65" s="1"/>
  <c r="N480" i="65"/>
  <c r="N479" i="65"/>
  <c r="N487" i="65"/>
  <c r="N486" i="65"/>
  <c r="N394" i="65"/>
  <c r="N464" i="65"/>
  <c r="AH464" i="65"/>
  <c r="AI464" i="65" s="1"/>
  <c r="AJ464" i="65" s="1"/>
  <c r="AK464" i="65" s="1"/>
  <c r="AL464" i="65" s="1"/>
  <c r="AH437" i="65"/>
  <c r="AI437" i="65" s="1"/>
  <c r="AJ437" i="65" s="1"/>
  <c r="AK437" i="65" s="1"/>
  <c r="AL437" i="65" s="1"/>
  <c r="N437" i="65"/>
  <c r="AH431" i="65"/>
  <c r="AI431" i="65" s="1"/>
  <c r="AJ431" i="65" s="1"/>
  <c r="AK431" i="65" s="1"/>
  <c r="AL431" i="65" s="1"/>
  <c r="N431" i="65"/>
  <c r="N390" i="65"/>
  <c r="AH390" i="65"/>
  <c r="AI390" i="65" s="1"/>
  <c r="AJ390" i="65" s="1"/>
  <c r="AK390" i="65" s="1"/>
  <c r="AL390" i="65" s="1"/>
  <c r="N422" i="65"/>
  <c r="AH422" i="65"/>
  <c r="AI422" i="65" s="1"/>
  <c r="AJ422" i="65" s="1"/>
  <c r="AK422" i="65" s="1"/>
  <c r="AL422" i="65" s="1"/>
  <c r="N402" i="65"/>
  <c r="N432" i="65"/>
  <c r="AH432" i="65"/>
  <c r="AI432" i="65" s="1"/>
  <c r="AJ432" i="65" s="1"/>
  <c r="AK432" i="65" s="1"/>
  <c r="AL432" i="65" s="1"/>
  <c r="N434" i="65"/>
  <c r="AH434" i="65"/>
  <c r="AI434" i="65" s="1"/>
  <c r="AJ434" i="65" s="1"/>
  <c r="AK434" i="65" s="1"/>
  <c r="AL434" i="65" s="1"/>
  <c r="N400" i="65"/>
  <c r="N388" i="65"/>
  <c r="AH388" i="65"/>
  <c r="AI388" i="65" s="1"/>
  <c r="AJ388" i="65" s="1"/>
  <c r="AK388" i="65" s="1"/>
  <c r="AL388" i="65" s="1"/>
  <c r="N426" i="65"/>
  <c r="AH426" i="65"/>
  <c r="AI426" i="65" s="1"/>
  <c r="AJ426" i="65" s="1"/>
  <c r="AK426" i="65" s="1"/>
  <c r="AL426" i="65" s="1"/>
  <c r="N438" i="65"/>
  <c r="AH438" i="65"/>
  <c r="AI438" i="65" s="1"/>
  <c r="AJ438" i="65" s="1"/>
  <c r="AK438" i="65" s="1"/>
  <c r="AL438" i="65" s="1"/>
  <c r="N446" i="65"/>
  <c r="N424" i="65"/>
  <c r="AH424" i="65"/>
  <c r="AI424" i="65" s="1"/>
  <c r="AJ424" i="65" s="1"/>
  <c r="AK424" i="65" s="1"/>
  <c r="AL424" i="65" s="1"/>
  <c r="N414" i="65"/>
  <c r="N408" i="65"/>
  <c r="N436" i="65"/>
  <c r="AH436" i="65"/>
  <c r="AI436" i="65" s="1"/>
  <c r="AJ436" i="65" s="1"/>
  <c r="AK436" i="65" s="1"/>
  <c r="AL436" i="65" s="1"/>
  <c r="N444" i="65"/>
  <c r="AH429" i="65"/>
  <c r="AI429" i="65" s="1"/>
  <c r="AJ429" i="65" s="1"/>
  <c r="AK429" i="65" s="1"/>
  <c r="AL429" i="65" s="1"/>
  <c r="N429" i="65"/>
  <c r="N418" i="65"/>
  <c r="N398" i="65"/>
  <c r="N430" i="65"/>
  <c r="AH430" i="65"/>
  <c r="AI430" i="65" s="1"/>
  <c r="AJ430" i="65" s="1"/>
  <c r="AK430" i="65" s="1"/>
  <c r="AL430" i="65" s="1"/>
  <c r="N410" i="65"/>
  <c r="N448" i="65"/>
  <c r="N428" i="65"/>
  <c r="AH428" i="65"/>
  <c r="AI428" i="65" s="1"/>
  <c r="AJ428" i="65" s="1"/>
  <c r="AK428" i="65" s="1"/>
  <c r="AL428" i="65" s="1"/>
  <c r="N460" i="65"/>
  <c r="N454" i="65"/>
  <c r="N462" i="65"/>
  <c r="AH462" i="65"/>
  <c r="AI462" i="65" s="1"/>
  <c r="AJ462" i="65" s="1"/>
  <c r="AK462" i="65" s="1"/>
  <c r="AL462" i="65" s="1"/>
  <c r="N442" i="65"/>
  <c r="N466" i="65"/>
  <c r="AH466" i="65"/>
  <c r="AI466" i="65" s="1"/>
  <c r="AJ466" i="65" s="1"/>
  <c r="AK466" i="65" s="1"/>
  <c r="AL466" i="65" s="1"/>
  <c r="N440" i="65"/>
  <c r="AH440" i="65"/>
  <c r="AI440" i="65" s="1"/>
  <c r="AJ440" i="65" s="1"/>
  <c r="AK440" i="65" s="1"/>
  <c r="AL440" i="65" s="1"/>
  <c r="N412" i="65"/>
  <c r="N416" i="65"/>
  <c r="N450" i="65"/>
  <c r="N406" i="65"/>
  <c r="N386" i="65"/>
  <c r="AH386" i="65"/>
  <c r="AI386" i="65" s="1"/>
  <c r="AJ386" i="65" s="1"/>
  <c r="AK386" i="65" s="1"/>
  <c r="AL386" i="65" s="1"/>
  <c r="N396" i="65"/>
  <c r="N458" i="65"/>
  <c r="AH458" i="65"/>
  <c r="AI458" i="65" s="1"/>
  <c r="AJ458" i="65" s="1"/>
  <c r="AK458" i="65" s="1"/>
  <c r="AL458" i="65" s="1"/>
  <c r="V458" i="65"/>
  <c r="Z458" i="65"/>
  <c r="X458" i="65"/>
  <c r="W458" i="65"/>
  <c r="Q458" i="65"/>
  <c r="Y458" i="65"/>
  <c r="R458" i="65"/>
  <c r="S458" i="65"/>
  <c r="P458" i="65"/>
  <c r="T458" i="65"/>
  <c r="N420" i="65"/>
  <c r="AH420" i="65"/>
  <c r="AI420" i="65" s="1"/>
  <c r="AJ420" i="65" s="1"/>
  <c r="AK420" i="65" s="1"/>
  <c r="AL420" i="65" s="1"/>
  <c r="N392" i="65"/>
  <c r="AH392" i="65"/>
  <c r="AI392" i="65" s="1"/>
  <c r="AJ392" i="65" s="1"/>
  <c r="AK392" i="65" s="1"/>
  <c r="AL392" i="65" s="1"/>
  <c r="N456" i="65"/>
  <c r="AH421" i="65"/>
  <c r="AI421" i="65" s="1"/>
  <c r="AJ421" i="65" s="1"/>
  <c r="AK421" i="65" s="1"/>
  <c r="AL421" i="65" s="1"/>
  <c r="N421" i="65"/>
  <c r="N404" i="65"/>
  <c r="AJ336" i="50"/>
  <c r="AI338" i="50"/>
  <c r="AI333" i="50"/>
  <c r="AI325" i="50"/>
  <c r="R92" i="42"/>
  <c r="AL95" i="42"/>
  <c r="BH95" i="42" s="1"/>
  <c r="R97" i="42"/>
  <c r="AM95" i="42"/>
  <c r="BI95" i="42" s="1"/>
  <c r="AH330" i="50"/>
  <c r="AJ331" i="50"/>
  <c r="AJ335" i="50"/>
  <c r="AH338" i="50"/>
  <c r="AI331" i="50"/>
  <c r="AH339" i="50"/>
  <c r="AH327" i="50"/>
  <c r="AI332" i="50"/>
  <c r="AH332" i="50"/>
  <c r="AH329" i="50"/>
  <c r="AJ329" i="50"/>
  <c r="AH325" i="50"/>
  <c r="AI328" i="50"/>
  <c r="AH334" i="50"/>
  <c r="AI334" i="50"/>
  <c r="AJ337" i="50"/>
  <c r="AJ328" i="50"/>
  <c r="AJ325" i="50"/>
  <c r="AL339" i="50"/>
  <c r="AH328" i="50"/>
  <c r="AJ332" i="50"/>
  <c r="AI337" i="50"/>
  <c r="AI335" i="50"/>
  <c r="AI326" i="50"/>
  <c r="AJ326" i="50"/>
  <c r="AH326" i="50"/>
  <c r="AK339" i="50"/>
  <c r="AH331" i="50"/>
  <c r="AI327" i="50"/>
  <c r="AH337" i="50"/>
  <c r="AI329" i="50"/>
  <c r="AH335" i="50"/>
  <c r="R91" i="42"/>
  <c r="R93" i="42"/>
  <c r="AB458" i="65" l="1"/>
  <c r="AD458" i="65"/>
  <c r="U836" i="37"/>
  <c r="AF458" i="65"/>
  <c r="AE458" i="65"/>
  <c r="AC458" i="65"/>
  <c r="F88" i="42"/>
  <c r="B323" i="50" l="1"/>
  <c r="F323" i="50"/>
  <c r="H323" i="50"/>
  <c r="AT323" i="50" s="1"/>
  <c r="I323" i="50"/>
  <c r="J323" i="50" s="1"/>
  <c r="M323" i="50" s="1"/>
  <c r="AU323" i="50" l="1"/>
  <c r="AN323" i="50"/>
  <c r="T323" i="50"/>
  <c r="N323" i="50"/>
  <c r="AB323" i="50"/>
  <c r="W323" i="50"/>
  <c r="Q323" i="50"/>
  <c r="AO323" i="50"/>
  <c r="V323" i="50"/>
  <c r="P323" i="50"/>
  <c r="AC323" i="50"/>
  <c r="S323" i="50"/>
  <c r="AH323" i="50" l="1"/>
  <c r="AI323" i="50"/>
  <c r="B308" i="50" l="1"/>
  <c r="F308" i="50"/>
  <c r="H308" i="50"/>
  <c r="I308" i="50"/>
  <c r="J308" i="50" s="1"/>
  <c r="B309" i="50"/>
  <c r="F309" i="50"/>
  <c r="H309" i="50"/>
  <c r="I309" i="50"/>
  <c r="J309" i="50" s="1"/>
  <c r="B310" i="50"/>
  <c r="F310" i="50"/>
  <c r="H310" i="50"/>
  <c r="AT310" i="50" s="1"/>
  <c r="I310" i="50"/>
  <c r="J310" i="50" s="1"/>
  <c r="B311" i="50"/>
  <c r="F311" i="50"/>
  <c r="H311" i="50"/>
  <c r="I311" i="50"/>
  <c r="J311" i="50" s="1"/>
  <c r="B312" i="50"/>
  <c r="F312" i="50"/>
  <c r="H312" i="50"/>
  <c r="I312" i="50"/>
  <c r="J312" i="50" s="1"/>
  <c r="B313" i="50"/>
  <c r="F313" i="50"/>
  <c r="H313" i="50"/>
  <c r="I313" i="50"/>
  <c r="J313" i="50" s="1"/>
  <c r="B314" i="50"/>
  <c r="F314" i="50"/>
  <c r="H314" i="50"/>
  <c r="I314" i="50"/>
  <c r="J314" i="50" s="1"/>
  <c r="B315" i="50"/>
  <c r="F315" i="50"/>
  <c r="H315" i="50"/>
  <c r="I315" i="50"/>
  <c r="J315" i="50" s="1"/>
  <c r="B316" i="50"/>
  <c r="F316" i="50"/>
  <c r="H316" i="50"/>
  <c r="AT316" i="50" s="1"/>
  <c r="I316" i="50"/>
  <c r="J316" i="50" s="1"/>
  <c r="B317" i="50"/>
  <c r="F317" i="50"/>
  <c r="H317" i="50"/>
  <c r="I317" i="50"/>
  <c r="J317" i="50" s="1"/>
  <c r="AN317" i="50" s="1"/>
  <c r="B318" i="50"/>
  <c r="F318" i="50"/>
  <c r="H318" i="50"/>
  <c r="I318" i="50"/>
  <c r="J318" i="50" s="1"/>
  <c r="B319" i="50"/>
  <c r="F319" i="50"/>
  <c r="H319" i="50"/>
  <c r="I319" i="50"/>
  <c r="J319" i="50" s="1"/>
  <c r="Q319" i="50" s="1"/>
  <c r="B320" i="50"/>
  <c r="F320" i="50"/>
  <c r="H320" i="50"/>
  <c r="I320" i="50"/>
  <c r="J320" i="50" s="1"/>
  <c r="B321" i="50"/>
  <c r="F321" i="50"/>
  <c r="H321" i="50"/>
  <c r="I321" i="50"/>
  <c r="J321" i="50" s="1"/>
  <c r="N321" i="50" s="1"/>
  <c r="B322" i="50"/>
  <c r="F322" i="50"/>
  <c r="H322" i="50"/>
  <c r="I322" i="50"/>
  <c r="J322" i="50" s="1"/>
  <c r="P322" i="50" s="1"/>
  <c r="B324" i="50"/>
  <c r="F324" i="50"/>
  <c r="H324" i="50"/>
  <c r="I324" i="50"/>
  <c r="J324" i="50" s="1"/>
  <c r="M324" i="50" s="1"/>
  <c r="F80" i="42"/>
  <c r="H80" i="42"/>
  <c r="L80" i="42" s="1"/>
  <c r="CA80" i="42" s="1"/>
  <c r="I80" i="42"/>
  <c r="M80" i="42" s="1"/>
  <c r="J80" i="42"/>
  <c r="K80" i="42"/>
  <c r="F81" i="42"/>
  <c r="H81" i="42"/>
  <c r="I81" i="42"/>
  <c r="M81" i="42" s="1"/>
  <c r="J81" i="42"/>
  <c r="K81" i="42"/>
  <c r="F82" i="42"/>
  <c r="H82" i="42"/>
  <c r="I82" i="42"/>
  <c r="M82" i="42" s="1"/>
  <c r="J82" i="42"/>
  <c r="K82" i="42"/>
  <c r="F83" i="42"/>
  <c r="H83" i="42"/>
  <c r="I83" i="42"/>
  <c r="M83" i="42" s="1"/>
  <c r="J83" i="42"/>
  <c r="K83" i="42"/>
  <c r="F84" i="42"/>
  <c r="H84" i="42"/>
  <c r="L84" i="42" s="1"/>
  <c r="CA84" i="42" s="1"/>
  <c r="I84" i="42"/>
  <c r="M84" i="42" s="1"/>
  <c r="J84" i="42"/>
  <c r="K84" i="42"/>
  <c r="F85" i="42"/>
  <c r="H85" i="42"/>
  <c r="I85" i="42"/>
  <c r="M85" i="42" s="1"/>
  <c r="J85" i="42"/>
  <c r="K85" i="42"/>
  <c r="F86" i="42"/>
  <c r="H86" i="42"/>
  <c r="I86" i="42"/>
  <c r="M86" i="42" s="1"/>
  <c r="J86" i="42"/>
  <c r="K86" i="42"/>
  <c r="F87" i="42"/>
  <c r="H87" i="42"/>
  <c r="I87" i="42"/>
  <c r="M87" i="42" s="1"/>
  <c r="J87" i="42"/>
  <c r="K87" i="42"/>
  <c r="H88" i="42"/>
  <c r="L88" i="42" s="1"/>
  <c r="CA88" i="42" s="1"/>
  <c r="I88" i="42"/>
  <c r="M88" i="42" s="1"/>
  <c r="J88" i="42"/>
  <c r="K88" i="42"/>
  <c r="F89" i="42"/>
  <c r="H89" i="42"/>
  <c r="L89" i="42" s="1"/>
  <c r="CA89" i="42" s="1"/>
  <c r="I89" i="42"/>
  <c r="M89" i="42" s="1"/>
  <c r="S89" i="42" s="1"/>
  <c r="J89" i="42"/>
  <c r="K89" i="42"/>
  <c r="F90" i="42"/>
  <c r="H90" i="42"/>
  <c r="U90" i="42" s="1"/>
  <c r="I90" i="42"/>
  <c r="M90" i="42" s="1"/>
  <c r="J90" i="42"/>
  <c r="K90" i="42"/>
  <c r="B80" i="42"/>
  <c r="B81" i="42"/>
  <c r="B82" i="42"/>
  <c r="B83" i="42"/>
  <c r="B84" i="42"/>
  <c r="B85" i="42"/>
  <c r="B86" i="42"/>
  <c r="B87" i="42"/>
  <c r="B88" i="42"/>
  <c r="B89" i="42"/>
  <c r="B90" i="42"/>
  <c r="B821" i="37"/>
  <c r="F821" i="37"/>
  <c r="G821" i="37"/>
  <c r="H821" i="37"/>
  <c r="I821" i="37"/>
  <c r="B822" i="37"/>
  <c r="F822" i="37"/>
  <c r="G822" i="37"/>
  <c r="AC822" i="37" s="1"/>
  <c r="H822" i="37"/>
  <c r="I822" i="37"/>
  <c r="K822" i="37" s="1"/>
  <c r="B823" i="37"/>
  <c r="F823" i="37"/>
  <c r="G823" i="37"/>
  <c r="AD823" i="37" s="1"/>
  <c r="H823" i="37"/>
  <c r="I823" i="37"/>
  <c r="Q823" i="37" s="1"/>
  <c r="B824" i="37"/>
  <c r="F824" i="37"/>
  <c r="G824" i="37"/>
  <c r="AC824" i="37" s="1"/>
  <c r="H824" i="37"/>
  <c r="I824" i="37"/>
  <c r="B825" i="37"/>
  <c r="F825" i="37"/>
  <c r="G825" i="37"/>
  <c r="AD825" i="37" s="1"/>
  <c r="H825" i="37"/>
  <c r="I825" i="37"/>
  <c r="B826" i="37"/>
  <c r="F826" i="37"/>
  <c r="G826" i="37"/>
  <c r="AC826" i="37" s="1"/>
  <c r="H826" i="37"/>
  <c r="I826" i="37"/>
  <c r="B827" i="37"/>
  <c r="F827" i="37"/>
  <c r="G827" i="37"/>
  <c r="AC827" i="37" s="1"/>
  <c r="H827" i="37"/>
  <c r="I827" i="37"/>
  <c r="B828" i="37"/>
  <c r="F828" i="37"/>
  <c r="G828" i="37"/>
  <c r="AC828" i="37" s="1"/>
  <c r="H828" i="37"/>
  <c r="I828" i="37"/>
  <c r="B829" i="37"/>
  <c r="F829" i="37"/>
  <c r="G829" i="37"/>
  <c r="AD829" i="37" s="1"/>
  <c r="H829" i="37"/>
  <c r="I829" i="37"/>
  <c r="B830" i="37"/>
  <c r="F830" i="37"/>
  <c r="G830" i="37"/>
  <c r="AC830" i="37" s="1"/>
  <c r="H830" i="37"/>
  <c r="I830" i="37"/>
  <c r="B831" i="37"/>
  <c r="F831" i="37"/>
  <c r="G831" i="37"/>
  <c r="AC831" i="37" s="1"/>
  <c r="H831" i="37"/>
  <c r="I831" i="37"/>
  <c r="B832" i="37"/>
  <c r="F832" i="37"/>
  <c r="G832" i="37"/>
  <c r="AC832" i="37" s="1"/>
  <c r="H832" i="37"/>
  <c r="I832" i="37"/>
  <c r="B833" i="37"/>
  <c r="F833" i="37"/>
  <c r="G833" i="37"/>
  <c r="AD833" i="37" s="1"/>
  <c r="H833" i="37"/>
  <c r="I833" i="37"/>
  <c r="B834" i="37"/>
  <c r="F834" i="37"/>
  <c r="G834" i="37"/>
  <c r="AC834" i="37" s="1"/>
  <c r="H834" i="37"/>
  <c r="I834" i="37"/>
  <c r="B835" i="37"/>
  <c r="F835" i="37"/>
  <c r="G835" i="37"/>
  <c r="AD835" i="37" s="1"/>
  <c r="H835" i="37"/>
  <c r="I835" i="37"/>
  <c r="M309" i="50" l="1"/>
  <c r="S90" i="42"/>
  <c r="AC825" i="37"/>
  <c r="Q825" i="37"/>
  <c r="AC823" i="37"/>
  <c r="O821" i="37"/>
  <c r="Q831" i="37"/>
  <c r="Q833" i="37"/>
  <c r="R827" i="37"/>
  <c r="Q827" i="37"/>
  <c r="Q835" i="37"/>
  <c r="K832" i="37"/>
  <c r="Q829" i="37"/>
  <c r="O835" i="37"/>
  <c r="AD834" i="37"/>
  <c r="AD830" i="37"/>
  <c r="O829" i="37"/>
  <c r="AD828" i="37"/>
  <c r="R835" i="37"/>
  <c r="L834" i="37"/>
  <c r="R831" i="37"/>
  <c r="L830" i="37"/>
  <c r="K828" i="37"/>
  <c r="O827" i="37"/>
  <c r="AD826" i="37"/>
  <c r="O833" i="37"/>
  <c r="L826" i="37"/>
  <c r="M834" i="37"/>
  <c r="S834" i="37" s="1"/>
  <c r="R833" i="37"/>
  <c r="R829" i="37"/>
  <c r="AD824" i="37"/>
  <c r="Q821" i="37"/>
  <c r="M832" i="37"/>
  <c r="S832" i="37" s="1"/>
  <c r="L824" i="37"/>
  <c r="R823" i="37"/>
  <c r="R821" i="37"/>
  <c r="AD832" i="37"/>
  <c r="O825" i="37"/>
  <c r="AD822" i="37"/>
  <c r="AC821" i="37"/>
  <c r="AC833" i="37"/>
  <c r="K833" i="37"/>
  <c r="AC829" i="37"/>
  <c r="K829" i="37"/>
  <c r="AD821" i="37"/>
  <c r="AC835" i="37"/>
  <c r="K835" i="37"/>
  <c r="K834" i="37"/>
  <c r="AD831" i="37"/>
  <c r="K831" i="37"/>
  <c r="K830" i="37"/>
  <c r="AD827" i="37"/>
  <c r="K827" i="37"/>
  <c r="K826" i="37"/>
  <c r="R825" i="37"/>
  <c r="M830" i="37"/>
  <c r="S830" i="37" s="1"/>
  <c r="K824" i="37"/>
  <c r="S88" i="42"/>
  <c r="S87" i="42"/>
  <c r="U86" i="42"/>
  <c r="O90" i="42"/>
  <c r="U85" i="42"/>
  <c r="U81" i="42"/>
  <c r="U82" i="42"/>
  <c r="U87" i="42"/>
  <c r="U83" i="42"/>
  <c r="AQ81" i="42"/>
  <c r="V81" i="42"/>
  <c r="AP81" i="42"/>
  <c r="V80" i="42"/>
  <c r="O80" i="42"/>
  <c r="P80" i="42"/>
  <c r="BE80" i="42" s="1"/>
  <c r="P84" i="42"/>
  <c r="BE84" i="42" s="1"/>
  <c r="O84" i="42"/>
  <c r="BV88" i="42"/>
  <c r="BW88" i="42"/>
  <c r="BX88" i="42"/>
  <c r="BY88" i="42"/>
  <c r="AQ87" i="42"/>
  <c r="V87" i="42"/>
  <c r="AP87" i="42"/>
  <c r="BV84" i="42"/>
  <c r="BW84" i="42"/>
  <c r="BX80" i="42"/>
  <c r="BV80" i="42"/>
  <c r="BW80" i="42"/>
  <c r="O86" i="42"/>
  <c r="AQ86" i="42"/>
  <c r="P86" i="42"/>
  <c r="BE86" i="42" s="1"/>
  <c r="V86" i="42"/>
  <c r="S86" i="42"/>
  <c r="AP86" i="42"/>
  <c r="O82" i="42"/>
  <c r="AP82" i="42"/>
  <c r="P82" i="42"/>
  <c r="BE82" i="42" s="1"/>
  <c r="V82" i="42"/>
  <c r="AQ82" i="42"/>
  <c r="L90" i="42"/>
  <c r="CA90" i="42" s="1"/>
  <c r="U88" i="42"/>
  <c r="L87" i="42"/>
  <c r="BW87" i="42" s="1"/>
  <c r="L85" i="42"/>
  <c r="L81" i="42"/>
  <c r="U89" i="42"/>
  <c r="L86" i="42"/>
  <c r="CA86" i="42" s="1"/>
  <c r="U84" i="42"/>
  <c r="L83" i="42"/>
  <c r="L82" i="42"/>
  <c r="CA82" i="42" s="1"/>
  <c r="U80" i="42"/>
  <c r="P318" i="50"/>
  <c r="AU316" i="50"/>
  <c r="AN319" i="50"/>
  <c r="AC316" i="50"/>
  <c r="AT313" i="50"/>
  <c r="AT312" i="50"/>
  <c r="AT318" i="50"/>
  <c r="AU310" i="50"/>
  <c r="M320" i="50"/>
  <c r="S320" i="50"/>
  <c r="P320" i="50"/>
  <c r="V320" i="50"/>
  <c r="AB320" i="50"/>
  <c r="AN320" i="50"/>
  <c r="Q320" i="50"/>
  <c r="W320" i="50"/>
  <c r="AC320" i="50"/>
  <c r="AO320" i="50"/>
  <c r="N320" i="50"/>
  <c r="T320" i="50"/>
  <c r="P315" i="50"/>
  <c r="V315" i="50"/>
  <c r="AB315" i="50"/>
  <c r="Q315" i="50"/>
  <c r="AC315" i="50"/>
  <c r="W315" i="50"/>
  <c r="M315" i="50"/>
  <c r="S315" i="50"/>
  <c r="AN315" i="50"/>
  <c r="N315" i="50"/>
  <c r="T315" i="50"/>
  <c r="AO315" i="50"/>
  <c r="T321" i="50"/>
  <c r="S317" i="50"/>
  <c r="AU324" i="50"/>
  <c r="AT324" i="50"/>
  <c r="AU322" i="50"/>
  <c r="AU321" i="50"/>
  <c r="AT321" i="50"/>
  <c r="N318" i="50"/>
  <c r="T318" i="50"/>
  <c r="AO318" i="50"/>
  <c r="Q318" i="50"/>
  <c r="W318" i="50"/>
  <c r="AC318" i="50"/>
  <c r="M318" i="50"/>
  <c r="S318" i="50"/>
  <c r="AN318" i="50"/>
  <c r="AT320" i="50"/>
  <c r="AU319" i="50"/>
  <c r="AT319" i="50"/>
  <c r="M316" i="50"/>
  <c r="S316" i="50"/>
  <c r="AB316" i="50"/>
  <c r="N316" i="50"/>
  <c r="T316" i="50"/>
  <c r="P316" i="50"/>
  <c r="V316" i="50"/>
  <c r="AN316" i="50"/>
  <c r="Q316" i="50"/>
  <c r="W316" i="50"/>
  <c r="AO316" i="50"/>
  <c r="Q324" i="50"/>
  <c r="W324" i="50"/>
  <c r="AB324" i="50"/>
  <c r="AF324" i="50"/>
  <c r="AP324" i="50"/>
  <c r="AQ324" i="50" s="1"/>
  <c r="AR324" i="50" s="1"/>
  <c r="N324" i="50"/>
  <c r="T324" i="50"/>
  <c r="Y324" i="50"/>
  <c r="AD324" i="50"/>
  <c r="AN324" i="50"/>
  <c r="P324" i="50"/>
  <c r="V324" i="50"/>
  <c r="Z324" i="50"/>
  <c r="AE324" i="50"/>
  <c r="AO324" i="50"/>
  <c r="AU317" i="50"/>
  <c r="AT317" i="50"/>
  <c r="Q314" i="50"/>
  <c r="W314" i="50"/>
  <c r="AC314" i="50"/>
  <c r="AN314" i="50"/>
  <c r="M314" i="50"/>
  <c r="S314" i="50"/>
  <c r="AO314" i="50"/>
  <c r="N314" i="50"/>
  <c r="T314" i="50"/>
  <c r="P314" i="50"/>
  <c r="V314" i="50"/>
  <c r="AB314" i="50"/>
  <c r="Q313" i="50"/>
  <c r="W313" i="50"/>
  <c r="AO313" i="50"/>
  <c r="M313" i="50"/>
  <c r="S313" i="50"/>
  <c r="AB313" i="50"/>
  <c r="N313" i="50"/>
  <c r="T313" i="50"/>
  <c r="AC313" i="50"/>
  <c r="P313" i="50"/>
  <c r="V313" i="50"/>
  <c r="AN313" i="50"/>
  <c r="P312" i="50"/>
  <c r="V312" i="50"/>
  <c r="AB312" i="50"/>
  <c r="AO312" i="50"/>
  <c r="Q312" i="50"/>
  <c r="W312" i="50"/>
  <c r="AC312" i="50"/>
  <c r="M312" i="50"/>
  <c r="S312" i="50"/>
  <c r="N312" i="50"/>
  <c r="T312" i="50"/>
  <c r="AN312" i="50"/>
  <c r="M311" i="50"/>
  <c r="S311" i="50"/>
  <c r="AB311" i="50"/>
  <c r="AN311" i="50"/>
  <c r="N311" i="50"/>
  <c r="T311" i="50"/>
  <c r="AC311" i="50"/>
  <c r="AO311" i="50"/>
  <c r="P311" i="50"/>
  <c r="V311" i="50"/>
  <c r="Q311" i="50"/>
  <c r="W311" i="50"/>
  <c r="AC324" i="50"/>
  <c r="AT322" i="50"/>
  <c r="M317" i="50"/>
  <c r="N322" i="50"/>
  <c r="T322" i="50"/>
  <c r="AO322" i="50"/>
  <c r="Q322" i="50"/>
  <c r="W322" i="50"/>
  <c r="AC322" i="50"/>
  <c r="M322" i="50"/>
  <c r="S322" i="50"/>
  <c r="AN322" i="50"/>
  <c r="M321" i="50"/>
  <c r="S321" i="50"/>
  <c r="AB321" i="50"/>
  <c r="P321" i="50"/>
  <c r="V321" i="50"/>
  <c r="AO321" i="50"/>
  <c r="Q321" i="50"/>
  <c r="W321" i="50"/>
  <c r="AT315" i="50"/>
  <c r="AU315" i="50"/>
  <c r="P310" i="50"/>
  <c r="V310" i="50"/>
  <c r="AB310" i="50"/>
  <c r="Q310" i="50"/>
  <c r="W310" i="50"/>
  <c r="AC310" i="50"/>
  <c r="M310" i="50"/>
  <c r="S310" i="50"/>
  <c r="AN310" i="50"/>
  <c r="N310" i="50"/>
  <c r="T310" i="50"/>
  <c r="AO310" i="50"/>
  <c r="M308" i="50"/>
  <c r="S308" i="50"/>
  <c r="AB308" i="50"/>
  <c r="N308" i="50"/>
  <c r="T308" i="50"/>
  <c r="AC308" i="50"/>
  <c r="P308" i="50"/>
  <c r="V308" i="50"/>
  <c r="AN308" i="50"/>
  <c r="Q308" i="50"/>
  <c r="W308" i="50"/>
  <c r="AO308" i="50"/>
  <c r="X324" i="50"/>
  <c r="AB322" i="50"/>
  <c r="AN321" i="50"/>
  <c r="AU320" i="50"/>
  <c r="S319" i="50"/>
  <c r="AB318" i="50"/>
  <c r="Q317" i="50"/>
  <c r="W317" i="50"/>
  <c r="AC317" i="50"/>
  <c r="N317" i="50"/>
  <c r="T317" i="50"/>
  <c r="AO317" i="50"/>
  <c r="P317" i="50"/>
  <c r="V317" i="50"/>
  <c r="AB317" i="50"/>
  <c r="AT311" i="50"/>
  <c r="AU311" i="50"/>
  <c r="AT308" i="50"/>
  <c r="AU308" i="50"/>
  <c r="S324" i="50"/>
  <c r="V322" i="50"/>
  <c r="AC321" i="50"/>
  <c r="M319" i="50"/>
  <c r="V318" i="50"/>
  <c r="AC319" i="50"/>
  <c r="V319" i="50"/>
  <c r="P319" i="50"/>
  <c r="AU314" i="50"/>
  <c r="AU309" i="50"/>
  <c r="AC309" i="50"/>
  <c r="W309" i="50"/>
  <c r="Q309" i="50"/>
  <c r="AO319" i="50"/>
  <c r="AB319" i="50"/>
  <c r="T319" i="50"/>
  <c r="N319" i="50"/>
  <c r="AU318" i="50"/>
  <c r="AT314" i="50"/>
  <c r="AU313" i="50"/>
  <c r="AU312" i="50"/>
  <c r="AT309" i="50"/>
  <c r="AB309" i="50"/>
  <c r="V309" i="50"/>
  <c r="P309" i="50"/>
  <c r="AO309" i="50"/>
  <c r="T309" i="50"/>
  <c r="N309" i="50"/>
  <c r="W319" i="50"/>
  <c r="AN309" i="50"/>
  <c r="S309" i="50"/>
  <c r="O831" i="37"/>
  <c r="O823" i="37"/>
  <c r="AQ89" i="42"/>
  <c r="AQ88" i="42"/>
  <c r="O83" i="42"/>
  <c r="P83" i="42"/>
  <c r="S83" i="42"/>
  <c r="AQ83" i="42"/>
  <c r="AP83" i="42"/>
  <c r="V90" i="42"/>
  <c r="V84" i="42"/>
  <c r="AP84" i="42"/>
  <c r="AQ84" i="42"/>
  <c r="V88" i="42"/>
  <c r="BX84" i="42"/>
  <c r="BY84" i="42"/>
  <c r="AP88" i="42"/>
  <c r="P90" i="42"/>
  <c r="O89" i="42"/>
  <c r="R89" i="42" s="1"/>
  <c r="V89" i="42"/>
  <c r="P89" i="42"/>
  <c r="AP89" i="42"/>
  <c r="AP90" i="42"/>
  <c r="BW89" i="42"/>
  <c r="BV89" i="42"/>
  <c r="BX89" i="42"/>
  <c r="BY89" i="42"/>
  <c r="P88" i="42"/>
  <c r="V83" i="42"/>
  <c r="AQ90" i="42"/>
  <c r="O85" i="42"/>
  <c r="P85" i="42"/>
  <c r="S85" i="42"/>
  <c r="V85" i="42"/>
  <c r="AP85" i="42"/>
  <c r="AQ85" i="42"/>
  <c r="O88" i="42"/>
  <c r="R88" i="42" s="1"/>
  <c r="O87" i="42"/>
  <c r="R87" i="42" s="1"/>
  <c r="P87" i="42"/>
  <c r="O81" i="42"/>
  <c r="P81" i="42"/>
  <c r="BW81" i="42"/>
  <c r="BY80" i="42"/>
  <c r="AQ80" i="42"/>
  <c r="AP80" i="42"/>
  <c r="N834" i="37"/>
  <c r="Q834" i="37"/>
  <c r="O834" i="37"/>
  <c r="R834" i="37"/>
  <c r="M826" i="37"/>
  <c r="S826" i="37" s="1"/>
  <c r="N826" i="37"/>
  <c r="O826" i="37"/>
  <c r="Q826" i="37"/>
  <c r="R826" i="37"/>
  <c r="M828" i="37"/>
  <c r="S828" i="37" s="1"/>
  <c r="N828" i="37"/>
  <c r="O828" i="37"/>
  <c r="Q828" i="37"/>
  <c r="R828" i="37"/>
  <c r="N830" i="37"/>
  <c r="R830" i="37"/>
  <c r="O830" i="37"/>
  <c r="Q830" i="37"/>
  <c r="N832" i="37"/>
  <c r="Q832" i="37"/>
  <c r="R832" i="37"/>
  <c r="O832" i="37"/>
  <c r="M824" i="37"/>
  <c r="N824" i="37"/>
  <c r="O824" i="37"/>
  <c r="Q824" i="37"/>
  <c r="R824" i="37"/>
  <c r="L822" i="37"/>
  <c r="M822" i="37"/>
  <c r="S822" i="37" s="1"/>
  <c r="N822" i="37"/>
  <c r="O822" i="37"/>
  <c r="Q822" i="37"/>
  <c r="R822" i="37"/>
  <c r="L832" i="37"/>
  <c r="L828" i="37"/>
  <c r="N835" i="37"/>
  <c r="N833" i="37"/>
  <c r="N831" i="37"/>
  <c r="N829" i="37"/>
  <c r="N827" i="37"/>
  <c r="N825" i="37"/>
  <c r="N823" i="37"/>
  <c r="N821" i="37"/>
  <c r="M835" i="37"/>
  <c r="M833" i="37"/>
  <c r="M831" i="37"/>
  <c r="M829" i="37"/>
  <c r="M827" i="37"/>
  <c r="M825" i="37"/>
  <c r="M823" i="37"/>
  <c r="M821" i="37"/>
  <c r="L835" i="37"/>
  <c r="L833" i="37"/>
  <c r="L831" i="37"/>
  <c r="L829" i="37"/>
  <c r="L827" i="37"/>
  <c r="L825" i="37"/>
  <c r="L823" i="37"/>
  <c r="L821" i="37"/>
  <c r="K825" i="37"/>
  <c r="K823" i="37"/>
  <c r="K821" i="37"/>
  <c r="BW83" i="42" l="1"/>
  <c r="CA83" i="42"/>
  <c r="BX81" i="42"/>
  <c r="CA81" i="42"/>
  <c r="BY85" i="42"/>
  <c r="CA85" i="42"/>
  <c r="BY87" i="42"/>
  <c r="CA87" i="42"/>
  <c r="T828" i="37"/>
  <c r="T832" i="37"/>
  <c r="U832" i="37" s="1"/>
  <c r="T826" i="37"/>
  <c r="U826" i="37" s="1"/>
  <c r="T822" i="37"/>
  <c r="U822" i="37" s="1"/>
  <c r="U828" i="37"/>
  <c r="AH316" i="50"/>
  <c r="BD90" i="42"/>
  <c r="R90" i="42"/>
  <c r="BX86" i="42"/>
  <c r="BV87" i="42"/>
  <c r="BY83" i="42"/>
  <c r="BV81" i="42"/>
  <c r="BY81" i="42"/>
  <c r="BX87" i="42"/>
  <c r="BX83" i="42"/>
  <c r="BV85" i="42"/>
  <c r="AJ324" i="50"/>
  <c r="AI308" i="50"/>
  <c r="AI318" i="50"/>
  <c r="AK324" i="50"/>
  <c r="BV83" i="42"/>
  <c r="AI316" i="50"/>
  <c r="AI319" i="50"/>
  <c r="AH309" i="50"/>
  <c r="AH317" i="50"/>
  <c r="AH308" i="50"/>
  <c r="AH310" i="50"/>
  <c r="AI322" i="50"/>
  <c r="AI313" i="50"/>
  <c r="BV86" i="42"/>
  <c r="BX85" i="42"/>
  <c r="BW85" i="42"/>
  <c r="BY86" i="42"/>
  <c r="BW86" i="42"/>
  <c r="BV82" i="42"/>
  <c r="BX82" i="42"/>
  <c r="BY82" i="42"/>
  <c r="BW82" i="42"/>
  <c r="R86" i="42"/>
  <c r="BD86" i="42"/>
  <c r="BX90" i="42"/>
  <c r="BY90" i="42"/>
  <c r="BV90" i="42"/>
  <c r="BW90" i="42"/>
  <c r="R82" i="42"/>
  <c r="BD82" i="42"/>
  <c r="R84" i="42"/>
  <c r="BD84" i="42"/>
  <c r="BD80" i="42"/>
  <c r="R80" i="42"/>
  <c r="AI311" i="50"/>
  <c r="AH313" i="50"/>
  <c r="AH319" i="50"/>
  <c r="AI309" i="50"/>
  <c r="AI315" i="50"/>
  <c r="AI310" i="50"/>
  <c r="AH314" i="50"/>
  <c r="AI324" i="50"/>
  <c r="AI321" i="50"/>
  <c r="AH321" i="50"/>
  <c r="AI312" i="50"/>
  <c r="AH312" i="50"/>
  <c r="AI314" i="50"/>
  <c r="AH324" i="50"/>
  <c r="AH315" i="50"/>
  <c r="AI320" i="50"/>
  <c r="AH320" i="50"/>
  <c r="AH318" i="50"/>
  <c r="AH322" i="50"/>
  <c r="AI317" i="50"/>
  <c r="AH311" i="50"/>
  <c r="AL324" i="50"/>
  <c r="T830" i="37"/>
  <c r="U830" i="37" s="1"/>
  <c r="T834" i="37"/>
  <c r="U834" i="37" s="1"/>
  <c r="BE83" i="42"/>
  <c r="R85" i="42"/>
  <c r="BD85" i="42"/>
  <c r="BD89" i="42"/>
  <c r="R83" i="42"/>
  <c r="BD83" i="42"/>
  <c r="BE87" i="42"/>
  <c r="BD88" i="42"/>
  <c r="BE90" i="42"/>
  <c r="BD81" i="42"/>
  <c r="R81" i="42"/>
  <c r="BD87" i="42"/>
  <c r="BE81" i="42"/>
  <c r="BE88" i="42"/>
  <c r="BE85" i="42"/>
  <c r="BE89" i="42"/>
  <c r="S825" i="37"/>
  <c r="T825" i="37" s="1"/>
  <c r="U825" i="37" s="1"/>
  <c r="S827" i="37"/>
  <c r="T827" i="37" s="1"/>
  <c r="U827" i="37" s="1"/>
  <c r="S829" i="37"/>
  <c r="T829" i="37" s="1"/>
  <c r="U829" i="37" s="1"/>
  <c r="S831" i="37"/>
  <c r="T831" i="37" s="1"/>
  <c r="U831" i="37" s="1"/>
  <c r="S833" i="37"/>
  <c r="T833" i="37" s="1"/>
  <c r="U833" i="37" s="1"/>
  <c r="S835" i="37"/>
  <c r="T835" i="37" s="1"/>
  <c r="U835" i="37" s="1"/>
  <c r="S824" i="37"/>
  <c r="T824" i="37" s="1"/>
  <c r="U824" i="37" s="1"/>
  <c r="S823" i="37"/>
  <c r="T823" i="37" s="1"/>
  <c r="U823" i="37" s="1"/>
  <c r="S821" i="37"/>
  <c r="T821" i="37" s="1"/>
  <c r="U821" i="37" s="1"/>
  <c r="S82" i="42" l="1"/>
  <c r="S84" i="42"/>
  <c r="S81" i="42"/>
  <c r="S80" i="42"/>
  <c r="L20" i="32" l="1"/>
  <c r="L21" i="32"/>
  <c r="L22" i="32"/>
  <c r="L23" i="32"/>
  <c r="L24" i="32"/>
  <c r="L25" i="32"/>
  <c r="L26" i="32"/>
  <c r="L27" i="32"/>
  <c r="L28" i="32"/>
  <c r="L29" i="32"/>
  <c r="L30" i="32"/>
  <c r="L31" i="32"/>
  <c r="L34" i="32"/>
  <c r="L35" i="32"/>
  <c r="L36" i="32"/>
  <c r="L37" i="32"/>
  <c r="L38" i="32"/>
  <c r="L19" i="32"/>
  <c r="L52" i="32" l="1"/>
  <c r="B554" i="40"/>
  <c r="D554" i="40"/>
  <c r="F1428" i="40" s="1"/>
  <c r="E554" i="40"/>
  <c r="F554" i="40"/>
  <c r="G554" i="40"/>
  <c r="E1428" i="40" s="1"/>
  <c r="B555" i="40"/>
  <c r="D555" i="40"/>
  <c r="F1429" i="40" s="1"/>
  <c r="E555" i="40"/>
  <c r="F555" i="40"/>
  <c r="G555" i="40"/>
  <c r="E1429" i="40" s="1"/>
  <c r="B556" i="40"/>
  <c r="D556" i="40"/>
  <c r="F1430" i="40" s="1"/>
  <c r="E556" i="40"/>
  <c r="F556" i="40"/>
  <c r="G556" i="40"/>
  <c r="E1430" i="40" s="1"/>
  <c r="B557" i="40"/>
  <c r="D557" i="40"/>
  <c r="F1431" i="40" s="1"/>
  <c r="E557" i="40"/>
  <c r="F557" i="40"/>
  <c r="G557" i="40"/>
  <c r="E1431" i="40" s="1"/>
  <c r="B558" i="40"/>
  <c r="D558" i="40"/>
  <c r="F1432" i="40" s="1"/>
  <c r="E558" i="40"/>
  <c r="F558" i="40"/>
  <c r="G558" i="40"/>
  <c r="E1432" i="40" s="1"/>
  <c r="B559" i="40"/>
  <c r="D559" i="40"/>
  <c r="F1433" i="40" s="1"/>
  <c r="E559" i="40"/>
  <c r="F559" i="40"/>
  <c r="G559" i="40"/>
  <c r="E1433" i="40" s="1"/>
  <c r="B560" i="40"/>
  <c r="D560" i="40"/>
  <c r="F1434" i="40" s="1"/>
  <c r="E560" i="40"/>
  <c r="F560" i="40"/>
  <c r="G560" i="40"/>
  <c r="E1434" i="40" s="1"/>
  <c r="B561" i="40"/>
  <c r="D561" i="40"/>
  <c r="F1435" i="40" s="1"/>
  <c r="E561" i="40"/>
  <c r="F561" i="40"/>
  <c r="G561" i="40"/>
  <c r="E1435" i="40" s="1"/>
  <c r="B562" i="40"/>
  <c r="D562" i="40"/>
  <c r="F1436" i="40" s="1"/>
  <c r="E562" i="40"/>
  <c r="F562" i="40"/>
  <c r="G562" i="40"/>
  <c r="E1436" i="40" s="1"/>
  <c r="B563" i="40"/>
  <c r="D563" i="40"/>
  <c r="F1437" i="40" s="1"/>
  <c r="E563" i="40"/>
  <c r="F563" i="40"/>
  <c r="G563" i="40"/>
  <c r="E1437" i="40" s="1"/>
  <c r="B564" i="40"/>
  <c r="D564" i="40"/>
  <c r="F1438" i="40" s="1"/>
  <c r="E564" i="40"/>
  <c r="F564" i="40"/>
  <c r="G564" i="40"/>
  <c r="E1438" i="40" s="1"/>
  <c r="B565" i="40"/>
  <c r="D565" i="40"/>
  <c r="F1439" i="40" s="1"/>
  <c r="E565" i="40"/>
  <c r="F565" i="40"/>
  <c r="G565" i="40"/>
  <c r="E1439" i="40" s="1"/>
  <c r="B566" i="40"/>
  <c r="D566" i="40"/>
  <c r="F1440" i="40" s="1"/>
  <c r="E566" i="40"/>
  <c r="F566" i="40"/>
  <c r="G566" i="40"/>
  <c r="E1440" i="40" s="1"/>
  <c r="B567" i="40"/>
  <c r="D567" i="40"/>
  <c r="F1441" i="40" s="1"/>
  <c r="E567" i="40"/>
  <c r="F567" i="40"/>
  <c r="G567" i="40"/>
  <c r="E1441" i="40" s="1"/>
  <c r="B568" i="40"/>
  <c r="D568" i="40"/>
  <c r="F1442" i="40" s="1"/>
  <c r="E568" i="40"/>
  <c r="F568" i="40"/>
  <c r="G568" i="40"/>
  <c r="E1442" i="40" s="1"/>
  <c r="B569" i="40"/>
  <c r="D569" i="40"/>
  <c r="F1443" i="40" s="1"/>
  <c r="E569" i="40"/>
  <c r="F569" i="40"/>
  <c r="G569" i="40"/>
  <c r="E1443" i="40" s="1"/>
  <c r="B570" i="40"/>
  <c r="D570" i="40"/>
  <c r="F1444" i="40" s="1"/>
  <c r="E570" i="40"/>
  <c r="F570" i="40"/>
  <c r="G570" i="40"/>
  <c r="E1444" i="40" s="1"/>
  <c r="B571" i="40"/>
  <c r="D571" i="40"/>
  <c r="F1445" i="40" s="1"/>
  <c r="E571" i="40"/>
  <c r="F571" i="40"/>
  <c r="G571" i="40"/>
  <c r="E1445" i="40" s="1"/>
  <c r="B572" i="40"/>
  <c r="D572" i="40"/>
  <c r="F1446" i="40" s="1"/>
  <c r="E572" i="40"/>
  <c r="F572" i="40"/>
  <c r="G572" i="40"/>
  <c r="E1446" i="40" s="1"/>
  <c r="B573" i="40"/>
  <c r="D573" i="40"/>
  <c r="F1447" i="40" s="1"/>
  <c r="E573" i="40"/>
  <c r="F573" i="40"/>
  <c r="G573" i="40"/>
  <c r="E1447" i="40" s="1"/>
  <c r="B574" i="40"/>
  <c r="D574" i="40"/>
  <c r="F1448" i="40" s="1"/>
  <c r="E574" i="40"/>
  <c r="F574" i="40"/>
  <c r="G574" i="40"/>
  <c r="E1448" i="40" s="1"/>
  <c r="B575" i="40"/>
  <c r="D575" i="40"/>
  <c r="F1449" i="40" s="1"/>
  <c r="E575" i="40"/>
  <c r="F575" i="40"/>
  <c r="G575" i="40"/>
  <c r="E1449" i="40" s="1"/>
  <c r="B576" i="40"/>
  <c r="D576" i="40"/>
  <c r="F1450" i="40" s="1"/>
  <c r="E576" i="40"/>
  <c r="F576" i="40"/>
  <c r="G576" i="40"/>
  <c r="E1450" i="40" s="1"/>
  <c r="B577" i="40"/>
  <c r="D577" i="40"/>
  <c r="F1451" i="40" s="1"/>
  <c r="E577" i="40"/>
  <c r="F577" i="40"/>
  <c r="G577" i="40"/>
  <c r="E1451" i="40" s="1"/>
  <c r="B578" i="40"/>
  <c r="D578" i="40"/>
  <c r="F1452" i="40" s="1"/>
  <c r="E578" i="40"/>
  <c r="F578" i="40"/>
  <c r="G578" i="40"/>
  <c r="E1452" i="40" s="1"/>
  <c r="B579" i="40"/>
  <c r="D579" i="40"/>
  <c r="F1453" i="40" s="1"/>
  <c r="E579" i="40"/>
  <c r="F579" i="40"/>
  <c r="G579" i="40"/>
  <c r="E1453" i="40" s="1"/>
  <c r="B580" i="40"/>
  <c r="D580" i="40"/>
  <c r="F1454" i="40" s="1"/>
  <c r="E580" i="40"/>
  <c r="F580" i="40"/>
  <c r="G580" i="40"/>
  <c r="E1454" i="40" s="1"/>
  <c r="B581" i="40"/>
  <c r="D581" i="40"/>
  <c r="F1455" i="40" s="1"/>
  <c r="E581" i="40"/>
  <c r="F581" i="40"/>
  <c r="G581" i="40"/>
  <c r="E1455" i="40" s="1"/>
  <c r="B582" i="40"/>
  <c r="D582" i="40"/>
  <c r="F1456" i="40" s="1"/>
  <c r="E582" i="40"/>
  <c r="F582" i="40"/>
  <c r="G582" i="40"/>
  <c r="E1456" i="40" s="1"/>
  <c r="B583" i="40"/>
  <c r="D583" i="40"/>
  <c r="F1457" i="40" s="1"/>
  <c r="E583" i="40"/>
  <c r="F583" i="40"/>
  <c r="G583" i="40"/>
  <c r="E1457" i="40" s="1"/>
  <c r="B584" i="40"/>
  <c r="D584" i="40"/>
  <c r="F1458" i="40" s="1"/>
  <c r="E584" i="40"/>
  <c r="F584" i="40"/>
  <c r="G584" i="40"/>
  <c r="E1458" i="40" s="1"/>
  <c r="B585" i="40"/>
  <c r="D585" i="40"/>
  <c r="F1459" i="40" s="1"/>
  <c r="E585" i="40"/>
  <c r="F585" i="40"/>
  <c r="G585" i="40"/>
  <c r="E1459" i="40" s="1"/>
  <c r="B586" i="40"/>
  <c r="D586" i="40"/>
  <c r="F1460" i="40" s="1"/>
  <c r="E586" i="40"/>
  <c r="F586" i="40"/>
  <c r="G586" i="40"/>
  <c r="E1460" i="40" s="1"/>
  <c r="B587" i="40"/>
  <c r="D587" i="40"/>
  <c r="F1461" i="40" s="1"/>
  <c r="E587" i="40"/>
  <c r="F587" i="40"/>
  <c r="G587" i="40"/>
  <c r="E1461" i="40" s="1"/>
  <c r="B588" i="40"/>
  <c r="D588" i="40"/>
  <c r="F1462" i="40" s="1"/>
  <c r="E588" i="40"/>
  <c r="F588" i="40"/>
  <c r="G588" i="40"/>
  <c r="E1462" i="40" s="1"/>
  <c r="B589" i="40"/>
  <c r="D589" i="40"/>
  <c r="F1463" i="40" s="1"/>
  <c r="E589" i="40"/>
  <c r="F589" i="40"/>
  <c r="G589" i="40"/>
  <c r="E1463" i="40" s="1"/>
  <c r="B590" i="40"/>
  <c r="D590" i="40"/>
  <c r="F1464" i="40" s="1"/>
  <c r="E590" i="40"/>
  <c r="F590" i="40"/>
  <c r="G590" i="40"/>
  <c r="E1464" i="40" s="1"/>
  <c r="B591" i="40"/>
  <c r="D591" i="40"/>
  <c r="F1465" i="40" s="1"/>
  <c r="E591" i="40"/>
  <c r="F591" i="40"/>
  <c r="G591" i="40"/>
  <c r="E1465" i="40" s="1"/>
  <c r="B592" i="40"/>
  <c r="D592" i="40"/>
  <c r="F1466" i="40" s="1"/>
  <c r="E592" i="40"/>
  <c r="F592" i="40"/>
  <c r="G592" i="40"/>
  <c r="E1466" i="40" s="1"/>
  <c r="B593" i="40"/>
  <c r="D593" i="40"/>
  <c r="F1467" i="40" s="1"/>
  <c r="E593" i="40"/>
  <c r="F593" i="40"/>
  <c r="G593" i="40"/>
  <c r="E1467" i="40" s="1"/>
  <c r="B594" i="40"/>
  <c r="D594" i="40"/>
  <c r="F1468" i="40" s="1"/>
  <c r="E594" i="40"/>
  <c r="F594" i="40"/>
  <c r="G594" i="40"/>
  <c r="E1468" i="40" s="1"/>
  <c r="B595" i="40"/>
  <c r="D595" i="40"/>
  <c r="F1469" i="40" s="1"/>
  <c r="E595" i="40"/>
  <c r="F595" i="40"/>
  <c r="G595" i="40"/>
  <c r="E1469" i="40" s="1"/>
  <c r="B596" i="40"/>
  <c r="D596" i="40"/>
  <c r="F1470" i="40" s="1"/>
  <c r="E596" i="40"/>
  <c r="F596" i="40"/>
  <c r="G596" i="40"/>
  <c r="E1470" i="40" s="1"/>
  <c r="B597" i="40"/>
  <c r="D597" i="40"/>
  <c r="F1471" i="40" s="1"/>
  <c r="E597" i="40"/>
  <c r="F597" i="40"/>
  <c r="G597" i="40"/>
  <c r="E1471" i="40" s="1"/>
  <c r="B598" i="40"/>
  <c r="D598" i="40"/>
  <c r="F1472" i="40" s="1"/>
  <c r="E598" i="40"/>
  <c r="F598" i="40"/>
  <c r="G598" i="40"/>
  <c r="E1472" i="40" s="1"/>
  <c r="B599" i="40"/>
  <c r="D599" i="40"/>
  <c r="F1473" i="40" s="1"/>
  <c r="E599" i="40"/>
  <c r="F599" i="40"/>
  <c r="G599" i="40"/>
  <c r="E1473" i="40" s="1"/>
  <c r="B600" i="40"/>
  <c r="D600" i="40"/>
  <c r="F1474" i="40" s="1"/>
  <c r="E600" i="40"/>
  <c r="F600" i="40"/>
  <c r="G600" i="40"/>
  <c r="E1474" i="40" s="1"/>
  <c r="B601" i="40"/>
  <c r="D601" i="40"/>
  <c r="F1475" i="40" s="1"/>
  <c r="E601" i="40"/>
  <c r="F601" i="40"/>
  <c r="G601" i="40"/>
  <c r="E1475" i="40" s="1"/>
  <c r="B602" i="40"/>
  <c r="D602" i="40"/>
  <c r="F1476" i="40" s="1"/>
  <c r="E602" i="40"/>
  <c r="F602" i="40"/>
  <c r="G602" i="40"/>
  <c r="E1476" i="40" s="1"/>
  <c r="B603" i="40"/>
  <c r="D603" i="40"/>
  <c r="F1477" i="40" s="1"/>
  <c r="E603" i="40"/>
  <c r="F603" i="40"/>
  <c r="G603" i="40"/>
  <c r="E1477" i="40" s="1"/>
  <c r="B604" i="40"/>
  <c r="D604" i="40"/>
  <c r="F1478" i="40" s="1"/>
  <c r="E604" i="40"/>
  <c r="F604" i="40"/>
  <c r="G604" i="40"/>
  <c r="E1478" i="40" s="1"/>
  <c r="B605" i="40"/>
  <c r="D605" i="40"/>
  <c r="F1479" i="40" s="1"/>
  <c r="E605" i="40"/>
  <c r="F605" i="40"/>
  <c r="G605" i="40"/>
  <c r="E1479" i="40" s="1"/>
  <c r="B606" i="40"/>
  <c r="D606" i="40"/>
  <c r="F1480" i="40" s="1"/>
  <c r="E606" i="40"/>
  <c r="F606" i="40"/>
  <c r="G606" i="40"/>
  <c r="E1480" i="40" s="1"/>
  <c r="B607" i="40"/>
  <c r="D607" i="40"/>
  <c r="F1481" i="40" s="1"/>
  <c r="E607" i="40"/>
  <c r="F607" i="40"/>
  <c r="G607" i="40"/>
  <c r="E1481" i="40" s="1"/>
  <c r="B608" i="40"/>
  <c r="D608" i="40"/>
  <c r="F1482" i="40" s="1"/>
  <c r="E608" i="40"/>
  <c r="F608" i="40"/>
  <c r="G608" i="40"/>
  <c r="E1482" i="40" s="1"/>
  <c r="B609" i="40"/>
  <c r="D609" i="40"/>
  <c r="F1483" i="40" s="1"/>
  <c r="E609" i="40"/>
  <c r="F609" i="40"/>
  <c r="G609" i="40"/>
  <c r="E1483" i="40" s="1"/>
  <c r="B610" i="40"/>
  <c r="D610" i="40"/>
  <c r="F1484" i="40" s="1"/>
  <c r="E610" i="40"/>
  <c r="F610" i="40"/>
  <c r="G610" i="40"/>
  <c r="E1484" i="40" s="1"/>
  <c r="B611" i="40"/>
  <c r="D611" i="40"/>
  <c r="F1485" i="40" s="1"/>
  <c r="E611" i="40"/>
  <c r="F611" i="40"/>
  <c r="G611" i="40"/>
  <c r="E1485" i="40" s="1"/>
  <c r="B612" i="40"/>
  <c r="D612" i="40"/>
  <c r="F1486" i="40" s="1"/>
  <c r="E612" i="40"/>
  <c r="F612" i="40"/>
  <c r="G612" i="40"/>
  <c r="E1486" i="40" s="1"/>
  <c r="B613" i="40"/>
  <c r="D613" i="40"/>
  <c r="F1487" i="40" s="1"/>
  <c r="E613" i="40"/>
  <c r="F613" i="40"/>
  <c r="G613" i="40"/>
  <c r="E1487" i="40" s="1"/>
  <c r="B614" i="40"/>
  <c r="D614" i="40"/>
  <c r="F1488" i="40" s="1"/>
  <c r="E614" i="40"/>
  <c r="F614" i="40"/>
  <c r="G614" i="40"/>
  <c r="E1488" i="40" s="1"/>
  <c r="B615" i="40"/>
  <c r="D615" i="40"/>
  <c r="F1489" i="40" s="1"/>
  <c r="E615" i="40"/>
  <c r="F615" i="40"/>
  <c r="G615" i="40"/>
  <c r="E1489" i="40" s="1"/>
  <c r="B616" i="40"/>
  <c r="D616" i="40"/>
  <c r="F1490" i="40" s="1"/>
  <c r="E616" i="40"/>
  <c r="F616" i="40"/>
  <c r="G616" i="40"/>
  <c r="E1490" i="40" s="1"/>
  <c r="B617" i="40"/>
  <c r="D617" i="40"/>
  <c r="F1491" i="40" s="1"/>
  <c r="E617" i="40"/>
  <c r="F617" i="40"/>
  <c r="G617" i="40"/>
  <c r="E1491" i="40" s="1"/>
  <c r="B618" i="40"/>
  <c r="D618" i="40"/>
  <c r="F1492" i="40" s="1"/>
  <c r="E618" i="40"/>
  <c r="F618" i="40"/>
  <c r="G618" i="40"/>
  <c r="E1492" i="40" s="1"/>
  <c r="B619" i="40"/>
  <c r="D619" i="40"/>
  <c r="F1493" i="40" s="1"/>
  <c r="E619" i="40"/>
  <c r="F619" i="40"/>
  <c r="G619" i="40"/>
  <c r="E1493" i="40" s="1"/>
  <c r="B620" i="40"/>
  <c r="D620" i="40"/>
  <c r="F1494" i="40" s="1"/>
  <c r="E620" i="40"/>
  <c r="F620" i="40"/>
  <c r="G620" i="40"/>
  <c r="E1494" i="40" s="1"/>
  <c r="B621" i="40"/>
  <c r="D621" i="40"/>
  <c r="F1495" i="40" s="1"/>
  <c r="E621" i="40"/>
  <c r="F621" i="40"/>
  <c r="G621" i="40"/>
  <c r="E1495" i="40" s="1"/>
  <c r="B622" i="40"/>
  <c r="D622" i="40"/>
  <c r="F1496" i="40" s="1"/>
  <c r="E622" i="40"/>
  <c r="F622" i="40"/>
  <c r="G622" i="40"/>
  <c r="E1496" i="40" s="1"/>
  <c r="B623" i="40"/>
  <c r="D623" i="40"/>
  <c r="F1497" i="40" s="1"/>
  <c r="E623" i="40"/>
  <c r="F623" i="40"/>
  <c r="G623" i="40"/>
  <c r="E1497" i="40" s="1"/>
  <c r="B624" i="40"/>
  <c r="D624" i="40"/>
  <c r="F1498" i="40" s="1"/>
  <c r="E624" i="40"/>
  <c r="F624" i="40"/>
  <c r="G624" i="40"/>
  <c r="E1498" i="40" s="1"/>
  <c r="B625" i="40"/>
  <c r="D625" i="40"/>
  <c r="F1499" i="40" s="1"/>
  <c r="E625" i="40"/>
  <c r="F625" i="40"/>
  <c r="G625" i="40"/>
  <c r="E1499" i="40" s="1"/>
  <c r="B626" i="40"/>
  <c r="D626" i="40"/>
  <c r="F1500" i="40" s="1"/>
  <c r="E626" i="40"/>
  <c r="F626" i="40"/>
  <c r="G626" i="40"/>
  <c r="E1500" i="40" s="1"/>
  <c r="B627" i="40"/>
  <c r="D627" i="40"/>
  <c r="F1501" i="40" s="1"/>
  <c r="E627" i="40"/>
  <c r="F627" i="40"/>
  <c r="G627" i="40"/>
  <c r="E1501" i="40" s="1"/>
  <c r="B628" i="40"/>
  <c r="D628" i="40"/>
  <c r="F1502" i="40" s="1"/>
  <c r="E628" i="40"/>
  <c r="F628" i="40"/>
  <c r="G628" i="40"/>
  <c r="E1502" i="40" s="1"/>
  <c r="B629" i="40"/>
  <c r="D629" i="40"/>
  <c r="F1503" i="40" s="1"/>
  <c r="E629" i="40"/>
  <c r="F629" i="40"/>
  <c r="G629" i="40"/>
  <c r="E1503" i="40" s="1"/>
  <c r="B630" i="40"/>
  <c r="D630" i="40"/>
  <c r="F1504" i="40" s="1"/>
  <c r="E630" i="40"/>
  <c r="F630" i="40"/>
  <c r="G630" i="40"/>
  <c r="E1504" i="40" s="1"/>
  <c r="B631" i="40"/>
  <c r="D631" i="40"/>
  <c r="F1505" i="40" s="1"/>
  <c r="E631" i="40"/>
  <c r="F631" i="40"/>
  <c r="G631" i="40"/>
  <c r="E1505" i="40" s="1"/>
  <c r="B632" i="40"/>
  <c r="D632" i="40"/>
  <c r="F1506" i="40" s="1"/>
  <c r="E632" i="40"/>
  <c r="F632" i="40"/>
  <c r="G632" i="40"/>
  <c r="E1506" i="40" s="1"/>
  <c r="B633" i="40"/>
  <c r="D633" i="40"/>
  <c r="F1507" i="40" s="1"/>
  <c r="E633" i="40"/>
  <c r="F633" i="40"/>
  <c r="G633" i="40"/>
  <c r="E1507" i="40" s="1"/>
  <c r="B634" i="40"/>
  <c r="D634" i="40"/>
  <c r="F1508" i="40" s="1"/>
  <c r="E634" i="40"/>
  <c r="F634" i="40"/>
  <c r="G634" i="40"/>
  <c r="E1508" i="40" s="1"/>
  <c r="B635" i="40"/>
  <c r="D635" i="40"/>
  <c r="F1509" i="40" s="1"/>
  <c r="E635" i="40"/>
  <c r="F635" i="40"/>
  <c r="G635" i="40"/>
  <c r="E1509" i="40" s="1"/>
  <c r="B636" i="40"/>
  <c r="D636" i="40"/>
  <c r="F1510" i="40" s="1"/>
  <c r="E636" i="40"/>
  <c r="F636" i="40"/>
  <c r="G636" i="40"/>
  <c r="E1510" i="40" s="1"/>
  <c r="B637" i="40"/>
  <c r="D637" i="40"/>
  <c r="F1511" i="40" s="1"/>
  <c r="E637" i="40"/>
  <c r="F637" i="40"/>
  <c r="G637" i="40"/>
  <c r="E1511" i="40" s="1"/>
  <c r="B638" i="40"/>
  <c r="D638" i="40"/>
  <c r="F1512" i="40" s="1"/>
  <c r="E638" i="40"/>
  <c r="F638" i="40"/>
  <c r="G638" i="40"/>
  <c r="E1512" i="40" s="1"/>
  <c r="B639" i="40"/>
  <c r="D639" i="40"/>
  <c r="F1513" i="40" s="1"/>
  <c r="E639" i="40"/>
  <c r="F639" i="40"/>
  <c r="G639" i="40"/>
  <c r="E1513" i="40" s="1"/>
  <c r="B640" i="40"/>
  <c r="D640" i="40"/>
  <c r="F1514" i="40" s="1"/>
  <c r="E640" i="40"/>
  <c r="F640" i="40"/>
  <c r="G640" i="40"/>
  <c r="E1514" i="40" s="1"/>
  <c r="B641" i="40"/>
  <c r="D641" i="40"/>
  <c r="F1515" i="40" s="1"/>
  <c r="E641" i="40"/>
  <c r="F641" i="40"/>
  <c r="G641" i="40"/>
  <c r="E1515" i="40" s="1"/>
  <c r="B642" i="40"/>
  <c r="D642" i="40"/>
  <c r="F1516" i="40" s="1"/>
  <c r="E642" i="40"/>
  <c r="F642" i="40"/>
  <c r="G642" i="40"/>
  <c r="E1516" i="40" s="1"/>
  <c r="B643" i="40"/>
  <c r="D643" i="40"/>
  <c r="F1517" i="40" s="1"/>
  <c r="E643" i="40"/>
  <c r="F643" i="40"/>
  <c r="G643" i="40"/>
  <c r="E1517" i="40" s="1"/>
  <c r="B644" i="40"/>
  <c r="D644" i="40"/>
  <c r="F1518" i="40" s="1"/>
  <c r="E644" i="40"/>
  <c r="F644" i="40"/>
  <c r="G644" i="40"/>
  <c r="E1518" i="40" s="1"/>
  <c r="B645" i="40"/>
  <c r="D645" i="40"/>
  <c r="F1519" i="40" s="1"/>
  <c r="E645" i="40"/>
  <c r="F645" i="40"/>
  <c r="G645" i="40"/>
  <c r="E1519" i="40" s="1"/>
  <c r="B646" i="40"/>
  <c r="D646" i="40"/>
  <c r="F1520" i="40" s="1"/>
  <c r="E646" i="40"/>
  <c r="F646" i="40"/>
  <c r="G646" i="40"/>
  <c r="E1520" i="40" s="1"/>
  <c r="B647" i="40"/>
  <c r="D647" i="40"/>
  <c r="F1521" i="40" s="1"/>
  <c r="E647" i="40"/>
  <c r="F647" i="40"/>
  <c r="G647" i="40"/>
  <c r="E1521" i="40" s="1"/>
  <c r="B648" i="40"/>
  <c r="D648" i="40"/>
  <c r="F1522" i="40" s="1"/>
  <c r="E648" i="40"/>
  <c r="F648" i="40"/>
  <c r="G648" i="40"/>
  <c r="E1522" i="40" s="1"/>
  <c r="B649" i="40"/>
  <c r="D649" i="40"/>
  <c r="F1523" i="40" s="1"/>
  <c r="E649" i="40"/>
  <c r="F649" i="40"/>
  <c r="G649" i="40"/>
  <c r="E1523" i="40" s="1"/>
  <c r="B650" i="40"/>
  <c r="D650" i="40"/>
  <c r="F1524" i="40" s="1"/>
  <c r="E650" i="40"/>
  <c r="F650" i="40"/>
  <c r="G650" i="40"/>
  <c r="E1524" i="40" s="1"/>
  <c r="B651" i="40"/>
  <c r="D651" i="40"/>
  <c r="F1525" i="40" s="1"/>
  <c r="E651" i="40"/>
  <c r="F651" i="40"/>
  <c r="G651" i="40"/>
  <c r="E1525" i="40" s="1"/>
  <c r="B652" i="40"/>
  <c r="D652" i="40"/>
  <c r="F1526" i="40" s="1"/>
  <c r="E652" i="40"/>
  <c r="F652" i="40"/>
  <c r="G652" i="40"/>
  <c r="E1526" i="40" s="1"/>
  <c r="B653" i="40"/>
  <c r="D653" i="40"/>
  <c r="F1527" i="40" s="1"/>
  <c r="E653" i="40"/>
  <c r="F653" i="40"/>
  <c r="G653" i="40"/>
  <c r="E1527" i="40" s="1"/>
  <c r="B654" i="40"/>
  <c r="D654" i="40"/>
  <c r="F1528" i="40" s="1"/>
  <c r="E654" i="40"/>
  <c r="F654" i="40"/>
  <c r="G654" i="40"/>
  <c r="E1528" i="40" s="1"/>
  <c r="B655" i="40"/>
  <c r="D655" i="40"/>
  <c r="F1529" i="40" s="1"/>
  <c r="E655" i="40"/>
  <c r="F655" i="40"/>
  <c r="G655" i="40"/>
  <c r="E1529" i="40" s="1"/>
  <c r="B656" i="40"/>
  <c r="D656" i="40"/>
  <c r="F1530" i="40" s="1"/>
  <c r="E656" i="40"/>
  <c r="F656" i="40"/>
  <c r="G656" i="40"/>
  <c r="E1530" i="40" s="1"/>
  <c r="B657" i="40"/>
  <c r="D657" i="40"/>
  <c r="F1531" i="40" s="1"/>
  <c r="E657" i="40"/>
  <c r="F657" i="40"/>
  <c r="G657" i="40"/>
  <c r="E1531" i="40" s="1"/>
  <c r="B658" i="40"/>
  <c r="D658" i="40"/>
  <c r="F1532" i="40" s="1"/>
  <c r="E658" i="40"/>
  <c r="F658" i="40"/>
  <c r="G658" i="40"/>
  <c r="E1532" i="40" s="1"/>
  <c r="B659" i="40"/>
  <c r="D659" i="40"/>
  <c r="F1533" i="40" s="1"/>
  <c r="E659" i="40"/>
  <c r="F659" i="40"/>
  <c r="G659" i="40"/>
  <c r="E1533" i="40" s="1"/>
  <c r="B660" i="40"/>
  <c r="D660" i="40"/>
  <c r="F1534" i="40" s="1"/>
  <c r="E660" i="40"/>
  <c r="F660" i="40"/>
  <c r="G660" i="40"/>
  <c r="E1534" i="40" s="1"/>
  <c r="B661" i="40"/>
  <c r="D661" i="40"/>
  <c r="F1535" i="40" s="1"/>
  <c r="E661" i="40"/>
  <c r="F661" i="40"/>
  <c r="G661" i="40"/>
  <c r="E1535" i="40" s="1"/>
  <c r="B662" i="40"/>
  <c r="D662" i="40"/>
  <c r="F1536" i="40" s="1"/>
  <c r="E662" i="40"/>
  <c r="F662" i="40"/>
  <c r="G662" i="40"/>
  <c r="E1536" i="40" s="1"/>
  <c r="B663" i="40"/>
  <c r="D663" i="40"/>
  <c r="F1537" i="40" s="1"/>
  <c r="E663" i="40"/>
  <c r="F663" i="40"/>
  <c r="G663" i="40"/>
  <c r="E1537" i="40" s="1"/>
  <c r="B664" i="40"/>
  <c r="D664" i="40"/>
  <c r="F1538" i="40" s="1"/>
  <c r="E664" i="40"/>
  <c r="F664" i="40"/>
  <c r="G664" i="40"/>
  <c r="E1538" i="40" s="1"/>
  <c r="B665" i="40"/>
  <c r="D665" i="40"/>
  <c r="F1539" i="40" s="1"/>
  <c r="E665" i="40"/>
  <c r="F665" i="40"/>
  <c r="G665" i="40"/>
  <c r="E1539" i="40" s="1"/>
  <c r="B549" i="40"/>
  <c r="D549" i="40"/>
  <c r="F1423" i="40" s="1"/>
  <c r="E549" i="40"/>
  <c r="F549" i="40"/>
  <c r="G549" i="40"/>
  <c r="E1423" i="40" s="1"/>
  <c r="B550" i="40"/>
  <c r="D550" i="40"/>
  <c r="F1424" i="40" s="1"/>
  <c r="E550" i="40"/>
  <c r="F550" i="40"/>
  <c r="G550" i="40"/>
  <c r="E1424" i="40" s="1"/>
  <c r="B551" i="40"/>
  <c r="D551" i="40"/>
  <c r="F1425" i="40" s="1"/>
  <c r="E551" i="40"/>
  <c r="F551" i="40"/>
  <c r="G551" i="40"/>
  <c r="E1425" i="40" s="1"/>
  <c r="B552" i="40"/>
  <c r="D552" i="40"/>
  <c r="F1426" i="40" s="1"/>
  <c r="E552" i="40"/>
  <c r="F552" i="40"/>
  <c r="G552" i="40"/>
  <c r="E1426" i="40" s="1"/>
  <c r="B553" i="40"/>
  <c r="D553" i="40"/>
  <c r="F1427" i="40" s="1"/>
  <c r="E553" i="40"/>
  <c r="F553" i="40"/>
  <c r="G553" i="40"/>
  <c r="E1427" i="40" s="1"/>
  <c r="F268" i="65"/>
  <c r="G268" i="65"/>
  <c r="H268" i="65"/>
  <c r="I268" i="65"/>
  <c r="K268" i="65" s="1"/>
  <c r="J268" i="65"/>
  <c r="F269" i="65"/>
  <c r="G269" i="65"/>
  <c r="H269" i="65"/>
  <c r="I269" i="65"/>
  <c r="M269" i="65" s="1"/>
  <c r="J269" i="65"/>
  <c r="F270" i="65"/>
  <c r="G270" i="65"/>
  <c r="H270" i="65"/>
  <c r="I270" i="65"/>
  <c r="J270" i="65"/>
  <c r="F271" i="65"/>
  <c r="G271" i="65"/>
  <c r="H271" i="65"/>
  <c r="I271" i="65"/>
  <c r="K271" i="65" s="1"/>
  <c r="J271" i="65"/>
  <c r="F272" i="65"/>
  <c r="G272" i="65"/>
  <c r="H272" i="65"/>
  <c r="I272" i="65"/>
  <c r="J272" i="65"/>
  <c r="F273" i="65"/>
  <c r="G273" i="65"/>
  <c r="H273" i="65"/>
  <c r="I273" i="65"/>
  <c r="J273" i="65"/>
  <c r="F274" i="65"/>
  <c r="G274" i="65"/>
  <c r="H274" i="65"/>
  <c r="I274" i="65"/>
  <c r="J274" i="65"/>
  <c r="F275" i="65"/>
  <c r="G275" i="65"/>
  <c r="H275" i="65"/>
  <c r="I275" i="65"/>
  <c r="M275" i="65" s="1"/>
  <c r="J275" i="65"/>
  <c r="F276" i="65"/>
  <c r="G276" i="65"/>
  <c r="H276" i="65"/>
  <c r="I276" i="65"/>
  <c r="K276" i="65" s="1"/>
  <c r="J276" i="65"/>
  <c r="F277" i="65"/>
  <c r="G277" i="65"/>
  <c r="H277" i="65"/>
  <c r="I277" i="65"/>
  <c r="J277" i="65"/>
  <c r="F278" i="65"/>
  <c r="G278" i="65"/>
  <c r="H278" i="65"/>
  <c r="I278" i="65"/>
  <c r="K278" i="65" s="1"/>
  <c r="J278" i="65"/>
  <c r="F279" i="65"/>
  <c r="G279" i="65"/>
  <c r="H279" i="65"/>
  <c r="I279" i="65"/>
  <c r="K279" i="65" s="1"/>
  <c r="J279" i="65"/>
  <c r="F280" i="65"/>
  <c r="G280" i="65"/>
  <c r="H280" i="65"/>
  <c r="I280" i="65"/>
  <c r="J280" i="65"/>
  <c r="F281" i="65"/>
  <c r="G281" i="65"/>
  <c r="H281" i="65"/>
  <c r="I281" i="65"/>
  <c r="J281" i="65"/>
  <c r="F282" i="65"/>
  <c r="G282" i="65"/>
  <c r="H282" i="65"/>
  <c r="I282" i="65"/>
  <c r="K282" i="65" s="1"/>
  <c r="J282" i="65"/>
  <c r="F283" i="65"/>
  <c r="G283" i="65"/>
  <c r="H283" i="65"/>
  <c r="I283" i="65"/>
  <c r="J283" i="65"/>
  <c r="F284" i="65"/>
  <c r="G284" i="65"/>
  <c r="H284" i="65"/>
  <c r="I284" i="65"/>
  <c r="J284" i="65"/>
  <c r="F285" i="65"/>
  <c r="G285" i="65"/>
  <c r="H285" i="65"/>
  <c r="I285" i="65"/>
  <c r="K285" i="65" s="1"/>
  <c r="J285" i="65"/>
  <c r="F286" i="65"/>
  <c r="G286" i="65"/>
  <c r="H286" i="65"/>
  <c r="I286" i="65"/>
  <c r="K286" i="65" s="1"/>
  <c r="J286" i="65"/>
  <c r="F287" i="65"/>
  <c r="G287" i="65"/>
  <c r="H287" i="65"/>
  <c r="I287" i="65"/>
  <c r="J287" i="65"/>
  <c r="F288" i="65"/>
  <c r="G288" i="65"/>
  <c r="H288" i="65"/>
  <c r="I288" i="65"/>
  <c r="K288" i="65" s="1"/>
  <c r="J288" i="65"/>
  <c r="F289" i="65"/>
  <c r="G289" i="65"/>
  <c r="H289" i="65"/>
  <c r="I289" i="65"/>
  <c r="K289" i="65" s="1"/>
  <c r="J289" i="65"/>
  <c r="F290" i="65"/>
  <c r="G290" i="65"/>
  <c r="H290" i="65"/>
  <c r="I290" i="65"/>
  <c r="J290" i="65"/>
  <c r="F291" i="65"/>
  <c r="G291" i="65"/>
  <c r="H291" i="65"/>
  <c r="I291" i="65"/>
  <c r="J291" i="65"/>
  <c r="F292" i="65"/>
  <c r="G292" i="65"/>
  <c r="H292" i="65"/>
  <c r="I292" i="65"/>
  <c r="K292" i="65" s="1"/>
  <c r="J292" i="65"/>
  <c r="F293" i="65"/>
  <c r="G293" i="65"/>
  <c r="H293" i="65"/>
  <c r="I293" i="65"/>
  <c r="K293" i="65" s="1"/>
  <c r="J293" i="65"/>
  <c r="F294" i="65"/>
  <c r="G294" i="65"/>
  <c r="H294" i="65"/>
  <c r="I294" i="65"/>
  <c r="J294" i="65"/>
  <c r="F295" i="65"/>
  <c r="G295" i="65"/>
  <c r="H295" i="65"/>
  <c r="I295" i="65"/>
  <c r="M295" i="65" s="1"/>
  <c r="J295" i="65"/>
  <c r="F296" i="65"/>
  <c r="G296" i="65"/>
  <c r="H296" i="65"/>
  <c r="I296" i="65"/>
  <c r="K296" i="65" s="1"/>
  <c r="J296" i="65"/>
  <c r="F297" i="65"/>
  <c r="G297" i="65"/>
  <c r="H297" i="65"/>
  <c r="I297" i="65"/>
  <c r="J297" i="65"/>
  <c r="F298" i="65"/>
  <c r="G298" i="65"/>
  <c r="H298" i="65"/>
  <c r="I298" i="65"/>
  <c r="K298" i="65" s="1"/>
  <c r="J298" i="65"/>
  <c r="F299" i="65"/>
  <c r="G299" i="65"/>
  <c r="H299" i="65"/>
  <c r="I299" i="65"/>
  <c r="M299" i="65" s="1"/>
  <c r="J299" i="65"/>
  <c r="F300" i="65"/>
  <c r="G300" i="65"/>
  <c r="H300" i="65"/>
  <c r="I300" i="65"/>
  <c r="J300" i="65"/>
  <c r="F301" i="65"/>
  <c r="G301" i="65"/>
  <c r="H301" i="65"/>
  <c r="I301" i="65"/>
  <c r="M301" i="65" s="1"/>
  <c r="J301" i="65"/>
  <c r="F302" i="65"/>
  <c r="G302" i="65"/>
  <c r="H302" i="65"/>
  <c r="I302" i="65"/>
  <c r="J302" i="65"/>
  <c r="F303" i="65"/>
  <c r="G303" i="65"/>
  <c r="H303" i="65"/>
  <c r="I303" i="65"/>
  <c r="J303" i="65"/>
  <c r="F304" i="65"/>
  <c r="G304" i="65"/>
  <c r="H304" i="65"/>
  <c r="I304" i="65"/>
  <c r="K304" i="65" s="1"/>
  <c r="J304" i="65"/>
  <c r="F305" i="65"/>
  <c r="G305" i="65"/>
  <c r="H305" i="65"/>
  <c r="I305" i="65"/>
  <c r="K305" i="65" s="1"/>
  <c r="J305" i="65"/>
  <c r="F306" i="65"/>
  <c r="G306" i="65"/>
  <c r="H306" i="65"/>
  <c r="I306" i="65"/>
  <c r="K306" i="65" s="1"/>
  <c r="J306" i="65"/>
  <c r="F307" i="65"/>
  <c r="G307" i="65"/>
  <c r="H307" i="65"/>
  <c r="I307" i="65"/>
  <c r="M307" i="65" s="1"/>
  <c r="J307" i="65"/>
  <c r="F308" i="65"/>
  <c r="G308" i="65"/>
  <c r="H308" i="65"/>
  <c r="I308" i="65"/>
  <c r="J308" i="65"/>
  <c r="F309" i="65"/>
  <c r="G309" i="65"/>
  <c r="H309" i="65"/>
  <c r="I309" i="65"/>
  <c r="J309" i="65"/>
  <c r="F310" i="65"/>
  <c r="G310" i="65"/>
  <c r="H310" i="65"/>
  <c r="I310" i="65"/>
  <c r="K310" i="65" s="1"/>
  <c r="J310" i="65"/>
  <c r="F311" i="65"/>
  <c r="G311" i="65"/>
  <c r="H311" i="65"/>
  <c r="I311" i="65"/>
  <c r="J311" i="65"/>
  <c r="F312" i="65"/>
  <c r="G312" i="65"/>
  <c r="H312" i="65"/>
  <c r="I312" i="65"/>
  <c r="K312" i="65" s="1"/>
  <c r="J312" i="65"/>
  <c r="F313" i="65"/>
  <c r="G313" i="65"/>
  <c r="H313" i="65"/>
  <c r="I313" i="65"/>
  <c r="J313" i="65"/>
  <c r="F314" i="65"/>
  <c r="G314" i="65"/>
  <c r="H314" i="65"/>
  <c r="I314" i="65"/>
  <c r="K314" i="65" s="1"/>
  <c r="J314" i="65"/>
  <c r="F315" i="65"/>
  <c r="G315" i="65"/>
  <c r="H315" i="65"/>
  <c r="I315" i="65"/>
  <c r="K315" i="65" s="1"/>
  <c r="J315" i="65"/>
  <c r="F316" i="65"/>
  <c r="G316" i="65"/>
  <c r="H316" i="65"/>
  <c r="I316" i="65"/>
  <c r="J316" i="65"/>
  <c r="F317" i="65"/>
  <c r="G317" i="65"/>
  <c r="H317" i="65"/>
  <c r="I317" i="65"/>
  <c r="M317" i="65" s="1"/>
  <c r="J317" i="65"/>
  <c r="F318" i="65"/>
  <c r="G318" i="65"/>
  <c r="H318" i="65"/>
  <c r="I318" i="65"/>
  <c r="K318" i="65" s="1"/>
  <c r="J318" i="65"/>
  <c r="F319" i="65"/>
  <c r="G319" i="65"/>
  <c r="H319" i="65"/>
  <c r="I319" i="65"/>
  <c r="J319" i="65"/>
  <c r="F320" i="65"/>
  <c r="G320" i="65"/>
  <c r="H320" i="65"/>
  <c r="I320" i="65"/>
  <c r="J320" i="65"/>
  <c r="F321" i="65"/>
  <c r="G321" i="65"/>
  <c r="H321" i="65"/>
  <c r="I321" i="65"/>
  <c r="K321" i="65" s="1"/>
  <c r="J321" i="65"/>
  <c r="F322" i="65"/>
  <c r="G322" i="65"/>
  <c r="H322" i="65"/>
  <c r="I322" i="65"/>
  <c r="K322" i="65" s="1"/>
  <c r="J322" i="65"/>
  <c r="F323" i="65"/>
  <c r="G323" i="65"/>
  <c r="H323" i="65"/>
  <c r="I323" i="65"/>
  <c r="J323" i="65"/>
  <c r="F324" i="65"/>
  <c r="G324" i="65"/>
  <c r="H324" i="65"/>
  <c r="I324" i="65"/>
  <c r="K324" i="65" s="1"/>
  <c r="J324" i="65"/>
  <c r="F325" i="65"/>
  <c r="G325" i="65"/>
  <c r="H325" i="65"/>
  <c r="I325" i="65"/>
  <c r="M325" i="65" s="1"/>
  <c r="J325" i="65"/>
  <c r="F326" i="65"/>
  <c r="G326" i="65"/>
  <c r="H326" i="65"/>
  <c r="I326" i="65"/>
  <c r="K326" i="65" s="1"/>
  <c r="J326" i="65"/>
  <c r="F327" i="65"/>
  <c r="G327" i="65"/>
  <c r="H327" i="65"/>
  <c r="I327" i="65"/>
  <c r="M327" i="65" s="1"/>
  <c r="J327" i="65"/>
  <c r="F328" i="65"/>
  <c r="G328" i="65"/>
  <c r="H328" i="65"/>
  <c r="I328" i="65"/>
  <c r="J328" i="65"/>
  <c r="F329" i="65"/>
  <c r="G329" i="65"/>
  <c r="H329" i="65"/>
  <c r="I329" i="65"/>
  <c r="J329" i="65"/>
  <c r="F330" i="65"/>
  <c r="G330" i="65"/>
  <c r="H330" i="65"/>
  <c r="I330" i="65"/>
  <c r="K330" i="65" s="1"/>
  <c r="J330" i="65"/>
  <c r="F331" i="65"/>
  <c r="G331" i="65"/>
  <c r="H331" i="65"/>
  <c r="I331" i="65"/>
  <c r="K331" i="65" s="1"/>
  <c r="J331" i="65"/>
  <c r="F332" i="65"/>
  <c r="G332" i="65"/>
  <c r="H332" i="65"/>
  <c r="I332" i="65"/>
  <c r="J332" i="65"/>
  <c r="F333" i="65"/>
  <c r="G333" i="65"/>
  <c r="H333" i="65"/>
  <c r="I333" i="65"/>
  <c r="M333" i="65" s="1"/>
  <c r="J333" i="65"/>
  <c r="F334" i="65"/>
  <c r="G334" i="65"/>
  <c r="H334" i="65"/>
  <c r="I334" i="65"/>
  <c r="K334" i="65" s="1"/>
  <c r="J334" i="65"/>
  <c r="F335" i="65"/>
  <c r="G335" i="65"/>
  <c r="H335" i="65"/>
  <c r="I335" i="65"/>
  <c r="J335" i="65"/>
  <c r="F336" i="65"/>
  <c r="G336" i="65"/>
  <c r="H336" i="65"/>
  <c r="I336" i="65"/>
  <c r="K336" i="65" s="1"/>
  <c r="J336" i="65"/>
  <c r="F337" i="65"/>
  <c r="G337" i="65"/>
  <c r="H337" i="65"/>
  <c r="I337" i="65"/>
  <c r="J337" i="65"/>
  <c r="F338" i="65"/>
  <c r="G338" i="65"/>
  <c r="H338" i="65"/>
  <c r="I338" i="65"/>
  <c r="J338" i="65"/>
  <c r="F339" i="65"/>
  <c r="G339" i="65"/>
  <c r="H339" i="65"/>
  <c r="I339" i="65"/>
  <c r="M339" i="65" s="1"/>
  <c r="J339" i="65"/>
  <c r="F340" i="65"/>
  <c r="G340" i="65"/>
  <c r="H340" i="65"/>
  <c r="I340" i="65"/>
  <c r="K340" i="65" s="1"/>
  <c r="J340" i="65"/>
  <c r="F341" i="65"/>
  <c r="G341" i="65"/>
  <c r="H341" i="65"/>
  <c r="I341" i="65"/>
  <c r="J341" i="65"/>
  <c r="F342" i="65"/>
  <c r="G342" i="65"/>
  <c r="H342" i="65"/>
  <c r="I342" i="65"/>
  <c r="K342" i="65" s="1"/>
  <c r="J342" i="65"/>
  <c r="F343" i="65"/>
  <c r="G343" i="65"/>
  <c r="H343" i="65"/>
  <c r="I343" i="65"/>
  <c r="K343" i="65" s="1"/>
  <c r="J343" i="65"/>
  <c r="F344" i="65"/>
  <c r="G344" i="65"/>
  <c r="H344" i="65"/>
  <c r="I344" i="65"/>
  <c r="J344" i="65"/>
  <c r="F345" i="65"/>
  <c r="G345" i="65"/>
  <c r="H345" i="65"/>
  <c r="I345" i="65"/>
  <c r="J345" i="65"/>
  <c r="F346" i="65"/>
  <c r="G346" i="65"/>
  <c r="H346" i="65"/>
  <c r="I346" i="65"/>
  <c r="K346" i="65" s="1"/>
  <c r="J346" i="65"/>
  <c r="F347" i="65"/>
  <c r="G347" i="65"/>
  <c r="H347" i="65"/>
  <c r="I347" i="65"/>
  <c r="J347" i="65"/>
  <c r="F348" i="65"/>
  <c r="G348" i="65"/>
  <c r="H348" i="65"/>
  <c r="I348" i="65"/>
  <c r="J348" i="65"/>
  <c r="F349" i="65"/>
  <c r="G349" i="65"/>
  <c r="H349" i="65"/>
  <c r="I349" i="65"/>
  <c r="M349" i="65" s="1"/>
  <c r="J349" i="65"/>
  <c r="F350" i="65"/>
  <c r="G350" i="65"/>
  <c r="H350" i="65"/>
  <c r="I350" i="65"/>
  <c r="K350" i="65" s="1"/>
  <c r="J350" i="65"/>
  <c r="F351" i="65"/>
  <c r="G351" i="65"/>
  <c r="H351" i="65"/>
  <c r="I351" i="65"/>
  <c r="J351" i="65"/>
  <c r="F352" i="65"/>
  <c r="G352" i="65"/>
  <c r="H352" i="65"/>
  <c r="I352" i="65"/>
  <c r="K352" i="65" s="1"/>
  <c r="J352" i="65"/>
  <c r="F353" i="65"/>
  <c r="G353" i="65"/>
  <c r="H353" i="65"/>
  <c r="I353" i="65"/>
  <c r="K353" i="65" s="1"/>
  <c r="J353" i="65"/>
  <c r="F354" i="65"/>
  <c r="G354" i="65"/>
  <c r="H354" i="65"/>
  <c r="I354" i="65"/>
  <c r="J354" i="65"/>
  <c r="F355" i="65"/>
  <c r="G355" i="65"/>
  <c r="H355" i="65"/>
  <c r="I355" i="65"/>
  <c r="J355" i="65"/>
  <c r="F356" i="65"/>
  <c r="G356" i="65"/>
  <c r="H356" i="65"/>
  <c r="I356" i="65"/>
  <c r="K356" i="65" s="1"/>
  <c r="J356" i="65"/>
  <c r="F357" i="65"/>
  <c r="G357" i="65"/>
  <c r="H357" i="65"/>
  <c r="I357" i="65"/>
  <c r="K357" i="65" s="1"/>
  <c r="J357" i="65"/>
  <c r="F358" i="65"/>
  <c r="G358" i="65"/>
  <c r="H358" i="65"/>
  <c r="I358" i="65"/>
  <c r="J358" i="65"/>
  <c r="F359" i="65"/>
  <c r="G359" i="65"/>
  <c r="H359" i="65"/>
  <c r="I359" i="65"/>
  <c r="M359" i="65" s="1"/>
  <c r="J359" i="65"/>
  <c r="F360" i="65"/>
  <c r="G360" i="65"/>
  <c r="H360" i="65"/>
  <c r="I360" i="65"/>
  <c r="K360" i="65" s="1"/>
  <c r="J360" i="65"/>
  <c r="F361" i="65"/>
  <c r="G361" i="65"/>
  <c r="H361" i="65"/>
  <c r="I361" i="65"/>
  <c r="J361" i="65"/>
  <c r="F362" i="65"/>
  <c r="G362" i="65"/>
  <c r="H362" i="65"/>
  <c r="I362" i="65"/>
  <c r="K362" i="65" s="1"/>
  <c r="J362" i="65"/>
  <c r="F363" i="65"/>
  <c r="G363" i="65"/>
  <c r="H363" i="65"/>
  <c r="I363" i="65"/>
  <c r="M363" i="65" s="1"/>
  <c r="J363" i="65"/>
  <c r="F364" i="65"/>
  <c r="G364" i="65"/>
  <c r="H364" i="65"/>
  <c r="I364" i="65"/>
  <c r="J364" i="65"/>
  <c r="F365" i="65"/>
  <c r="G365" i="65"/>
  <c r="H365" i="65"/>
  <c r="I365" i="65"/>
  <c r="M365" i="65" s="1"/>
  <c r="J365" i="65"/>
  <c r="F366" i="65"/>
  <c r="G366" i="65"/>
  <c r="H366" i="65"/>
  <c r="I366" i="65"/>
  <c r="J366" i="65"/>
  <c r="F367" i="65"/>
  <c r="G367" i="65"/>
  <c r="H367" i="65"/>
  <c r="I367" i="65"/>
  <c r="J367" i="65"/>
  <c r="F368" i="65"/>
  <c r="G368" i="65"/>
  <c r="H368" i="65"/>
  <c r="I368" i="65"/>
  <c r="K368" i="65" s="1"/>
  <c r="J368" i="65"/>
  <c r="F369" i="65"/>
  <c r="G369" i="65"/>
  <c r="H369" i="65"/>
  <c r="I369" i="65"/>
  <c r="K369" i="65" s="1"/>
  <c r="J369" i="65"/>
  <c r="F370" i="65"/>
  <c r="G370" i="65"/>
  <c r="H370" i="65"/>
  <c r="I370" i="65"/>
  <c r="J370" i="65"/>
  <c r="F371" i="65"/>
  <c r="G371" i="65"/>
  <c r="H371" i="65"/>
  <c r="I371" i="65"/>
  <c r="M371" i="65" s="1"/>
  <c r="J371" i="65"/>
  <c r="F372" i="65"/>
  <c r="G372" i="65"/>
  <c r="H372" i="65"/>
  <c r="I372" i="65"/>
  <c r="J372" i="65"/>
  <c r="F373" i="65"/>
  <c r="G373" i="65"/>
  <c r="H373" i="65"/>
  <c r="I373" i="65"/>
  <c r="M373" i="65" s="1"/>
  <c r="J373" i="65"/>
  <c r="F374" i="65"/>
  <c r="G374" i="65"/>
  <c r="H374" i="65"/>
  <c r="I374" i="65"/>
  <c r="K374" i="65" s="1"/>
  <c r="J374" i="65"/>
  <c r="F375" i="65"/>
  <c r="G375" i="65"/>
  <c r="H375" i="65"/>
  <c r="I375" i="65"/>
  <c r="J375" i="65"/>
  <c r="F376" i="65"/>
  <c r="G376" i="65"/>
  <c r="H376" i="65"/>
  <c r="I376" i="65"/>
  <c r="K376" i="65" s="1"/>
  <c r="J376" i="65"/>
  <c r="F377" i="65"/>
  <c r="G377" i="65"/>
  <c r="H377" i="65"/>
  <c r="I377" i="65"/>
  <c r="J377" i="65"/>
  <c r="F378" i="65"/>
  <c r="G378" i="65"/>
  <c r="H378" i="65"/>
  <c r="I378" i="65"/>
  <c r="J378" i="65"/>
  <c r="F379" i="65"/>
  <c r="G379" i="65"/>
  <c r="H379" i="65"/>
  <c r="I379" i="65"/>
  <c r="K379" i="65" s="1"/>
  <c r="J379" i="65"/>
  <c r="F380" i="65"/>
  <c r="G380" i="65"/>
  <c r="H380" i="65"/>
  <c r="I380" i="65"/>
  <c r="J380" i="65"/>
  <c r="F381" i="65"/>
  <c r="G381" i="65"/>
  <c r="H381" i="65"/>
  <c r="I381" i="65"/>
  <c r="M381" i="65" s="1"/>
  <c r="J381" i="65"/>
  <c r="F382" i="65"/>
  <c r="G382" i="65"/>
  <c r="H382" i="65"/>
  <c r="I382" i="65"/>
  <c r="K382" i="65" s="1"/>
  <c r="J382" i="65"/>
  <c r="F383" i="65"/>
  <c r="G383" i="65"/>
  <c r="H383" i="65"/>
  <c r="I383" i="65"/>
  <c r="M383" i="65" s="1"/>
  <c r="J383" i="65"/>
  <c r="F384" i="65"/>
  <c r="G384" i="65"/>
  <c r="H384" i="65"/>
  <c r="I384" i="65"/>
  <c r="J384" i="65"/>
  <c r="B268" i="65"/>
  <c r="B269" i="65"/>
  <c r="B270" i="65"/>
  <c r="B271" i="65"/>
  <c r="B272" i="65"/>
  <c r="B273" i="65"/>
  <c r="B274" i="65"/>
  <c r="B275" i="65"/>
  <c r="B276" i="65"/>
  <c r="B277" i="65"/>
  <c r="B278" i="65"/>
  <c r="B279" i="65"/>
  <c r="B280" i="65"/>
  <c r="B281" i="65"/>
  <c r="B282" i="65"/>
  <c r="B283" i="65"/>
  <c r="B284" i="65"/>
  <c r="B285" i="65"/>
  <c r="B286" i="65"/>
  <c r="B287" i="65"/>
  <c r="B288" i="65"/>
  <c r="B289" i="65"/>
  <c r="B290" i="65"/>
  <c r="B291" i="65"/>
  <c r="B292" i="65"/>
  <c r="B293" i="65"/>
  <c r="B294" i="65"/>
  <c r="B295" i="65"/>
  <c r="B296" i="65"/>
  <c r="B297" i="65"/>
  <c r="B298" i="65"/>
  <c r="B299" i="65"/>
  <c r="B300" i="65"/>
  <c r="B301" i="65"/>
  <c r="B302" i="65"/>
  <c r="B303" i="65"/>
  <c r="B304" i="65"/>
  <c r="B305" i="65"/>
  <c r="B306" i="65"/>
  <c r="B307" i="65"/>
  <c r="B308" i="65"/>
  <c r="B309" i="65"/>
  <c r="B310" i="65"/>
  <c r="B311" i="65"/>
  <c r="B312" i="65"/>
  <c r="B313" i="65"/>
  <c r="B314" i="65"/>
  <c r="B315" i="65"/>
  <c r="B316" i="65"/>
  <c r="B317" i="65"/>
  <c r="B318" i="65"/>
  <c r="B319" i="65"/>
  <c r="B320" i="65"/>
  <c r="B321" i="65"/>
  <c r="B322" i="65"/>
  <c r="B323" i="65"/>
  <c r="B324" i="65"/>
  <c r="B325" i="65"/>
  <c r="B326" i="65"/>
  <c r="B327" i="65"/>
  <c r="B328" i="65"/>
  <c r="B329" i="65"/>
  <c r="B330" i="65"/>
  <c r="B331" i="65"/>
  <c r="B332" i="65"/>
  <c r="B333" i="65"/>
  <c r="B334" i="65"/>
  <c r="B335" i="65"/>
  <c r="B336" i="65"/>
  <c r="B337" i="65"/>
  <c r="B338" i="65"/>
  <c r="B339" i="65"/>
  <c r="B340" i="65"/>
  <c r="B341" i="65"/>
  <c r="B342" i="65"/>
  <c r="B343" i="65"/>
  <c r="B344" i="65"/>
  <c r="B345" i="65"/>
  <c r="B346" i="65"/>
  <c r="B347" i="65"/>
  <c r="B348" i="65"/>
  <c r="B349" i="65"/>
  <c r="B350" i="65"/>
  <c r="B351" i="65"/>
  <c r="B352" i="65"/>
  <c r="B353" i="65"/>
  <c r="B354" i="65"/>
  <c r="B355" i="65"/>
  <c r="B356" i="65"/>
  <c r="B357" i="65"/>
  <c r="B358" i="65"/>
  <c r="B359" i="65"/>
  <c r="B360" i="65"/>
  <c r="B361" i="65"/>
  <c r="B362" i="65"/>
  <c r="B363" i="65"/>
  <c r="B364" i="65"/>
  <c r="B365" i="65"/>
  <c r="B366" i="65"/>
  <c r="B367" i="65"/>
  <c r="B368" i="65"/>
  <c r="B369" i="65"/>
  <c r="B370" i="65"/>
  <c r="B371" i="65"/>
  <c r="B372" i="65"/>
  <c r="B373" i="65"/>
  <c r="B374" i="65"/>
  <c r="B375" i="65"/>
  <c r="B376" i="65"/>
  <c r="B377" i="65"/>
  <c r="B378" i="65"/>
  <c r="B379" i="65"/>
  <c r="B380" i="65"/>
  <c r="B381" i="65"/>
  <c r="B382" i="65"/>
  <c r="B383" i="65"/>
  <c r="B384" i="65"/>
  <c r="O15" i="66"/>
  <c r="K371" i="65" l="1"/>
  <c r="K373" i="65"/>
  <c r="K359" i="65"/>
  <c r="K383" i="65"/>
  <c r="K381" i="65"/>
  <c r="M285" i="65"/>
  <c r="N285" i="65" s="1"/>
  <c r="K269" i="65"/>
  <c r="K307" i="65"/>
  <c r="K349" i="65"/>
  <c r="K317" i="65"/>
  <c r="K299" i="65"/>
  <c r="K327" i="65"/>
  <c r="M336" i="65"/>
  <c r="M362" i="65"/>
  <c r="M331" i="65"/>
  <c r="N331" i="65" s="1"/>
  <c r="M276" i="65"/>
  <c r="N276" i="65" s="1"/>
  <c r="K333" i="65"/>
  <c r="K301" i="65"/>
  <c r="K295" i="65"/>
  <c r="M353" i="65"/>
  <c r="M315" i="65"/>
  <c r="K339" i="65"/>
  <c r="M343" i="65"/>
  <c r="M293" i="65"/>
  <c r="N293" i="65" s="1"/>
  <c r="K378" i="65"/>
  <c r="M378" i="65"/>
  <c r="N378" i="65" s="1"/>
  <c r="N333" i="65"/>
  <c r="N301" i="65"/>
  <c r="M287" i="65"/>
  <c r="K287" i="65"/>
  <c r="K274" i="65"/>
  <c r="M274" i="65"/>
  <c r="K370" i="65"/>
  <c r="M370" i="65"/>
  <c r="K365" i="65"/>
  <c r="K341" i="65"/>
  <c r="M341" i="65"/>
  <c r="K338" i="65"/>
  <c r="M338" i="65"/>
  <c r="N317" i="65"/>
  <c r="M309" i="65"/>
  <c r="K309" i="65"/>
  <c r="M277" i="65"/>
  <c r="K277" i="65"/>
  <c r="N381" i="65"/>
  <c r="K354" i="65"/>
  <c r="M354" i="65"/>
  <c r="N354" i="65" s="1"/>
  <c r="K290" i="65"/>
  <c r="M290" i="65"/>
  <c r="M322" i="65"/>
  <c r="M351" i="65"/>
  <c r="K351" i="65"/>
  <c r="K344" i="65"/>
  <c r="M344" i="65"/>
  <c r="N344" i="65" s="1"/>
  <c r="M319" i="65"/>
  <c r="K319" i="65"/>
  <c r="K280" i="65"/>
  <c r="M280" i="65"/>
  <c r="M374" i="65"/>
  <c r="M306" i="65"/>
  <c r="K275" i="65"/>
  <c r="M357" i="65"/>
  <c r="N357" i="65" s="1"/>
  <c r="M330" i="65"/>
  <c r="AH330" i="65" s="1"/>
  <c r="AI330" i="65" s="1"/>
  <c r="AJ330" i="65" s="1"/>
  <c r="AK330" i="65" s="1"/>
  <c r="AL330" i="65" s="1"/>
  <c r="M318" i="65"/>
  <c r="M314" i="65"/>
  <c r="M305" i="65"/>
  <c r="M292" i="65"/>
  <c r="N292" i="65" s="1"/>
  <c r="M282" i="65"/>
  <c r="N282" i="65" s="1"/>
  <c r="N275" i="65"/>
  <c r="M379" i="65"/>
  <c r="M356" i="65"/>
  <c r="M346" i="65"/>
  <c r="N339" i="65"/>
  <c r="M310" i="65"/>
  <c r="AH371" i="65"/>
  <c r="AI371" i="65" s="1"/>
  <c r="AJ371" i="65" s="1"/>
  <c r="AK371" i="65" s="1"/>
  <c r="AL371" i="65" s="1"/>
  <c r="K363" i="65"/>
  <c r="K325" i="65"/>
  <c r="M382" i="65"/>
  <c r="AH382" i="65" s="1"/>
  <c r="AI382" i="65" s="1"/>
  <c r="AJ382" i="65" s="1"/>
  <c r="AK382" i="65" s="1"/>
  <c r="AL382" i="65" s="1"/>
  <c r="M298" i="65"/>
  <c r="M289" i="65"/>
  <c r="M361" i="65"/>
  <c r="K361" i="65"/>
  <c r="K358" i="65"/>
  <c r="M358" i="65"/>
  <c r="M323" i="65"/>
  <c r="K323" i="65"/>
  <c r="K300" i="65"/>
  <c r="M300" i="65"/>
  <c r="M291" i="65"/>
  <c r="K291" i="65"/>
  <c r="N373" i="65"/>
  <c r="K328" i="65"/>
  <c r="M328" i="65"/>
  <c r="M326" i="65"/>
  <c r="M296" i="65"/>
  <c r="M375" i="65"/>
  <c r="K375" i="65"/>
  <c r="K372" i="65"/>
  <c r="M372" i="65"/>
  <c r="AH363" i="65"/>
  <c r="AI363" i="65" s="1"/>
  <c r="AJ363" i="65" s="1"/>
  <c r="AK363" i="65" s="1"/>
  <c r="AL363" i="65" s="1"/>
  <c r="N363" i="65"/>
  <c r="M347" i="65"/>
  <c r="K347" i="65"/>
  <c r="K337" i="65"/>
  <c r="M337" i="65"/>
  <c r="M311" i="65"/>
  <c r="K311" i="65"/>
  <c r="K308" i="65"/>
  <c r="M308" i="65"/>
  <c r="AH299" i="65"/>
  <c r="AI299" i="65" s="1"/>
  <c r="AJ299" i="65" s="1"/>
  <c r="AK299" i="65" s="1"/>
  <c r="AL299" i="65" s="1"/>
  <c r="N299" i="65"/>
  <c r="M283" i="65"/>
  <c r="K283" i="65"/>
  <c r="K273" i="65"/>
  <c r="M273" i="65"/>
  <c r="M369" i="65"/>
  <c r="M360" i="65"/>
  <c r="M340" i="65"/>
  <c r="M334" i="65"/>
  <c r="M288" i="65"/>
  <c r="M367" i="65"/>
  <c r="K367" i="65"/>
  <c r="K364" i="65"/>
  <c r="M364" i="65"/>
  <c r="M355" i="65"/>
  <c r="K355" i="65"/>
  <c r="M335" i="65"/>
  <c r="K335" i="65"/>
  <c r="K332" i="65"/>
  <c r="M332" i="65"/>
  <c r="M329" i="65"/>
  <c r="K329" i="65"/>
  <c r="M303" i="65"/>
  <c r="K303" i="65"/>
  <c r="M297" i="65"/>
  <c r="K297" i="65"/>
  <c r="K294" i="65"/>
  <c r="M294" i="65"/>
  <c r="M268" i="65"/>
  <c r="N349" i="65"/>
  <c r="N327" i="65"/>
  <c r="AH327" i="65"/>
  <c r="AI327" i="65" s="1"/>
  <c r="AJ327" i="65" s="1"/>
  <c r="AK327" i="65" s="1"/>
  <c r="AL327" i="65" s="1"/>
  <c r="K366" i="65"/>
  <c r="M366" i="65"/>
  <c r="K302" i="65"/>
  <c r="M302" i="65"/>
  <c r="K270" i="65"/>
  <c r="M270" i="65"/>
  <c r="M271" i="65"/>
  <c r="K384" i="65"/>
  <c r="M384" i="65"/>
  <c r="N359" i="65"/>
  <c r="K320" i="65"/>
  <c r="M320" i="65"/>
  <c r="N295" i="65"/>
  <c r="N365" i="65"/>
  <c r="M352" i="65"/>
  <c r="AH301" i="65"/>
  <c r="AI301" i="65" s="1"/>
  <c r="AJ301" i="65" s="1"/>
  <c r="AK301" i="65" s="1"/>
  <c r="AL301" i="65" s="1"/>
  <c r="M279" i="65"/>
  <c r="N383" i="65"/>
  <c r="K380" i="65"/>
  <c r="M380" i="65"/>
  <c r="M377" i="65"/>
  <c r="K377" i="65"/>
  <c r="K348" i="65"/>
  <c r="M348" i="65"/>
  <c r="M345" i="65"/>
  <c r="K345" i="65"/>
  <c r="K316" i="65"/>
  <c r="M316" i="65"/>
  <c r="M313" i="65"/>
  <c r="K313" i="65"/>
  <c r="K284" i="65"/>
  <c r="M284" i="65"/>
  <c r="M281" i="65"/>
  <c r="K281" i="65"/>
  <c r="K272" i="65"/>
  <c r="M272" i="65"/>
  <c r="AH381" i="65"/>
  <c r="AI381" i="65" s="1"/>
  <c r="AJ381" i="65" s="1"/>
  <c r="AK381" i="65" s="1"/>
  <c r="AL381" i="65" s="1"/>
  <c r="M376" i="65"/>
  <c r="M368" i="65"/>
  <c r="M350" i="65"/>
  <c r="M342" i="65"/>
  <c r="N325" i="65"/>
  <c r="M321" i="65"/>
  <c r="M312" i="65"/>
  <c r="M304" i="65"/>
  <c r="M286" i="65"/>
  <c r="M278" i="65"/>
  <c r="AH269" i="65"/>
  <c r="AI269" i="65" s="1"/>
  <c r="AJ269" i="65" s="1"/>
  <c r="AK269" i="65" s="1"/>
  <c r="AL269" i="65" s="1"/>
  <c r="N269" i="65"/>
  <c r="AH307" i="65"/>
  <c r="AI307" i="65" s="1"/>
  <c r="AJ307" i="65" s="1"/>
  <c r="AK307" i="65" s="1"/>
  <c r="AL307" i="65" s="1"/>
  <c r="N371" i="65"/>
  <c r="AH333" i="65"/>
  <c r="AI333" i="65" s="1"/>
  <c r="AJ333" i="65" s="1"/>
  <c r="AK333" i="65" s="1"/>
  <c r="AL333" i="65" s="1"/>
  <c r="M324" i="65"/>
  <c r="N307" i="65"/>
  <c r="O60" i="25"/>
  <c r="O59" i="25"/>
  <c r="O58" i="25"/>
  <c r="O55" i="25"/>
  <c r="AH338" i="65" l="1"/>
  <c r="N353" i="65"/>
  <c r="N336" i="65"/>
  <c r="N338" i="65"/>
  <c r="N362" i="65"/>
  <c r="N314" i="65"/>
  <c r="AH306" i="65"/>
  <c r="AI306" i="65" s="1"/>
  <c r="AJ306" i="65" s="1"/>
  <c r="AK306" i="65" s="1"/>
  <c r="AL306" i="65" s="1"/>
  <c r="N330" i="65"/>
  <c r="N351" i="65"/>
  <c r="AH336" i="65"/>
  <c r="AI336" i="65" s="1"/>
  <c r="AJ336" i="65" s="1"/>
  <c r="AK336" i="65" s="1"/>
  <c r="AL336" i="65" s="1"/>
  <c r="AH370" i="65"/>
  <c r="AI370" i="65" s="1"/>
  <c r="AJ370" i="65" s="1"/>
  <c r="AK370" i="65" s="1"/>
  <c r="AL370" i="65" s="1"/>
  <c r="N290" i="65"/>
  <c r="N356" i="65"/>
  <c r="N341" i="65"/>
  <c r="N374" i="65"/>
  <c r="N287" i="65"/>
  <c r="N315" i="65"/>
  <c r="AH362" i="65"/>
  <c r="AI362" i="65" s="1"/>
  <c r="AJ362" i="65" s="1"/>
  <c r="AK362" i="65" s="1"/>
  <c r="AL362" i="65" s="1"/>
  <c r="N346" i="65"/>
  <c r="AH274" i="65"/>
  <c r="AI274" i="65" s="1"/>
  <c r="AJ274" i="65" s="1"/>
  <c r="AK274" i="65" s="1"/>
  <c r="AL274" i="65" s="1"/>
  <c r="N309" i="65"/>
  <c r="AH318" i="65"/>
  <c r="AI318" i="65" s="1"/>
  <c r="AJ318" i="65" s="1"/>
  <c r="AK318" i="65" s="1"/>
  <c r="AL318" i="65" s="1"/>
  <c r="N370" i="65"/>
  <c r="N382" i="65"/>
  <c r="N306" i="65"/>
  <c r="N274" i="65"/>
  <c r="N318" i="65"/>
  <c r="AH331" i="65"/>
  <c r="AI331" i="65" s="1"/>
  <c r="AJ331" i="65" s="1"/>
  <c r="AK331" i="65" s="1"/>
  <c r="AL331" i="65" s="1"/>
  <c r="N343" i="65"/>
  <c r="N280" i="65"/>
  <c r="N289" i="65"/>
  <c r="N379" i="65"/>
  <c r="N298" i="65"/>
  <c r="N322" i="65"/>
  <c r="N319" i="65"/>
  <c r="N310" i="65"/>
  <c r="N305" i="65"/>
  <c r="AH305" i="65"/>
  <c r="AI305" i="65" s="1"/>
  <c r="AJ305" i="65" s="1"/>
  <c r="AK305" i="65" s="1"/>
  <c r="AL305" i="65" s="1"/>
  <c r="N277" i="65"/>
  <c r="AI338" i="65"/>
  <c r="AJ338" i="65" s="1"/>
  <c r="AK338" i="65" s="1"/>
  <c r="AL338" i="65" s="1"/>
  <c r="N284" i="65"/>
  <c r="N320" i="65"/>
  <c r="N270" i="65"/>
  <c r="AH270" i="65"/>
  <c r="AI270" i="65" s="1"/>
  <c r="AJ270" i="65" s="1"/>
  <c r="AK270" i="65" s="1"/>
  <c r="AL270" i="65" s="1"/>
  <c r="N329" i="65"/>
  <c r="AH329" i="65"/>
  <c r="AI329" i="65" s="1"/>
  <c r="AJ329" i="65" s="1"/>
  <c r="AK329" i="65" s="1"/>
  <c r="AL329" i="65" s="1"/>
  <c r="N364" i="65"/>
  <c r="N288" i="65"/>
  <c r="N347" i="65"/>
  <c r="N372" i="65"/>
  <c r="N296" i="65"/>
  <c r="N291" i="65"/>
  <c r="N361" i="65"/>
  <c r="N308" i="65"/>
  <c r="AH308" i="65"/>
  <c r="AI308" i="65" s="1"/>
  <c r="AJ308" i="65" s="1"/>
  <c r="AK308" i="65" s="1"/>
  <c r="AL308" i="65" s="1"/>
  <c r="N286" i="65"/>
  <c r="N321" i="65"/>
  <c r="N376" i="65"/>
  <c r="N345" i="65"/>
  <c r="N380" i="65"/>
  <c r="AH380" i="65"/>
  <c r="AI380" i="65" s="1"/>
  <c r="AJ380" i="65" s="1"/>
  <c r="AK380" i="65" s="1"/>
  <c r="AL380" i="65" s="1"/>
  <c r="N302" i="65"/>
  <c r="AI302" i="65"/>
  <c r="AJ302" i="65" s="1"/>
  <c r="AK302" i="65" s="1"/>
  <c r="AL302" i="65" s="1"/>
  <c r="AH302" i="65"/>
  <c r="N303" i="65"/>
  <c r="AH303" i="65"/>
  <c r="AI303" i="65" s="1"/>
  <c r="AJ303" i="65" s="1"/>
  <c r="AK303" i="65" s="1"/>
  <c r="AL303" i="65" s="1"/>
  <c r="N340" i="65"/>
  <c r="N283" i="65"/>
  <c r="N328" i="65"/>
  <c r="AH328" i="65"/>
  <c r="AI328" i="65" s="1"/>
  <c r="AJ328" i="65" s="1"/>
  <c r="AK328" i="65" s="1"/>
  <c r="AL328" i="65" s="1"/>
  <c r="N312" i="65"/>
  <c r="N350" i="65"/>
  <c r="N272" i="65"/>
  <c r="AH272" i="65"/>
  <c r="AI272" i="65" s="1"/>
  <c r="AJ272" i="65" s="1"/>
  <c r="AK272" i="65" s="1"/>
  <c r="AL272" i="65" s="1"/>
  <c r="N313" i="65"/>
  <c r="N366" i="65"/>
  <c r="N297" i="65"/>
  <c r="N335" i="65"/>
  <c r="AH335" i="65"/>
  <c r="AI335" i="65" s="1"/>
  <c r="AJ335" i="65" s="1"/>
  <c r="AK335" i="65" s="1"/>
  <c r="AL335" i="65" s="1"/>
  <c r="N369" i="65"/>
  <c r="N311" i="65"/>
  <c r="N323" i="65"/>
  <c r="N324" i="65"/>
  <c r="N278" i="65"/>
  <c r="N368" i="65"/>
  <c r="N316" i="65"/>
  <c r="N377" i="65"/>
  <c r="N279" i="65"/>
  <c r="N384" i="65"/>
  <c r="N294" i="65"/>
  <c r="N332" i="65"/>
  <c r="AH332" i="65"/>
  <c r="AI332" i="65" s="1"/>
  <c r="AJ332" i="65" s="1"/>
  <c r="AK332" i="65" s="1"/>
  <c r="AL332" i="65" s="1"/>
  <c r="N334" i="65"/>
  <c r="AH334" i="65"/>
  <c r="AI334" i="65" s="1"/>
  <c r="AJ334" i="65" s="1"/>
  <c r="AK334" i="65" s="1"/>
  <c r="AL334" i="65" s="1"/>
  <c r="N337" i="65"/>
  <c r="AH337" i="65"/>
  <c r="AI337" i="65" s="1"/>
  <c r="AJ337" i="65" s="1"/>
  <c r="AK337" i="65" s="1"/>
  <c r="AL337" i="65" s="1"/>
  <c r="N326" i="65"/>
  <c r="AH326" i="65"/>
  <c r="AI326" i="65" s="1"/>
  <c r="AJ326" i="65" s="1"/>
  <c r="AK326" i="65" s="1"/>
  <c r="AL326" i="65" s="1"/>
  <c r="N300" i="65"/>
  <c r="AH300" i="65"/>
  <c r="AI300" i="65" s="1"/>
  <c r="AJ300" i="65" s="1"/>
  <c r="AK300" i="65" s="1"/>
  <c r="AL300" i="65" s="1"/>
  <c r="N358" i="65"/>
  <c r="N304" i="65"/>
  <c r="AH304" i="65"/>
  <c r="AI304" i="65" s="1"/>
  <c r="AJ304" i="65" s="1"/>
  <c r="AK304" i="65" s="1"/>
  <c r="AL304" i="65" s="1"/>
  <c r="N342" i="65"/>
  <c r="N281" i="65"/>
  <c r="N348" i="65"/>
  <c r="N352" i="65"/>
  <c r="AH271" i="65"/>
  <c r="AI271" i="65" s="1"/>
  <c r="AJ271" i="65" s="1"/>
  <c r="AK271" i="65" s="1"/>
  <c r="AL271" i="65" s="1"/>
  <c r="N271" i="65"/>
  <c r="N268" i="65"/>
  <c r="AH268" i="65"/>
  <c r="AI268" i="65" s="1"/>
  <c r="N355" i="65"/>
  <c r="N367" i="65"/>
  <c r="N360" i="65"/>
  <c r="N273" i="65"/>
  <c r="AH273" i="65"/>
  <c r="AI273" i="65" s="1"/>
  <c r="AJ273" i="65" s="1"/>
  <c r="AK273" i="65" s="1"/>
  <c r="AL273" i="65" s="1"/>
  <c r="N375" i="65"/>
  <c r="AJ268" i="65" l="1"/>
  <c r="AK268" i="65" l="1"/>
  <c r="B547" i="40"/>
  <c r="D547" i="40"/>
  <c r="E547" i="40"/>
  <c r="F547" i="40"/>
  <c r="G547" i="40"/>
  <c r="B548" i="40"/>
  <c r="D548" i="40"/>
  <c r="E548" i="40"/>
  <c r="F548" i="40"/>
  <c r="G548" i="40"/>
  <c r="F265" i="65"/>
  <c r="G265" i="65"/>
  <c r="H265" i="65"/>
  <c r="I265" i="65"/>
  <c r="J265" i="65"/>
  <c r="F266" i="65"/>
  <c r="G266" i="65"/>
  <c r="H266" i="65"/>
  <c r="I266" i="65"/>
  <c r="J266" i="65"/>
  <c r="B266" i="65"/>
  <c r="H65" i="42"/>
  <c r="I65" i="42"/>
  <c r="J65" i="42"/>
  <c r="K65" i="42"/>
  <c r="H66" i="42"/>
  <c r="I66" i="42"/>
  <c r="J66" i="42"/>
  <c r="K66" i="42"/>
  <c r="H67" i="42"/>
  <c r="I67" i="42"/>
  <c r="J67" i="42"/>
  <c r="K67" i="42"/>
  <c r="H68" i="42"/>
  <c r="I68" i="42"/>
  <c r="J68" i="42"/>
  <c r="K68" i="42"/>
  <c r="H69" i="42"/>
  <c r="I69" i="42"/>
  <c r="J69" i="42"/>
  <c r="K69" i="42"/>
  <c r="H70" i="42"/>
  <c r="I70" i="42"/>
  <c r="J70" i="42"/>
  <c r="K70" i="42"/>
  <c r="H71" i="42"/>
  <c r="I71" i="42"/>
  <c r="J71" i="42"/>
  <c r="K71" i="42"/>
  <c r="H72" i="42"/>
  <c r="I72" i="42"/>
  <c r="J72" i="42"/>
  <c r="K72" i="42"/>
  <c r="H73" i="42"/>
  <c r="I73" i="42"/>
  <c r="J73" i="42"/>
  <c r="K73" i="42"/>
  <c r="H74" i="42"/>
  <c r="I74" i="42"/>
  <c r="J74" i="42"/>
  <c r="K74" i="42"/>
  <c r="H75" i="42"/>
  <c r="I75" i="42"/>
  <c r="J75" i="42"/>
  <c r="K75" i="42"/>
  <c r="H76" i="42"/>
  <c r="I76" i="42"/>
  <c r="J76" i="42"/>
  <c r="K76" i="42"/>
  <c r="H77" i="42"/>
  <c r="I77" i="42"/>
  <c r="J77" i="42"/>
  <c r="K77" i="42"/>
  <c r="H78" i="42"/>
  <c r="I78" i="42"/>
  <c r="J78" i="42"/>
  <c r="K78" i="42"/>
  <c r="H79" i="42"/>
  <c r="I79" i="42"/>
  <c r="M79" i="42" s="1"/>
  <c r="J79" i="42"/>
  <c r="K79" i="42"/>
  <c r="F65" i="42"/>
  <c r="F66" i="42"/>
  <c r="F67" i="42"/>
  <c r="F68" i="42"/>
  <c r="F69" i="42"/>
  <c r="F70" i="42"/>
  <c r="F71" i="42"/>
  <c r="F72" i="42"/>
  <c r="F73" i="42"/>
  <c r="F74" i="42"/>
  <c r="F75" i="42"/>
  <c r="F76" i="42"/>
  <c r="F77" i="42"/>
  <c r="F78" i="42"/>
  <c r="F79" i="42"/>
  <c r="B65" i="42"/>
  <c r="B66" i="42"/>
  <c r="B67" i="42"/>
  <c r="B68" i="42"/>
  <c r="B69" i="42"/>
  <c r="B70" i="42"/>
  <c r="B71" i="42"/>
  <c r="B72" i="42"/>
  <c r="B73" i="42"/>
  <c r="B74" i="42"/>
  <c r="B75" i="42"/>
  <c r="B76" i="42"/>
  <c r="B77" i="42"/>
  <c r="B78" i="42"/>
  <c r="B79" i="42"/>
  <c r="AP79" i="42" l="1"/>
  <c r="O79" i="42"/>
  <c r="R79" i="42" s="1"/>
  <c r="S79" i="42"/>
  <c r="P79" i="42"/>
  <c r="AL268" i="65"/>
  <c r="Q74" i="24"/>
  <c r="R74" i="24" s="1"/>
  <c r="R14" i="91" s="1"/>
  <c r="R22" i="91" s="1"/>
  <c r="N39" i="32" s="1"/>
  <c r="R33" i="66" l="1"/>
  <c r="R44" i="25"/>
  <c r="N36" i="37"/>
  <c r="M21" i="68"/>
  <c r="O36" i="50"/>
  <c r="M38" i="65"/>
  <c r="O34" i="42"/>
  <c r="B290" i="50"/>
  <c r="F290" i="50"/>
  <c r="H290" i="50"/>
  <c r="I290" i="50"/>
  <c r="J290" i="50" s="1"/>
  <c r="B291" i="50"/>
  <c r="F291" i="50"/>
  <c r="H291" i="50"/>
  <c r="I291" i="50"/>
  <c r="J291" i="50" s="1"/>
  <c r="B292" i="50"/>
  <c r="F292" i="50"/>
  <c r="H292" i="50"/>
  <c r="I292" i="50"/>
  <c r="J292" i="50" s="1"/>
  <c r="B293" i="50"/>
  <c r="F293" i="50"/>
  <c r="H293" i="50"/>
  <c r="I293" i="50"/>
  <c r="J293" i="50" s="1"/>
  <c r="B294" i="50"/>
  <c r="F294" i="50"/>
  <c r="H294" i="50"/>
  <c r="I294" i="50"/>
  <c r="J294" i="50" s="1"/>
  <c r="B295" i="50"/>
  <c r="F295" i="50"/>
  <c r="H295" i="50"/>
  <c r="I295" i="50"/>
  <c r="J295" i="50" s="1"/>
  <c r="B296" i="50"/>
  <c r="F296" i="50"/>
  <c r="H296" i="50"/>
  <c r="I296" i="50"/>
  <c r="J296" i="50" s="1"/>
  <c r="B297" i="50"/>
  <c r="F297" i="50"/>
  <c r="H297" i="50"/>
  <c r="I297" i="50"/>
  <c r="J297" i="50" s="1"/>
  <c r="B298" i="50"/>
  <c r="F298" i="50"/>
  <c r="H298" i="50"/>
  <c r="I298" i="50"/>
  <c r="J298" i="50" s="1"/>
  <c r="B299" i="50"/>
  <c r="F299" i="50"/>
  <c r="H299" i="50"/>
  <c r="I299" i="50"/>
  <c r="J299" i="50" s="1"/>
  <c r="B300" i="50"/>
  <c r="F300" i="50"/>
  <c r="H300" i="50"/>
  <c r="I300" i="50"/>
  <c r="J300" i="50" s="1"/>
  <c r="B301" i="50"/>
  <c r="F301" i="50"/>
  <c r="H301" i="50"/>
  <c r="I301" i="50"/>
  <c r="J301" i="50" s="1"/>
  <c r="B302" i="50"/>
  <c r="F302" i="50"/>
  <c r="H302" i="50"/>
  <c r="I302" i="50"/>
  <c r="J302" i="50" s="1"/>
  <c r="B303" i="50"/>
  <c r="F303" i="50"/>
  <c r="H303" i="50"/>
  <c r="I303" i="50"/>
  <c r="J303" i="50" s="1"/>
  <c r="B304" i="50"/>
  <c r="F304" i="50"/>
  <c r="H304" i="50"/>
  <c r="I304" i="50"/>
  <c r="J304" i="50" s="1"/>
  <c r="B305" i="50"/>
  <c r="F305" i="50"/>
  <c r="H305" i="50"/>
  <c r="I305" i="50"/>
  <c r="J305" i="50" s="1"/>
  <c r="B306" i="50"/>
  <c r="F306" i="50"/>
  <c r="H306" i="50"/>
  <c r="I306" i="50"/>
  <c r="J306" i="50" s="1"/>
  <c r="B307" i="50"/>
  <c r="F307" i="50"/>
  <c r="H307" i="50"/>
  <c r="I307" i="50"/>
  <c r="J307" i="50" s="1"/>
  <c r="R99" i="25" l="1"/>
  <c r="N25" i="32" s="1"/>
  <c r="R82" i="25"/>
  <c r="N22" i="32" s="1"/>
  <c r="R89" i="25"/>
  <c r="R75" i="25"/>
  <c r="N21" i="32" s="1"/>
  <c r="N60" i="25"/>
  <c r="R90" i="25" l="1"/>
  <c r="S16" i="59" s="1"/>
  <c r="M60" i="37"/>
  <c r="M61" i="37"/>
  <c r="M62" i="37"/>
  <c r="M63" i="37"/>
  <c r="M64" i="37"/>
  <c r="M65" i="37"/>
  <c r="M66" i="37"/>
  <c r="M67" i="37"/>
  <c r="M68" i="37"/>
  <c r="M69" i="37"/>
  <c r="M70"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M140" i="37"/>
  <c r="M141" i="37"/>
  <c r="M142" i="37"/>
  <c r="M143" i="37"/>
  <c r="M144" i="37"/>
  <c r="M145" i="37"/>
  <c r="M146" i="37"/>
  <c r="M147" i="37"/>
  <c r="M148" i="37"/>
  <c r="M149" i="37"/>
  <c r="M150" i="37"/>
  <c r="M151" i="37"/>
  <c r="M152" i="37"/>
  <c r="M153" i="37"/>
  <c r="M154" i="37"/>
  <c r="M155" i="37"/>
  <c r="M156" i="37"/>
  <c r="M157" i="37"/>
  <c r="M158" i="37"/>
  <c r="M159" i="37"/>
  <c r="M160" i="37"/>
  <c r="M161" i="37"/>
  <c r="M162" i="37"/>
  <c r="M163" i="37"/>
  <c r="M164" i="37"/>
  <c r="M165" i="37"/>
  <c r="M166" i="37"/>
  <c r="M167" i="37"/>
  <c r="M168" i="37"/>
  <c r="M169" i="37"/>
  <c r="M170" i="37"/>
  <c r="M171" i="37"/>
  <c r="M172" i="37"/>
  <c r="M173" i="37"/>
  <c r="M174" i="37"/>
  <c r="M175" i="37"/>
  <c r="M176" i="37"/>
  <c r="M177" i="37"/>
  <c r="M178" i="37"/>
  <c r="M179" i="37"/>
  <c r="M180" i="37"/>
  <c r="M181" i="37"/>
  <c r="M182" i="37"/>
  <c r="M183" i="37"/>
  <c r="M184" i="37"/>
  <c r="M185" i="37"/>
  <c r="M186" i="37"/>
  <c r="M187" i="37"/>
  <c r="M188" i="37"/>
  <c r="M189" i="37"/>
  <c r="M190" i="37"/>
  <c r="M191" i="37"/>
  <c r="M192" i="37"/>
  <c r="M193" i="37"/>
  <c r="M194" i="37"/>
  <c r="M195" i="37"/>
  <c r="M196" i="37"/>
  <c r="M197" i="37"/>
  <c r="M198" i="37"/>
  <c r="M199" i="37"/>
  <c r="M200" i="37"/>
  <c r="M201" i="37"/>
  <c r="M202" i="37"/>
  <c r="M203" i="37"/>
  <c r="M204" i="37"/>
  <c r="M205" i="37"/>
  <c r="M206" i="37"/>
  <c r="M207" i="37"/>
  <c r="M208" i="37"/>
  <c r="M209" i="37"/>
  <c r="M210" i="37"/>
  <c r="M211" i="37"/>
  <c r="M212" i="37"/>
  <c r="M213" i="37"/>
  <c r="M214" i="37"/>
  <c r="M215" i="37"/>
  <c r="M216" i="37"/>
  <c r="M217" i="37"/>
  <c r="M218" i="37"/>
  <c r="M219" i="37"/>
  <c r="M220" i="37"/>
  <c r="M221" i="37"/>
  <c r="M222" i="37"/>
  <c r="M223" i="37"/>
  <c r="M224" i="37"/>
  <c r="M225" i="37"/>
  <c r="M226" i="37"/>
  <c r="M227" i="37"/>
  <c r="M228" i="37"/>
  <c r="M229" i="37"/>
  <c r="M230" i="37"/>
  <c r="M231" i="37"/>
  <c r="M232" i="37"/>
  <c r="M233" i="37"/>
  <c r="M234" i="37"/>
  <c r="M235" i="37"/>
  <c r="M236" i="37"/>
  <c r="M237" i="37"/>
  <c r="M238" i="37"/>
  <c r="M239" i="37"/>
  <c r="M240" i="37"/>
  <c r="M241" i="37"/>
  <c r="M242" i="37"/>
  <c r="M243" i="37"/>
  <c r="M244" i="37"/>
  <c r="M245" i="37"/>
  <c r="M246" i="37"/>
  <c r="M247" i="37"/>
  <c r="M248" i="37"/>
  <c r="M249" i="37"/>
  <c r="M250" i="37"/>
  <c r="M251" i="37"/>
  <c r="M252" i="37"/>
  <c r="M253" i="37"/>
  <c r="M254" i="37"/>
  <c r="M255" i="37"/>
  <c r="M256" i="37"/>
  <c r="M257" i="37"/>
  <c r="M258" i="37"/>
  <c r="M259" i="37"/>
  <c r="M260" i="37"/>
  <c r="M261" i="37"/>
  <c r="M262" i="37"/>
  <c r="M263" i="37"/>
  <c r="M264" i="37"/>
  <c r="M265" i="37"/>
  <c r="M266" i="37"/>
  <c r="M267" i="37"/>
  <c r="M268" i="37"/>
  <c r="M269" i="37"/>
  <c r="M270" i="37"/>
  <c r="M271" i="37"/>
  <c r="M272" i="37"/>
  <c r="M273" i="37"/>
  <c r="M274" i="37"/>
  <c r="M275" i="37"/>
  <c r="M276" i="37"/>
  <c r="M277" i="37"/>
  <c r="M278" i="37"/>
  <c r="M279" i="37"/>
  <c r="M280" i="37"/>
  <c r="M281" i="37"/>
  <c r="M282" i="37"/>
  <c r="M283" i="37"/>
  <c r="M284" i="37"/>
  <c r="M285" i="37"/>
  <c r="M286" i="37"/>
  <c r="M287" i="37"/>
  <c r="M288" i="37"/>
  <c r="M289" i="37"/>
  <c r="M290" i="37"/>
  <c r="M291" i="37"/>
  <c r="M292" i="37"/>
  <c r="M293" i="37"/>
  <c r="M294" i="37"/>
  <c r="M295" i="37"/>
  <c r="M296" i="37"/>
  <c r="M297" i="37"/>
  <c r="M298" i="37"/>
  <c r="M299" i="37"/>
  <c r="M300" i="37"/>
  <c r="M301" i="37"/>
  <c r="M59" i="37"/>
  <c r="L60" i="37"/>
  <c r="L61" i="37"/>
  <c r="L62" i="37"/>
  <c r="L63" i="37"/>
  <c r="L64" i="37"/>
  <c r="L65" i="37"/>
  <c r="L66" i="37"/>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L115" i="37"/>
  <c r="L116" i="37"/>
  <c r="L117" i="37"/>
  <c r="L118" i="37"/>
  <c r="L119" i="37"/>
  <c r="L120" i="37"/>
  <c r="L121" i="37"/>
  <c r="L122" i="37"/>
  <c r="L123" i="37"/>
  <c r="L124" i="37"/>
  <c r="L125" i="37"/>
  <c r="L126" i="37"/>
  <c r="L127" i="37"/>
  <c r="L128" i="37"/>
  <c r="L129" i="37"/>
  <c r="L130" i="37"/>
  <c r="L131" i="37"/>
  <c r="L132" i="37"/>
  <c r="L133" i="37"/>
  <c r="L134" i="37"/>
  <c r="L135" i="37"/>
  <c r="L136" i="37"/>
  <c r="L137" i="37"/>
  <c r="L138" i="37"/>
  <c r="L139" i="37"/>
  <c r="L140" i="37"/>
  <c r="L141" i="37"/>
  <c r="L142" i="37"/>
  <c r="L143" i="37"/>
  <c r="L144" i="37"/>
  <c r="L145" i="37"/>
  <c r="L146" i="37"/>
  <c r="L147" i="37"/>
  <c r="L148" i="37"/>
  <c r="L149" i="37"/>
  <c r="L150" i="37"/>
  <c r="L151" i="37"/>
  <c r="L152" i="37"/>
  <c r="L153" i="37"/>
  <c r="L154" i="37"/>
  <c r="L155" i="37"/>
  <c r="L156" i="37"/>
  <c r="L157" i="37"/>
  <c r="L158" i="37"/>
  <c r="L159" i="37"/>
  <c r="L160" i="37"/>
  <c r="L161" i="37"/>
  <c r="L162" i="37"/>
  <c r="L163" i="37"/>
  <c r="L164" i="37"/>
  <c r="L165" i="37"/>
  <c r="L166" i="37"/>
  <c r="L167" i="37"/>
  <c r="L168" i="37"/>
  <c r="L169" i="37"/>
  <c r="L170" i="37"/>
  <c r="L171" i="37"/>
  <c r="L172" i="37"/>
  <c r="L173" i="37"/>
  <c r="L174" i="37"/>
  <c r="L175" i="37"/>
  <c r="L176" i="37"/>
  <c r="L177" i="37"/>
  <c r="L178" i="37"/>
  <c r="L179" i="37"/>
  <c r="L180" i="37"/>
  <c r="L181" i="37"/>
  <c r="L182" i="37"/>
  <c r="L183" i="37"/>
  <c r="L184" i="37"/>
  <c r="L185" i="37"/>
  <c r="L186" i="37"/>
  <c r="L187" i="37"/>
  <c r="L188" i="37"/>
  <c r="L189" i="37"/>
  <c r="L190" i="37"/>
  <c r="L191" i="37"/>
  <c r="L192" i="37"/>
  <c r="L193" i="37"/>
  <c r="L194" i="37"/>
  <c r="L195" i="37"/>
  <c r="L196" i="37"/>
  <c r="L197" i="37"/>
  <c r="L198" i="37"/>
  <c r="L199" i="37"/>
  <c r="L200" i="37"/>
  <c r="L201" i="37"/>
  <c r="L202" i="37"/>
  <c r="L203" i="37"/>
  <c r="L204" i="37"/>
  <c r="L205" i="37"/>
  <c r="L206" i="37"/>
  <c r="L207" i="37"/>
  <c r="L208" i="37"/>
  <c r="L209" i="37"/>
  <c r="L210" i="37"/>
  <c r="L211" i="37"/>
  <c r="L212" i="37"/>
  <c r="L213" i="37"/>
  <c r="L214" i="37"/>
  <c r="L215" i="37"/>
  <c r="L216" i="37"/>
  <c r="L217" i="37"/>
  <c r="L218" i="37"/>
  <c r="L219" i="37"/>
  <c r="L220" i="37"/>
  <c r="L221" i="37"/>
  <c r="L222" i="37"/>
  <c r="L223" i="37"/>
  <c r="L224" i="37"/>
  <c r="L225" i="37"/>
  <c r="L226" i="37"/>
  <c r="L227" i="37"/>
  <c r="L228" i="37"/>
  <c r="L229" i="37"/>
  <c r="L230" i="37"/>
  <c r="L231" i="37"/>
  <c r="L232" i="37"/>
  <c r="L233" i="37"/>
  <c r="L234" i="37"/>
  <c r="L235" i="37"/>
  <c r="L236" i="37"/>
  <c r="L237" i="37"/>
  <c r="L238" i="37"/>
  <c r="L239" i="37"/>
  <c r="L240" i="37"/>
  <c r="L241" i="37"/>
  <c r="L242" i="37"/>
  <c r="L243" i="37"/>
  <c r="L244" i="37"/>
  <c r="L245" i="37"/>
  <c r="L246" i="37"/>
  <c r="L247" i="37"/>
  <c r="L248" i="37"/>
  <c r="L249" i="37"/>
  <c r="L250" i="37"/>
  <c r="L251" i="37"/>
  <c r="L252" i="37"/>
  <c r="L253" i="37"/>
  <c r="L254" i="37"/>
  <c r="L255" i="37"/>
  <c r="L256" i="37"/>
  <c r="L257" i="37"/>
  <c r="L258" i="37"/>
  <c r="L259" i="37"/>
  <c r="L260" i="37"/>
  <c r="L261" i="37"/>
  <c r="L262" i="37"/>
  <c r="L263" i="37"/>
  <c r="L264" i="37"/>
  <c r="L265" i="37"/>
  <c r="L266" i="37"/>
  <c r="L267" i="37"/>
  <c r="L268" i="37"/>
  <c r="L269" i="37"/>
  <c r="L270" i="37"/>
  <c r="L271" i="37"/>
  <c r="L272" i="37"/>
  <c r="L273" i="37"/>
  <c r="L274" i="37"/>
  <c r="L275" i="37"/>
  <c r="L276" i="37"/>
  <c r="L277" i="37"/>
  <c r="L278" i="37"/>
  <c r="L279" i="37"/>
  <c r="L280" i="37"/>
  <c r="L281" i="37"/>
  <c r="L282" i="37"/>
  <c r="L283" i="37"/>
  <c r="L284" i="37"/>
  <c r="L285" i="37"/>
  <c r="L286" i="37"/>
  <c r="L287" i="37"/>
  <c r="L288" i="37"/>
  <c r="L289" i="37"/>
  <c r="L290" i="37"/>
  <c r="L291" i="37"/>
  <c r="L292" i="37"/>
  <c r="L293" i="37"/>
  <c r="L294" i="37"/>
  <c r="L295" i="37"/>
  <c r="L296" i="37"/>
  <c r="L297" i="37"/>
  <c r="L298" i="37"/>
  <c r="L299" i="37"/>
  <c r="L300" i="37"/>
  <c r="L301" i="37"/>
  <c r="L59" i="37"/>
  <c r="I60" i="37"/>
  <c r="I61" i="37"/>
  <c r="I62" i="37"/>
  <c r="I63" i="37"/>
  <c r="I64" i="37"/>
  <c r="I65" i="37"/>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115" i="37"/>
  <c r="I116" i="37"/>
  <c r="I117" i="37"/>
  <c r="I118" i="37"/>
  <c r="I119" i="37"/>
  <c r="I120" i="37"/>
  <c r="I121" i="37"/>
  <c r="I122" i="37"/>
  <c r="I123" i="37"/>
  <c r="I124" i="37"/>
  <c r="I125" i="37"/>
  <c r="I126" i="37"/>
  <c r="I127" i="37"/>
  <c r="I128" i="37"/>
  <c r="I129" i="37"/>
  <c r="I130" i="37"/>
  <c r="I131" i="37"/>
  <c r="I132" i="37"/>
  <c r="I133" i="37"/>
  <c r="I134" i="37"/>
  <c r="I135" i="37"/>
  <c r="I136" i="37"/>
  <c r="I137" i="37"/>
  <c r="I138" i="37"/>
  <c r="I139" i="37"/>
  <c r="I140" i="37"/>
  <c r="I141" i="37"/>
  <c r="I142" i="37"/>
  <c r="I143" i="37"/>
  <c r="I144" i="37"/>
  <c r="I145" i="37"/>
  <c r="I146" i="37"/>
  <c r="I147" i="37"/>
  <c r="I148" i="37"/>
  <c r="I149" i="37"/>
  <c r="I150" i="37"/>
  <c r="I151" i="37"/>
  <c r="I152" i="37"/>
  <c r="I153" i="37"/>
  <c r="I154" i="37"/>
  <c r="I155" i="37"/>
  <c r="I156" i="37"/>
  <c r="I157" i="37"/>
  <c r="I158" i="37"/>
  <c r="I159" i="37"/>
  <c r="I160" i="37"/>
  <c r="I161" i="37"/>
  <c r="I162" i="37"/>
  <c r="I163" i="37"/>
  <c r="I164" i="37"/>
  <c r="I165" i="37"/>
  <c r="I166" i="37"/>
  <c r="I167" i="37"/>
  <c r="I168" i="37"/>
  <c r="I169" i="37"/>
  <c r="I170" i="37"/>
  <c r="I171" i="37"/>
  <c r="I172" i="37"/>
  <c r="I173" i="37"/>
  <c r="I174" i="37"/>
  <c r="I175" i="37"/>
  <c r="I176" i="37"/>
  <c r="I177" i="37"/>
  <c r="I178" i="37"/>
  <c r="I179" i="37"/>
  <c r="I180" i="37"/>
  <c r="I181" i="37"/>
  <c r="I182" i="37"/>
  <c r="I183" i="37"/>
  <c r="I184" i="37"/>
  <c r="I185" i="37"/>
  <c r="I186" i="37"/>
  <c r="I187" i="37"/>
  <c r="I188" i="37"/>
  <c r="I189" i="37"/>
  <c r="I190" i="37"/>
  <c r="I191" i="37"/>
  <c r="I192" i="37"/>
  <c r="I193" i="37"/>
  <c r="I194" i="37"/>
  <c r="I195" i="37"/>
  <c r="I196" i="37"/>
  <c r="I197" i="37"/>
  <c r="I198" i="37"/>
  <c r="I199" i="37"/>
  <c r="I200" i="37"/>
  <c r="I201" i="37"/>
  <c r="I202" i="37"/>
  <c r="I203" i="37"/>
  <c r="I204" i="37"/>
  <c r="I205" i="37"/>
  <c r="I206" i="37"/>
  <c r="I207" i="37"/>
  <c r="I208" i="37"/>
  <c r="I209" i="37"/>
  <c r="I210" i="37"/>
  <c r="I211" i="37"/>
  <c r="I212" i="37"/>
  <c r="I213" i="37"/>
  <c r="I214" i="37"/>
  <c r="I215" i="37"/>
  <c r="I216" i="37"/>
  <c r="I217" i="37"/>
  <c r="I218" i="37"/>
  <c r="I219" i="37"/>
  <c r="I220" i="37"/>
  <c r="I221" i="37"/>
  <c r="I222" i="37"/>
  <c r="I223" i="37"/>
  <c r="I224" i="37"/>
  <c r="I225" i="37"/>
  <c r="I226" i="37"/>
  <c r="I227" i="37"/>
  <c r="I228" i="37"/>
  <c r="I229" i="37"/>
  <c r="I230" i="37"/>
  <c r="I231" i="37"/>
  <c r="I232" i="37"/>
  <c r="I233" i="37"/>
  <c r="I234" i="37"/>
  <c r="I235" i="37"/>
  <c r="I236" i="37"/>
  <c r="I237" i="37"/>
  <c r="I238" i="37"/>
  <c r="I239" i="37"/>
  <c r="I240" i="37"/>
  <c r="I241" i="37"/>
  <c r="I242" i="37"/>
  <c r="I243" i="37"/>
  <c r="I244" i="37"/>
  <c r="I245" i="37"/>
  <c r="I246" i="37"/>
  <c r="I247" i="37"/>
  <c r="I248" i="37"/>
  <c r="I249" i="37"/>
  <c r="I250" i="37"/>
  <c r="I251" i="37"/>
  <c r="I252" i="37"/>
  <c r="I253" i="37"/>
  <c r="I254" i="37"/>
  <c r="I255" i="37"/>
  <c r="I256" i="37"/>
  <c r="I257" i="37"/>
  <c r="I258" i="37"/>
  <c r="I259" i="37"/>
  <c r="I260" i="37"/>
  <c r="I261" i="37"/>
  <c r="I262" i="37"/>
  <c r="I263" i="37"/>
  <c r="I264" i="37"/>
  <c r="I265" i="37"/>
  <c r="I266" i="37"/>
  <c r="I267" i="37"/>
  <c r="I268" i="37"/>
  <c r="I269" i="37"/>
  <c r="I270" i="37"/>
  <c r="I271" i="37"/>
  <c r="I272" i="37"/>
  <c r="I273" i="37"/>
  <c r="I274" i="37"/>
  <c r="I275" i="37"/>
  <c r="I276" i="37"/>
  <c r="I277" i="37"/>
  <c r="I278" i="37"/>
  <c r="I279" i="37"/>
  <c r="I280" i="37"/>
  <c r="I281" i="37"/>
  <c r="I282" i="37"/>
  <c r="I283" i="37"/>
  <c r="I284" i="37"/>
  <c r="I285" i="37"/>
  <c r="I286" i="37"/>
  <c r="I287" i="37"/>
  <c r="I288" i="37"/>
  <c r="I289" i="37"/>
  <c r="I290" i="37"/>
  <c r="I291" i="37"/>
  <c r="I292" i="37"/>
  <c r="I293" i="37"/>
  <c r="I294" i="37"/>
  <c r="I295" i="37"/>
  <c r="I296" i="37"/>
  <c r="I297" i="37"/>
  <c r="I298" i="37"/>
  <c r="I299" i="37"/>
  <c r="I300" i="37"/>
  <c r="I301" i="37"/>
  <c r="I59" i="37"/>
  <c r="H60" i="37"/>
  <c r="H61" i="37"/>
  <c r="H62" i="37"/>
  <c r="H63" i="37"/>
  <c r="H64" i="37"/>
  <c r="H65" i="37"/>
  <c r="H66" i="37"/>
  <c r="H67" i="37"/>
  <c r="H68" i="37"/>
  <c r="H69" i="37"/>
  <c r="H70" i="37"/>
  <c r="H71" i="37"/>
  <c r="H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H114" i="37"/>
  <c r="H115" i="37"/>
  <c r="H116" i="37"/>
  <c r="H117" i="37"/>
  <c r="H118" i="37"/>
  <c r="H119" i="37"/>
  <c r="H120" i="37"/>
  <c r="H121" i="37"/>
  <c r="H122" i="37"/>
  <c r="H123" i="37"/>
  <c r="H124" i="37"/>
  <c r="H125" i="37"/>
  <c r="H126" i="37"/>
  <c r="H127" i="37"/>
  <c r="H128" i="37"/>
  <c r="H129" i="37"/>
  <c r="H130" i="37"/>
  <c r="H131" i="37"/>
  <c r="H132" i="37"/>
  <c r="H133" i="37"/>
  <c r="H134" i="37"/>
  <c r="H135" i="37"/>
  <c r="H136" i="37"/>
  <c r="H137" i="37"/>
  <c r="H138" i="37"/>
  <c r="H139" i="37"/>
  <c r="H140" i="37"/>
  <c r="H141" i="37"/>
  <c r="H142" i="37"/>
  <c r="H143" i="37"/>
  <c r="H144" i="37"/>
  <c r="H145" i="37"/>
  <c r="H146" i="37"/>
  <c r="H147" i="37"/>
  <c r="H148" i="37"/>
  <c r="H149" i="37"/>
  <c r="H150" i="37"/>
  <c r="H151" i="37"/>
  <c r="H152" i="37"/>
  <c r="H153" i="37"/>
  <c r="H154" i="37"/>
  <c r="H155" i="37"/>
  <c r="H156" i="37"/>
  <c r="H157" i="37"/>
  <c r="H158" i="37"/>
  <c r="H159" i="37"/>
  <c r="H160" i="37"/>
  <c r="H161" i="37"/>
  <c r="H162" i="37"/>
  <c r="H163" i="37"/>
  <c r="H164" i="37"/>
  <c r="H165" i="37"/>
  <c r="H166" i="37"/>
  <c r="H167" i="37"/>
  <c r="H168" i="37"/>
  <c r="H169" i="37"/>
  <c r="H170" i="37"/>
  <c r="H171" i="37"/>
  <c r="H172" i="37"/>
  <c r="H173" i="37"/>
  <c r="H174" i="37"/>
  <c r="H175" i="37"/>
  <c r="H176" i="37"/>
  <c r="H177" i="37"/>
  <c r="H178" i="37"/>
  <c r="H179" i="37"/>
  <c r="H180" i="37"/>
  <c r="H181" i="37"/>
  <c r="H182" i="37"/>
  <c r="H183" i="37"/>
  <c r="H184" i="37"/>
  <c r="H185" i="37"/>
  <c r="H186" i="37"/>
  <c r="H187" i="37"/>
  <c r="H188" i="37"/>
  <c r="H189" i="37"/>
  <c r="H190" i="37"/>
  <c r="H191" i="37"/>
  <c r="H192" i="37"/>
  <c r="H193" i="37"/>
  <c r="H194" i="37"/>
  <c r="H195" i="37"/>
  <c r="H196" i="37"/>
  <c r="H197" i="37"/>
  <c r="H198" i="37"/>
  <c r="H199" i="37"/>
  <c r="H200" i="37"/>
  <c r="H201" i="37"/>
  <c r="H202" i="37"/>
  <c r="H203" i="37"/>
  <c r="H204" i="37"/>
  <c r="H205" i="37"/>
  <c r="H206" i="37"/>
  <c r="H207" i="37"/>
  <c r="H208" i="37"/>
  <c r="H209" i="37"/>
  <c r="H210" i="37"/>
  <c r="H211" i="37"/>
  <c r="H212" i="37"/>
  <c r="H213" i="37"/>
  <c r="H214" i="37"/>
  <c r="H215" i="37"/>
  <c r="H216" i="37"/>
  <c r="H217" i="37"/>
  <c r="H218" i="37"/>
  <c r="H219" i="37"/>
  <c r="H220" i="37"/>
  <c r="H221" i="37"/>
  <c r="H222" i="37"/>
  <c r="H223" i="37"/>
  <c r="H224" i="37"/>
  <c r="H225" i="37"/>
  <c r="H226" i="37"/>
  <c r="H227" i="37"/>
  <c r="H228" i="37"/>
  <c r="H229" i="37"/>
  <c r="H230" i="37"/>
  <c r="H231" i="37"/>
  <c r="H232" i="37"/>
  <c r="H233" i="37"/>
  <c r="H234" i="37"/>
  <c r="H235" i="37"/>
  <c r="H236" i="37"/>
  <c r="H237" i="37"/>
  <c r="H238" i="37"/>
  <c r="H239" i="37"/>
  <c r="H240" i="37"/>
  <c r="H241" i="37"/>
  <c r="H242" i="37"/>
  <c r="H243" i="37"/>
  <c r="H244" i="37"/>
  <c r="H245" i="37"/>
  <c r="H246" i="37"/>
  <c r="H247" i="37"/>
  <c r="H248" i="37"/>
  <c r="H249" i="37"/>
  <c r="H250" i="37"/>
  <c r="H251" i="37"/>
  <c r="H252" i="37"/>
  <c r="H253" i="37"/>
  <c r="H254" i="37"/>
  <c r="H255" i="37"/>
  <c r="H256" i="37"/>
  <c r="H257" i="37"/>
  <c r="H258" i="37"/>
  <c r="H259" i="37"/>
  <c r="H260" i="37"/>
  <c r="H261" i="37"/>
  <c r="H262" i="37"/>
  <c r="H263" i="37"/>
  <c r="H264" i="37"/>
  <c r="H265" i="37"/>
  <c r="H266" i="37"/>
  <c r="H267" i="37"/>
  <c r="H268" i="37"/>
  <c r="H269" i="37"/>
  <c r="H270" i="37"/>
  <c r="H271" i="37"/>
  <c r="H272" i="37"/>
  <c r="H273" i="37"/>
  <c r="H274" i="37"/>
  <c r="H275" i="37"/>
  <c r="H276" i="37"/>
  <c r="H277" i="37"/>
  <c r="H278" i="37"/>
  <c r="H279" i="37"/>
  <c r="H280" i="37"/>
  <c r="H281" i="37"/>
  <c r="H282" i="37"/>
  <c r="H283" i="37"/>
  <c r="H284" i="37"/>
  <c r="H285" i="37"/>
  <c r="H286" i="37"/>
  <c r="H287" i="37"/>
  <c r="H288" i="37"/>
  <c r="H289" i="37"/>
  <c r="H290" i="37"/>
  <c r="H291" i="37"/>
  <c r="H292" i="37"/>
  <c r="H293" i="37"/>
  <c r="H294" i="37"/>
  <c r="H295" i="37"/>
  <c r="H296" i="37"/>
  <c r="H297" i="37"/>
  <c r="H298" i="37"/>
  <c r="H299" i="37"/>
  <c r="H300" i="37"/>
  <c r="H301" i="37"/>
  <c r="H59" i="37"/>
  <c r="G60" i="37"/>
  <c r="G61" i="37"/>
  <c r="G62" i="37"/>
  <c r="G63" i="37"/>
  <c r="G64" i="37"/>
  <c r="G65" i="37"/>
  <c r="G66" i="37"/>
  <c r="G67" i="37"/>
  <c r="G68" i="37"/>
  <c r="G69" i="37"/>
  <c r="G70" i="37"/>
  <c r="G71" i="37"/>
  <c r="G72" i="37"/>
  <c r="G73" i="37"/>
  <c r="G74" i="37"/>
  <c r="G75" i="37"/>
  <c r="G76" i="37"/>
  <c r="G77" i="37"/>
  <c r="G78" i="37"/>
  <c r="G79" i="37"/>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G114" i="37"/>
  <c r="G115" i="37"/>
  <c r="G116" i="37"/>
  <c r="G117" i="37"/>
  <c r="G118" i="37"/>
  <c r="G119" i="37"/>
  <c r="G120" i="37"/>
  <c r="G121" i="37"/>
  <c r="G122" i="37"/>
  <c r="G123" i="37"/>
  <c r="G124" i="37"/>
  <c r="G125" i="37"/>
  <c r="G126" i="37"/>
  <c r="G127" i="37"/>
  <c r="G128" i="37"/>
  <c r="G129" i="37"/>
  <c r="G130" i="37"/>
  <c r="G131" i="37"/>
  <c r="G132" i="37"/>
  <c r="G133" i="37"/>
  <c r="G134" i="37"/>
  <c r="G135" i="37"/>
  <c r="G136" i="37"/>
  <c r="G137" i="37"/>
  <c r="G138" i="37"/>
  <c r="G139" i="37"/>
  <c r="G140" i="37"/>
  <c r="G141" i="37"/>
  <c r="G142" i="37"/>
  <c r="G143" i="37"/>
  <c r="G144" i="37"/>
  <c r="G145" i="37"/>
  <c r="G146" i="37"/>
  <c r="G147" i="37"/>
  <c r="G148" i="37"/>
  <c r="G149" i="37"/>
  <c r="G150" i="37"/>
  <c r="G151" i="37"/>
  <c r="G152" i="37"/>
  <c r="G153" i="37"/>
  <c r="G154" i="37"/>
  <c r="G155" i="37"/>
  <c r="G156" i="37"/>
  <c r="G157" i="37"/>
  <c r="G158" i="37"/>
  <c r="G159" i="37"/>
  <c r="G160" i="37"/>
  <c r="G161" i="37"/>
  <c r="G162" i="37"/>
  <c r="G163" i="37"/>
  <c r="G164" i="37"/>
  <c r="G165" i="37"/>
  <c r="G166" i="37"/>
  <c r="G167" i="37"/>
  <c r="G168" i="37"/>
  <c r="G169" i="37"/>
  <c r="G170" i="37"/>
  <c r="G171" i="37"/>
  <c r="G172" i="37"/>
  <c r="G173" i="37"/>
  <c r="G174" i="37"/>
  <c r="G175" i="37"/>
  <c r="G176" i="37"/>
  <c r="G177" i="37"/>
  <c r="G178" i="37"/>
  <c r="G179" i="37"/>
  <c r="G180" i="37"/>
  <c r="G181" i="37"/>
  <c r="G182" i="37"/>
  <c r="G183" i="37"/>
  <c r="G184" i="37"/>
  <c r="G185" i="37"/>
  <c r="G186" i="37"/>
  <c r="G187" i="37"/>
  <c r="G188" i="37"/>
  <c r="G189" i="37"/>
  <c r="G190" i="37"/>
  <c r="G191" i="37"/>
  <c r="G192" i="37"/>
  <c r="G193" i="37"/>
  <c r="G194" i="37"/>
  <c r="G195" i="37"/>
  <c r="G196" i="37"/>
  <c r="G197" i="37"/>
  <c r="G198" i="37"/>
  <c r="G199" i="37"/>
  <c r="G200" i="37"/>
  <c r="G201" i="37"/>
  <c r="G202" i="37"/>
  <c r="G203" i="37"/>
  <c r="G204" i="37"/>
  <c r="G205" i="37"/>
  <c r="G206" i="37"/>
  <c r="G207" i="37"/>
  <c r="G208" i="37"/>
  <c r="G209" i="37"/>
  <c r="G210" i="37"/>
  <c r="G211" i="37"/>
  <c r="G212" i="37"/>
  <c r="G213" i="37"/>
  <c r="G214" i="37"/>
  <c r="G215" i="37"/>
  <c r="G216" i="37"/>
  <c r="G217" i="37"/>
  <c r="G218" i="37"/>
  <c r="G219" i="37"/>
  <c r="G220" i="37"/>
  <c r="G221" i="37"/>
  <c r="G222" i="37"/>
  <c r="G223" i="37"/>
  <c r="G224" i="37"/>
  <c r="G225" i="37"/>
  <c r="G226" i="37"/>
  <c r="G227" i="37"/>
  <c r="G228" i="37"/>
  <c r="G229" i="37"/>
  <c r="G230" i="37"/>
  <c r="G231" i="37"/>
  <c r="G232" i="37"/>
  <c r="G233" i="37"/>
  <c r="G234" i="37"/>
  <c r="G235" i="37"/>
  <c r="G236" i="37"/>
  <c r="G237" i="37"/>
  <c r="G238" i="37"/>
  <c r="G239" i="37"/>
  <c r="G240" i="37"/>
  <c r="G241" i="37"/>
  <c r="G242" i="37"/>
  <c r="G243" i="37"/>
  <c r="G244" i="37"/>
  <c r="G245" i="37"/>
  <c r="G246" i="37"/>
  <c r="G247" i="37"/>
  <c r="G248" i="37"/>
  <c r="G249" i="37"/>
  <c r="G250" i="37"/>
  <c r="G251" i="37"/>
  <c r="G252" i="37"/>
  <c r="G253" i="37"/>
  <c r="G254" i="37"/>
  <c r="G255" i="37"/>
  <c r="G256" i="37"/>
  <c r="G257" i="37"/>
  <c r="G258" i="37"/>
  <c r="G259" i="37"/>
  <c r="G260" i="37"/>
  <c r="G261" i="37"/>
  <c r="G262" i="37"/>
  <c r="G263" i="37"/>
  <c r="G264" i="37"/>
  <c r="G265" i="37"/>
  <c r="G266" i="37"/>
  <c r="G267" i="37"/>
  <c r="G268" i="37"/>
  <c r="G269" i="37"/>
  <c r="G270" i="37"/>
  <c r="G271" i="37"/>
  <c r="G272" i="37"/>
  <c r="G273" i="37"/>
  <c r="G274" i="37"/>
  <c r="G275" i="37"/>
  <c r="G276" i="37"/>
  <c r="G277" i="37"/>
  <c r="G278" i="37"/>
  <c r="G279" i="37"/>
  <c r="G280" i="37"/>
  <c r="G281" i="37"/>
  <c r="G282" i="37"/>
  <c r="G283" i="37"/>
  <c r="G284" i="37"/>
  <c r="G285" i="37"/>
  <c r="G286" i="37"/>
  <c r="G287" i="37"/>
  <c r="G288" i="37"/>
  <c r="G289" i="37"/>
  <c r="G290" i="37"/>
  <c r="G291" i="37"/>
  <c r="G292" i="37"/>
  <c r="G293" i="37"/>
  <c r="G294" i="37"/>
  <c r="G295" i="37"/>
  <c r="G296" i="37"/>
  <c r="G297" i="37"/>
  <c r="G298" i="37"/>
  <c r="G299" i="37"/>
  <c r="G300" i="37"/>
  <c r="G301" i="37"/>
  <c r="G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7" i="37"/>
  <c r="F158" i="37"/>
  <c r="F159" i="37"/>
  <c r="F160" i="37"/>
  <c r="F161" i="37"/>
  <c r="F162" i="37"/>
  <c r="F163" i="37"/>
  <c r="F164" i="37"/>
  <c r="F165"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89" i="37"/>
  <c r="F190" i="37"/>
  <c r="F191" i="37"/>
  <c r="F192" i="37"/>
  <c r="F193" i="37"/>
  <c r="F194" i="37"/>
  <c r="F195" i="37"/>
  <c r="F196" i="37"/>
  <c r="F197" i="37"/>
  <c r="F198" i="37"/>
  <c r="F199" i="37"/>
  <c r="F200" i="37"/>
  <c r="F201" i="37"/>
  <c r="F202" i="37"/>
  <c r="F203" i="37"/>
  <c r="F204" i="37"/>
  <c r="F205" i="37"/>
  <c r="F206" i="37"/>
  <c r="F207" i="37"/>
  <c r="F208" i="37"/>
  <c r="F209" i="37"/>
  <c r="F210" i="37"/>
  <c r="F211" i="37"/>
  <c r="F212" i="37"/>
  <c r="F213" i="37"/>
  <c r="F214" i="37"/>
  <c r="F215" i="37"/>
  <c r="F216" i="37"/>
  <c r="F217" i="37"/>
  <c r="F218" i="37"/>
  <c r="F219"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59" i="37"/>
  <c r="B60" i="37"/>
  <c r="B61" i="37"/>
  <c r="B62" i="37"/>
  <c r="B63" i="37"/>
  <c r="B64" i="37"/>
  <c r="B65" i="37"/>
  <c r="B66" i="37"/>
  <c r="B67" i="37"/>
  <c r="B68" i="37"/>
  <c r="B69" i="37"/>
  <c r="B70" i="37"/>
  <c r="B71" i="37"/>
  <c r="B72" i="37"/>
  <c r="B73" i="37"/>
  <c r="B74" i="37"/>
  <c r="B75" i="37"/>
  <c r="B76" i="37"/>
  <c r="B77" i="37"/>
  <c r="B78" i="37"/>
  <c r="B79" i="37"/>
  <c r="B80" i="37"/>
  <c r="B81" i="37"/>
  <c r="B82" i="37"/>
  <c r="B83" i="37"/>
  <c r="B84" i="37"/>
  <c r="B85" i="37"/>
  <c r="B86" i="37"/>
  <c r="B87" i="37"/>
  <c r="B88" i="37"/>
  <c r="B89" i="37"/>
  <c r="B90" i="37"/>
  <c r="B91" i="37"/>
  <c r="B92" i="37"/>
  <c r="B93" i="37"/>
  <c r="B94" i="37"/>
  <c r="B95" i="37"/>
  <c r="B96" i="37"/>
  <c r="B97" i="37"/>
  <c r="B98" i="37"/>
  <c r="B99" i="37"/>
  <c r="B100" i="37"/>
  <c r="B101" i="37"/>
  <c r="B102" i="37"/>
  <c r="B103" i="37"/>
  <c r="B104" i="37"/>
  <c r="B105" i="37"/>
  <c r="B106" i="37"/>
  <c r="B107" i="37"/>
  <c r="B108" i="37"/>
  <c r="B109" i="37"/>
  <c r="B110" i="37"/>
  <c r="B111" i="37"/>
  <c r="B112" i="37"/>
  <c r="B113" i="37"/>
  <c r="B114" i="37"/>
  <c r="B115" i="37"/>
  <c r="B116" i="37"/>
  <c r="B117" i="37"/>
  <c r="B118" i="37"/>
  <c r="B119" i="37"/>
  <c r="B120" i="37"/>
  <c r="B121" i="37"/>
  <c r="B122" i="37"/>
  <c r="B123" i="37"/>
  <c r="B124" i="37"/>
  <c r="B125" i="37"/>
  <c r="B126" i="37"/>
  <c r="B127" i="37"/>
  <c r="B128" i="37"/>
  <c r="B129" i="37"/>
  <c r="B130" i="37"/>
  <c r="B131" i="37"/>
  <c r="B132" i="37"/>
  <c r="B133" i="37"/>
  <c r="B134" i="37"/>
  <c r="B135" i="37"/>
  <c r="B136" i="37"/>
  <c r="B137" i="37"/>
  <c r="B138" i="37"/>
  <c r="B139" i="37"/>
  <c r="B140" i="37"/>
  <c r="B141" i="37"/>
  <c r="B142" i="37"/>
  <c r="B143" i="37"/>
  <c r="B144" i="37"/>
  <c r="B145" i="37"/>
  <c r="B146" i="37"/>
  <c r="B147" i="37"/>
  <c r="B148" i="37"/>
  <c r="B149" i="37"/>
  <c r="B150" i="37"/>
  <c r="B151" i="37"/>
  <c r="B152" i="37"/>
  <c r="B153" i="37"/>
  <c r="B154" i="37"/>
  <c r="B155" i="37"/>
  <c r="B156" i="37"/>
  <c r="B157" i="37"/>
  <c r="B158" i="37"/>
  <c r="B159" i="37"/>
  <c r="B160" i="37"/>
  <c r="B161" i="37"/>
  <c r="B162" i="37"/>
  <c r="B163" i="37"/>
  <c r="B164" i="37"/>
  <c r="B165" i="37"/>
  <c r="B166" i="37"/>
  <c r="B167" i="37"/>
  <c r="B168" i="37"/>
  <c r="B169" i="37"/>
  <c r="B170" i="37"/>
  <c r="B171" i="37"/>
  <c r="B172" i="37"/>
  <c r="B173" i="37"/>
  <c r="B174" i="37"/>
  <c r="B175" i="37"/>
  <c r="B176" i="37"/>
  <c r="B177" i="37"/>
  <c r="B178" i="37"/>
  <c r="B179" i="37"/>
  <c r="B180" i="37"/>
  <c r="B181" i="37"/>
  <c r="B182" i="37"/>
  <c r="B183" i="37"/>
  <c r="B184" i="37"/>
  <c r="B185" i="37"/>
  <c r="B186" i="37"/>
  <c r="B187" i="37"/>
  <c r="B188" i="37"/>
  <c r="B189" i="37"/>
  <c r="B190" i="37"/>
  <c r="B191" i="37"/>
  <c r="B192" i="37"/>
  <c r="B193" i="37"/>
  <c r="B194" i="37"/>
  <c r="B195" i="37"/>
  <c r="B196" i="37"/>
  <c r="B197" i="37"/>
  <c r="B198" i="37"/>
  <c r="B199" i="37"/>
  <c r="B200" i="37"/>
  <c r="B201" i="37"/>
  <c r="B202" i="37"/>
  <c r="B203" i="37"/>
  <c r="B204" i="37"/>
  <c r="B205" i="37"/>
  <c r="B206" i="37"/>
  <c r="B207" i="37"/>
  <c r="B208" i="37"/>
  <c r="B209" i="37"/>
  <c r="B210" i="37"/>
  <c r="B211" i="37"/>
  <c r="B212" i="37"/>
  <c r="B213" i="37"/>
  <c r="B214" i="37"/>
  <c r="B215" i="37"/>
  <c r="B216" i="37"/>
  <c r="B217" i="37"/>
  <c r="B218" i="37"/>
  <c r="B219" i="37"/>
  <c r="B220" i="37"/>
  <c r="B221" i="37"/>
  <c r="B222" i="37"/>
  <c r="B223" i="37"/>
  <c r="B224" i="37"/>
  <c r="B225" i="37"/>
  <c r="B226" i="37"/>
  <c r="B227" i="37"/>
  <c r="B228" i="37"/>
  <c r="B229" i="37"/>
  <c r="B230" i="37"/>
  <c r="B231" i="37"/>
  <c r="B232" i="37"/>
  <c r="B233" i="37"/>
  <c r="B234" i="37"/>
  <c r="B235" i="37"/>
  <c r="B236" i="37"/>
  <c r="B237" i="37"/>
  <c r="B238" i="37"/>
  <c r="B239" i="37"/>
  <c r="B240" i="37"/>
  <c r="B241" i="37"/>
  <c r="B242" i="37"/>
  <c r="B243" i="37"/>
  <c r="B244" i="37"/>
  <c r="B245" i="37"/>
  <c r="B246" i="37"/>
  <c r="B247" i="37"/>
  <c r="B248" i="37"/>
  <c r="B249" i="37"/>
  <c r="B250" i="37"/>
  <c r="B251" i="37"/>
  <c r="B252" i="37"/>
  <c r="B253" i="37"/>
  <c r="B254" i="37"/>
  <c r="B255" i="37"/>
  <c r="B256" i="37"/>
  <c r="B257" i="37"/>
  <c r="B258" i="37"/>
  <c r="B259" i="37"/>
  <c r="B260" i="37"/>
  <c r="B261" i="37"/>
  <c r="B262" i="37"/>
  <c r="B263" i="37"/>
  <c r="B264" i="37"/>
  <c r="B265" i="37"/>
  <c r="B266" i="37"/>
  <c r="B267" i="37"/>
  <c r="B268" i="37"/>
  <c r="B269" i="37"/>
  <c r="B270" i="37"/>
  <c r="B271" i="37"/>
  <c r="B272" i="37"/>
  <c r="B273" i="37"/>
  <c r="B274" i="37"/>
  <c r="B275" i="37"/>
  <c r="B276" i="37"/>
  <c r="B277" i="37"/>
  <c r="B278" i="37"/>
  <c r="B279" i="37"/>
  <c r="B280" i="37"/>
  <c r="B281" i="37"/>
  <c r="B282" i="37"/>
  <c r="B283" i="37"/>
  <c r="B284" i="37"/>
  <c r="B285" i="37"/>
  <c r="B286" i="37"/>
  <c r="B287" i="37"/>
  <c r="B288" i="37"/>
  <c r="B289" i="37"/>
  <c r="B290" i="37"/>
  <c r="B291" i="37"/>
  <c r="B292" i="37"/>
  <c r="B293" i="37"/>
  <c r="B294" i="37"/>
  <c r="B295" i="37"/>
  <c r="B296" i="37"/>
  <c r="B297" i="37"/>
  <c r="B298" i="37"/>
  <c r="B299" i="37"/>
  <c r="B300" i="37"/>
  <c r="B301" i="37"/>
  <c r="B59" i="37"/>
  <c r="L15" i="68"/>
  <c r="K15" i="68"/>
  <c r="J15" i="68"/>
  <c r="I15" i="68"/>
  <c r="H15" i="68"/>
  <c r="B817" i="37" l="1"/>
  <c r="F817" i="37"/>
  <c r="G817" i="37"/>
  <c r="AC817" i="37" s="1"/>
  <c r="H817" i="37"/>
  <c r="I817" i="37"/>
  <c r="B818" i="37"/>
  <c r="F818" i="37"/>
  <c r="G818" i="37"/>
  <c r="AC818" i="37" s="1"/>
  <c r="H818" i="37"/>
  <c r="I818" i="37"/>
  <c r="B819" i="37"/>
  <c r="F819" i="37"/>
  <c r="G819" i="37"/>
  <c r="H819" i="37"/>
  <c r="I819" i="37"/>
  <c r="B820" i="37"/>
  <c r="F820" i="37"/>
  <c r="G820" i="37"/>
  <c r="AC820" i="37" s="1"/>
  <c r="H820" i="37"/>
  <c r="I820" i="37"/>
  <c r="B804" i="37"/>
  <c r="F804" i="37"/>
  <c r="G804" i="37"/>
  <c r="H804" i="37"/>
  <c r="I804" i="37"/>
  <c r="B805" i="37"/>
  <c r="F805" i="37"/>
  <c r="G805" i="37"/>
  <c r="H805" i="37"/>
  <c r="I805" i="37"/>
  <c r="B806" i="37"/>
  <c r="F806" i="37"/>
  <c r="G806" i="37"/>
  <c r="H806" i="37"/>
  <c r="I806" i="37"/>
  <c r="B807" i="37"/>
  <c r="F807" i="37"/>
  <c r="G807" i="37"/>
  <c r="H807" i="37"/>
  <c r="I807" i="37"/>
  <c r="B808" i="37"/>
  <c r="F808" i="37"/>
  <c r="G808" i="37"/>
  <c r="H808" i="37"/>
  <c r="I808" i="37"/>
  <c r="B809" i="37"/>
  <c r="F809" i="37"/>
  <c r="G809" i="37"/>
  <c r="H809" i="37"/>
  <c r="I809" i="37"/>
  <c r="B810" i="37"/>
  <c r="F810" i="37"/>
  <c r="G810" i="37"/>
  <c r="H810" i="37"/>
  <c r="I810" i="37"/>
  <c r="B811" i="37"/>
  <c r="F811" i="37"/>
  <c r="G811" i="37"/>
  <c r="H811" i="37"/>
  <c r="I811" i="37"/>
  <c r="B812" i="37"/>
  <c r="F812" i="37"/>
  <c r="G812" i="37"/>
  <c r="H812" i="37"/>
  <c r="I812" i="37"/>
  <c r="B813" i="37"/>
  <c r="F813" i="37"/>
  <c r="G813" i="37"/>
  <c r="AC813" i="37" s="1"/>
  <c r="H813" i="37"/>
  <c r="I813" i="37"/>
  <c r="B814" i="37"/>
  <c r="F814" i="37"/>
  <c r="G814" i="37"/>
  <c r="H814" i="37"/>
  <c r="I814" i="37"/>
  <c r="B815" i="37"/>
  <c r="F815" i="37"/>
  <c r="G815" i="37"/>
  <c r="AC815" i="37" s="1"/>
  <c r="H815" i="37"/>
  <c r="I815" i="37"/>
  <c r="B816" i="37"/>
  <c r="F816" i="37"/>
  <c r="G816" i="37"/>
  <c r="H816" i="37"/>
  <c r="I816" i="37"/>
  <c r="B425" i="40"/>
  <c r="D425" i="40"/>
  <c r="F1299" i="40" s="1"/>
  <c r="E425" i="40"/>
  <c r="F425" i="40"/>
  <c r="G425" i="40"/>
  <c r="E1299" i="40" s="1"/>
  <c r="D426" i="40"/>
  <c r="F1300" i="40" s="1"/>
  <c r="E426" i="40"/>
  <c r="F426" i="40"/>
  <c r="G426" i="40"/>
  <c r="E1300" i="40" s="1"/>
  <c r="D427" i="40"/>
  <c r="F1301" i="40" s="1"/>
  <c r="E427" i="40"/>
  <c r="F427" i="40"/>
  <c r="G427" i="40"/>
  <c r="E1301" i="40" s="1"/>
  <c r="D428" i="40"/>
  <c r="F1302" i="40" s="1"/>
  <c r="E428" i="40"/>
  <c r="F428" i="40"/>
  <c r="G428" i="40"/>
  <c r="E1302" i="40" s="1"/>
  <c r="D429" i="40"/>
  <c r="F1303" i="40" s="1"/>
  <c r="E429" i="40"/>
  <c r="F429" i="40"/>
  <c r="G429" i="40"/>
  <c r="E1303" i="40" s="1"/>
  <c r="D430" i="40"/>
  <c r="F1304" i="40" s="1"/>
  <c r="E430" i="40"/>
  <c r="F430" i="40"/>
  <c r="G430" i="40"/>
  <c r="E1304" i="40" s="1"/>
  <c r="D431" i="40"/>
  <c r="F1305" i="40" s="1"/>
  <c r="E431" i="40"/>
  <c r="F431" i="40"/>
  <c r="G431" i="40"/>
  <c r="E1305" i="40" s="1"/>
  <c r="D432" i="40"/>
  <c r="F1306" i="40" s="1"/>
  <c r="E432" i="40"/>
  <c r="F432" i="40"/>
  <c r="G432" i="40"/>
  <c r="E1306" i="40" s="1"/>
  <c r="D433" i="40"/>
  <c r="F1307" i="40" s="1"/>
  <c r="E433" i="40"/>
  <c r="F433" i="40"/>
  <c r="G433" i="40"/>
  <c r="E1307" i="40" s="1"/>
  <c r="D434" i="40"/>
  <c r="F1308" i="40" s="1"/>
  <c r="E434" i="40"/>
  <c r="F434" i="40"/>
  <c r="G434" i="40"/>
  <c r="E1308" i="40" s="1"/>
  <c r="D435" i="40"/>
  <c r="F1309" i="40" s="1"/>
  <c r="E435" i="40"/>
  <c r="F435" i="40"/>
  <c r="G435" i="40"/>
  <c r="E1309" i="40" s="1"/>
  <c r="D436" i="40"/>
  <c r="F1310" i="40" s="1"/>
  <c r="E436" i="40"/>
  <c r="F436" i="40"/>
  <c r="G436" i="40"/>
  <c r="E1310" i="40" s="1"/>
  <c r="D437" i="40"/>
  <c r="F1311" i="40" s="1"/>
  <c r="E437" i="40"/>
  <c r="F437" i="40"/>
  <c r="G437" i="40"/>
  <c r="E1311" i="40" s="1"/>
  <c r="D438" i="40"/>
  <c r="F1312" i="40" s="1"/>
  <c r="E438" i="40"/>
  <c r="F438" i="40"/>
  <c r="G438" i="40"/>
  <c r="E1312" i="40" s="1"/>
  <c r="D439" i="40"/>
  <c r="F1313" i="40" s="1"/>
  <c r="E439" i="40"/>
  <c r="F439" i="40"/>
  <c r="G439" i="40"/>
  <c r="E1313" i="40" s="1"/>
  <c r="D440" i="40"/>
  <c r="F1314" i="40" s="1"/>
  <c r="E440" i="40"/>
  <c r="F440" i="40"/>
  <c r="G440" i="40"/>
  <c r="E1314" i="40" s="1"/>
  <c r="D441" i="40"/>
  <c r="F1315" i="40" s="1"/>
  <c r="E441" i="40"/>
  <c r="F441" i="40"/>
  <c r="G441" i="40"/>
  <c r="E1315" i="40" s="1"/>
  <c r="D442" i="40"/>
  <c r="F1316" i="40" s="1"/>
  <c r="E442" i="40"/>
  <c r="F442" i="40"/>
  <c r="G442" i="40"/>
  <c r="E1316" i="40" s="1"/>
  <c r="D443" i="40"/>
  <c r="F1317" i="40" s="1"/>
  <c r="E443" i="40"/>
  <c r="F443" i="40"/>
  <c r="G443" i="40"/>
  <c r="E1317" i="40" s="1"/>
  <c r="D444" i="40"/>
  <c r="F1318" i="40" s="1"/>
  <c r="E444" i="40"/>
  <c r="F444" i="40"/>
  <c r="G444" i="40"/>
  <c r="E1318" i="40" s="1"/>
  <c r="D445" i="40"/>
  <c r="F1319" i="40" s="1"/>
  <c r="E445" i="40"/>
  <c r="F445" i="40"/>
  <c r="G445" i="40"/>
  <c r="E1319" i="40" s="1"/>
  <c r="D446" i="40"/>
  <c r="F1320" i="40" s="1"/>
  <c r="E446" i="40"/>
  <c r="F446" i="40"/>
  <c r="G446" i="40"/>
  <c r="E1320" i="40" s="1"/>
  <c r="D447" i="40"/>
  <c r="F1321" i="40" s="1"/>
  <c r="E447" i="40"/>
  <c r="F447" i="40"/>
  <c r="G447" i="40"/>
  <c r="E1321" i="40" s="1"/>
  <c r="D448" i="40"/>
  <c r="F1322" i="40" s="1"/>
  <c r="E448" i="40"/>
  <c r="F448" i="40"/>
  <c r="G448" i="40"/>
  <c r="E1322" i="40" s="1"/>
  <c r="D449" i="40"/>
  <c r="F1323" i="40" s="1"/>
  <c r="E449" i="40"/>
  <c r="F449" i="40"/>
  <c r="G449" i="40"/>
  <c r="E1323" i="40" s="1"/>
  <c r="D450" i="40"/>
  <c r="F1324" i="40" s="1"/>
  <c r="E450" i="40"/>
  <c r="F450" i="40"/>
  <c r="G450" i="40"/>
  <c r="E1324" i="40" s="1"/>
  <c r="D451" i="40"/>
  <c r="F1325" i="40" s="1"/>
  <c r="E451" i="40"/>
  <c r="F451" i="40"/>
  <c r="G451" i="40"/>
  <c r="E1325" i="40" s="1"/>
  <c r="D452" i="40"/>
  <c r="F1326" i="40" s="1"/>
  <c r="E452" i="40"/>
  <c r="F452" i="40"/>
  <c r="G452" i="40"/>
  <c r="E1326" i="40" s="1"/>
  <c r="D453" i="40"/>
  <c r="F1327" i="40" s="1"/>
  <c r="E453" i="40"/>
  <c r="F453" i="40"/>
  <c r="G453" i="40"/>
  <c r="E1327" i="40" s="1"/>
  <c r="D454" i="40"/>
  <c r="F1328" i="40" s="1"/>
  <c r="E454" i="40"/>
  <c r="F454" i="40"/>
  <c r="G454" i="40"/>
  <c r="E1328" i="40" s="1"/>
  <c r="D455" i="40"/>
  <c r="F1329" i="40" s="1"/>
  <c r="E455" i="40"/>
  <c r="F455" i="40"/>
  <c r="G455" i="40"/>
  <c r="E1329" i="40" s="1"/>
  <c r="D456" i="40"/>
  <c r="F1330" i="40" s="1"/>
  <c r="E456" i="40"/>
  <c r="F456" i="40"/>
  <c r="G456" i="40"/>
  <c r="E1330" i="40" s="1"/>
  <c r="D457" i="40"/>
  <c r="F1331" i="40" s="1"/>
  <c r="E457" i="40"/>
  <c r="F457" i="40"/>
  <c r="G457" i="40"/>
  <c r="E1331" i="40" s="1"/>
  <c r="D458" i="40"/>
  <c r="F1332" i="40" s="1"/>
  <c r="E458" i="40"/>
  <c r="F458" i="40"/>
  <c r="G458" i="40"/>
  <c r="E1332" i="40" s="1"/>
  <c r="D459" i="40"/>
  <c r="F1333" i="40" s="1"/>
  <c r="E459" i="40"/>
  <c r="F459" i="40"/>
  <c r="G459" i="40"/>
  <c r="E1333" i="40" s="1"/>
  <c r="D460" i="40"/>
  <c r="F1334" i="40" s="1"/>
  <c r="E460" i="40"/>
  <c r="F460" i="40"/>
  <c r="G460" i="40"/>
  <c r="E1334" i="40" s="1"/>
  <c r="D461" i="40"/>
  <c r="F1335" i="40" s="1"/>
  <c r="E461" i="40"/>
  <c r="F461" i="40"/>
  <c r="G461" i="40"/>
  <c r="E1335" i="40" s="1"/>
  <c r="D462" i="40"/>
  <c r="F1336" i="40" s="1"/>
  <c r="E462" i="40"/>
  <c r="F462" i="40"/>
  <c r="G462" i="40"/>
  <c r="E1336" i="40" s="1"/>
  <c r="D463" i="40"/>
  <c r="F1337" i="40" s="1"/>
  <c r="E463" i="40"/>
  <c r="F463" i="40"/>
  <c r="G463" i="40"/>
  <c r="E1337" i="40" s="1"/>
  <c r="D464" i="40"/>
  <c r="F1338" i="40" s="1"/>
  <c r="E464" i="40"/>
  <c r="F464" i="40"/>
  <c r="G464" i="40"/>
  <c r="E1338" i="40" s="1"/>
  <c r="D465" i="40"/>
  <c r="F1339" i="40" s="1"/>
  <c r="E465" i="40"/>
  <c r="F465" i="40"/>
  <c r="G465" i="40"/>
  <c r="E1339" i="40" s="1"/>
  <c r="D466" i="40"/>
  <c r="F1340" i="40" s="1"/>
  <c r="E466" i="40"/>
  <c r="F466" i="40"/>
  <c r="G466" i="40"/>
  <c r="E1340" i="40" s="1"/>
  <c r="D467" i="40"/>
  <c r="F1341" i="40" s="1"/>
  <c r="E467" i="40"/>
  <c r="F467" i="40"/>
  <c r="G467" i="40"/>
  <c r="E1341" i="40" s="1"/>
  <c r="D468" i="40"/>
  <c r="F1342" i="40" s="1"/>
  <c r="E468" i="40"/>
  <c r="F468" i="40"/>
  <c r="G468" i="40"/>
  <c r="E1342" i="40" s="1"/>
  <c r="D469" i="40"/>
  <c r="F1343" i="40" s="1"/>
  <c r="E469" i="40"/>
  <c r="F469" i="40"/>
  <c r="G469" i="40"/>
  <c r="E1343" i="40" s="1"/>
  <c r="D470" i="40"/>
  <c r="F1344" i="40" s="1"/>
  <c r="E470" i="40"/>
  <c r="F470" i="40"/>
  <c r="G470" i="40"/>
  <c r="E1344" i="40" s="1"/>
  <c r="D471" i="40"/>
  <c r="F1345" i="40" s="1"/>
  <c r="E471" i="40"/>
  <c r="F471" i="40"/>
  <c r="G471" i="40"/>
  <c r="E1345" i="40" s="1"/>
  <c r="D472" i="40"/>
  <c r="F1346" i="40" s="1"/>
  <c r="E472" i="40"/>
  <c r="F472" i="40"/>
  <c r="G472" i="40"/>
  <c r="E1346" i="40" s="1"/>
  <c r="D473" i="40"/>
  <c r="F1347" i="40" s="1"/>
  <c r="E473" i="40"/>
  <c r="F473" i="40"/>
  <c r="G473" i="40"/>
  <c r="E1347" i="40" s="1"/>
  <c r="D474" i="40"/>
  <c r="F1348" i="40" s="1"/>
  <c r="E474" i="40"/>
  <c r="F474" i="40"/>
  <c r="G474" i="40"/>
  <c r="E1348" i="40" s="1"/>
  <c r="D475" i="40"/>
  <c r="F1349" i="40" s="1"/>
  <c r="E475" i="40"/>
  <c r="F475" i="40"/>
  <c r="G475" i="40"/>
  <c r="E1349" i="40" s="1"/>
  <c r="D476" i="40"/>
  <c r="F1350" i="40" s="1"/>
  <c r="E476" i="40"/>
  <c r="F476" i="40"/>
  <c r="G476" i="40"/>
  <c r="E1350" i="40" s="1"/>
  <c r="D477" i="40"/>
  <c r="F1351" i="40" s="1"/>
  <c r="E477" i="40"/>
  <c r="F477" i="40"/>
  <c r="G477" i="40"/>
  <c r="E1351" i="40" s="1"/>
  <c r="D478" i="40"/>
  <c r="F1352" i="40" s="1"/>
  <c r="E478" i="40"/>
  <c r="F478" i="40"/>
  <c r="G478" i="40"/>
  <c r="E1352" i="40" s="1"/>
  <c r="D479" i="40"/>
  <c r="F1353" i="40" s="1"/>
  <c r="E479" i="40"/>
  <c r="F479" i="40"/>
  <c r="G479" i="40"/>
  <c r="E1353" i="40" s="1"/>
  <c r="D480" i="40"/>
  <c r="F1354" i="40" s="1"/>
  <c r="E480" i="40"/>
  <c r="F480" i="40"/>
  <c r="G480" i="40"/>
  <c r="E1354" i="40" s="1"/>
  <c r="D481" i="40"/>
  <c r="F1355" i="40" s="1"/>
  <c r="E481" i="40"/>
  <c r="F481" i="40"/>
  <c r="G481" i="40"/>
  <c r="E1355" i="40" s="1"/>
  <c r="D482" i="40"/>
  <c r="F1356" i="40" s="1"/>
  <c r="E482" i="40"/>
  <c r="F482" i="40"/>
  <c r="G482" i="40"/>
  <c r="E1356" i="40" s="1"/>
  <c r="D483" i="40"/>
  <c r="F1357" i="40" s="1"/>
  <c r="E483" i="40"/>
  <c r="F483" i="40"/>
  <c r="G483" i="40"/>
  <c r="E1357" i="40" s="1"/>
  <c r="D484" i="40"/>
  <c r="F1358" i="40" s="1"/>
  <c r="E484" i="40"/>
  <c r="F484" i="40"/>
  <c r="G484" i="40"/>
  <c r="E1358" i="40" s="1"/>
  <c r="D485" i="40"/>
  <c r="F1359" i="40" s="1"/>
  <c r="E485" i="40"/>
  <c r="F485" i="40"/>
  <c r="G485" i="40"/>
  <c r="E1359" i="40" s="1"/>
  <c r="D486" i="40"/>
  <c r="F1360" i="40" s="1"/>
  <c r="E486" i="40"/>
  <c r="F486" i="40"/>
  <c r="G486" i="40"/>
  <c r="E1360" i="40" s="1"/>
  <c r="D487" i="40"/>
  <c r="F1361" i="40" s="1"/>
  <c r="E487" i="40"/>
  <c r="F487" i="40"/>
  <c r="G487" i="40"/>
  <c r="E1361" i="40" s="1"/>
  <c r="D488" i="40"/>
  <c r="F1362" i="40" s="1"/>
  <c r="E488" i="40"/>
  <c r="F488" i="40"/>
  <c r="G488" i="40"/>
  <c r="E1362" i="40" s="1"/>
  <c r="D489" i="40"/>
  <c r="F1363" i="40" s="1"/>
  <c r="E489" i="40"/>
  <c r="F489" i="40"/>
  <c r="G489" i="40"/>
  <c r="E1363" i="40" s="1"/>
  <c r="D490" i="40"/>
  <c r="F1364" i="40" s="1"/>
  <c r="E490" i="40"/>
  <c r="F490" i="40"/>
  <c r="G490" i="40"/>
  <c r="E1364" i="40" s="1"/>
  <c r="D491" i="40"/>
  <c r="F1365" i="40" s="1"/>
  <c r="E491" i="40"/>
  <c r="F491" i="40"/>
  <c r="G491" i="40"/>
  <c r="E1365" i="40" s="1"/>
  <c r="D492" i="40"/>
  <c r="F1366" i="40" s="1"/>
  <c r="E492" i="40"/>
  <c r="F492" i="40"/>
  <c r="G492" i="40"/>
  <c r="E1366" i="40" s="1"/>
  <c r="D493" i="40"/>
  <c r="F1367" i="40" s="1"/>
  <c r="E493" i="40"/>
  <c r="F493" i="40"/>
  <c r="G493" i="40"/>
  <c r="E1367" i="40" s="1"/>
  <c r="D494" i="40"/>
  <c r="F1368" i="40" s="1"/>
  <c r="E494" i="40"/>
  <c r="F494" i="40"/>
  <c r="G494" i="40"/>
  <c r="E1368" i="40" s="1"/>
  <c r="D495" i="40"/>
  <c r="F1369" i="40" s="1"/>
  <c r="E495" i="40"/>
  <c r="F495" i="40"/>
  <c r="G495" i="40"/>
  <c r="E1369" i="40" s="1"/>
  <c r="D496" i="40"/>
  <c r="F1370" i="40" s="1"/>
  <c r="E496" i="40"/>
  <c r="F496" i="40"/>
  <c r="G496" i="40"/>
  <c r="E1370" i="40" s="1"/>
  <c r="D497" i="40"/>
  <c r="F1371" i="40" s="1"/>
  <c r="E497" i="40"/>
  <c r="F497" i="40"/>
  <c r="G497" i="40"/>
  <c r="E1371" i="40" s="1"/>
  <c r="D498" i="40"/>
  <c r="F1372" i="40" s="1"/>
  <c r="E498" i="40"/>
  <c r="F498" i="40"/>
  <c r="G498" i="40"/>
  <c r="E1372" i="40" s="1"/>
  <c r="D499" i="40"/>
  <c r="F1373" i="40" s="1"/>
  <c r="E499" i="40"/>
  <c r="F499" i="40"/>
  <c r="G499" i="40"/>
  <c r="E1373" i="40" s="1"/>
  <c r="D500" i="40"/>
  <c r="F1374" i="40" s="1"/>
  <c r="E500" i="40"/>
  <c r="F500" i="40"/>
  <c r="G500" i="40"/>
  <c r="E1374" i="40" s="1"/>
  <c r="D501" i="40"/>
  <c r="F1375" i="40" s="1"/>
  <c r="E501" i="40"/>
  <c r="F501" i="40"/>
  <c r="G501" i="40"/>
  <c r="E1375" i="40" s="1"/>
  <c r="D502" i="40"/>
  <c r="F1376" i="40" s="1"/>
  <c r="E502" i="40"/>
  <c r="F502" i="40"/>
  <c r="G502" i="40"/>
  <c r="E1376" i="40" s="1"/>
  <c r="D503" i="40"/>
  <c r="F1377" i="40" s="1"/>
  <c r="E503" i="40"/>
  <c r="F503" i="40"/>
  <c r="G503" i="40"/>
  <c r="E1377" i="40" s="1"/>
  <c r="D504" i="40"/>
  <c r="F1378" i="40" s="1"/>
  <c r="E504" i="40"/>
  <c r="F504" i="40"/>
  <c r="G504" i="40"/>
  <c r="E1378" i="40" s="1"/>
  <c r="D505" i="40"/>
  <c r="F1379" i="40" s="1"/>
  <c r="E505" i="40"/>
  <c r="F505" i="40"/>
  <c r="G505" i="40"/>
  <c r="E1379" i="40" s="1"/>
  <c r="D506" i="40"/>
  <c r="F1380" i="40" s="1"/>
  <c r="E506" i="40"/>
  <c r="F506" i="40"/>
  <c r="G506" i="40"/>
  <c r="E1380" i="40" s="1"/>
  <c r="D507" i="40"/>
  <c r="F1381" i="40" s="1"/>
  <c r="E507" i="40"/>
  <c r="F507" i="40"/>
  <c r="G507" i="40"/>
  <c r="E1381" i="40" s="1"/>
  <c r="D508" i="40"/>
  <c r="F1382" i="40" s="1"/>
  <c r="E508" i="40"/>
  <c r="F508" i="40"/>
  <c r="G508" i="40"/>
  <c r="E1382" i="40" s="1"/>
  <c r="D509" i="40"/>
  <c r="F1383" i="40" s="1"/>
  <c r="E509" i="40"/>
  <c r="F509" i="40"/>
  <c r="G509" i="40"/>
  <c r="E1383" i="40" s="1"/>
  <c r="D510" i="40"/>
  <c r="F1384" i="40" s="1"/>
  <c r="E510" i="40"/>
  <c r="F510" i="40"/>
  <c r="G510" i="40"/>
  <c r="E1384" i="40" s="1"/>
  <c r="D511" i="40"/>
  <c r="F1385" i="40" s="1"/>
  <c r="E511" i="40"/>
  <c r="F511" i="40"/>
  <c r="G511" i="40"/>
  <c r="E1385" i="40" s="1"/>
  <c r="D512" i="40"/>
  <c r="F1386" i="40" s="1"/>
  <c r="E512" i="40"/>
  <c r="F512" i="40"/>
  <c r="G512" i="40"/>
  <c r="E1386" i="40" s="1"/>
  <c r="D513" i="40"/>
  <c r="F1387" i="40" s="1"/>
  <c r="E513" i="40"/>
  <c r="F513" i="40"/>
  <c r="G513" i="40"/>
  <c r="E1387" i="40" s="1"/>
  <c r="D514" i="40"/>
  <c r="F1388" i="40" s="1"/>
  <c r="E514" i="40"/>
  <c r="F514" i="40"/>
  <c r="G514" i="40"/>
  <c r="E1388" i="40" s="1"/>
  <c r="D515" i="40"/>
  <c r="F1389" i="40" s="1"/>
  <c r="E515" i="40"/>
  <c r="F515" i="40"/>
  <c r="G515" i="40"/>
  <c r="E1389" i="40" s="1"/>
  <c r="D516" i="40"/>
  <c r="F1390" i="40" s="1"/>
  <c r="E516" i="40"/>
  <c r="F516" i="40"/>
  <c r="G516" i="40"/>
  <c r="E1390" i="40" s="1"/>
  <c r="D517" i="40"/>
  <c r="F1391" i="40" s="1"/>
  <c r="E517" i="40"/>
  <c r="F517" i="40"/>
  <c r="G517" i="40"/>
  <c r="E1391" i="40" s="1"/>
  <c r="D518" i="40"/>
  <c r="F1392" i="40" s="1"/>
  <c r="E518" i="40"/>
  <c r="F518" i="40"/>
  <c r="G518" i="40"/>
  <c r="E1392" i="40" s="1"/>
  <c r="D519" i="40"/>
  <c r="F1393" i="40" s="1"/>
  <c r="E519" i="40"/>
  <c r="F519" i="40"/>
  <c r="G519" i="40"/>
  <c r="E1393" i="40" s="1"/>
  <c r="D520" i="40"/>
  <c r="F1394" i="40" s="1"/>
  <c r="E520" i="40"/>
  <c r="F520" i="40"/>
  <c r="G520" i="40"/>
  <c r="E1394" i="40" s="1"/>
  <c r="D521" i="40"/>
  <c r="F1395" i="40" s="1"/>
  <c r="E521" i="40"/>
  <c r="F521" i="40"/>
  <c r="G521" i="40"/>
  <c r="E1395" i="40" s="1"/>
  <c r="D522" i="40"/>
  <c r="F1396" i="40" s="1"/>
  <c r="E522" i="40"/>
  <c r="F522" i="40"/>
  <c r="G522" i="40"/>
  <c r="E1396" i="40" s="1"/>
  <c r="D523" i="40"/>
  <c r="F1397" i="40" s="1"/>
  <c r="E523" i="40"/>
  <c r="F523" i="40"/>
  <c r="G523" i="40"/>
  <c r="E1397" i="40" s="1"/>
  <c r="D524" i="40"/>
  <c r="F1398" i="40" s="1"/>
  <c r="E524" i="40"/>
  <c r="F524" i="40"/>
  <c r="G524" i="40"/>
  <c r="E1398" i="40" s="1"/>
  <c r="D525" i="40"/>
  <c r="F1399" i="40" s="1"/>
  <c r="E525" i="40"/>
  <c r="F525" i="40"/>
  <c r="G525" i="40"/>
  <c r="E1399" i="40" s="1"/>
  <c r="D526" i="40"/>
  <c r="F1400" i="40" s="1"/>
  <c r="E526" i="40"/>
  <c r="F526" i="40"/>
  <c r="G526" i="40"/>
  <c r="E1400" i="40" s="1"/>
  <c r="D527" i="40"/>
  <c r="F1401" i="40" s="1"/>
  <c r="E527" i="40"/>
  <c r="F527" i="40"/>
  <c r="G527" i="40"/>
  <c r="E1401" i="40" s="1"/>
  <c r="D528" i="40"/>
  <c r="F1402" i="40" s="1"/>
  <c r="E528" i="40"/>
  <c r="F528" i="40"/>
  <c r="G528" i="40"/>
  <c r="E1402" i="40" s="1"/>
  <c r="D529" i="40"/>
  <c r="F1403" i="40" s="1"/>
  <c r="E529" i="40"/>
  <c r="F529" i="40"/>
  <c r="G529" i="40"/>
  <c r="E1403" i="40" s="1"/>
  <c r="D530" i="40"/>
  <c r="F1404" i="40" s="1"/>
  <c r="E530" i="40"/>
  <c r="F530" i="40"/>
  <c r="G530" i="40"/>
  <c r="E1404" i="40" s="1"/>
  <c r="D531" i="40"/>
  <c r="F1405" i="40" s="1"/>
  <c r="E531" i="40"/>
  <c r="F531" i="40"/>
  <c r="G531" i="40"/>
  <c r="E1405" i="40" s="1"/>
  <c r="D532" i="40"/>
  <c r="F1406" i="40" s="1"/>
  <c r="E532" i="40"/>
  <c r="F532" i="40"/>
  <c r="G532" i="40"/>
  <c r="E1406" i="40" s="1"/>
  <c r="D533" i="40"/>
  <c r="F1407" i="40" s="1"/>
  <c r="E533" i="40"/>
  <c r="F533" i="40"/>
  <c r="G533" i="40"/>
  <c r="E1407" i="40" s="1"/>
  <c r="D534" i="40"/>
  <c r="F1408" i="40" s="1"/>
  <c r="E534" i="40"/>
  <c r="F534" i="40"/>
  <c r="G534" i="40"/>
  <c r="E1408" i="40" s="1"/>
  <c r="D535" i="40"/>
  <c r="F1409" i="40" s="1"/>
  <c r="E535" i="40"/>
  <c r="F535" i="40"/>
  <c r="G535" i="40"/>
  <c r="E1409" i="40" s="1"/>
  <c r="D536" i="40"/>
  <c r="F1410" i="40" s="1"/>
  <c r="E536" i="40"/>
  <c r="F536" i="40"/>
  <c r="G536" i="40"/>
  <c r="E1410" i="40" s="1"/>
  <c r="D537" i="40"/>
  <c r="F1411" i="40" s="1"/>
  <c r="E537" i="40"/>
  <c r="F537" i="40"/>
  <c r="G537" i="40"/>
  <c r="E1411" i="40" s="1"/>
  <c r="D538" i="40"/>
  <c r="F1412" i="40" s="1"/>
  <c r="E538" i="40"/>
  <c r="F538" i="40"/>
  <c r="G538" i="40"/>
  <c r="E1412" i="40" s="1"/>
  <c r="D539" i="40"/>
  <c r="F1413" i="40" s="1"/>
  <c r="E539" i="40"/>
  <c r="F539" i="40"/>
  <c r="G539" i="40"/>
  <c r="E1413" i="40" s="1"/>
  <c r="D540" i="40"/>
  <c r="F1414" i="40" s="1"/>
  <c r="E540" i="40"/>
  <c r="F540" i="40"/>
  <c r="G540" i="40"/>
  <c r="E1414" i="40" s="1"/>
  <c r="D541" i="40"/>
  <c r="F1415" i="40" s="1"/>
  <c r="E541" i="40"/>
  <c r="F541" i="40"/>
  <c r="G541" i="40"/>
  <c r="E1415" i="40" s="1"/>
  <c r="D542" i="40"/>
  <c r="F1416" i="40" s="1"/>
  <c r="E542" i="40"/>
  <c r="F542" i="40"/>
  <c r="G542" i="40"/>
  <c r="E1416" i="40" s="1"/>
  <c r="D543" i="40"/>
  <c r="F1417" i="40" s="1"/>
  <c r="E543" i="40"/>
  <c r="F543" i="40"/>
  <c r="G543" i="40"/>
  <c r="E1417" i="40" s="1"/>
  <c r="D544" i="40"/>
  <c r="F1418" i="40" s="1"/>
  <c r="E544" i="40"/>
  <c r="F544" i="40"/>
  <c r="G544" i="40"/>
  <c r="E1418" i="40" s="1"/>
  <c r="D545" i="40"/>
  <c r="F1419" i="40" s="1"/>
  <c r="E545" i="40"/>
  <c r="F545" i="40"/>
  <c r="G545" i="40"/>
  <c r="E1419" i="40" s="1"/>
  <c r="D546" i="40"/>
  <c r="F1420" i="40" s="1"/>
  <c r="E546" i="40"/>
  <c r="F546" i="40"/>
  <c r="G546" i="40"/>
  <c r="E1420" i="40" s="1"/>
  <c r="F1421" i="40"/>
  <c r="E1421" i="40"/>
  <c r="F1422" i="40"/>
  <c r="E1422" i="40"/>
  <c r="AN300" i="50"/>
  <c r="AT300" i="50"/>
  <c r="AT302" i="50"/>
  <c r="AN302" i="50"/>
  <c r="AN303" i="50"/>
  <c r="AN304" i="50"/>
  <c r="AT304" i="50"/>
  <c r="AN305" i="50"/>
  <c r="AT306" i="50"/>
  <c r="AN306" i="50"/>
  <c r="Q817" i="37" l="1"/>
  <c r="K811" i="37"/>
  <c r="Q811" i="37" s="1"/>
  <c r="K807" i="37"/>
  <c r="Q807" i="37" s="1"/>
  <c r="M302" i="50"/>
  <c r="M306" i="50"/>
  <c r="N817" i="37"/>
  <c r="N805" i="37"/>
  <c r="L818" i="37"/>
  <c r="R818" i="37" s="1"/>
  <c r="K817" i="37"/>
  <c r="AN301" i="50"/>
  <c r="T301" i="50"/>
  <c r="Q307" i="50"/>
  <c r="N307" i="50"/>
  <c r="T305" i="50"/>
  <c r="P304" i="50"/>
  <c r="S302" i="50"/>
  <c r="M304" i="50"/>
  <c r="N301" i="50"/>
  <c r="Q305" i="50"/>
  <c r="AB305" i="50"/>
  <c r="M814" i="37"/>
  <c r="L816" i="37"/>
  <c r="R816" i="37" s="1"/>
  <c r="K813" i="37"/>
  <c r="L820" i="37"/>
  <c r="Q819" i="37"/>
  <c r="M816" i="37"/>
  <c r="N811" i="37"/>
  <c r="N813" i="37"/>
  <c r="L807" i="37"/>
  <c r="O815" i="37"/>
  <c r="O814" i="37"/>
  <c r="K809" i="37"/>
  <c r="Q809" i="37" s="1"/>
  <c r="K805" i="37"/>
  <c r="Q805" i="37" s="1"/>
  <c r="L819" i="37"/>
  <c r="R819" i="37" s="1"/>
  <c r="O816" i="37"/>
  <c r="O820" i="37"/>
  <c r="L814" i="37"/>
  <c r="R814" i="37" s="1"/>
  <c r="N819" i="37"/>
  <c r="O818" i="37"/>
  <c r="M815" i="37"/>
  <c r="O807" i="37"/>
  <c r="L805" i="37"/>
  <c r="N820" i="37"/>
  <c r="M819" i="37"/>
  <c r="N818" i="37"/>
  <c r="M812" i="37"/>
  <c r="M810" i="37"/>
  <c r="N807" i="37"/>
  <c r="O805" i="37"/>
  <c r="K820" i="37"/>
  <c r="K818" i="37"/>
  <c r="L817" i="37"/>
  <c r="R817" i="37" s="1"/>
  <c r="M817" i="37"/>
  <c r="M820" i="37"/>
  <c r="O819" i="37"/>
  <c r="K819" i="37"/>
  <c r="M818" i="37"/>
  <c r="O817" i="37"/>
  <c r="Q820" i="37"/>
  <c r="AC819" i="37"/>
  <c r="Q818" i="37"/>
  <c r="N812" i="37"/>
  <c r="O812" i="37"/>
  <c r="K812" i="37"/>
  <c r="N810" i="37"/>
  <c r="K810" i="37"/>
  <c r="O810" i="37"/>
  <c r="L809" i="37"/>
  <c r="M809" i="37"/>
  <c r="L808" i="37"/>
  <c r="N806" i="37"/>
  <c r="N804" i="37"/>
  <c r="L806" i="37"/>
  <c r="L804" i="37"/>
  <c r="N816" i="37"/>
  <c r="AC816" i="37"/>
  <c r="N814" i="37"/>
  <c r="AC814" i="37"/>
  <c r="L813" i="37"/>
  <c r="R813" i="37" s="1"/>
  <c r="Q813" i="37"/>
  <c r="M813" i="37"/>
  <c r="L812" i="37"/>
  <c r="L811" i="37"/>
  <c r="M811" i="37"/>
  <c r="L810" i="37"/>
  <c r="O809" i="37"/>
  <c r="N808" i="37"/>
  <c r="M806" i="37"/>
  <c r="M804" i="37"/>
  <c r="L815" i="37"/>
  <c r="R815" i="37" s="1"/>
  <c r="Q815" i="37"/>
  <c r="N815" i="37"/>
  <c r="Q816" i="37"/>
  <c r="K816" i="37"/>
  <c r="K815" i="37"/>
  <c r="Q814" i="37"/>
  <c r="K814" i="37"/>
  <c r="O813" i="37"/>
  <c r="O811" i="37"/>
  <c r="N809" i="37"/>
  <c r="M808" i="37"/>
  <c r="O808" i="37"/>
  <c r="K808" i="37"/>
  <c r="Q808" i="37" s="1"/>
  <c r="M807" i="37"/>
  <c r="O806" i="37"/>
  <c r="K806" i="37"/>
  <c r="M805" i="37"/>
  <c r="O804" i="37"/>
  <c r="K804" i="37"/>
  <c r="Q804" i="37" s="1"/>
  <c r="AT307" i="50"/>
  <c r="M303" i="50"/>
  <c r="S303" i="50"/>
  <c r="P303" i="50"/>
  <c r="V303" i="50"/>
  <c r="N306" i="50"/>
  <c r="T306" i="50"/>
  <c r="Q306" i="50"/>
  <c r="AB306" i="50"/>
  <c r="AT305" i="50"/>
  <c r="M307" i="50"/>
  <c r="S307" i="50"/>
  <c r="P307" i="50"/>
  <c r="S306" i="50"/>
  <c r="N305" i="50"/>
  <c r="V304" i="50"/>
  <c r="Q304" i="50"/>
  <c r="AB304" i="50"/>
  <c r="N304" i="50"/>
  <c r="T304" i="50"/>
  <c r="AB303" i="50"/>
  <c r="Q303" i="50"/>
  <c r="AT303" i="50"/>
  <c r="N302" i="50"/>
  <c r="T302" i="50"/>
  <c r="P302" i="50"/>
  <c r="Q302" i="50"/>
  <c r="AB302" i="50"/>
  <c r="Q300" i="50"/>
  <c r="AB300" i="50"/>
  <c r="M300" i="50"/>
  <c r="S300" i="50"/>
  <c r="N300" i="50"/>
  <c r="T300" i="50"/>
  <c r="P300" i="50"/>
  <c r="V300" i="50"/>
  <c r="V306" i="50"/>
  <c r="T303" i="50"/>
  <c r="AT301" i="50"/>
  <c r="T307" i="50"/>
  <c r="AE307" i="50" s="1"/>
  <c r="P306" i="50"/>
  <c r="P305" i="50"/>
  <c r="V305" i="50"/>
  <c r="M305" i="50"/>
  <c r="S305" i="50"/>
  <c r="S304" i="50"/>
  <c r="N303" i="50"/>
  <c r="V302" i="50"/>
  <c r="P301" i="50"/>
  <c r="S301" i="50"/>
  <c r="M301" i="50"/>
  <c r="AB301" i="50"/>
  <c r="Q301" i="50"/>
  <c r="V301" i="50"/>
  <c r="R804" i="37" l="1"/>
  <c r="AH302" i="50"/>
  <c r="R807" i="37"/>
  <c r="S804" i="37"/>
  <c r="T804" i="37" s="1"/>
  <c r="U804" i="37" s="1"/>
  <c r="R820" i="37"/>
  <c r="AB307" i="50"/>
  <c r="Z307" i="50"/>
  <c r="AH305" i="50"/>
  <c r="AD307" i="50"/>
  <c r="V307" i="50"/>
  <c r="AH307" i="50" s="1"/>
  <c r="AN307" i="50" s="1"/>
  <c r="Y307" i="50"/>
  <c r="AK307" i="50" s="1"/>
  <c r="X307" i="50"/>
  <c r="W307" i="50"/>
  <c r="AF307" i="50"/>
  <c r="AC307" i="50"/>
  <c r="R809" i="37"/>
  <c r="S809" i="37" s="1"/>
  <c r="T809" i="37" s="1"/>
  <c r="U809" i="37" s="1"/>
  <c r="R808" i="37"/>
  <c r="S808" i="37" s="1"/>
  <c r="T808" i="37" s="1"/>
  <c r="U808" i="37" s="1"/>
  <c r="S815" i="37"/>
  <c r="T815" i="37" s="1"/>
  <c r="U815" i="37" s="1"/>
  <c r="S819" i="37"/>
  <c r="T819" i="37" s="1"/>
  <c r="R811" i="37"/>
  <c r="S811" i="37" s="1"/>
  <c r="T811" i="37" s="1"/>
  <c r="R805" i="37"/>
  <c r="S805" i="37" s="1"/>
  <c r="T805" i="37" s="1"/>
  <c r="U805" i="37" s="1"/>
  <c r="S818" i="37"/>
  <c r="T818" i="37" s="1"/>
  <c r="U818" i="37" s="1"/>
  <c r="AH304" i="50"/>
  <c r="AH306" i="50"/>
  <c r="S820" i="37"/>
  <c r="T820" i="37" s="1"/>
  <c r="S817" i="37"/>
  <c r="T817" i="37" s="1"/>
  <c r="S807" i="37"/>
  <c r="T807" i="37" s="1"/>
  <c r="Q812" i="37"/>
  <c r="R812" i="37" s="1"/>
  <c r="S812" i="37" s="1"/>
  <c r="S814" i="37"/>
  <c r="S816" i="37"/>
  <c r="S813" i="37"/>
  <c r="T813" i="37" s="1"/>
  <c r="Q806" i="37"/>
  <c r="R806" i="37" s="1"/>
  <c r="S806" i="37" s="1"/>
  <c r="T806" i="37" s="1"/>
  <c r="U806" i="37" s="1"/>
  <c r="Q810" i="37"/>
  <c r="R810" i="37" s="1"/>
  <c r="S810" i="37" s="1"/>
  <c r="AH301" i="50"/>
  <c r="AH303" i="50"/>
  <c r="AH300" i="50"/>
  <c r="AJ307" i="50" l="1"/>
  <c r="AL307" i="50"/>
  <c r="AI307" i="50"/>
  <c r="AO307" i="50"/>
  <c r="AP307" i="50" s="1"/>
  <c r="AQ307" i="50" s="1"/>
  <c r="AR307" i="50" s="1"/>
  <c r="U820" i="37"/>
  <c r="U817" i="37"/>
  <c r="U819" i="37"/>
  <c r="T814" i="37"/>
  <c r="U813" i="37"/>
  <c r="T812" i="37"/>
  <c r="U811" i="37"/>
  <c r="T810" i="37"/>
  <c r="T816" i="37"/>
  <c r="U807" i="37"/>
  <c r="U812" i="37" l="1"/>
  <c r="U816" i="37"/>
  <c r="U810" i="37"/>
  <c r="U814" i="37"/>
  <c r="B144" i="65" l="1"/>
  <c r="F144" i="65"/>
  <c r="G144" i="65"/>
  <c r="H144" i="65"/>
  <c r="I144" i="65"/>
  <c r="J144" i="65"/>
  <c r="F145" i="65"/>
  <c r="G145" i="65"/>
  <c r="H145" i="65"/>
  <c r="I145" i="65"/>
  <c r="J145" i="65"/>
  <c r="F146" i="65"/>
  <c r="G146" i="65"/>
  <c r="H146" i="65"/>
  <c r="I146" i="65"/>
  <c r="J146" i="65"/>
  <c r="F147" i="65"/>
  <c r="G147" i="65"/>
  <c r="H147" i="65"/>
  <c r="I147" i="65"/>
  <c r="J147" i="65"/>
  <c r="F148" i="65"/>
  <c r="G148" i="65"/>
  <c r="H148" i="65"/>
  <c r="I148" i="65"/>
  <c r="J148" i="65"/>
  <c r="F149" i="65"/>
  <c r="G149" i="65"/>
  <c r="H149" i="65"/>
  <c r="I149" i="65"/>
  <c r="J149" i="65"/>
  <c r="F150" i="65"/>
  <c r="G150" i="65"/>
  <c r="H150" i="65"/>
  <c r="I150" i="65"/>
  <c r="J150" i="65"/>
  <c r="F151" i="65"/>
  <c r="G151" i="65"/>
  <c r="H151" i="65"/>
  <c r="I151" i="65"/>
  <c r="J151" i="65"/>
  <c r="F152" i="65"/>
  <c r="G152" i="65"/>
  <c r="H152" i="65"/>
  <c r="I152" i="65"/>
  <c r="J152" i="65"/>
  <c r="F153" i="65"/>
  <c r="G153" i="65"/>
  <c r="H153" i="65"/>
  <c r="I153" i="65"/>
  <c r="J153" i="65"/>
  <c r="F154" i="65"/>
  <c r="G154" i="65"/>
  <c r="H154" i="65"/>
  <c r="I154" i="65"/>
  <c r="J154" i="65"/>
  <c r="F155" i="65"/>
  <c r="G155" i="65"/>
  <c r="H155" i="65"/>
  <c r="I155" i="65"/>
  <c r="J155" i="65"/>
  <c r="F156" i="65"/>
  <c r="G156" i="65"/>
  <c r="H156" i="65"/>
  <c r="I156" i="65"/>
  <c r="J156" i="65"/>
  <c r="F157" i="65"/>
  <c r="G157" i="65"/>
  <c r="H157" i="65"/>
  <c r="I157" i="65"/>
  <c r="J157" i="65"/>
  <c r="F158" i="65"/>
  <c r="G158" i="65"/>
  <c r="H158" i="65"/>
  <c r="I158" i="65"/>
  <c r="J158" i="65"/>
  <c r="F159" i="65"/>
  <c r="G159" i="65"/>
  <c r="H159" i="65"/>
  <c r="I159" i="65"/>
  <c r="J159" i="65"/>
  <c r="F160" i="65"/>
  <c r="G160" i="65"/>
  <c r="H160" i="65"/>
  <c r="I160" i="65"/>
  <c r="J160" i="65"/>
  <c r="F161" i="65"/>
  <c r="G161" i="65"/>
  <c r="H161" i="65"/>
  <c r="I161" i="65"/>
  <c r="J161" i="65"/>
  <c r="F162" i="65"/>
  <c r="G162" i="65"/>
  <c r="H162" i="65"/>
  <c r="I162" i="65"/>
  <c r="J162" i="65"/>
  <c r="F163" i="65"/>
  <c r="G163" i="65"/>
  <c r="H163" i="65"/>
  <c r="I163" i="65"/>
  <c r="J163" i="65"/>
  <c r="F164" i="65"/>
  <c r="G164" i="65"/>
  <c r="H164" i="65"/>
  <c r="I164" i="65"/>
  <c r="J164" i="65"/>
  <c r="F165" i="65"/>
  <c r="G165" i="65"/>
  <c r="H165" i="65"/>
  <c r="I165" i="65"/>
  <c r="J165" i="65"/>
  <c r="F166" i="65"/>
  <c r="G166" i="65"/>
  <c r="H166" i="65"/>
  <c r="I166" i="65"/>
  <c r="J166" i="65"/>
  <c r="F167" i="65"/>
  <c r="G167" i="65"/>
  <c r="H167" i="65"/>
  <c r="I167" i="65"/>
  <c r="J167" i="65"/>
  <c r="F168" i="65"/>
  <c r="G168" i="65"/>
  <c r="H168" i="65"/>
  <c r="I168" i="65"/>
  <c r="J168" i="65"/>
  <c r="F169" i="65"/>
  <c r="G169" i="65"/>
  <c r="H169" i="65"/>
  <c r="I169" i="65"/>
  <c r="J169" i="65"/>
  <c r="F170" i="65"/>
  <c r="G170" i="65"/>
  <c r="H170" i="65"/>
  <c r="I170" i="65"/>
  <c r="J170" i="65"/>
  <c r="F171" i="65"/>
  <c r="G171" i="65"/>
  <c r="H171" i="65"/>
  <c r="I171" i="65"/>
  <c r="J171" i="65"/>
  <c r="F172" i="65"/>
  <c r="G172" i="65"/>
  <c r="H172" i="65"/>
  <c r="I172" i="65"/>
  <c r="J172" i="65"/>
  <c r="F173" i="65"/>
  <c r="G173" i="65"/>
  <c r="H173" i="65"/>
  <c r="I173" i="65"/>
  <c r="J173" i="65"/>
  <c r="F174" i="65"/>
  <c r="G174" i="65"/>
  <c r="H174" i="65"/>
  <c r="I174" i="65"/>
  <c r="J174" i="65"/>
  <c r="F175" i="65"/>
  <c r="G175" i="65"/>
  <c r="H175" i="65"/>
  <c r="I175" i="65"/>
  <c r="J175" i="65"/>
  <c r="F176" i="65"/>
  <c r="G176" i="65"/>
  <c r="H176" i="65"/>
  <c r="I176" i="65"/>
  <c r="J176" i="65"/>
  <c r="F177" i="65"/>
  <c r="G177" i="65"/>
  <c r="H177" i="65"/>
  <c r="I177" i="65"/>
  <c r="J177" i="65"/>
  <c r="F178" i="65"/>
  <c r="G178" i="65"/>
  <c r="H178" i="65"/>
  <c r="I178" i="65"/>
  <c r="J178" i="65"/>
  <c r="F179" i="65"/>
  <c r="G179" i="65"/>
  <c r="H179" i="65"/>
  <c r="I179" i="65"/>
  <c r="J179" i="65"/>
  <c r="F180" i="65"/>
  <c r="G180" i="65"/>
  <c r="H180" i="65"/>
  <c r="I180" i="65"/>
  <c r="J180" i="65"/>
  <c r="F181" i="65"/>
  <c r="G181" i="65"/>
  <c r="H181" i="65"/>
  <c r="I181" i="65"/>
  <c r="J181" i="65"/>
  <c r="F182" i="65"/>
  <c r="G182" i="65"/>
  <c r="H182" i="65"/>
  <c r="I182" i="65"/>
  <c r="J182" i="65"/>
  <c r="F183" i="65"/>
  <c r="G183" i="65"/>
  <c r="H183" i="65"/>
  <c r="I183" i="65"/>
  <c r="J183" i="65"/>
  <c r="F184" i="65"/>
  <c r="G184" i="65"/>
  <c r="H184" i="65"/>
  <c r="I184" i="65"/>
  <c r="J184" i="65"/>
  <c r="F185" i="65"/>
  <c r="G185" i="65"/>
  <c r="H185" i="65"/>
  <c r="I185" i="65"/>
  <c r="J185" i="65"/>
  <c r="F186" i="65"/>
  <c r="G186" i="65"/>
  <c r="H186" i="65"/>
  <c r="I186" i="65"/>
  <c r="J186" i="65"/>
  <c r="F187" i="65"/>
  <c r="G187" i="65"/>
  <c r="H187" i="65"/>
  <c r="I187" i="65"/>
  <c r="J187" i="65"/>
  <c r="F188" i="65"/>
  <c r="G188" i="65"/>
  <c r="H188" i="65"/>
  <c r="I188" i="65"/>
  <c r="J188" i="65"/>
  <c r="F189" i="65"/>
  <c r="G189" i="65"/>
  <c r="H189" i="65"/>
  <c r="I189" i="65"/>
  <c r="J189" i="65"/>
  <c r="F190" i="65"/>
  <c r="G190" i="65"/>
  <c r="H190" i="65"/>
  <c r="I190" i="65"/>
  <c r="J190" i="65"/>
  <c r="F191" i="65"/>
  <c r="G191" i="65"/>
  <c r="H191" i="65"/>
  <c r="I191" i="65"/>
  <c r="J191" i="65"/>
  <c r="F192" i="65"/>
  <c r="G192" i="65"/>
  <c r="H192" i="65"/>
  <c r="I192" i="65"/>
  <c r="J192" i="65"/>
  <c r="F193" i="65"/>
  <c r="G193" i="65"/>
  <c r="H193" i="65"/>
  <c r="I193" i="65"/>
  <c r="J193" i="65"/>
  <c r="F194" i="65"/>
  <c r="G194" i="65"/>
  <c r="H194" i="65"/>
  <c r="I194" i="65"/>
  <c r="J194" i="65"/>
  <c r="F195" i="65"/>
  <c r="G195" i="65"/>
  <c r="H195" i="65"/>
  <c r="I195" i="65"/>
  <c r="J195" i="65"/>
  <c r="F196" i="65"/>
  <c r="G196" i="65"/>
  <c r="H196" i="65"/>
  <c r="I196" i="65"/>
  <c r="J196" i="65"/>
  <c r="F197" i="65"/>
  <c r="G197" i="65"/>
  <c r="H197" i="65"/>
  <c r="I197" i="65"/>
  <c r="J197" i="65"/>
  <c r="F198" i="65"/>
  <c r="G198" i="65"/>
  <c r="H198" i="65"/>
  <c r="I198" i="65"/>
  <c r="J198" i="65"/>
  <c r="F199" i="65"/>
  <c r="G199" i="65"/>
  <c r="H199" i="65"/>
  <c r="I199" i="65"/>
  <c r="J199" i="65"/>
  <c r="F200" i="65"/>
  <c r="G200" i="65"/>
  <c r="H200" i="65"/>
  <c r="I200" i="65"/>
  <c r="J200" i="65"/>
  <c r="F201" i="65"/>
  <c r="G201" i="65"/>
  <c r="H201" i="65"/>
  <c r="I201" i="65"/>
  <c r="J201" i="65"/>
  <c r="F202" i="65"/>
  <c r="G202" i="65"/>
  <c r="H202" i="65"/>
  <c r="I202" i="65"/>
  <c r="J202" i="65"/>
  <c r="F203" i="65"/>
  <c r="G203" i="65"/>
  <c r="H203" i="65"/>
  <c r="I203" i="65"/>
  <c r="J203" i="65"/>
  <c r="F204" i="65"/>
  <c r="G204" i="65"/>
  <c r="H204" i="65"/>
  <c r="I204" i="65"/>
  <c r="J204" i="65"/>
  <c r="F205" i="65"/>
  <c r="G205" i="65"/>
  <c r="H205" i="65"/>
  <c r="I205" i="65"/>
  <c r="J205" i="65"/>
  <c r="F206" i="65"/>
  <c r="G206" i="65"/>
  <c r="H206" i="65"/>
  <c r="I206" i="65"/>
  <c r="J206" i="65"/>
  <c r="F207" i="65"/>
  <c r="G207" i="65"/>
  <c r="H207" i="65"/>
  <c r="I207" i="65"/>
  <c r="J207" i="65"/>
  <c r="F208" i="65"/>
  <c r="G208" i="65"/>
  <c r="H208" i="65"/>
  <c r="I208" i="65"/>
  <c r="J208" i="65"/>
  <c r="F209" i="65"/>
  <c r="G209" i="65"/>
  <c r="H209" i="65"/>
  <c r="I209" i="65"/>
  <c r="J209" i="65"/>
  <c r="F210" i="65"/>
  <c r="G210" i="65"/>
  <c r="H210" i="65"/>
  <c r="I210" i="65"/>
  <c r="J210" i="65"/>
  <c r="F211" i="65"/>
  <c r="G211" i="65"/>
  <c r="H211" i="65"/>
  <c r="I211" i="65"/>
  <c r="J211" i="65"/>
  <c r="F212" i="65"/>
  <c r="G212" i="65"/>
  <c r="H212" i="65"/>
  <c r="I212" i="65"/>
  <c r="J212" i="65"/>
  <c r="F213" i="65"/>
  <c r="G213" i="65"/>
  <c r="H213" i="65"/>
  <c r="I213" i="65"/>
  <c r="J213" i="65"/>
  <c r="F214" i="65"/>
  <c r="G214" i="65"/>
  <c r="H214" i="65"/>
  <c r="I214" i="65"/>
  <c r="J214" i="65"/>
  <c r="F215" i="65"/>
  <c r="G215" i="65"/>
  <c r="H215" i="65"/>
  <c r="I215" i="65"/>
  <c r="J215" i="65"/>
  <c r="F216" i="65"/>
  <c r="G216" i="65"/>
  <c r="H216" i="65"/>
  <c r="I216" i="65"/>
  <c r="J216" i="65"/>
  <c r="F217" i="65"/>
  <c r="G217" i="65"/>
  <c r="H217" i="65"/>
  <c r="I217" i="65"/>
  <c r="J217" i="65"/>
  <c r="F218" i="65"/>
  <c r="G218" i="65"/>
  <c r="H218" i="65"/>
  <c r="I218" i="65"/>
  <c r="J218" i="65"/>
  <c r="F219" i="65"/>
  <c r="G219" i="65"/>
  <c r="H219" i="65"/>
  <c r="I219" i="65"/>
  <c r="J219" i="65"/>
  <c r="F220" i="65"/>
  <c r="G220" i="65"/>
  <c r="H220" i="65"/>
  <c r="I220" i="65"/>
  <c r="J220" i="65"/>
  <c r="F221" i="65"/>
  <c r="G221" i="65"/>
  <c r="H221" i="65"/>
  <c r="I221" i="65"/>
  <c r="J221" i="65"/>
  <c r="F222" i="65"/>
  <c r="G222" i="65"/>
  <c r="H222" i="65"/>
  <c r="I222" i="65"/>
  <c r="J222" i="65"/>
  <c r="F223" i="65"/>
  <c r="G223" i="65"/>
  <c r="H223" i="65"/>
  <c r="I223" i="65"/>
  <c r="J223" i="65"/>
  <c r="F224" i="65"/>
  <c r="G224" i="65"/>
  <c r="H224" i="65"/>
  <c r="I224" i="65"/>
  <c r="J224" i="65"/>
  <c r="F225" i="65"/>
  <c r="G225" i="65"/>
  <c r="H225" i="65"/>
  <c r="I225" i="65"/>
  <c r="J225" i="65"/>
  <c r="F226" i="65"/>
  <c r="G226" i="65"/>
  <c r="H226" i="65"/>
  <c r="I226" i="65"/>
  <c r="J226" i="65"/>
  <c r="F227" i="65"/>
  <c r="G227" i="65"/>
  <c r="H227" i="65"/>
  <c r="I227" i="65"/>
  <c r="J227" i="65"/>
  <c r="F228" i="65"/>
  <c r="G228" i="65"/>
  <c r="H228" i="65"/>
  <c r="I228" i="65"/>
  <c r="J228" i="65"/>
  <c r="F229" i="65"/>
  <c r="G229" i="65"/>
  <c r="H229" i="65"/>
  <c r="I229" i="65"/>
  <c r="J229" i="65"/>
  <c r="F230" i="65"/>
  <c r="G230" i="65"/>
  <c r="H230" i="65"/>
  <c r="I230" i="65"/>
  <c r="J230" i="65"/>
  <c r="F231" i="65"/>
  <c r="G231" i="65"/>
  <c r="H231" i="65"/>
  <c r="I231" i="65"/>
  <c r="J231" i="65"/>
  <c r="F232" i="65"/>
  <c r="G232" i="65"/>
  <c r="H232" i="65"/>
  <c r="I232" i="65"/>
  <c r="J232" i="65"/>
  <c r="F233" i="65"/>
  <c r="G233" i="65"/>
  <c r="H233" i="65"/>
  <c r="I233" i="65"/>
  <c r="J233" i="65"/>
  <c r="F234" i="65"/>
  <c r="G234" i="65"/>
  <c r="H234" i="65"/>
  <c r="I234" i="65"/>
  <c r="J234" i="65"/>
  <c r="F235" i="65"/>
  <c r="G235" i="65"/>
  <c r="H235" i="65"/>
  <c r="I235" i="65"/>
  <c r="J235" i="65"/>
  <c r="F236" i="65"/>
  <c r="G236" i="65"/>
  <c r="H236" i="65"/>
  <c r="I236" i="65"/>
  <c r="J236" i="65"/>
  <c r="F237" i="65"/>
  <c r="G237" i="65"/>
  <c r="H237" i="65"/>
  <c r="I237" i="65"/>
  <c r="J237" i="65"/>
  <c r="F238" i="65"/>
  <c r="G238" i="65"/>
  <c r="H238" i="65"/>
  <c r="I238" i="65"/>
  <c r="J238" i="65"/>
  <c r="F239" i="65"/>
  <c r="G239" i="65"/>
  <c r="H239" i="65"/>
  <c r="I239" i="65"/>
  <c r="J239" i="65"/>
  <c r="F240" i="65"/>
  <c r="G240" i="65"/>
  <c r="H240" i="65"/>
  <c r="I240" i="65"/>
  <c r="J240" i="65"/>
  <c r="F241" i="65"/>
  <c r="G241" i="65"/>
  <c r="H241" i="65"/>
  <c r="I241" i="65"/>
  <c r="J241" i="65"/>
  <c r="F242" i="65"/>
  <c r="G242" i="65"/>
  <c r="H242" i="65"/>
  <c r="I242" i="65"/>
  <c r="J242" i="65"/>
  <c r="F243" i="65"/>
  <c r="G243" i="65"/>
  <c r="H243" i="65"/>
  <c r="I243" i="65"/>
  <c r="J243" i="65"/>
  <c r="F244" i="65"/>
  <c r="G244" i="65"/>
  <c r="H244" i="65"/>
  <c r="I244" i="65"/>
  <c r="J244" i="65"/>
  <c r="F245" i="65"/>
  <c r="G245" i="65"/>
  <c r="H245" i="65"/>
  <c r="I245" i="65"/>
  <c r="J245" i="65"/>
  <c r="F246" i="65"/>
  <c r="G246" i="65"/>
  <c r="H246" i="65"/>
  <c r="I246" i="65"/>
  <c r="J246" i="65"/>
  <c r="F247" i="65"/>
  <c r="G247" i="65"/>
  <c r="H247" i="65"/>
  <c r="I247" i="65"/>
  <c r="J247" i="65"/>
  <c r="F248" i="65"/>
  <c r="G248" i="65"/>
  <c r="H248" i="65"/>
  <c r="I248" i="65"/>
  <c r="J248" i="65"/>
  <c r="F249" i="65"/>
  <c r="G249" i="65"/>
  <c r="H249" i="65"/>
  <c r="I249" i="65"/>
  <c r="J249" i="65"/>
  <c r="F250" i="65"/>
  <c r="G250" i="65"/>
  <c r="H250" i="65"/>
  <c r="I250" i="65"/>
  <c r="J250" i="65"/>
  <c r="F251" i="65"/>
  <c r="G251" i="65"/>
  <c r="H251" i="65"/>
  <c r="I251" i="65"/>
  <c r="J251" i="65"/>
  <c r="F252" i="65"/>
  <c r="G252" i="65"/>
  <c r="H252" i="65"/>
  <c r="I252" i="65"/>
  <c r="J252" i="65"/>
  <c r="F253" i="65"/>
  <c r="G253" i="65"/>
  <c r="H253" i="65"/>
  <c r="I253" i="65"/>
  <c r="J253" i="65"/>
  <c r="F254" i="65"/>
  <c r="G254" i="65"/>
  <c r="H254" i="65"/>
  <c r="I254" i="65"/>
  <c r="J254" i="65"/>
  <c r="F255" i="65"/>
  <c r="G255" i="65"/>
  <c r="H255" i="65"/>
  <c r="I255" i="65"/>
  <c r="J255" i="65"/>
  <c r="F256" i="65"/>
  <c r="G256" i="65"/>
  <c r="H256" i="65"/>
  <c r="I256" i="65"/>
  <c r="J256" i="65"/>
  <c r="F257" i="65"/>
  <c r="G257" i="65"/>
  <c r="H257" i="65"/>
  <c r="I257" i="65"/>
  <c r="J257" i="65"/>
  <c r="F258" i="65"/>
  <c r="G258" i="65"/>
  <c r="H258" i="65"/>
  <c r="I258" i="65"/>
  <c r="J258" i="65"/>
  <c r="F259" i="65"/>
  <c r="G259" i="65"/>
  <c r="H259" i="65"/>
  <c r="I259" i="65"/>
  <c r="J259" i="65"/>
  <c r="F260" i="65"/>
  <c r="G260" i="65"/>
  <c r="H260" i="65"/>
  <c r="I260" i="65"/>
  <c r="J260" i="65"/>
  <c r="F261" i="65"/>
  <c r="G261" i="65"/>
  <c r="H261" i="65"/>
  <c r="I261" i="65"/>
  <c r="J261" i="65"/>
  <c r="F262" i="65"/>
  <c r="G262" i="65"/>
  <c r="H262" i="65"/>
  <c r="I262" i="65"/>
  <c r="J262" i="65"/>
  <c r="F263" i="65"/>
  <c r="G263" i="65"/>
  <c r="H263" i="65"/>
  <c r="I263" i="65"/>
  <c r="J263" i="65"/>
  <c r="F264" i="65"/>
  <c r="G264" i="65"/>
  <c r="H264" i="65"/>
  <c r="I264" i="65"/>
  <c r="J264" i="65"/>
  <c r="F267" i="65"/>
  <c r="G267" i="65"/>
  <c r="H267" i="65"/>
  <c r="I267" i="65"/>
  <c r="J267" i="65"/>
  <c r="U66" i="42"/>
  <c r="L66" i="42"/>
  <c r="CA66" i="42" s="1"/>
  <c r="M66" i="42"/>
  <c r="L67" i="42"/>
  <c r="CA67" i="42" s="1"/>
  <c r="M67" i="42"/>
  <c r="U68" i="42"/>
  <c r="L68" i="42"/>
  <c r="CA68" i="42" s="1"/>
  <c r="M68" i="42"/>
  <c r="U69" i="42"/>
  <c r="L69" i="42"/>
  <c r="CA69" i="42" s="1"/>
  <c r="M69" i="42"/>
  <c r="L70" i="42"/>
  <c r="CA70" i="42" s="1"/>
  <c r="M70" i="42"/>
  <c r="L71" i="42"/>
  <c r="CA71" i="42" s="1"/>
  <c r="M71" i="42"/>
  <c r="L72" i="42"/>
  <c r="CA72" i="42" s="1"/>
  <c r="M72" i="42"/>
  <c r="L73" i="42"/>
  <c r="CA73" i="42" s="1"/>
  <c r="M73" i="42"/>
  <c r="L74" i="42"/>
  <c r="CA74" i="42" s="1"/>
  <c r="M74" i="42"/>
  <c r="M75" i="42"/>
  <c r="L75" i="42"/>
  <c r="CA75" i="42" s="1"/>
  <c r="M76" i="42"/>
  <c r="L76" i="42"/>
  <c r="CA76" i="42" s="1"/>
  <c r="M77" i="42"/>
  <c r="L77" i="42"/>
  <c r="CA77" i="42" s="1"/>
  <c r="L78" i="42"/>
  <c r="CA78" i="42" s="1"/>
  <c r="M78" i="42"/>
  <c r="L79" i="42"/>
  <c r="CA79" i="42" s="1"/>
  <c r="B145" i="65"/>
  <c r="BW76" i="42" l="1"/>
  <c r="BV74" i="42"/>
  <c r="BW72" i="42"/>
  <c r="BX70" i="42"/>
  <c r="BW78" i="42"/>
  <c r="BW67" i="42"/>
  <c r="BV77" i="42"/>
  <c r="BX75" i="42"/>
  <c r="BW79" i="42"/>
  <c r="BW73" i="42"/>
  <c r="BV71" i="42"/>
  <c r="BV69" i="42"/>
  <c r="U79" i="42"/>
  <c r="BX73" i="42"/>
  <c r="V76" i="42"/>
  <c r="AP76" i="42"/>
  <c r="S76" i="42"/>
  <c r="AP73" i="42"/>
  <c r="S73" i="42"/>
  <c r="BV72" i="42"/>
  <c r="BW66" i="42"/>
  <c r="BX66" i="42"/>
  <c r="AP74" i="42"/>
  <c r="S74" i="42"/>
  <c r="AP72" i="42"/>
  <c r="S72" i="42"/>
  <c r="O78" i="42"/>
  <c r="R78" i="42" s="1"/>
  <c r="AP78" i="42"/>
  <c r="S78" i="42"/>
  <c r="BX77" i="42"/>
  <c r="AP77" i="42"/>
  <c r="S77" i="42"/>
  <c r="S71" i="42"/>
  <c r="AP71" i="42"/>
  <c r="S70" i="42"/>
  <c r="AP70" i="42"/>
  <c r="AP69" i="42"/>
  <c r="S69" i="42"/>
  <c r="AP68" i="42"/>
  <c r="S68" i="42"/>
  <c r="BV67" i="42"/>
  <c r="S75" i="42"/>
  <c r="AP75" i="42"/>
  <c r="S67" i="42"/>
  <c r="AP67" i="42"/>
  <c r="X66" i="42"/>
  <c r="Z66" i="42"/>
  <c r="AA66" i="42"/>
  <c r="AQ66" i="42"/>
  <c r="Y66" i="42"/>
  <c r="AP66" i="42"/>
  <c r="O66" i="42"/>
  <c r="V66" i="42"/>
  <c r="AB66" i="42"/>
  <c r="B426" i="40"/>
  <c r="O77" i="42"/>
  <c r="R77" i="42" s="1"/>
  <c r="V77" i="42"/>
  <c r="BV78" i="42"/>
  <c r="U74" i="42"/>
  <c r="P73" i="42"/>
  <c r="BE73" i="42" s="1"/>
  <c r="BX72" i="42"/>
  <c r="U78" i="42"/>
  <c r="O76" i="42"/>
  <c r="U70" i="42"/>
  <c r="K267" i="65"/>
  <c r="M267" i="65"/>
  <c r="M265" i="65"/>
  <c r="K265" i="65"/>
  <c r="K263" i="65"/>
  <c r="M263" i="65"/>
  <c r="M261" i="65"/>
  <c r="K261" i="65"/>
  <c r="K259" i="65"/>
  <c r="M259" i="65"/>
  <c r="M257" i="65"/>
  <c r="K257" i="65"/>
  <c r="K255" i="65"/>
  <c r="M255" i="65"/>
  <c r="M253" i="65"/>
  <c r="K253" i="65"/>
  <c r="K251" i="65"/>
  <c r="M251" i="65"/>
  <c r="K249" i="65"/>
  <c r="M249" i="65"/>
  <c r="K247" i="65"/>
  <c r="M247" i="65"/>
  <c r="K245" i="65"/>
  <c r="M245" i="65"/>
  <c r="K243" i="65"/>
  <c r="M243" i="65"/>
  <c r="K241" i="65"/>
  <c r="M241" i="65"/>
  <c r="K239" i="65"/>
  <c r="M239" i="65"/>
  <c r="K237" i="65"/>
  <c r="M237" i="65"/>
  <c r="K235" i="65"/>
  <c r="M235" i="65"/>
  <c r="K233" i="65"/>
  <c r="M233" i="65"/>
  <c r="K231" i="65"/>
  <c r="M231" i="65"/>
  <c r="K229" i="65"/>
  <c r="M229" i="65"/>
  <c r="K227" i="65"/>
  <c r="M227" i="65"/>
  <c r="K225" i="65"/>
  <c r="M225" i="65"/>
  <c r="M223" i="65"/>
  <c r="K223" i="65"/>
  <c r="K221" i="65"/>
  <c r="M221" i="65"/>
  <c r="K219" i="65"/>
  <c r="M219" i="65"/>
  <c r="K217" i="65"/>
  <c r="M217" i="65"/>
  <c r="M215" i="65"/>
  <c r="K215" i="65"/>
  <c r="K213" i="65"/>
  <c r="M213" i="65"/>
  <c r="K211" i="65"/>
  <c r="M211" i="65"/>
  <c r="K209" i="65"/>
  <c r="M209" i="65"/>
  <c r="M207" i="65"/>
  <c r="K207" i="65"/>
  <c r="K205" i="65"/>
  <c r="M205" i="65"/>
  <c r="K203" i="65"/>
  <c r="M203" i="65"/>
  <c r="M201" i="65"/>
  <c r="K201" i="65"/>
  <c r="M199" i="65"/>
  <c r="K199" i="65"/>
  <c r="M197" i="65"/>
  <c r="K197" i="65"/>
  <c r="M195" i="65"/>
  <c r="K195" i="65"/>
  <c r="K193" i="65"/>
  <c r="M193" i="65"/>
  <c r="M191" i="65"/>
  <c r="K191" i="65"/>
  <c r="M189" i="65"/>
  <c r="K189" i="65"/>
  <c r="K187" i="65"/>
  <c r="M187" i="65"/>
  <c r="M185" i="65"/>
  <c r="K185" i="65"/>
  <c r="K183" i="65"/>
  <c r="M183" i="65"/>
  <c r="M181" i="65"/>
  <c r="K181" i="65"/>
  <c r="K179" i="65"/>
  <c r="M179" i="65"/>
  <c r="K177" i="65"/>
  <c r="M177" i="65"/>
  <c r="M175" i="65"/>
  <c r="K175" i="65"/>
  <c r="K173" i="65"/>
  <c r="M173" i="65"/>
  <c r="K171" i="65"/>
  <c r="M171" i="65"/>
  <c r="M169" i="65"/>
  <c r="K169" i="65"/>
  <c r="K167" i="65"/>
  <c r="M167" i="65"/>
  <c r="K165" i="65"/>
  <c r="M165" i="65"/>
  <c r="K163" i="65"/>
  <c r="M163" i="65"/>
  <c r="K161" i="65"/>
  <c r="M161" i="65"/>
  <c r="M159" i="65"/>
  <c r="K159" i="65"/>
  <c r="K157" i="65"/>
  <c r="M157" i="65"/>
  <c r="K155" i="65"/>
  <c r="M155" i="65"/>
  <c r="K153" i="65"/>
  <c r="M153" i="65"/>
  <c r="K151" i="65"/>
  <c r="M151" i="65"/>
  <c r="M149" i="65"/>
  <c r="K149" i="65"/>
  <c r="K147" i="65"/>
  <c r="M147" i="65"/>
  <c r="K145" i="65"/>
  <c r="M145" i="65"/>
  <c r="K266" i="65"/>
  <c r="M266" i="65"/>
  <c r="K264" i="65"/>
  <c r="M264" i="65"/>
  <c r="K262" i="65"/>
  <c r="M262" i="65"/>
  <c r="K260" i="65"/>
  <c r="M260" i="65"/>
  <c r="K258" i="65"/>
  <c r="M258" i="65"/>
  <c r="K256" i="65"/>
  <c r="M256" i="65"/>
  <c r="K254" i="65"/>
  <c r="M254" i="65"/>
  <c r="K252" i="65"/>
  <c r="M252" i="65"/>
  <c r="K250" i="65"/>
  <c r="M250" i="65"/>
  <c r="K248" i="65"/>
  <c r="M248" i="65"/>
  <c r="M246" i="65"/>
  <c r="K246" i="65"/>
  <c r="K244" i="65"/>
  <c r="M244" i="65"/>
  <c r="K242" i="65"/>
  <c r="M242" i="65"/>
  <c r="K240" i="65"/>
  <c r="M240" i="65"/>
  <c r="M238" i="65"/>
  <c r="K238" i="65"/>
  <c r="K236" i="65"/>
  <c r="M236" i="65"/>
  <c r="K234" i="65"/>
  <c r="M234" i="65"/>
  <c r="K232" i="65"/>
  <c r="M232" i="65"/>
  <c r="M230" i="65"/>
  <c r="K230" i="65"/>
  <c r="K228" i="65"/>
  <c r="M228" i="65"/>
  <c r="K226" i="65"/>
  <c r="M226" i="65"/>
  <c r="M224" i="65"/>
  <c r="K224" i="65"/>
  <c r="K222" i="65"/>
  <c r="M222" i="65"/>
  <c r="K220" i="65"/>
  <c r="M220" i="65"/>
  <c r="K218" i="65"/>
  <c r="M218" i="65"/>
  <c r="K216" i="65"/>
  <c r="M216" i="65"/>
  <c r="K214" i="65"/>
  <c r="M214" i="65"/>
  <c r="K212" i="65"/>
  <c r="M212" i="65"/>
  <c r="K210" i="65"/>
  <c r="M210" i="65"/>
  <c r="K208" i="65"/>
  <c r="M208" i="65"/>
  <c r="K206" i="65"/>
  <c r="M206" i="65"/>
  <c r="K204" i="65"/>
  <c r="M204" i="65"/>
  <c r="M202" i="65"/>
  <c r="K202" i="65"/>
  <c r="M200" i="65"/>
  <c r="K200" i="65"/>
  <c r="K198" i="65"/>
  <c r="M198" i="65"/>
  <c r="K196" i="65"/>
  <c r="M196" i="65"/>
  <c r="M194" i="65"/>
  <c r="K194" i="65"/>
  <c r="K192" i="65"/>
  <c r="M192" i="65"/>
  <c r="K190" i="65"/>
  <c r="M190" i="65"/>
  <c r="K188" i="65"/>
  <c r="M188" i="65"/>
  <c r="K186" i="65"/>
  <c r="M186" i="65"/>
  <c r="M184" i="65"/>
  <c r="K184" i="65"/>
  <c r="M182" i="65"/>
  <c r="K182" i="65"/>
  <c r="K180" i="65"/>
  <c r="M180" i="65"/>
  <c r="K178" i="65"/>
  <c r="M178" i="65"/>
  <c r="M176" i="65"/>
  <c r="K176" i="65"/>
  <c r="M174" i="65"/>
  <c r="K174" i="65"/>
  <c r="M172" i="65"/>
  <c r="K172" i="65"/>
  <c r="K170" i="65"/>
  <c r="M170" i="65"/>
  <c r="K168" i="65"/>
  <c r="M168" i="65"/>
  <c r="M166" i="65"/>
  <c r="K166" i="65"/>
  <c r="K164" i="65"/>
  <c r="M164" i="65"/>
  <c r="M162" i="65"/>
  <c r="K162" i="65"/>
  <c r="M160" i="65"/>
  <c r="K160" i="65"/>
  <c r="K158" i="65"/>
  <c r="M158" i="65"/>
  <c r="K156" i="65"/>
  <c r="M156" i="65"/>
  <c r="K154" i="65"/>
  <c r="M154" i="65"/>
  <c r="K152" i="65"/>
  <c r="M152" i="65"/>
  <c r="K150" i="65"/>
  <c r="M150" i="65"/>
  <c r="K148" i="65"/>
  <c r="M148" i="65"/>
  <c r="M146" i="65"/>
  <c r="K146" i="65"/>
  <c r="K144" i="65"/>
  <c r="M144" i="65"/>
  <c r="BV66" i="42"/>
  <c r="V73" i="42"/>
  <c r="BW77" i="42"/>
  <c r="P77" i="42"/>
  <c r="BE77" i="42" s="1"/>
  <c r="U77" i="42"/>
  <c r="V74" i="42"/>
  <c r="BV79" i="42"/>
  <c r="BX78" i="42"/>
  <c r="U76" i="42"/>
  <c r="U75" i="42"/>
  <c r="U72" i="42"/>
  <c r="U67" i="42"/>
  <c r="V79" i="42"/>
  <c r="O75" i="42"/>
  <c r="R75" i="42" s="1"/>
  <c r="P75" i="42"/>
  <c r="V75" i="42"/>
  <c r="AE66" i="42"/>
  <c r="P66" i="42"/>
  <c r="AF66" i="42"/>
  <c r="AG66" i="42"/>
  <c r="AD66" i="42"/>
  <c r="AH66" i="42"/>
  <c r="BV75" i="42"/>
  <c r="P74" i="42"/>
  <c r="P78" i="42"/>
  <c r="BW74" i="42"/>
  <c r="BX74" i="42"/>
  <c r="O72" i="42"/>
  <c r="R72" i="42" s="1"/>
  <c r="P72" i="42"/>
  <c r="V72" i="42"/>
  <c r="V78" i="42"/>
  <c r="BV76" i="42"/>
  <c r="BX76" i="42"/>
  <c r="P76" i="42"/>
  <c r="BW75" i="42"/>
  <c r="O71" i="42"/>
  <c r="R71" i="42" s="1"/>
  <c r="P71" i="42"/>
  <c r="BW68" i="42"/>
  <c r="BX68" i="42"/>
  <c r="BV68" i="42"/>
  <c r="BV73" i="42"/>
  <c r="O73" i="42"/>
  <c r="R73" i="42" s="1"/>
  <c r="V71" i="42"/>
  <c r="BW71" i="42"/>
  <c r="BX71" i="42"/>
  <c r="U71" i="42"/>
  <c r="O70" i="42"/>
  <c r="R70" i="42" s="1"/>
  <c r="P70" i="42"/>
  <c r="V70" i="42"/>
  <c r="O74" i="42"/>
  <c r="R74" i="42" s="1"/>
  <c r="U73" i="42"/>
  <c r="BW70" i="42"/>
  <c r="BV70" i="42"/>
  <c r="O69" i="42"/>
  <c r="R69" i="42" s="1"/>
  <c r="P69" i="42"/>
  <c r="V69" i="42"/>
  <c r="BW69" i="42"/>
  <c r="BX69" i="42"/>
  <c r="O68" i="42"/>
  <c r="R68" i="42" s="1"/>
  <c r="P68" i="42"/>
  <c r="V68" i="42"/>
  <c r="O67" i="42"/>
  <c r="R67" i="42" s="1"/>
  <c r="P67" i="42"/>
  <c r="V67" i="42"/>
  <c r="BX67" i="42"/>
  <c r="AR66" i="42" l="1"/>
  <c r="BD78" i="42"/>
  <c r="BD77" i="42"/>
  <c r="BD76" i="42"/>
  <c r="R76" i="42"/>
  <c r="R66" i="42"/>
  <c r="B427" i="40"/>
  <c r="B146" i="65"/>
  <c r="AM66" i="42"/>
  <c r="BI66" i="42" s="1"/>
  <c r="AJ148" i="65"/>
  <c r="AK148" i="65"/>
  <c r="AI148" i="65"/>
  <c r="N148" i="65"/>
  <c r="AL148" i="65"/>
  <c r="AH148" i="65"/>
  <c r="AJ152" i="65"/>
  <c r="AK152" i="65"/>
  <c r="AL152" i="65"/>
  <c r="N152" i="65"/>
  <c r="N164" i="65"/>
  <c r="N192" i="65"/>
  <c r="AK204" i="65"/>
  <c r="AI204" i="65"/>
  <c r="AJ204" i="65"/>
  <c r="N204" i="65"/>
  <c r="AH204" i="65"/>
  <c r="AL204" i="65"/>
  <c r="N212" i="65"/>
  <c r="N232" i="65"/>
  <c r="N244" i="65"/>
  <c r="AJ244" i="65"/>
  <c r="AK244" i="65"/>
  <c r="AI244" i="65"/>
  <c r="AL244" i="65"/>
  <c r="AH244" i="65"/>
  <c r="N252" i="65"/>
  <c r="N256" i="65"/>
  <c r="AI145" i="65"/>
  <c r="AJ145" i="65"/>
  <c r="AK145" i="65"/>
  <c r="AL145" i="65"/>
  <c r="N145" i="65"/>
  <c r="AH145" i="65"/>
  <c r="N157" i="65"/>
  <c r="N165" i="65"/>
  <c r="AI177" i="65"/>
  <c r="N177" i="65"/>
  <c r="AK177" i="65"/>
  <c r="AL177" i="65"/>
  <c r="AH177" i="65"/>
  <c r="AJ177" i="65"/>
  <c r="AI205" i="65"/>
  <c r="AK205" i="65"/>
  <c r="AJ205" i="65"/>
  <c r="AL205" i="65"/>
  <c r="N205" i="65"/>
  <c r="AH205" i="65"/>
  <c r="N217" i="65"/>
  <c r="N221" i="65"/>
  <c r="N233" i="65"/>
  <c r="N185" i="65"/>
  <c r="AL185" i="65"/>
  <c r="AH185" i="65"/>
  <c r="AI185" i="65"/>
  <c r="AK185" i="65"/>
  <c r="AJ185" i="65"/>
  <c r="N197" i="65"/>
  <c r="AL197" i="65"/>
  <c r="AH197" i="65"/>
  <c r="AK197" i="65"/>
  <c r="AI197" i="65"/>
  <c r="AJ197" i="65"/>
  <c r="N253" i="65"/>
  <c r="N257" i="65"/>
  <c r="N261" i="65"/>
  <c r="AJ261" i="65"/>
  <c r="AI261" i="65"/>
  <c r="AL261" i="65"/>
  <c r="AK261" i="65"/>
  <c r="AH261" i="65"/>
  <c r="N265" i="65"/>
  <c r="AK265" i="65"/>
  <c r="AI265" i="65"/>
  <c r="AL265" i="65"/>
  <c r="AJ265" i="65"/>
  <c r="AH265" i="65"/>
  <c r="AJ144" i="65"/>
  <c r="AK144" i="65"/>
  <c r="AH144" i="65"/>
  <c r="N144" i="65"/>
  <c r="AI144" i="65"/>
  <c r="AL144" i="65"/>
  <c r="N156" i="65"/>
  <c r="N168" i="65"/>
  <c r="AI180" i="65"/>
  <c r="N180" i="65"/>
  <c r="AK180" i="65"/>
  <c r="AL180" i="65"/>
  <c r="AJ180" i="65"/>
  <c r="AH180" i="65"/>
  <c r="N188" i="65"/>
  <c r="AI188" i="65"/>
  <c r="AK188" i="65"/>
  <c r="AL188" i="65"/>
  <c r="AJ188" i="65"/>
  <c r="N196" i="65"/>
  <c r="AL196" i="65"/>
  <c r="AH196" i="65"/>
  <c r="AI196" i="65"/>
  <c r="AK196" i="65"/>
  <c r="AJ196" i="65"/>
  <c r="AJ208" i="65"/>
  <c r="AI208" i="65"/>
  <c r="AK208" i="65"/>
  <c r="AH208" i="65"/>
  <c r="N208" i="65"/>
  <c r="AL208" i="65"/>
  <c r="N216" i="65"/>
  <c r="N228" i="65"/>
  <c r="AL228" i="65"/>
  <c r="N236" i="65"/>
  <c r="N248" i="65"/>
  <c r="N260" i="65"/>
  <c r="AJ260" i="65"/>
  <c r="AI260" i="65"/>
  <c r="AL260" i="65"/>
  <c r="AK260" i="65"/>
  <c r="AH260" i="65"/>
  <c r="AK153" i="65"/>
  <c r="N153" i="65"/>
  <c r="AL153" i="65"/>
  <c r="N209" i="65"/>
  <c r="AI225" i="65"/>
  <c r="N225" i="65"/>
  <c r="AL225" i="65"/>
  <c r="AH225" i="65"/>
  <c r="AK225" i="65"/>
  <c r="AJ225" i="65"/>
  <c r="N237" i="65"/>
  <c r="N241" i="65"/>
  <c r="N245" i="65"/>
  <c r="AK245" i="65"/>
  <c r="AJ245" i="65"/>
  <c r="AH245" i="65"/>
  <c r="AI245" i="65"/>
  <c r="AL245" i="65"/>
  <c r="N160" i="65"/>
  <c r="AH172" i="65"/>
  <c r="AL172" i="65"/>
  <c r="N172" i="65"/>
  <c r="AI172" i="65"/>
  <c r="AK172" i="65"/>
  <c r="AJ172" i="65"/>
  <c r="AJ176" i="65"/>
  <c r="AH176" i="65"/>
  <c r="AL176" i="65"/>
  <c r="AI176" i="65"/>
  <c r="AK176" i="65"/>
  <c r="N176" i="65"/>
  <c r="N184" i="65"/>
  <c r="AK184" i="65"/>
  <c r="AH184" i="65"/>
  <c r="AL184" i="65"/>
  <c r="AI184" i="65"/>
  <c r="AJ184" i="65"/>
  <c r="N200" i="65"/>
  <c r="AI200" i="65"/>
  <c r="AK200" i="65"/>
  <c r="AJ200" i="65"/>
  <c r="AH200" i="65"/>
  <c r="AL200" i="65"/>
  <c r="AI224" i="65"/>
  <c r="AJ224" i="65"/>
  <c r="AK224" i="65"/>
  <c r="AH224" i="65"/>
  <c r="AL224" i="65"/>
  <c r="N224" i="65"/>
  <c r="AJ149" i="65"/>
  <c r="AK149" i="65"/>
  <c r="AI149" i="65"/>
  <c r="N149" i="65"/>
  <c r="AH149" i="65"/>
  <c r="AL149" i="65"/>
  <c r="N169" i="65"/>
  <c r="N181" i="65"/>
  <c r="AK181" i="65"/>
  <c r="AJ181" i="65"/>
  <c r="AL181" i="65"/>
  <c r="AH181" i="65"/>
  <c r="AI181" i="65"/>
  <c r="AL189" i="65"/>
  <c r="N189" i="65"/>
  <c r="AK189" i="65"/>
  <c r="AI201" i="65"/>
  <c r="AH201" i="65"/>
  <c r="AJ201" i="65"/>
  <c r="AL201" i="65"/>
  <c r="N201" i="65"/>
  <c r="AK201" i="65"/>
  <c r="AI150" i="65"/>
  <c r="AK150" i="65"/>
  <c r="AJ150" i="65"/>
  <c r="AH150" i="65"/>
  <c r="AL150" i="65"/>
  <c r="N150" i="65"/>
  <c r="AL154" i="65"/>
  <c r="N154" i="65"/>
  <c r="N158" i="65"/>
  <c r="N170" i="65"/>
  <c r="AI178" i="65"/>
  <c r="N178" i="65"/>
  <c r="AK178" i="65"/>
  <c r="AH178" i="65"/>
  <c r="AJ178" i="65"/>
  <c r="AL178" i="65"/>
  <c r="AH186" i="65"/>
  <c r="AI186" i="65"/>
  <c r="N186" i="65"/>
  <c r="AK186" i="65"/>
  <c r="AL186" i="65"/>
  <c r="AJ186" i="65"/>
  <c r="N190" i="65"/>
  <c r="AI198" i="65"/>
  <c r="AK198" i="65"/>
  <c r="AJ198" i="65"/>
  <c r="AH198" i="65"/>
  <c r="N198" i="65"/>
  <c r="AL198" i="65"/>
  <c r="AJ206" i="65"/>
  <c r="AH206" i="65"/>
  <c r="AI206" i="65"/>
  <c r="N206" i="65"/>
  <c r="AL206" i="65"/>
  <c r="AK206" i="65"/>
  <c r="N210" i="65"/>
  <c r="N214" i="65"/>
  <c r="N218" i="65"/>
  <c r="N222" i="65"/>
  <c r="AL222" i="65"/>
  <c r="AK222" i="65"/>
  <c r="AJ222" i="65"/>
  <c r="AH222" i="65"/>
  <c r="AI222" i="65"/>
  <c r="AH226" i="65"/>
  <c r="AK226" i="65"/>
  <c r="N226" i="65"/>
  <c r="AL226" i="65"/>
  <c r="AJ226" i="65"/>
  <c r="AI226" i="65"/>
  <c r="N234" i="65"/>
  <c r="N242" i="65"/>
  <c r="N250" i="65"/>
  <c r="N254" i="65"/>
  <c r="N258" i="65"/>
  <c r="N262" i="65"/>
  <c r="AI262" i="65"/>
  <c r="AJ262" i="65"/>
  <c r="AL262" i="65"/>
  <c r="AK262" i="65"/>
  <c r="AH262" i="65"/>
  <c r="N266" i="65"/>
  <c r="AI266" i="65"/>
  <c r="AK266" i="65"/>
  <c r="AJ266" i="65"/>
  <c r="AL266" i="65"/>
  <c r="AH266" i="65"/>
  <c r="AK147" i="65"/>
  <c r="AL147" i="65"/>
  <c r="AJ147" i="65"/>
  <c r="N147" i="65"/>
  <c r="AI147" i="65"/>
  <c r="AH147" i="65"/>
  <c r="N151" i="65"/>
  <c r="AI151" i="65"/>
  <c r="AK151" i="65"/>
  <c r="AL151" i="65"/>
  <c r="AJ151" i="65"/>
  <c r="N155" i="65"/>
  <c r="N163" i="65"/>
  <c r="N167" i="65"/>
  <c r="AJ171" i="65"/>
  <c r="N171" i="65"/>
  <c r="AL171" i="65"/>
  <c r="AH171" i="65"/>
  <c r="AK171" i="65"/>
  <c r="AI171" i="65"/>
  <c r="AI179" i="65"/>
  <c r="AJ179" i="65"/>
  <c r="N179" i="65"/>
  <c r="AK179" i="65"/>
  <c r="AH179" i="65"/>
  <c r="AL179" i="65"/>
  <c r="N183" i="65"/>
  <c r="AK183" i="65"/>
  <c r="AH183" i="65"/>
  <c r="AL183" i="65"/>
  <c r="AI183" i="65"/>
  <c r="AJ183" i="65"/>
  <c r="AK187" i="65"/>
  <c r="AL187" i="65"/>
  <c r="AI187" i="65"/>
  <c r="N187" i="65"/>
  <c r="AH187" i="65"/>
  <c r="AJ187" i="65"/>
  <c r="AK203" i="65"/>
  <c r="AJ203" i="65"/>
  <c r="AI203" i="65"/>
  <c r="AH203" i="65"/>
  <c r="AL203" i="65"/>
  <c r="N203" i="65"/>
  <c r="N211" i="65"/>
  <c r="N219" i="65"/>
  <c r="AK227" i="65"/>
  <c r="AL227" i="65"/>
  <c r="N227" i="65"/>
  <c r="N231" i="65"/>
  <c r="N235" i="65"/>
  <c r="N239" i="65"/>
  <c r="N243" i="65"/>
  <c r="N247" i="65"/>
  <c r="AL247" i="65"/>
  <c r="N251" i="65"/>
  <c r="N255" i="65"/>
  <c r="N259" i="65"/>
  <c r="N263" i="65"/>
  <c r="AI263" i="65"/>
  <c r="AL263" i="65"/>
  <c r="AK263" i="65"/>
  <c r="AJ263" i="65"/>
  <c r="AH263" i="65"/>
  <c r="N267" i="65"/>
  <c r="N220" i="65"/>
  <c r="N240" i="65"/>
  <c r="N264" i="65"/>
  <c r="AK264" i="65"/>
  <c r="AI264" i="65"/>
  <c r="AJ264" i="65"/>
  <c r="AL264" i="65"/>
  <c r="AH264" i="65"/>
  <c r="N161" i="65"/>
  <c r="AI173" i="65"/>
  <c r="AK173" i="65"/>
  <c r="AL173" i="65"/>
  <c r="AJ173" i="65"/>
  <c r="N173" i="65"/>
  <c r="AH173" i="65"/>
  <c r="N193" i="65"/>
  <c r="N213" i="65"/>
  <c r="N229" i="65"/>
  <c r="N249" i="65"/>
  <c r="N146" i="65"/>
  <c r="AL146" i="65"/>
  <c r="AK146" i="65"/>
  <c r="AI146" i="65"/>
  <c r="AJ146" i="65"/>
  <c r="AH146" i="65"/>
  <c r="N162" i="65"/>
  <c r="N166" i="65"/>
  <c r="AJ174" i="65"/>
  <c r="AH174" i="65"/>
  <c r="AL174" i="65"/>
  <c r="AI174" i="65"/>
  <c r="N174" i="65"/>
  <c r="AK174" i="65"/>
  <c r="N182" i="65"/>
  <c r="AI182" i="65"/>
  <c r="AJ182" i="65"/>
  <c r="AL182" i="65"/>
  <c r="AH182" i="65"/>
  <c r="AK182" i="65"/>
  <c r="N194" i="65"/>
  <c r="AH202" i="65"/>
  <c r="AI202" i="65"/>
  <c r="N202" i="65"/>
  <c r="AL202" i="65"/>
  <c r="AJ202" i="65"/>
  <c r="AK202" i="65"/>
  <c r="N230" i="65"/>
  <c r="N238" i="65"/>
  <c r="N246" i="65"/>
  <c r="AL246" i="65"/>
  <c r="AK246" i="65"/>
  <c r="N159" i="65"/>
  <c r="AJ175" i="65"/>
  <c r="AH175" i="65"/>
  <c r="AL175" i="65"/>
  <c r="N175" i="65"/>
  <c r="AK175" i="65"/>
  <c r="AI175" i="65"/>
  <c r="N191" i="65"/>
  <c r="N195" i="65"/>
  <c r="AI199" i="65"/>
  <c r="N199" i="65"/>
  <c r="AL199" i="65"/>
  <c r="AJ199" i="65"/>
  <c r="AK199" i="65"/>
  <c r="AH199" i="65"/>
  <c r="AJ207" i="65"/>
  <c r="AK207" i="65"/>
  <c r="AI207" i="65"/>
  <c r="N207" i="65"/>
  <c r="AH207" i="65"/>
  <c r="AL207" i="65"/>
  <c r="N215" i="65"/>
  <c r="AK223" i="65"/>
  <c r="AJ223" i="65"/>
  <c r="AH223" i="65"/>
  <c r="AI223" i="65"/>
  <c r="AL223" i="65"/>
  <c r="N223" i="65"/>
  <c r="BE68" i="42"/>
  <c r="BD74" i="42"/>
  <c r="AJ66" i="42"/>
  <c r="BE75" i="42"/>
  <c r="BD75" i="42"/>
  <c r="BE69" i="42"/>
  <c r="BD69" i="42"/>
  <c r="BE70" i="42"/>
  <c r="BD70" i="42"/>
  <c r="BD73" i="42"/>
  <c r="BE74" i="42"/>
  <c r="AL66" i="42"/>
  <c r="BD68" i="42"/>
  <c r="BE67" i="42"/>
  <c r="BD67" i="42"/>
  <c r="BE71" i="42"/>
  <c r="BD71" i="42"/>
  <c r="BE76" i="42"/>
  <c r="BE72" i="42"/>
  <c r="BD72" i="42"/>
  <c r="BE78" i="42"/>
  <c r="AK66" i="42"/>
  <c r="AN66" i="42"/>
  <c r="BE66" i="42"/>
  <c r="BD66" i="42"/>
  <c r="BE79" i="42"/>
  <c r="BD79" i="42"/>
  <c r="F80" i="36"/>
  <c r="F81" i="36" s="1"/>
  <c r="AS66" i="42" l="1"/>
  <c r="B428" i="40"/>
  <c r="B147" i="65"/>
  <c r="F82" i="36"/>
  <c r="BJ66" i="42"/>
  <c r="BG66" i="42"/>
  <c r="BH66" i="42"/>
  <c r="BF66" i="42"/>
  <c r="H74" i="66"/>
  <c r="H52" i="65"/>
  <c r="H53" i="65"/>
  <c r="H54" i="65"/>
  <c r="H55" i="65"/>
  <c r="H56" i="65"/>
  <c r="H57" i="65"/>
  <c r="H58" i="65"/>
  <c r="H59" i="65"/>
  <c r="H60" i="65"/>
  <c r="H61" i="65"/>
  <c r="H62" i="65"/>
  <c r="H63" i="65"/>
  <c r="H64" i="65"/>
  <c r="H65" i="65"/>
  <c r="H66" i="65"/>
  <c r="H67" i="65"/>
  <c r="H68" i="65"/>
  <c r="H69" i="65"/>
  <c r="H70" i="65"/>
  <c r="H71" i="65"/>
  <c r="H72" i="65"/>
  <c r="H73" i="65"/>
  <c r="H74" i="65"/>
  <c r="H75" i="65"/>
  <c r="H76" i="65"/>
  <c r="H77" i="65"/>
  <c r="H78" i="65"/>
  <c r="H79" i="65"/>
  <c r="H80" i="65"/>
  <c r="H81" i="65"/>
  <c r="H82" i="65"/>
  <c r="H83" i="65"/>
  <c r="H84" i="65"/>
  <c r="H85" i="65"/>
  <c r="H86" i="65"/>
  <c r="H87" i="65"/>
  <c r="H88" i="65"/>
  <c r="H89" i="65"/>
  <c r="H90" i="65"/>
  <c r="H91" i="65"/>
  <c r="H92" i="65"/>
  <c r="H93" i="65"/>
  <c r="H94" i="65"/>
  <c r="H95" i="65"/>
  <c r="H96" i="65"/>
  <c r="H97" i="65"/>
  <c r="H98" i="65"/>
  <c r="H99" i="65"/>
  <c r="H100" i="65"/>
  <c r="H101" i="65"/>
  <c r="H102" i="65"/>
  <c r="H103" i="65"/>
  <c r="H104" i="65"/>
  <c r="H105" i="65"/>
  <c r="H106" i="65"/>
  <c r="H107" i="65"/>
  <c r="H108" i="65"/>
  <c r="H109" i="65"/>
  <c r="H110" i="65"/>
  <c r="H111" i="65"/>
  <c r="H112" i="65"/>
  <c r="H113" i="65"/>
  <c r="H114" i="65"/>
  <c r="H115" i="65"/>
  <c r="H116" i="65"/>
  <c r="H117" i="65"/>
  <c r="H118" i="65"/>
  <c r="H119" i="65"/>
  <c r="H120" i="65"/>
  <c r="H121" i="65"/>
  <c r="H122" i="65"/>
  <c r="H123" i="65"/>
  <c r="H124" i="65"/>
  <c r="H125" i="65"/>
  <c r="H126" i="65"/>
  <c r="H127" i="65"/>
  <c r="H128" i="65"/>
  <c r="H129" i="65"/>
  <c r="H130" i="65"/>
  <c r="H131" i="65"/>
  <c r="H132" i="65"/>
  <c r="H133" i="65"/>
  <c r="H134" i="65"/>
  <c r="H135" i="65"/>
  <c r="H136" i="65"/>
  <c r="H137" i="65"/>
  <c r="H138" i="65"/>
  <c r="H139" i="65"/>
  <c r="H140" i="65"/>
  <c r="H141" i="65"/>
  <c r="H142" i="65"/>
  <c r="H143" i="65"/>
  <c r="O72" i="24"/>
  <c r="N71" i="24"/>
  <c r="O71" i="24" s="1"/>
  <c r="M70" i="24"/>
  <c r="N70" i="24" s="1"/>
  <c r="O70" i="24" s="1"/>
  <c r="L69" i="24"/>
  <c r="M69" i="24" s="1"/>
  <c r="N69" i="24" s="1"/>
  <c r="O69" i="24" s="1"/>
  <c r="P73" i="24"/>
  <c r="Q73" i="24" s="1"/>
  <c r="R73" i="24" s="1"/>
  <c r="AT66" i="42" l="1"/>
  <c r="R32" i="66"/>
  <c r="M20" i="68"/>
  <c r="N35" i="37"/>
  <c r="R43" i="25"/>
  <c r="M37" i="65"/>
  <c r="O33" i="42"/>
  <c r="O35" i="50"/>
  <c r="B429" i="40"/>
  <c r="B148" i="65"/>
  <c r="P69" i="24"/>
  <c r="Q69" i="24" s="1"/>
  <c r="R69" i="24" s="1"/>
  <c r="P70" i="24"/>
  <c r="Q70" i="24" s="1"/>
  <c r="R70" i="24" s="1"/>
  <c r="P72" i="24"/>
  <c r="Q72" i="24" s="1"/>
  <c r="R72" i="24" s="1"/>
  <c r="P71" i="24"/>
  <c r="Q71" i="24" s="1"/>
  <c r="R71" i="24" s="1"/>
  <c r="L17" i="65"/>
  <c r="K17" i="65"/>
  <c r="J17" i="65"/>
  <c r="I17" i="65"/>
  <c r="H17" i="65"/>
  <c r="N55" i="25"/>
  <c r="AQ458" i="65" l="1"/>
  <c r="R29" i="66"/>
  <c r="N32" i="37"/>
  <c r="R40" i="25"/>
  <c r="O32" i="50"/>
  <c r="O30" i="42"/>
  <c r="AN458" i="65"/>
  <c r="AR458" i="65"/>
  <c r="R28" i="66"/>
  <c r="N31" i="37"/>
  <c r="R39" i="25"/>
  <c r="O29" i="42"/>
  <c r="O31" i="50"/>
  <c r="AO458" i="65"/>
  <c r="R41" i="25"/>
  <c r="R30" i="66"/>
  <c r="M18" i="68"/>
  <c r="N33" i="37"/>
  <c r="O33" i="50"/>
  <c r="M35" i="65"/>
  <c r="O31" i="42"/>
  <c r="AP458" i="65"/>
  <c r="R42" i="25"/>
  <c r="N34" i="37"/>
  <c r="M19" i="68"/>
  <c r="R31" i="66"/>
  <c r="M36" i="65"/>
  <c r="O32" i="42"/>
  <c r="O34" i="50"/>
  <c r="B430" i="40"/>
  <c r="B149" i="65"/>
  <c r="AT291" i="50"/>
  <c r="B431" i="40" l="1"/>
  <c r="B150" i="65"/>
  <c r="B432" i="40" l="1"/>
  <c r="B151" i="65"/>
  <c r="H50" i="37"/>
  <c r="I51" i="37"/>
  <c r="J52" i="37"/>
  <c r="K53" i="37"/>
  <c r="L54" i="37"/>
  <c r="M55" i="37"/>
  <c r="G49" i="37"/>
  <c r="H41" i="37"/>
  <c r="I42" i="37"/>
  <c r="J43" i="37"/>
  <c r="K44" i="37"/>
  <c r="L45" i="37"/>
  <c r="M46" i="37"/>
  <c r="G40" i="37"/>
  <c r="I803" i="37"/>
  <c r="H803" i="37"/>
  <c r="G803" i="37"/>
  <c r="F803" i="37"/>
  <c r="B803" i="37"/>
  <c r="B433" i="40" l="1"/>
  <c r="B152" i="65"/>
  <c r="K803" i="37"/>
  <c r="L803" i="37"/>
  <c r="M803" i="37"/>
  <c r="N803" i="37"/>
  <c r="O803" i="37"/>
  <c r="B434" i="40" l="1"/>
  <c r="B153" i="65"/>
  <c r="Q803" i="37"/>
  <c r="B435" i="40" l="1"/>
  <c r="B154" i="65"/>
  <c r="R803" i="37"/>
  <c r="B436" i="40" l="1"/>
  <c r="B155" i="65"/>
  <c r="S803" i="37"/>
  <c r="B437" i="40" l="1"/>
  <c r="B156" i="65"/>
  <c r="T803" i="37"/>
  <c r="B438" i="40" l="1"/>
  <c r="B157" i="65"/>
  <c r="U803" i="37"/>
  <c r="B439" i="40" l="1"/>
  <c r="B158" i="65"/>
  <c r="N15" i="66"/>
  <c r="F63" i="66"/>
  <c r="B440" i="40" l="1"/>
  <c r="B159" i="65"/>
  <c r="B441" i="40" l="1"/>
  <c r="B160" i="65"/>
  <c r="B442" i="40" l="1"/>
  <c r="B161" i="65"/>
  <c r="J29" i="25"/>
  <c r="I28" i="25"/>
  <c r="H27" i="25"/>
  <c r="J17" i="25"/>
  <c r="I16" i="25"/>
  <c r="H15" i="25"/>
  <c r="F67" i="25"/>
  <c r="N59" i="25"/>
  <c r="N58" i="25"/>
  <c r="M59" i="25"/>
  <c r="I60" i="25"/>
  <c r="J60" i="25"/>
  <c r="H60" i="25"/>
  <c r="H59" i="25"/>
  <c r="I59" i="25"/>
  <c r="J59" i="25"/>
  <c r="I58" i="25"/>
  <c r="J58" i="25"/>
  <c r="H58" i="25"/>
  <c r="B443" i="40" l="1"/>
  <c r="B162" i="65"/>
  <c r="F159" i="50"/>
  <c r="H159" i="50"/>
  <c r="I159" i="50"/>
  <c r="J159" i="50"/>
  <c r="K159" i="50"/>
  <c r="F160" i="50"/>
  <c r="H160" i="50"/>
  <c r="I160" i="50"/>
  <c r="J160" i="50"/>
  <c r="K160" i="50"/>
  <c r="F161" i="50"/>
  <c r="H161" i="50"/>
  <c r="I161" i="50"/>
  <c r="J161" i="50"/>
  <c r="K161" i="50"/>
  <c r="F162" i="50"/>
  <c r="H162" i="50"/>
  <c r="I162" i="50"/>
  <c r="J162" i="50"/>
  <c r="K162" i="50"/>
  <c r="F163" i="50"/>
  <c r="H163" i="50"/>
  <c r="I163" i="50"/>
  <c r="J163" i="50"/>
  <c r="K163" i="50"/>
  <c r="F164" i="50"/>
  <c r="H164" i="50"/>
  <c r="I164" i="50"/>
  <c r="J164" i="50"/>
  <c r="K164" i="50"/>
  <c r="F165" i="50"/>
  <c r="H165" i="50"/>
  <c r="I165" i="50"/>
  <c r="J165" i="50"/>
  <c r="K165" i="50"/>
  <c r="F166" i="50"/>
  <c r="H166" i="50"/>
  <c r="I166" i="50"/>
  <c r="J166" i="50"/>
  <c r="K166" i="50"/>
  <c r="F167" i="50"/>
  <c r="H167" i="50"/>
  <c r="I167" i="50"/>
  <c r="J167" i="50"/>
  <c r="K167" i="50"/>
  <c r="F168" i="50"/>
  <c r="H168" i="50"/>
  <c r="I168" i="50"/>
  <c r="J168" i="50"/>
  <c r="K168" i="50"/>
  <c r="F169" i="50"/>
  <c r="H169" i="50"/>
  <c r="I169" i="50"/>
  <c r="J169" i="50"/>
  <c r="K169" i="50"/>
  <c r="F170" i="50"/>
  <c r="H170" i="50"/>
  <c r="I170" i="50"/>
  <c r="J170" i="50"/>
  <c r="K170" i="50"/>
  <c r="F171" i="50"/>
  <c r="H171" i="50"/>
  <c r="I171" i="50"/>
  <c r="J171" i="50"/>
  <c r="K171" i="50"/>
  <c r="F172" i="50"/>
  <c r="H172" i="50"/>
  <c r="I172" i="50"/>
  <c r="J172" i="50"/>
  <c r="K172" i="50"/>
  <c r="F173" i="50"/>
  <c r="H173" i="50"/>
  <c r="I173" i="50"/>
  <c r="J173" i="50"/>
  <c r="K173" i="50"/>
  <c r="F174" i="50"/>
  <c r="H174" i="50"/>
  <c r="I174" i="50"/>
  <c r="J174" i="50"/>
  <c r="K174" i="50"/>
  <c r="F175" i="50"/>
  <c r="H175" i="50"/>
  <c r="I175" i="50"/>
  <c r="J175" i="50"/>
  <c r="K175" i="50"/>
  <c r="F176" i="50"/>
  <c r="H176" i="50"/>
  <c r="I176" i="50"/>
  <c r="J176" i="50"/>
  <c r="K176" i="50"/>
  <c r="F177" i="50"/>
  <c r="H177" i="50"/>
  <c r="I177" i="50"/>
  <c r="J177" i="50"/>
  <c r="K177" i="50"/>
  <c r="F178" i="50"/>
  <c r="H178" i="50"/>
  <c r="I178" i="50"/>
  <c r="J178" i="50"/>
  <c r="K178" i="50"/>
  <c r="F179" i="50"/>
  <c r="H179" i="50"/>
  <c r="I179" i="50"/>
  <c r="J179" i="50"/>
  <c r="K179" i="50"/>
  <c r="F180" i="50"/>
  <c r="H180" i="50"/>
  <c r="I180" i="50"/>
  <c r="J180" i="50"/>
  <c r="K180" i="50"/>
  <c r="F181" i="50"/>
  <c r="H181" i="50"/>
  <c r="I181" i="50"/>
  <c r="J181" i="50"/>
  <c r="M181" i="50" s="1"/>
  <c r="K181" i="50"/>
  <c r="F182" i="50"/>
  <c r="H182" i="50"/>
  <c r="I182" i="50"/>
  <c r="J182" i="50"/>
  <c r="K182" i="50"/>
  <c r="F183" i="50"/>
  <c r="H183" i="50"/>
  <c r="I183" i="50"/>
  <c r="J183" i="50"/>
  <c r="K183" i="50"/>
  <c r="F184" i="50"/>
  <c r="H184" i="50"/>
  <c r="I184" i="50"/>
  <c r="J184" i="50"/>
  <c r="K184" i="50"/>
  <c r="F185" i="50"/>
  <c r="H185" i="50"/>
  <c r="I185" i="50"/>
  <c r="J185" i="50"/>
  <c r="K185" i="50"/>
  <c r="F186" i="50"/>
  <c r="H186" i="50"/>
  <c r="I186" i="50"/>
  <c r="J186" i="50"/>
  <c r="K186" i="50"/>
  <c r="F187" i="50"/>
  <c r="H187" i="50"/>
  <c r="I187" i="50"/>
  <c r="J187" i="50"/>
  <c r="K187" i="50"/>
  <c r="F188" i="50"/>
  <c r="H188" i="50"/>
  <c r="I188" i="50"/>
  <c r="J188" i="50"/>
  <c r="K188" i="50"/>
  <c r="F189" i="50"/>
  <c r="H189" i="50"/>
  <c r="I189" i="50"/>
  <c r="J189" i="50"/>
  <c r="K189" i="50"/>
  <c r="F190" i="50"/>
  <c r="H190" i="50"/>
  <c r="AT190" i="50" s="1"/>
  <c r="I190" i="50"/>
  <c r="J190" i="50"/>
  <c r="K190" i="50"/>
  <c r="F191" i="50"/>
  <c r="H191" i="50"/>
  <c r="I191" i="50"/>
  <c r="J191" i="50"/>
  <c r="K191" i="50"/>
  <c r="F192" i="50"/>
  <c r="H192" i="50"/>
  <c r="I192" i="50"/>
  <c r="J192" i="50"/>
  <c r="K192" i="50"/>
  <c r="F193" i="50"/>
  <c r="H193" i="50"/>
  <c r="I193" i="50"/>
  <c r="J193" i="50"/>
  <c r="K193" i="50"/>
  <c r="F194" i="50"/>
  <c r="H194" i="50"/>
  <c r="I194" i="50"/>
  <c r="J194" i="50"/>
  <c r="K194" i="50"/>
  <c r="F195" i="50"/>
  <c r="H195" i="50"/>
  <c r="I195" i="50"/>
  <c r="J195" i="50"/>
  <c r="K195" i="50"/>
  <c r="F196" i="50"/>
  <c r="H196" i="50"/>
  <c r="I196" i="50"/>
  <c r="J196" i="50"/>
  <c r="K196" i="50"/>
  <c r="F197" i="50"/>
  <c r="H197" i="50"/>
  <c r="AT197" i="50" s="1"/>
  <c r="I197" i="50"/>
  <c r="J197" i="50"/>
  <c r="K197" i="50"/>
  <c r="F198" i="50"/>
  <c r="H198" i="50"/>
  <c r="I198" i="50"/>
  <c r="J198" i="50"/>
  <c r="K198" i="50"/>
  <c r="F199" i="50"/>
  <c r="H199" i="50"/>
  <c r="I199" i="50"/>
  <c r="J199" i="50"/>
  <c r="K199" i="50"/>
  <c r="F200" i="50"/>
  <c r="H200" i="50"/>
  <c r="I200" i="50"/>
  <c r="J200" i="50"/>
  <c r="K200" i="50"/>
  <c r="B200" i="50"/>
  <c r="B196" i="50"/>
  <c r="B197" i="50"/>
  <c r="B198" i="50"/>
  <c r="B199" i="50"/>
  <c r="B195" i="50"/>
  <c r="B192" i="50"/>
  <c r="B193" i="50"/>
  <c r="B194" i="50"/>
  <c r="B188" i="50"/>
  <c r="B189" i="50"/>
  <c r="B190" i="50"/>
  <c r="B191" i="50"/>
  <c r="B187" i="50"/>
  <c r="B180" i="50"/>
  <c r="B181" i="50"/>
  <c r="B182" i="50"/>
  <c r="B183" i="50"/>
  <c r="B184" i="50"/>
  <c r="B185" i="50"/>
  <c r="B186" i="50"/>
  <c r="B159" i="50"/>
  <c r="B160" i="50"/>
  <c r="B161" i="50"/>
  <c r="B162" i="50"/>
  <c r="B163" i="50"/>
  <c r="B164" i="50"/>
  <c r="B165" i="50"/>
  <c r="B166" i="50"/>
  <c r="B167" i="50"/>
  <c r="B168" i="50"/>
  <c r="B169" i="50"/>
  <c r="B170" i="50"/>
  <c r="B171" i="50"/>
  <c r="B172" i="50"/>
  <c r="B173" i="50"/>
  <c r="B174" i="50"/>
  <c r="B175" i="50"/>
  <c r="B176" i="50"/>
  <c r="B177" i="50"/>
  <c r="B178" i="50"/>
  <c r="B179" i="50"/>
  <c r="F64" i="25"/>
  <c r="F63" i="25"/>
  <c r="M60" i="25"/>
  <c r="M58" i="25"/>
  <c r="AE178" i="50" l="1"/>
  <c r="Q174" i="50"/>
  <c r="M164" i="50"/>
  <c r="T160" i="50"/>
  <c r="V193" i="50"/>
  <c r="Q185" i="50"/>
  <c r="P173" i="50"/>
  <c r="S173" i="50" s="1"/>
  <c r="W171" i="50"/>
  <c r="M165" i="50"/>
  <c r="AN190" i="50"/>
  <c r="M199" i="50"/>
  <c r="M191" i="50"/>
  <c r="AB182" i="50"/>
  <c r="M180" i="50"/>
  <c r="P162" i="50"/>
  <c r="S162" i="50" s="1"/>
  <c r="AD173" i="50"/>
  <c r="W173" i="50"/>
  <c r="Q162" i="50"/>
  <c r="X160" i="50"/>
  <c r="V173" i="50"/>
  <c r="N196" i="50"/>
  <c r="M171" i="50"/>
  <c r="P167" i="50"/>
  <c r="S167" i="50" s="1"/>
  <c r="AC181" i="50"/>
  <c r="T170" i="50"/>
  <c r="P197" i="50"/>
  <c r="S197" i="50" s="1"/>
  <c r="T194" i="50"/>
  <c r="AE193" i="50"/>
  <c r="T180" i="50"/>
  <c r="AD167" i="50"/>
  <c r="AC172" i="50"/>
  <c r="M196" i="50"/>
  <c r="W181" i="50"/>
  <c r="P178" i="50"/>
  <c r="S178" i="50" s="1"/>
  <c r="B444" i="40"/>
  <c r="B163" i="65"/>
  <c r="AO200" i="50"/>
  <c r="AP200" i="50"/>
  <c r="AQ200" i="50"/>
  <c r="AN200" i="50"/>
  <c r="X199" i="50"/>
  <c r="AT199" i="50"/>
  <c r="AV199" i="50"/>
  <c r="AU199" i="50"/>
  <c r="AN198" i="50"/>
  <c r="AO198" i="50"/>
  <c r="AT186" i="50"/>
  <c r="AU186" i="50"/>
  <c r="AW186" i="50"/>
  <c r="AV186" i="50"/>
  <c r="AT170" i="50"/>
  <c r="AU170" i="50"/>
  <c r="AW170" i="50"/>
  <c r="AV170" i="50"/>
  <c r="M168" i="50"/>
  <c r="AN168" i="50"/>
  <c r="AO168" i="50"/>
  <c r="AP168" i="50"/>
  <c r="M161" i="50"/>
  <c r="AO161" i="50"/>
  <c r="AP161" i="50"/>
  <c r="AN161" i="50"/>
  <c r="AN159" i="50"/>
  <c r="AO159" i="50"/>
  <c r="AP159" i="50"/>
  <c r="AB200" i="50"/>
  <c r="AV193" i="50"/>
  <c r="AW193" i="50"/>
  <c r="AT193" i="50"/>
  <c r="AU193" i="50"/>
  <c r="AP192" i="50"/>
  <c r="AN192" i="50"/>
  <c r="AO192" i="50"/>
  <c r="AT191" i="50"/>
  <c r="AU191" i="50"/>
  <c r="AO185" i="50"/>
  <c r="AP185" i="50"/>
  <c r="AQ185" i="50"/>
  <c r="AN185" i="50"/>
  <c r="AT183" i="50"/>
  <c r="AU183" i="50"/>
  <c r="AW183" i="50"/>
  <c r="AV183" i="50"/>
  <c r="AB181" i="50"/>
  <c r="V181" i="50"/>
  <c r="AT180" i="50"/>
  <c r="AU180" i="50"/>
  <c r="AV180" i="50"/>
  <c r="AW180" i="50"/>
  <c r="Q178" i="50"/>
  <c r="AP177" i="50"/>
  <c r="AQ177" i="50"/>
  <c r="AN177" i="50"/>
  <c r="AO177" i="50"/>
  <c r="AQ173" i="50"/>
  <c r="AN173" i="50"/>
  <c r="AO173" i="50"/>
  <c r="AP173" i="50"/>
  <c r="AT171" i="50"/>
  <c r="AU171" i="50"/>
  <c r="AW171" i="50"/>
  <c r="AV171" i="50"/>
  <c r="AT169" i="50"/>
  <c r="AU169" i="50"/>
  <c r="AW169" i="50"/>
  <c r="AV169" i="50"/>
  <c r="AV167" i="50"/>
  <c r="AU167" i="50"/>
  <c r="AT167" i="50"/>
  <c r="AO166" i="50"/>
  <c r="AP166" i="50"/>
  <c r="AN166" i="50"/>
  <c r="AT165" i="50"/>
  <c r="AU165" i="50"/>
  <c r="AV165" i="50"/>
  <c r="AV163" i="50"/>
  <c r="AU163" i="50"/>
  <c r="AT163" i="50"/>
  <c r="V162" i="50"/>
  <c r="AU162" i="50"/>
  <c r="AV162" i="50"/>
  <c r="AT162" i="50"/>
  <c r="AT160" i="50"/>
  <c r="AV160" i="50"/>
  <c r="AU160" i="50"/>
  <c r="AP179" i="50"/>
  <c r="AQ179" i="50"/>
  <c r="AN179" i="50"/>
  <c r="AO179" i="50"/>
  <c r="AQ175" i="50"/>
  <c r="AN175" i="50"/>
  <c r="AR175" i="50"/>
  <c r="AO175" i="50"/>
  <c r="AP175" i="50"/>
  <c r="AT174" i="50"/>
  <c r="AU174" i="50"/>
  <c r="AV174" i="50"/>
  <c r="AW174" i="50"/>
  <c r="P172" i="50"/>
  <c r="S172" i="50" s="1"/>
  <c r="AQ172" i="50"/>
  <c r="AN172" i="50"/>
  <c r="AO172" i="50"/>
  <c r="AP172" i="50"/>
  <c r="X200" i="50"/>
  <c r="AT200" i="50"/>
  <c r="AU200" i="50"/>
  <c r="AV200" i="50"/>
  <c r="AW200" i="50"/>
  <c r="P198" i="50"/>
  <c r="S198" i="50" s="1"/>
  <c r="AN197" i="50"/>
  <c r="M195" i="50"/>
  <c r="M184" i="50"/>
  <c r="AO184" i="50"/>
  <c r="AP184" i="50"/>
  <c r="AQ184" i="50"/>
  <c r="AN184" i="50"/>
  <c r="AO182" i="50"/>
  <c r="AP182" i="50"/>
  <c r="AQ182" i="50"/>
  <c r="AN182" i="50"/>
  <c r="AF181" i="50"/>
  <c r="Z181" i="50"/>
  <c r="AT181" i="50"/>
  <c r="AU181" i="50"/>
  <c r="AW181" i="50"/>
  <c r="AV181" i="50"/>
  <c r="AT179" i="50"/>
  <c r="AU179" i="50"/>
  <c r="AW179" i="50"/>
  <c r="AV179" i="50"/>
  <c r="AT178" i="50"/>
  <c r="AU178" i="50"/>
  <c r="AW178" i="50"/>
  <c r="AV178" i="50"/>
  <c r="AP176" i="50"/>
  <c r="AQ176" i="50"/>
  <c r="AN176" i="50"/>
  <c r="AO176" i="50"/>
  <c r="AD175" i="50"/>
  <c r="AT175" i="50"/>
  <c r="AU175" i="50"/>
  <c r="AW175" i="50"/>
  <c r="AV175" i="50"/>
  <c r="AQ174" i="50"/>
  <c r="AN174" i="50"/>
  <c r="AO174" i="50"/>
  <c r="AP174" i="50"/>
  <c r="M172" i="50"/>
  <c r="AB172" i="50"/>
  <c r="AT172" i="50"/>
  <c r="AU172" i="50"/>
  <c r="AV172" i="50"/>
  <c r="AW172" i="50"/>
  <c r="AQ170" i="50"/>
  <c r="AN170" i="50"/>
  <c r="AO170" i="50"/>
  <c r="AP170" i="50"/>
  <c r="AT168" i="50"/>
  <c r="AU168" i="50"/>
  <c r="AV168" i="50"/>
  <c r="AN164" i="50"/>
  <c r="AO164" i="50"/>
  <c r="AP164" i="50"/>
  <c r="AT161" i="50"/>
  <c r="AU161" i="50"/>
  <c r="AV161" i="50"/>
  <c r="AV159" i="50"/>
  <c r="AT159" i="50"/>
  <c r="AU159" i="50"/>
  <c r="AB186" i="50"/>
  <c r="AT184" i="50"/>
  <c r="AU184" i="50"/>
  <c r="AW184" i="50"/>
  <c r="AV184" i="50"/>
  <c r="AT182" i="50"/>
  <c r="AU182" i="50"/>
  <c r="AW182" i="50"/>
  <c r="AV182" i="50"/>
  <c r="N181" i="50"/>
  <c r="AP181" i="50"/>
  <c r="AQ181" i="50"/>
  <c r="AN181" i="50"/>
  <c r="AR181" i="50"/>
  <c r="AO181" i="50"/>
  <c r="AP178" i="50"/>
  <c r="AQ178" i="50"/>
  <c r="AN178" i="50"/>
  <c r="AO178" i="50"/>
  <c r="AT176" i="50"/>
  <c r="AU176" i="50"/>
  <c r="AV176" i="50"/>
  <c r="AW176" i="50"/>
  <c r="AT164" i="50"/>
  <c r="AU164" i="50"/>
  <c r="AV164" i="50"/>
  <c r="M200" i="50"/>
  <c r="N199" i="50"/>
  <c r="AN199" i="50"/>
  <c r="AO199" i="50"/>
  <c r="AP199" i="50"/>
  <c r="AU198" i="50"/>
  <c r="AT198" i="50"/>
  <c r="AE186" i="50"/>
  <c r="AO186" i="50"/>
  <c r="AP186" i="50"/>
  <c r="AQ186" i="50"/>
  <c r="AN186" i="50"/>
  <c r="T196" i="50"/>
  <c r="AQ193" i="50"/>
  <c r="AN193" i="50"/>
  <c r="AO193" i="50"/>
  <c r="AP193" i="50"/>
  <c r="Q192" i="50"/>
  <c r="AU192" i="50"/>
  <c r="AV192" i="50"/>
  <c r="AT192" i="50"/>
  <c r="AN191" i="50"/>
  <c r="AO191" i="50"/>
  <c r="T190" i="50"/>
  <c r="M188" i="50"/>
  <c r="M185" i="50"/>
  <c r="AT185" i="50"/>
  <c r="AU185" i="50"/>
  <c r="AW185" i="50"/>
  <c r="AV185" i="50"/>
  <c r="AO183" i="50"/>
  <c r="AP183" i="50"/>
  <c r="AQ183" i="50"/>
  <c r="AN183" i="50"/>
  <c r="AE182" i="50"/>
  <c r="AE181" i="50"/>
  <c r="X181" i="50"/>
  <c r="AP180" i="50"/>
  <c r="AQ180" i="50"/>
  <c r="AN180" i="50"/>
  <c r="AO180" i="50"/>
  <c r="AT177" i="50"/>
  <c r="AU177" i="50"/>
  <c r="AW177" i="50"/>
  <c r="AV177" i="50"/>
  <c r="AC173" i="50"/>
  <c r="AI173" i="50" s="1"/>
  <c r="N173" i="50"/>
  <c r="AT173" i="50"/>
  <c r="AU173" i="50"/>
  <c r="AW173" i="50"/>
  <c r="AV173" i="50"/>
  <c r="AQ171" i="50"/>
  <c r="AN171" i="50"/>
  <c r="AO171" i="50"/>
  <c r="AP171" i="50"/>
  <c r="V170" i="50"/>
  <c r="AN169" i="50"/>
  <c r="AR169" i="50"/>
  <c r="AO169" i="50"/>
  <c r="AP169" i="50"/>
  <c r="AQ169" i="50"/>
  <c r="AP167" i="50"/>
  <c r="AN167" i="50"/>
  <c r="AO167" i="50"/>
  <c r="P166" i="50"/>
  <c r="S166" i="50" s="1"/>
  <c r="AU166" i="50"/>
  <c r="AV166" i="50"/>
  <c r="AT166" i="50"/>
  <c r="W165" i="50"/>
  <c r="AN165" i="50"/>
  <c r="AO165" i="50"/>
  <c r="AP165" i="50"/>
  <c r="AC164" i="50"/>
  <c r="AQ163" i="50"/>
  <c r="AR163" i="50" s="1"/>
  <c r="AN163" i="50"/>
  <c r="AO163" i="50"/>
  <c r="AP163" i="50"/>
  <c r="AB162" i="50"/>
  <c r="AP162" i="50"/>
  <c r="AN162" i="50"/>
  <c r="AO162" i="50"/>
  <c r="M160" i="50"/>
  <c r="AN160" i="50"/>
  <c r="AO160" i="50"/>
  <c r="AP160" i="50"/>
  <c r="V197" i="50"/>
  <c r="AB197" i="50"/>
  <c r="AE183" i="50"/>
  <c r="T183" i="50"/>
  <c r="M177" i="50"/>
  <c r="W177" i="50"/>
  <c r="M176" i="50"/>
  <c r="AD176" i="50"/>
  <c r="T176" i="50"/>
  <c r="P169" i="50"/>
  <c r="AE169" i="50"/>
  <c r="V169" i="50"/>
  <c r="AF169" i="50"/>
  <c r="V166" i="50"/>
  <c r="W166" i="50"/>
  <c r="X185" i="50"/>
  <c r="AD183" i="50"/>
  <c r="N180" i="50"/>
  <c r="X180" i="50"/>
  <c r="AC180" i="50"/>
  <c r="AC176" i="50"/>
  <c r="Z169" i="50"/>
  <c r="T164" i="50"/>
  <c r="X164" i="50"/>
  <c r="AB192" i="50"/>
  <c r="M192" i="50"/>
  <c r="V190" i="50"/>
  <c r="V183" i="50"/>
  <c r="X177" i="50"/>
  <c r="X176" i="50"/>
  <c r="P175" i="50"/>
  <c r="Z175" i="50"/>
  <c r="W174" i="50"/>
  <c r="AB174" i="50"/>
  <c r="P174" i="50"/>
  <c r="S174" i="50" s="1"/>
  <c r="AE174" i="50"/>
  <c r="AB171" i="50"/>
  <c r="W169" i="50"/>
  <c r="AB166" i="50"/>
  <c r="AC200" i="50"/>
  <c r="Q197" i="50"/>
  <c r="X192" i="50"/>
  <c r="AD180" i="50"/>
  <c r="V178" i="50"/>
  <c r="AB178" i="50"/>
  <c r="V174" i="50"/>
  <c r="Q173" i="50"/>
  <c r="Y173" i="50"/>
  <c r="AE173" i="50"/>
  <c r="T173" i="50"/>
  <c r="AB173" i="50"/>
  <c r="M170" i="50"/>
  <c r="Q166" i="50"/>
  <c r="N200" i="50"/>
  <c r="N170" i="50"/>
  <c r="Q164" i="50"/>
  <c r="W162" i="50"/>
  <c r="AD160" i="50"/>
  <c r="N160" i="50"/>
  <c r="Q200" i="50"/>
  <c r="M197" i="50"/>
  <c r="W178" i="50"/>
  <c r="N176" i="50"/>
  <c r="AD164" i="50"/>
  <c r="N164" i="50"/>
  <c r="AC160" i="50"/>
  <c r="T187" i="50"/>
  <c r="Q159" i="50"/>
  <c r="W159" i="50"/>
  <c r="AB159" i="50"/>
  <c r="M159" i="50"/>
  <c r="X159" i="50"/>
  <c r="AC159" i="50"/>
  <c r="V159" i="50"/>
  <c r="N159" i="50"/>
  <c r="AD159" i="50"/>
  <c r="P159" i="50"/>
  <c r="T159" i="50"/>
  <c r="P199" i="50"/>
  <c r="S199" i="50" s="1"/>
  <c r="V199" i="50"/>
  <c r="Q199" i="50"/>
  <c r="W199" i="50"/>
  <c r="AB199" i="50"/>
  <c r="M189" i="50"/>
  <c r="N189" i="50"/>
  <c r="T189" i="50"/>
  <c r="P189" i="50"/>
  <c r="Q189" i="50"/>
  <c r="P184" i="50"/>
  <c r="S184" i="50" s="1"/>
  <c r="V184" i="50"/>
  <c r="AE184" i="50"/>
  <c r="Q184" i="50"/>
  <c r="W184" i="50"/>
  <c r="AB184" i="50"/>
  <c r="N184" i="50"/>
  <c r="Y184" i="50"/>
  <c r="AC184" i="50"/>
  <c r="T184" i="50"/>
  <c r="X184" i="50"/>
  <c r="AD184" i="50"/>
  <c r="P181" i="50"/>
  <c r="P200" i="50"/>
  <c r="S200" i="50" s="1"/>
  <c r="V200" i="50"/>
  <c r="AE200" i="50"/>
  <c r="AD199" i="50"/>
  <c r="T199" i="50"/>
  <c r="Q198" i="50"/>
  <c r="W198" i="50"/>
  <c r="AB198" i="50"/>
  <c r="M198" i="50"/>
  <c r="AC198" i="50"/>
  <c r="N198" i="50"/>
  <c r="T198" i="50"/>
  <c r="P195" i="50"/>
  <c r="T195" i="50"/>
  <c r="Q179" i="50"/>
  <c r="W179" i="50"/>
  <c r="AB179" i="50"/>
  <c r="M179" i="50"/>
  <c r="X179" i="50"/>
  <c r="AC179" i="50"/>
  <c r="V179" i="50"/>
  <c r="AE179" i="50"/>
  <c r="N179" i="50"/>
  <c r="Y179" i="50"/>
  <c r="AD179" i="50"/>
  <c r="P179" i="50"/>
  <c r="T179" i="50"/>
  <c r="W200" i="50"/>
  <c r="AC199" i="50"/>
  <c r="V198" i="50"/>
  <c r="M193" i="50"/>
  <c r="X193" i="50"/>
  <c r="AC193" i="50"/>
  <c r="N193" i="50"/>
  <c r="T193" i="50"/>
  <c r="Y193" i="50"/>
  <c r="AD193" i="50"/>
  <c r="W193" i="50"/>
  <c r="P193" i="50"/>
  <c r="Q193" i="50"/>
  <c r="AB193" i="50"/>
  <c r="AH193" i="50" s="1"/>
  <c r="P191" i="50"/>
  <c r="S191" i="50" s="1"/>
  <c r="V191" i="50"/>
  <c r="N191" i="50"/>
  <c r="AC191" i="50"/>
  <c r="T191" i="50"/>
  <c r="P196" i="50"/>
  <c r="N192" i="50"/>
  <c r="T192" i="50"/>
  <c r="AD192" i="50"/>
  <c r="P192" i="50"/>
  <c r="S192" i="50" s="1"/>
  <c r="V192" i="50"/>
  <c r="Q190" i="50"/>
  <c r="AB190" i="50"/>
  <c r="M190" i="50"/>
  <c r="T188" i="50"/>
  <c r="P188" i="50"/>
  <c r="M186" i="50"/>
  <c r="X186" i="50"/>
  <c r="AC186" i="50"/>
  <c r="N186" i="50"/>
  <c r="T186" i="50"/>
  <c r="Y186" i="50"/>
  <c r="AD186" i="50"/>
  <c r="W186" i="50"/>
  <c r="P186" i="50"/>
  <c r="M182" i="50"/>
  <c r="X182" i="50"/>
  <c r="AC182" i="50"/>
  <c r="N182" i="50"/>
  <c r="T182" i="50"/>
  <c r="Y182" i="50"/>
  <c r="AD182" i="50"/>
  <c r="W182" i="50"/>
  <c r="P182" i="50"/>
  <c r="S182" i="50" s="1"/>
  <c r="T197" i="50"/>
  <c r="N197" i="50"/>
  <c r="W192" i="50"/>
  <c r="Q191" i="50"/>
  <c r="P190" i="50"/>
  <c r="V186" i="50"/>
  <c r="AH186" i="50" s="1"/>
  <c r="N185" i="50"/>
  <c r="T185" i="50"/>
  <c r="Y185" i="50"/>
  <c r="AD185" i="50"/>
  <c r="P185" i="50"/>
  <c r="V185" i="50"/>
  <c r="AE185" i="50"/>
  <c r="AC185" i="50"/>
  <c r="W185" i="50"/>
  <c r="V182" i="50"/>
  <c r="N177" i="50"/>
  <c r="T177" i="50"/>
  <c r="Y177" i="50"/>
  <c r="AD177" i="50"/>
  <c r="P177" i="50"/>
  <c r="S177" i="50" s="1"/>
  <c r="V177" i="50"/>
  <c r="AE177" i="50"/>
  <c r="Q177" i="50"/>
  <c r="AB177" i="50"/>
  <c r="AC177" i="50"/>
  <c r="W175" i="50"/>
  <c r="AB175" i="50"/>
  <c r="AF175" i="50"/>
  <c r="M175" i="50"/>
  <c r="X175" i="50"/>
  <c r="AC175" i="50"/>
  <c r="V175" i="50"/>
  <c r="AE175" i="50"/>
  <c r="N175" i="50"/>
  <c r="Y175" i="50"/>
  <c r="N165" i="50"/>
  <c r="T165" i="50"/>
  <c r="AD165" i="50"/>
  <c r="P165" i="50"/>
  <c r="S165" i="50" s="1"/>
  <c r="V165" i="50"/>
  <c r="Q165" i="50"/>
  <c r="AB165" i="50"/>
  <c r="AC165" i="50"/>
  <c r="X165" i="50"/>
  <c r="AD200" i="50"/>
  <c r="AJ200" i="50" s="1"/>
  <c r="Y200" i="50"/>
  <c r="T200" i="50"/>
  <c r="Q196" i="50"/>
  <c r="AC192" i="50"/>
  <c r="N190" i="50"/>
  <c r="Q186" i="50"/>
  <c r="AB185" i="50"/>
  <c r="Q183" i="50"/>
  <c r="W183" i="50"/>
  <c r="AB183" i="50"/>
  <c r="M183" i="50"/>
  <c r="X183" i="50"/>
  <c r="AC183" i="50"/>
  <c r="N183" i="50"/>
  <c r="Y183" i="50"/>
  <c r="P183" i="50"/>
  <c r="Q182" i="50"/>
  <c r="T175" i="50"/>
  <c r="Q172" i="50"/>
  <c r="X172" i="50"/>
  <c r="AE172" i="50"/>
  <c r="V172" i="50"/>
  <c r="W172" i="50"/>
  <c r="P171" i="50"/>
  <c r="S171" i="50" s="1"/>
  <c r="V171" i="50"/>
  <c r="AE171" i="50"/>
  <c r="Q171" i="50"/>
  <c r="X171" i="50"/>
  <c r="AD171" i="50"/>
  <c r="Y171" i="50"/>
  <c r="N171" i="50"/>
  <c r="AC171" i="50"/>
  <c r="T171" i="50"/>
  <c r="P168" i="50"/>
  <c r="S168" i="50" s="1"/>
  <c r="X168" i="50"/>
  <c r="AD168" i="50"/>
  <c r="T168" i="50"/>
  <c r="W163" i="50"/>
  <c r="AB163" i="50"/>
  <c r="AF163" i="50"/>
  <c r="M163" i="50"/>
  <c r="X163" i="50"/>
  <c r="AC163" i="50"/>
  <c r="V163" i="50"/>
  <c r="AE163" i="50"/>
  <c r="N163" i="50"/>
  <c r="Y163" i="50"/>
  <c r="P163" i="50"/>
  <c r="S163" i="50" s="1"/>
  <c r="T163" i="50"/>
  <c r="Z163" i="50"/>
  <c r="AD163" i="50"/>
  <c r="N161" i="50"/>
  <c r="T161" i="50"/>
  <c r="AD161" i="50"/>
  <c r="P161" i="50"/>
  <c r="S161" i="50" s="1"/>
  <c r="V161" i="50"/>
  <c r="Q161" i="50"/>
  <c r="AB161" i="50"/>
  <c r="AC161" i="50"/>
  <c r="W161" i="50"/>
  <c r="X161" i="50"/>
  <c r="AB191" i="50"/>
  <c r="W191" i="50"/>
  <c r="Y180" i="50"/>
  <c r="Y176" i="50"/>
  <c r="AC170" i="50"/>
  <c r="P180" i="50"/>
  <c r="V180" i="50"/>
  <c r="AE180" i="50"/>
  <c r="Q180" i="50"/>
  <c r="W180" i="50"/>
  <c r="AB180" i="50"/>
  <c r="M178" i="50"/>
  <c r="X178" i="50"/>
  <c r="AC178" i="50"/>
  <c r="N178" i="50"/>
  <c r="T178" i="50"/>
  <c r="Y178" i="50"/>
  <c r="AK178" i="50" s="1"/>
  <c r="AD178" i="50"/>
  <c r="P176" i="50"/>
  <c r="V176" i="50"/>
  <c r="AE176" i="50"/>
  <c r="Q176" i="50"/>
  <c r="W176" i="50"/>
  <c r="AB176" i="50"/>
  <c r="M174" i="50"/>
  <c r="X174" i="50"/>
  <c r="AC174" i="50"/>
  <c r="N174" i="50"/>
  <c r="T174" i="50"/>
  <c r="Y174" i="50"/>
  <c r="AD174" i="50"/>
  <c r="P170" i="50"/>
  <c r="X170" i="50"/>
  <c r="AD170" i="50"/>
  <c r="Y170" i="50"/>
  <c r="AE170" i="50"/>
  <c r="M169" i="50"/>
  <c r="X169" i="50"/>
  <c r="AC169" i="50"/>
  <c r="N169" i="50"/>
  <c r="T169" i="50"/>
  <c r="Y169" i="50"/>
  <c r="AD169" i="50"/>
  <c r="Q167" i="50"/>
  <c r="W167" i="50"/>
  <c r="AB167" i="50"/>
  <c r="M167" i="50"/>
  <c r="X167" i="50"/>
  <c r="AC167" i="50"/>
  <c r="V167" i="50"/>
  <c r="N167" i="50"/>
  <c r="AD181" i="50"/>
  <c r="Y181" i="50"/>
  <c r="T181" i="50"/>
  <c r="M173" i="50"/>
  <c r="X173" i="50"/>
  <c r="N172" i="50"/>
  <c r="T172" i="50"/>
  <c r="Y172" i="50"/>
  <c r="AD172" i="50"/>
  <c r="Q170" i="50"/>
  <c r="W170" i="50"/>
  <c r="AB170" i="50"/>
  <c r="AB169" i="50"/>
  <c r="T167" i="50"/>
  <c r="Q168" i="50"/>
  <c r="W168" i="50"/>
  <c r="AB168" i="50"/>
  <c r="AC168" i="50"/>
  <c r="V168" i="50"/>
  <c r="N168" i="50"/>
  <c r="M166" i="50"/>
  <c r="X166" i="50"/>
  <c r="AC166" i="50"/>
  <c r="N166" i="50"/>
  <c r="T166" i="50"/>
  <c r="AD166" i="50"/>
  <c r="P164" i="50"/>
  <c r="V164" i="50"/>
  <c r="M162" i="50"/>
  <c r="X162" i="50"/>
  <c r="AC162" i="50"/>
  <c r="N162" i="50"/>
  <c r="T162" i="50"/>
  <c r="AD162" i="50"/>
  <c r="P160" i="50"/>
  <c r="V160" i="50"/>
  <c r="Q160" i="50"/>
  <c r="W160" i="50"/>
  <c r="AB160" i="50"/>
  <c r="AB164" i="50"/>
  <c r="W164" i="50"/>
  <c r="F263" i="50"/>
  <c r="F264" i="50"/>
  <c r="F265" i="50"/>
  <c r="F266" i="50"/>
  <c r="F267" i="50"/>
  <c r="F268" i="50"/>
  <c r="F269" i="50"/>
  <c r="F270" i="50"/>
  <c r="F271" i="50"/>
  <c r="F272" i="50"/>
  <c r="F273" i="50"/>
  <c r="F274" i="50"/>
  <c r="F275" i="50"/>
  <c r="F276" i="50"/>
  <c r="F277" i="50"/>
  <c r="F278" i="50"/>
  <c r="F279" i="50"/>
  <c r="F280" i="50"/>
  <c r="F281" i="50"/>
  <c r="F282" i="50"/>
  <c r="F283" i="50"/>
  <c r="F284" i="50"/>
  <c r="F285" i="50"/>
  <c r="F286" i="50"/>
  <c r="F287" i="50"/>
  <c r="F288" i="50"/>
  <c r="F289" i="50"/>
  <c r="H268" i="50"/>
  <c r="I268" i="50"/>
  <c r="J268" i="50" s="1"/>
  <c r="H269" i="50"/>
  <c r="I269" i="50"/>
  <c r="J269" i="50" s="1"/>
  <c r="H270" i="50"/>
  <c r="I270" i="50"/>
  <c r="J270" i="50" s="1"/>
  <c r="H271" i="50"/>
  <c r="I271" i="50"/>
  <c r="J271" i="50" s="1"/>
  <c r="H272" i="50"/>
  <c r="I272" i="50"/>
  <c r="J272" i="50" s="1"/>
  <c r="H273" i="50"/>
  <c r="I273" i="50"/>
  <c r="J273" i="50" s="1"/>
  <c r="H274" i="50"/>
  <c r="I274" i="50"/>
  <c r="J274" i="50" s="1"/>
  <c r="H275" i="50"/>
  <c r="I275" i="50"/>
  <c r="J275" i="50" s="1"/>
  <c r="H276" i="50"/>
  <c r="I276" i="50"/>
  <c r="J276" i="50" s="1"/>
  <c r="H277" i="50"/>
  <c r="I277" i="50"/>
  <c r="J277" i="50" s="1"/>
  <c r="H278" i="50"/>
  <c r="I278" i="50"/>
  <c r="J278" i="50" s="1"/>
  <c r="H279" i="50"/>
  <c r="I279" i="50"/>
  <c r="J279" i="50" s="1"/>
  <c r="H280" i="50"/>
  <c r="I280" i="50"/>
  <c r="J280" i="50" s="1"/>
  <c r="H281" i="50"/>
  <c r="I281" i="50"/>
  <c r="J281" i="50" s="1"/>
  <c r="H282" i="50"/>
  <c r="I282" i="50"/>
  <c r="J282" i="50" s="1"/>
  <c r="H283" i="50"/>
  <c r="I283" i="50"/>
  <c r="J283" i="50" s="1"/>
  <c r="H284" i="50"/>
  <c r="I284" i="50"/>
  <c r="J284" i="50" s="1"/>
  <c r="H285" i="50"/>
  <c r="I285" i="50"/>
  <c r="J285" i="50" s="1"/>
  <c r="H286" i="50"/>
  <c r="I286" i="50"/>
  <c r="J286" i="50" s="1"/>
  <c r="H287" i="50"/>
  <c r="I287" i="50"/>
  <c r="J287" i="50" s="1"/>
  <c r="H288" i="50"/>
  <c r="I288" i="50"/>
  <c r="J288" i="50" s="1"/>
  <c r="H289" i="50"/>
  <c r="I289" i="50"/>
  <c r="J289" i="50" s="1"/>
  <c r="AN291" i="50"/>
  <c r="AN292" i="50"/>
  <c r="AN293" i="50"/>
  <c r="AN294" i="50"/>
  <c r="AN295" i="50"/>
  <c r="AN296" i="50"/>
  <c r="AN297" i="50"/>
  <c r="AN298" i="50"/>
  <c r="AN299" i="50"/>
  <c r="B272" i="50"/>
  <c r="B273" i="50"/>
  <c r="B274" i="50"/>
  <c r="B275" i="50"/>
  <c r="B276" i="50"/>
  <c r="B277" i="50"/>
  <c r="B278" i="50"/>
  <c r="B279" i="50"/>
  <c r="B280" i="50"/>
  <c r="B281" i="50"/>
  <c r="B282" i="50"/>
  <c r="B283" i="50"/>
  <c r="B284" i="50"/>
  <c r="B285" i="50"/>
  <c r="B286" i="50"/>
  <c r="B287" i="50"/>
  <c r="B288" i="50"/>
  <c r="B289" i="50"/>
  <c r="K35" i="32"/>
  <c r="K34" i="32"/>
  <c r="K33" i="32"/>
  <c r="K31" i="32"/>
  <c r="K30" i="32"/>
  <c r="K29" i="32"/>
  <c r="K28" i="32"/>
  <c r="K27" i="32"/>
  <c r="J19" i="32"/>
  <c r="K19" i="32"/>
  <c r="J20" i="32"/>
  <c r="K20" i="32"/>
  <c r="I20" i="32"/>
  <c r="I19" i="32"/>
  <c r="K26" i="32"/>
  <c r="K25" i="32"/>
  <c r="K23" i="32"/>
  <c r="K22" i="32"/>
  <c r="K21" i="32"/>
  <c r="K103" i="25"/>
  <c r="AH182" i="50" l="1"/>
  <c r="K52" i="32"/>
  <c r="AH170" i="50"/>
  <c r="AJ181" i="50"/>
  <c r="AH200" i="50"/>
  <c r="AI181" i="50"/>
  <c r="AK193" i="50"/>
  <c r="AJ160" i="50"/>
  <c r="AI171" i="50"/>
  <c r="AH173" i="50"/>
  <c r="AJ173" i="50"/>
  <c r="AI165" i="50"/>
  <c r="AI164" i="50"/>
  <c r="AJ167" i="50"/>
  <c r="AI172" i="50"/>
  <c r="AK181" i="50"/>
  <c r="AK186" i="50"/>
  <c r="AK182" i="50"/>
  <c r="AJ199" i="50"/>
  <c r="AH162" i="50"/>
  <c r="AH181" i="50"/>
  <c r="AJ175" i="50"/>
  <c r="AL181" i="50"/>
  <c r="B445" i="40"/>
  <c r="B164" i="65"/>
  <c r="M299" i="50"/>
  <c r="S299" i="50"/>
  <c r="N299" i="50"/>
  <c r="T299" i="50"/>
  <c r="P299" i="50"/>
  <c r="V299" i="50"/>
  <c r="Q299" i="50"/>
  <c r="AB299" i="50"/>
  <c r="Q297" i="50"/>
  <c r="M297" i="50"/>
  <c r="S297" i="50"/>
  <c r="AB297" i="50"/>
  <c r="N297" i="50"/>
  <c r="T297" i="50"/>
  <c r="P297" i="50"/>
  <c r="V297" i="50"/>
  <c r="AH297" i="50" s="1"/>
  <c r="P295" i="50"/>
  <c r="V295" i="50"/>
  <c r="Q295" i="50"/>
  <c r="M295" i="50"/>
  <c r="S295" i="50"/>
  <c r="N295" i="50"/>
  <c r="T295" i="50"/>
  <c r="AB295" i="50"/>
  <c r="N293" i="50"/>
  <c r="T293" i="50"/>
  <c r="AB293" i="50"/>
  <c r="P293" i="50"/>
  <c r="V293" i="50"/>
  <c r="Q293" i="50"/>
  <c r="M293" i="50"/>
  <c r="S293" i="50"/>
  <c r="M291" i="50"/>
  <c r="S291" i="50"/>
  <c r="V291" i="50"/>
  <c r="Q291" i="50"/>
  <c r="N291" i="50"/>
  <c r="T291" i="50"/>
  <c r="AB291" i="50"/>
  <c r="P291" i="50"/>
  <c r="AH172" i="50"/>
  <c r="AT298" i="50"/>
  <c r="AT296" i="50"/>
  <c r="AT294" i="50"/>
  <c r="AT292" i="50"/>
  <c r="AT299" i="50"/>
  <c r="AT297" i="50"/>
  <c r="AT295" i="50"/>
  <c r="AT293" i="50"/>
  <c r="Q298" i="50"/>
  <c r="M298" i="50"/>
  <c r="S298" i="50"/>
  <c r="AB298" i="50"/>
  <c r="N298" i="50"/>
  <c r="T298" i="50"/>
  <c r="P298" i="50"/>
  <c r="V298" i="50"/>
  <c r="M296" i="50"/>
  <c r="S296" i="50"/>
  <c r="N296" i="50"/>
  <c r="T296" i="50"/>
  <c r="AB296" i="50"/>
  <c r="P296" i="50"/>
  <c r="V296" i="50"/>
  <c r="Q296" i="50"/>
  <c r="Q294" i="50"/>
  <c r="M294" i="50"/>
  <c r="S294" i="50"/>
  <c r="N294" i="50"/>
  <c r="T294" i="50"/>
  <c r="AB294" i="50"/>
  <c r="P294" i="50"/>
  <c r="V294" i="50"/>
  <c r="P292" i="50"/>
  <c r="V292" i="50"/>
  <c r="Q292" i="50"/>
  <c r="M292" i="50"/>
  <c r="S292" i="50"/>
  <c r="N292" i="50"/>
  <c r="T292" i="50"/>
  <c r="AB292" i="50"/>
  <c r="AH178" i="50"/>
  <c r="AJ165" i="50"/>
  <c r="M289" i="50"/>
  <c r="S289" i="50"/>
  <c r="X289" i="50"/>
  <c r="AC289" i="50"/>
  <c r="W289" i="50"/>
  <c r="AF289" i="50"/>
  <c r="N289" i="50"/>
  <c r="T289" i="50"/>
  <c r="Y289" i="50"/>
  <c r="AD289" i="50"/>
  <c r="Q289" i="50"/>
  <c r="P289" i="50"/>
  <c r="V289" i="50"/>
  <c r="Z289" i="50"/>
  <c r="AE289" i="50"/>
  <c r="AB289" i="50"/>
  <c r="Q285" i="50"/>
  <c r="M285" i="50"/>
  <c r="S285" i="50"/>
  <c r="N285" i="50"/>
  <c r="T285" i="50"/>
  <c r="P285" i="50"/>
  <c r="Q281" i="50"/>
  <c r="M281" i="50"/>
  <c r="S281" i="50"/>
  <c r="P281" i="50"/>
  <c r="N281" i="50"/>
  <c r="T281" i="50"/>
  <c r="Q277" i="50"/>
  <c r="M277" i="50"/>
  <c r="S277" i="50"/>
  <c r="N277" i="50"/>
  <c r="T277" i="50"/>
  <c r="P277" i="50"/>
  <c r="M275" i="50"/>
  <c r="S275" i="50"/>
  <c r="Q275" i="50"/>
  <c r="N275" i="50"/>
  <c r="T275" i="50"/>
  <c r="P275" i="50"/>
  <c r="Q271" i="50"/>
  <c r="S271" i="50" s="1"/>
  <c r="W271" i="50"/>
  <c r="AB271" i="50"/>
  <c r="AF271" i="50"/>
  <c r="M271" i="50"/>
  <c r="X271" i="50"/>
  <c r="AC271" i="50"/>
  <c r="N271" i="50"/>
  <c r="T271" i="50"/>
  <c r="Y271" i="50"/>
  <c r="AD271" i="50"/>
  <c r="P271" i="50"/>
  <c r="V271" i="50"/>
  <c r="Z271" i="50"/>
  <c r="AE271" i="50"/>
  <c r="P288" i="50"/>
  <c r="T288" i="50"/>
  <c r="Q288" i="50"/>
  <c r="M288" i="50"/>
  <c r="S288" i="50"/>
  <c r="N288" i="50"/>
  <c r="P284" i="50"/>
  <c r="T284" i="50"/>
  <c r="Q284" i="50"/>
  <c r="M284" i="50"/>
  <c r="S284" i="50"/>
  <c r="N284" i="50"/>
  <c r="P280" i="50"/>
  <c r="Q280" i="50"/>
  <c r="M280" i="50"/>
  <c r="S280" i="50"/>
  <c r="N280" i="50"/>
  <c r="T280" i="50"/>
  <c r="P276" i="50"/>
  <c r="Q276" i="50"/>
  <c r="T276" i="50"/>
  <c r="M276" i="50"/>
  <c r="S276" i="50"/>
  <c r="N276" i="50"/>
  <c r="P272" i="50"/>
  <c r="T272" i="50"/>
  <c r="M272" i="50"/>
  <c r="T268" i="50"/>
  <c r="M268" i="50"/>
  <c r="AR268" i="50"/>
  <c r="P268" i="50"/>
  <c r="Q290" i="50"/>
  <c r="M290" i="50"/>
  <c r="S290" i="50"/>
  <c r="N290" i="50"/>
  <c r="T290" i="50"/>
  <c r="P290" i="50"/>
  <c r="Q286" i="50"/>
  <c r="P286" i="50"/>
  <c r="M286" i="50"/>
  <c r="S286" i="50"/>
  <c r="N286" i="50"/>
  <c r="T286" i="50"/>
  <c r="Q282" i="50"/>
  <c r="P282" i="50"/>
  <c r="M282" i="50"/>
  <c r="S282" i="50"/>
  <c r="N282" i="50"/>
  <c r="T282" i="50"/>
  <c r="Q278" i="50"/>
  <c r="P278" i="50"/>
  <c r="M278" i="50"/>
  <c r="S278" i="50"/>
  <c r="N278" i="50"/>
  <c r="T278" i="50"/>
  <c r="Q274" i="50"/>
  <c r="M274" i="50"/>
  <c r="S274" i="50"/>
  <c r="N274" i="50"/>
  <c r="T274" i="50"/>
  <c r="P274" i="50"/>
  <c r="P270" i="50"/>
  <c r="M270" i="50"/>
  <c r="T270" i="50"/>
  <c r="M287" i="50"/>
  <c r="S287" i="50"/>
  <c r="N287" i="50"/>
  <c r="T287" i="50"/>
  <c r="Q287" i="50"/>
  <c r="P287" i="50"/>
  <c r="M283" i="50"/>
  <c r="S283" i="50"/>
  <c r="N283" i="50"/>
  <c r="T283" i="50"/>
  <c r="Q283" i="50"/>
  <c r="P283" i="50"/>
  <c r="M279" i="50"/>
  <c r="S279" i="50"/>
  <c r="N279" i="50"/>
  <c r="T279" i="50"/>
  <c r="Q279" i="50"/>
  <c r="P279" i="50"/>
  <c r="M273" i="50"/>
  <c r="P273" i="50"/>
  <c r="T273" i="50"/>
  <c r="P269" i="50"/>
  <c r="M269" i="50"/>
  <c r="T269" i="50"/>
  <c r="AJ180" i="50"/>
  <c r="AH197" i="50"/>
  <c r="AH167" i="50"/>
  <c r="AI177" i="50"/>
  <c r="S170" i="50"/>
  <c r="S180" i="50"/>
  <c r="S183" i="50"/>
  <c r="S185" i="50"/>
  <c r="S164" i="50"/>
  <c r="AI178" i="50"/>
  <c r="AH171" i="50"/>
  <c r="S190" i="50"/>
  <c r="S186" i="50"/>
  <c r="S193" i="50"/>
  <c r="AH169" i="50"/>
  <c r="S176" i="50"/>
  <c r="AJ185" i="50"/>
  <c r="AJ192" i="50"/>
  <c r="S196" i="50"/>
  <c r="S189" i="50"/>
  <c r="AJ176" i="50"/>
  <c r="S160" i="50"/>
  <c r="AI166" i="50"/>
  <c r="AI174" i="50"/>
  <c r="AH180" i="50"/>
  <c r="AJ177" i="50"/>
  <c r="AH190" i="50"/>
  <c r="AI200" i="50"/>
  <c r="S179" i="50"/>
  <c r="S181" i="50"/>
  <c r="S159" i="50"/>
  <c r="AH159" i="50"/>
  <c r="S175" i="50"/>
  <c r="AJ164" i="50"/>
  <c r="AL169" i="50"/>
  <c r="AH166" i="50"/>
  <c r="S169" i="50"/>
  <c r="AI169" i="50"/>
  <c r="AI193" i="50"/>
  <c r="AK184" i="50"/>
  <c r="AI160" i="50"/>
  <c r="AK163" i="50"/>
  <c r="AH163" i="50"/>
  <c r="AI163" i="50"/>
  <c r="AJ171" i="50"/>
  <c r="AH174" i="50"/>
  <c r="AK174" i="50"/>
  <c r="AI180" i="50"/>
  <c r="AK183" i="50"/>
  <c r="AJ183" i="50"/>
  <c r="AH198" i="50"/>
  <c r="AH199" i="50"/>
  <c r="AI176" i="50"/>
  <c r="AH183" i="50"/>
  <c r="AK200" i="50"/>
  <c r="AK175" i="50"/>
  <c r="AH175" i="50"/>
  <c r="AI175" i="50"/>
  <c r="AI198" i="50"/>
  <c r="AI184" i="50"/>
  <c r="AI162" i="50"/>
  <c r="AK169" i="50"/>
  <c r="AJ161" i="50"/>
  <c r="AH161" i="50"/>
  <c r="AL175" i="50"/>
  <c r="AI182" i="50"/>
  <c r="AK173" i="50"/>
  <c r="AJ162" i="50"/>
  <c r="AI170" i="50"/>
  <c r="AK172" i="50"/>
  <c r="AJ169" i="50"/>
  <c r="AJ178" i="50"/>
  <c r="AI191" i="50"/>
  <c r="AH185" i="50"/>
  <c r="AK185" i="50"/>
  <c r="AI186" i="50"/>
  <c r="AH192" i="50"/>
  <c r="AK179" i="50"/>
  <c r="AH179" i="50"/>
  <c r="AJ184" i="50"/>
  <c r="AH164" i="50"/>
  <c r="AH191" i="50"/>
  <c r="AI159" i="50"/>
  <c r="AJ170" i="50"/>
  <c r="AK176" i="50"/>
  <c r="AK180" i="50"/>
  <c r="AJ168" i="50"/>
  <c r="AI183" i="50"/>
  <c r="AH177" i="50"/>
  <c r="AI192" i="50"/>
  <c r="AJ186" i="50"/>
  <c r="AJ193" i="50"/>
  <c r="AJ179" i="50"/>
  <c r="AH160" i="50"/>
  <c r="AI167" i="50"/>
  <c r="AK170" i="50"/>
  <c r="AH176" i="50"/>
  <c r="AK177" i="50"/>
  <c r="AJ182" i="50"/>
  <c r="AI179" i="50"/>
  <c r="AI199" i="50"/>
  <c r="AJ166" i="50"/>
  <c r="AH168" i="50"/>
  <c r="AI168" i="50"/>
  <c r="AJ174" i="50"/>
  <c r="AI161" i="50"/>
  <c r="AL163" i="50"/>
  <c r="AJ163" i="50"/>
  <c r="AK171" i="50"/>
  <c r="AJ172" i="50"/>
  <c r="AH165" i="50"/>
  <c r="AI185" i="50"/>
  <c r="AH184" i="50"/>
  <c r="AJ159" i="50"/>
  <c r="F23" i="34"/>
  <c r="AH292" i="50" l="1"/>
  <c r="B446" i="40"/>
  <c r="B165" i="65"/>
  <c r="AN271" i="50"/>
  <c r="AO271" i="50" s="1"/>
  <c r="AP271" i="50" s="1"/>
  <c r="AQ271" i="50" s="1"/>
  <c r="AR271" i="50" s="1"/>
  <c r="AH299" i="50"/>
  <c r="AN289" i="50"/>
  <c r="AO289" i="50" s="1"/>
  <c r="AP289" i="50" s="1"/>
  <c r="AQ289" i="50" s="1"/>
  <c r="AR289" i="50" s="1"/>
  <c r="AH293" i="50"/>
  <c r="AH294" i="50"/>
  <c r="AH291" i="50"/>
  <c r="AH296" i="50"/>
  <c r="AH298" i="50"/>
  <c r="AH295" i="50"/>
  <c r="AL289" i="50"/>
  <c r="AI271" i="50"/>
  <c r="AI289" i="50"/>
  <c r="AL271" i="50"/>
  <c r="AK271" i="50"/>
  <c r="AJ271" i="50"/>
  <c r="AJ289" i="50"/>
  <c r="AH271" i="50"/>
  <c r="AH289" i="50"/>
  <c r="AK289" i="50"/>
  <c r="B447" i="40" l="1"/>
  <c r="B166" i="65"/>
  <c r="B448" i="40" l="1"/>
  <c r="B167" i="65"/>
  <c r="F60" i="42"/>
  <c r="F170" i="24"/>
  <c r="F176" i="24"/>
  <c r="F177" i="24" s="1"/>
  <c r="B449" i="40" l="1"/>
  <c r="B168" i="65"/>
  <c r="I74" i="66"/>
  <c r="J74" i="66"/>
  <c r="Q34" i="66"/>
  <c r="P33" i="66"/>
  <c r="O32" i="66"/>
  <c r="N31" i="66"/>
  <c r="M30" i="66"/>
  <c r="L29" i="66"/>
  <c r="K28" i="66"/>
  <c r="B450" i="40" l="1"/>
  <c r="B169" i="65"/>
  <c r="O31" i="66"/>
  <c r="B451" i="40" l="1"/>
  <c r="B170" i="65"/>
  <c r="Q33" i="66"/>
  <c r="P32" i="66"/>
  <c r="N30" i="66"/>
  <c r="P31" i="66"/>
  <c r="B452" i="40" l="1"/>
  <c r="B171" i="65"/>
  <c r="Q31" i="66"/>
  <c r="Q32" i="66"/>
  <c r="O30" i="66"/>
  <c r="B453" i="40" l="1"/>
  <c r="B172" i="65"/>
  <c r="P30" i="66"/>
  <c r="B454" i="40" l="1"/>
  <c r="B173" i="65"/>
  <c r="L28" i="66"/>
  <c r="Q30" i="66"/>
  <c r="M29" i="66"/>
  <c r="B455" i="40" l="1"/>
  <c r="B174" i="65"/>
  <c r="N29" i="66"/>
  <c r="M28" i="66"/>
  <c r="B456" i="40" l="1"/>
  <c r="B175" i="65"/>
  <c r="N28" i="66"/>
  <c r="O29" i="66"/>
  <c r="M65" i="42"/>
  <c r="S65" i="42" s="1"/>
  <c r="B11" i="69" a="1"/>
  <c r="B11" i="69" s="1"/>
  <c r="B457" i="40" l="1"/>
  <c r="B176" i="65"/>
  <c r="P29" i="66"/>
  <c r="O28" i="66"/>
  <c r="O65" i="42"/>
  <c r="R65" i="42" s="1"/>
  <c r="U65" i="42"/>
  <c r="L65" i="42"/>
  <c r="CA65" i="42" s="1"/>
  <c r="B17" i="84"/>
  <c r="H218" i="50"/>
  <c r="I218" i="50"/>
  <c r="H219" i="50"/>
  <c r="I219" i="50"/>
  <c r="H220" i="50"/>
  <c r="I220" i="50"/>
  <c r="H221" i="50"/>
  <c r="I221" i="50"/>
  <c r="H222" i="50"/>
  <c r="I222" i="50"/>
  <c r="H223" i="50"/>
  <c r="I223" i="50"/>
  <c r="H224" i="50"/>
  <c r="I224" i="50"/>
  <c r="H225" i="50"/>
  <c r="I225" i="50"/>
  <c r="H226" i="50"/>
  <c r="I226" i="50"/>
  <c r="H227" i="50"/>
  <c r="I227" i="50"/>
  <c r="H228" i="50"/>
  <c r="I228" i="50"/>
  <c r="H229" i="50"/>
  <c r="I229" i="50"/>
  <c r="H230" i="50"/>
  <c r="I230" i="50"/>
  <c r="H231" i="50"/>
  <c r="I231" i="50"/>
  <c r="H232" i="50"/>
  <c r="I232" i="50"/>
  <c r="H233" i="50"/>
  <c r="I233" i="50"/>
  <c r="H234" i="50"/>
  <c r="I234" i="50"/>
  <c r="H235" i="50"/>
  <c r="I235" i="50"/>
  <c r="H236" i="50"/>
  <c r="I236" i="50"/>
  <c r="H237" i="50"/>
  <c r="I237" i="50"/>
  <c r="H238" i="50"/>
  <c r="I238" i="50"/>
  <c r="H239" i="50"/>
  <c r="I239" i="50"/>
  <c r="H240" i="50"/>
  <c r="I240" i="50"/>
  <c r="H241" i="50"/>
  <c r="I241" i="50"/>
  <c r="H242" i="50"/>
  <c r="I242" i="50"/>
  <c r="H243" i="50"/>
  <c r="I243" i="50"/>
  <c r="H244" i="50"/>
  <c r="I244" i="50"/>
  <c r="H245" i="50"/>
  <c r="I245" i="50"/>
  <c r="H246" i="50"/>
  <c r="I246" i="50"/>
  <c r="H247" i="50"/>
  <c r="I247" i="50"/>
  <c r="H248" i="50"/>
  <c r="I248" i="50"/>
  <c r="H249" i="50"/>
  <c r="I249" i="50"/>
  <c r="H250" i="50"/>
  <c r="I250" i="50"/>
  <c r="H251" i="50"/>
  <c r="I251" i="50"/>
  <c r="H252" i="50"/>
  <c r="I252" i="50"/>
  <c r="H253" i="50"/>
  <c r="I253" i="50"/>
  <c r="H254" i="50"/>
  <c r="I254" i="50"/>
  <c r="H255" i="50"/>
  <c r="I255" i="50"/>
  <c r="H256" i="50"/>
  <c r="I256" i="50"/>
  <c r="H257" i="50"/>
  <c r="I257" i="50"/>
  <c r="H258" i="50"/>
  <c r="I258" i="50"/>
  <c r="H259" i="50"/>
  <c r="I259" i="50"/>
  <c r="H260" i="50"/>
  <c r="I260" i="50"/>
  <c r="H261" i="50"/>
  <c r="I261" i="50"/>
  <c r="H262" i="50"/>
  <c r="I262" i="50"/>
  <c r="H263" i="50"/>
  <c r="I263" i="50"/>
  <c r="H264" i="50"/>
  <c r="I264" i="50"/>
  <c r="H265" i="50"/>
  <c r="I265" i="50"/>
  <c r="H266" i="50"/>
  <c r="I266" i="50"/>
  <c r="H267" i="50"/>
  <c r="I267" i="50"/>
  <c r="I217" i="50"/>
  <c r="H217" i="50"/>
  <c r="K64" i="42"/>
  <c r="J64" i="42"/>
  <c r="I64" i="42"/>
  <c r="H64" i="42"/>
  <c r="F64" i="42"/>
  <c r="B64" i="42"/>
  <c r="K63" i="42"/>
  <c r="J63" i="42"/>
  <c r="I63" i="42"/>
  <c r="H63" i="42"/>
  <c r="F63" i="42"/>
  <c r="B63" i="42"/>
  <c r="K62" i="42"/>
  <c r="J62" i="42"/>
  <c r="I62" i="42"/>
  <c r="H62" i="42"/>
  <c r="F62" i="42"/>
  <c r="B62" i="42"/>
  <c r="K61" i="42"/>
  <c r="J61" i="42"/>
  <c r="I61" i="42"/>
  <c r="H61" i="42"/>
  <c r="F61" i="42"/>
  <c r="B61" i="42"/>
  <c r="K60" i="42"/>
  <c r="J60" i="42"/>
  <c r="I60" i="42"/>
  <c r="H60" i="42"/>
  <c r="B60" i="42"/>
  <c r="B17" i="83"/>
  <c r="B17" i="81"/>
  <c r="G424" i="40"/>
  <c r="F424" i="40"/>
  <c r="E424" i="40"/>
  <c r="D424" i="40"/>
  <c r="B424" i="40"/>
  <c r="G423" i="40"/>
  <c r="F423" i="40"/>
  <c r="E423" i="40"/>
  <c r="D423" i="40"/>
  <c r="B423" i="40"/>
  <c r="G422" i="40"/>
  <c r="F422" i="40"/>
  <c r="E422" i="40"/>
  <c r="D422" i="40"/>
  <c r="B422" i="40"/>
  <c r="G421" i="40"/>
  <c r="F421" i="40"/>
  <c r="E421" i="40"/>
  <c r="D421" i="40"/>
  <c r="B421" i="40"/>
  <c r="G420" i="40"/>
  <c r="F420" i="40"/>
  <c r="E420" i="40"/>
  <c r="D420" i="40"/>
  <c r="B420" i="40"/>
  <c r="G419" i="40"/>
  <c r="F419" i="40"/>
  <c r="E419" i="40"/>
  <c r="D419" i="40"/>
  <c r="B419" i="40"/>
  <c r="G418" i="40"/>
  <c r="F418" i="40"/>
  <c r="E418" i="40"/>
  <c r="D418" i="40"/>
  <c r="B418" i="40"/>
  <c r="G417" i="40"/>
  <c r="F417" i="40"/>
  <c r="E417" i="40"/>
  <c r="D417" i="40"/>
  <c r="B417" i="40"/>
  <c r="G416" i="40"/>
  <c r="F416" i="40"/>
  <c r="E416" i="40"/>
  <c r="D416" i="40"/>
  <c r="B416" i="40"/>
  <c r="G415" i="40"/>
  <c r="F415" i="40"/>
  <c r="E415" i="40"/>
  <c r="D415" i="40"/>
  <c r="B415" i="40"/>
  <c r="G414" i="40"/>
  <c r="F414" i="40"/>
  <c r="E414" i="40"/>
  <c r="D414" i="40"/>
  <c r="B414" i="40"/>
  <c r="G413" i="40"/>
  <c r="F413" i="40"/>
  <c r="E413" i="40"/>
  <c r="D413" i="40"/>
  <c r="B413" i="40"/>
  <c r="G412" i="40"/>
  <c r="F412" i="40"/>
  <c r="E412" i="40"/>
  <c r="D412" i="40"/>
  <c r="B412" i="40"/>
  <c r="G411" i="40"/>
  <c r="F411" i="40"/>
  <c r="E411" i="40"/>
  <c r="D411" i="40"/>
  <c r="B411" i="40"/>
  <c r="G410" i="40"/>
  <c r="F410" i="40"/>
  <c r="E410" i="40"/>
  <c r="D410" i="40"/>
  <c r="B410" i="40"/>
  <c r="G409" i="40"/>
  <c r="F409" i="40"/>
  <c r="E409" i="40"/>
  <c r="D409" i="40"/>
  <c r="B409" i="40"/>
  <c r="G408" i="40"/>
  <c r="F408" i="40"/>
  <c r="E408" i="40"/>
  <c r="D408" i="40"/>
  <c r="B408" i="40"/>
  <c r="G407" i="40"/>
  <c r="F407" i="40"/>
  <c r="E407" i="40"/>
  <c r="D407" i="40"/>
  <c r="B407" i="40"/>
  <c r="G406" i="40"/>
  <c r="F406" i="40"/>
  <c r="E406" i="40"/>
  <c r="D406" i="40"/>
  <c r="B406" i="40"/>
  <c r="G405" i="40"/>
  <c r="F405" i="40"/>
  <c r="E405" i="40"/>
  <c r="D405" i="40"/>
  <c r="B405" i="40"/>
  <c r="G404" i="40"/>
  <c r="F404" i="40"/>
  <c r="E404" i="40"/>
  <c r="D404" i="40"/>
  <c r="B404" i="40"/>
  <c r="G403" i="40"/>
  <c r="F403" i="40"/>
  <c r="E403" i="40"/>
  <c r="D403" i="40"/>
  <c r="B403" i="40"/>
  <c r="G402" i="40"/>
  <c r="F402" i="40"/>
  <c r="E402" i="40"/>
  <c r="D402" i="40"/>
  <c r="B402" i="40"/>
  <c r="G401" i="40"/>
  <c r="F401" i="40"/>
  <c r="E401" i="40"/>
  <c r="D401" i="40"/>
  <c r="B401" i="40"/>
  <c r="G400" i="40"/>
  <c r="F400" i="40"/>
  <c r="E400" i="40"/>
  <c r="D400" i="40"/>
  <c r="B400" i="40"/>
  <c r="G399" i="40"/>
  <c r="F399" i="40"/>
  <c r="E399" i="40"/>
  <c r="D399" i="40"/>
  <c r="B399" i="40"/>
  <c r="G398" i="40"/>
  <c r="F398" i="40"/>
  <c r="E398" i="40"/>
  <c r="D398" i="40"/>
  <c r="B398" i="40"/>
  <c r="G397" i="40"/>
  <c r="F397" i="40"/>
  <c r="E397" i="40"/>
  <c r="D397" i="40"/>
  <c r="B397" i="40"/>
  <c r="G396" i="40"/>
  <c r="F396" i="40"/>
  <c r="E396" i="40"/>
  <c r="D396" i="40"/>
  <c r="B396" i="40"/>
  <c r="G395" i="40"/>
  <c r="F395" i="40"/>
  <c r="E395" i="40"/>
  <c r="D395" i="40"/>
  <c r="B395" i="40"/>
  <c r="G394" i="40"/>
  <c r="F394" i="40"/>
  <c r="E394" i="40"/>
  <c r="D394" i="40"/>
  <c r="B394" i="40"/>
  <c r="G393" i="40"/>
  <c r="F393" i="40"/>
  <c r="E393" i="40"/>
  <c r="D393" i="40"/>
  <c r="B393" i="40"/>
  <c r="G392" i="40"/>
  <c r="F392" i="40"/>
  <c r="E392" i="40"/>
  <c r="D392" i="40"/>
  <c r="B392" i="40"/>
  <c r="G391" i="40"/>
  <c r="F391" i="40"/>
  <c r="E391" i="40"/>
  <c r="D391" i="40"/>
  <c r="B391" i="40"/>
  <c r="G390" i="40"/>
  <c r="F390" i="40"/>
  <c r="E390" i="40"/>
  <c r="D390" i="40"/>
  <c r="B390" i="40"/>
  <c r="G389" i="40"/>
  <c r="F389" i="40"/>
  <c r="E389" i="40"/>
  <c r="D389" i="40"/>
  <c r="B389" i="40"/>
  <c r="G388" i="40"/>
  <c r="F388" i="40"/>
  <c r="E388" i="40"/>
  <c r="D388" i="40"/>
  <c r="B388" i="40"/>
  <c r="G387" i="40"/>
  <c r="F387" i="40"/>
  <c r="E387" i="40"/>
  <c r="D387" i="40"/>
  <c r="B387" i="40"/>
  <c r="G386" i="40"/>
  <c r="F386" i="40"/>
  <c r="E386" i="40"/>
  <c r="D386" i="40"/>
  <c r="B386" i="40"/>
  <c r="G385" i="40"/>
  <c r="F385" i="40"/>
  <c r="E385" i="40"/>
  <c r="D385" i="40"/>
  <c r="B385" i="40"/>
  <c r="G384" i="40"/>
  <c r="F384" i="40"/>
  <c r="E384" i="40"/>
  <c r="D384" i="40"/>
  <c r="B384" i="40"/>
  <c r="G383" i="40"/>
  <c r="F383" i="40"/>
  <c r="E383" i="40"/>
  <c r="D383" i="40"/>
  <c r="B383" i="40"/>
  <c r="G382" i="40"/>
  <c r="F382" i="40"/>
  <c r="E382" i="40"/>
  <c r="D382" i="40"/>
  <c r="B382" i="40"/>
  <c r="G381" i="40"/>
  <c r="F381" i="40"/>
  <c r="E381" i="40"/>
  <c r="D381" i="40"/>
  <c r="B381" i="40"/>
  <c r="G380" i="40"/>
  <c r="F380" i="40"/>
  <c r="E380" i="40"/>
  <c r="D380" i="40"/>
  <c r="B380" i="40"/>
  <c r="G379" i="40"/>
  <c r="F379" i="40"/>
  <c r="E379" i="40"/>
  <c r="D379" i="40"/>
  <c r="B379" i="40"/>
  <c r="G378" i="40"/>
  <c r="F378" i="40"/>
  <c r="E378" i="40"/>
  <c r="D378" i="40"/>
  <c r="B378" i="40"/>
  <c r="G377" i="40"/>
  <c r="F377" i="40"/>
  <c r="E377" i="40"/>
  <c r="D377" i="40"/>
  <c r="B377" i="40"/>
  <c r="G376" i="40"/>
  <c r="F376" i="40"/>
  <c r="E376" i="40"/>
  <c r="D376" i="40"/>
  <c r="B376" i="40"/>
  <c r="G375" i="40"/>
  <c r="F375" i="40"/>
  <c r="E375" i="40"/>
  <c r="D375" i="40"/>
  <c r="B375" i="40"/>
  <c r="G374" i="40"/>
  <c r="F374" i="40"/>
  <c r="E374" i="40"/>
  <c r="D374" i="40"/>
  <c r="B374" i="40"/>
  <c r="G373" i="40"/>
  <c r="F373" i="40"/>
  <c r="E373" i="40"/>
  <c r="D373" i="40"/>
  <c r="B373" i="40"/>
  <c r="G372" i="40"/>
  <c r="F372" i="40"/>
  <c r="E372" i="40"/>
  <c r="D372" i="40"/>
  <c r="B372" i="40"/>
  <c r="G371" i="40"/>
  <c r="F371" i="40"/>
  <c r="E371" i="40"/>
  <c r="D371" i="40"/>
  <c r="B371" i="40"/>
  <c r="G370" i="40"/>
  <c r="F370" i="40"/>
  <c r="E370" i="40"/>
  <c r="D370" i="40"/>
  <c r="B370" i="40"/>
  <c r="G369" i="40"/>
  <c r="F369" i="40"/>
  <c r="E369" i="40"/>
  <c r="D369" i="40"/>
  <c r="B369" i="40"/>
  <c r="G368" i="40"/>
  <c r="F368" i="40"/>
  <c r="E368" i="40"/>
  <c r="D368" i="40"/>
  <c r="B368" i="40"/>
  <c r="G367" i="40"/>
  <c r="F367" i="40"/>
  <c r="E367" i="40"/>
  <c r="D367" i="40"/>
  <c r="B367" i="40"/>
  <c r="G366" i="40"/>
  <c r="F366" i="40"/>
  <c r="E366" i="40"/>
  <c r="D366" i="40"/>
  <c r="B366" i="40"/>
  <c r="G365" i="40"/>
  <c r="F365" i="40"/>
  <c r="E365" i="40"/>
  <c r="D365" i="40"/>
  <c r="B365" i="40"/>
  <c r="G364" i="40"/>
  <c r="F364" i="40"/>
  <c r="E364" i="40"/>
  <c r="D364" i="40"/>
  <c r="B364" i="40"/>
  <c r="G363" i="40"/>
  <c r="F363" i="40"/>
  <c r="E363" i="40"/>
  <c r="D363" i="40"/>
  <c r="B363" i="40"/>
  <c r="G362" i="40"/>
  <c r="F362" i="40"/>
  <c r="E362" i="40"/>
  <c r="D362" i="40"/>
  <c r="B362" i="40"/>
  <c r="G361" i="40"/>
  <c r="F361" i="40"/>
  <c r="E361" i="40"/>
  <c r="D361" i="40"/>
  <c r="B361" i="40"/>
  <c r="G360" i="40"/>
  <c r="F360" i="40"/>
  <c r="E360" i="40"/>
  <c r="D360" i="40"/>
  <c r="B360" i="40"/>
  <c r="G359" i="40"/>
  <c r="F359" i="40"/>
  <c r="E359" i="40"/>
  <c r="D359" i="40"/>
  <c r="B359" i="40"/>
  <c r="G358" i="40"/>
  <c r="F358" i="40"/>
  <c r="E358" i="40"/>
  <c r="D358" i="40"/>
  <c r="B358" i="40"/>
  <c r="G357" i="40"/>
  <c r="F357" i="40"/>
  <c r="E357" i="40"/>
  <c r="D357" i="40"/>
  <c r="B357" i="40"/>
  <c r="G356" i="40"/>
  <c r="F356" i="40"/>
  <c r="E356" i="40"/>
  <c r="D356" i="40"/>
  <c r="B356" i="40"/>
  <c r="G355" i="40"/>
  <c r="F355" i="40"/>
  <c r="E355" i="40"/>
  <c r="D355" i="40"/>
  <c r="B355" i="40"/>
  <c r="G354" i="40"/>
  <c r="F354" i="40"/>
  <c r="E354" i="40"/>
  <c r="D354" i="40"/>
  <c r="B354" i="40"/>
  <c r="G353" i="40"/>
  <c r="F353" i="40"/>
  <c r="E353" i="40"/>
  <c r="D353" i="40"/>
  <c r="B353" i="40"/>
  <c r="G352" i="40"/>
  <c r="F352" i="40"/>
  <c r="E352" i="40"/>
  <c r="D352" i="40"/>
  <c r="B352" i="40"/>
  <c r="G351" i="40"/>
  <c r="F351" i="40"/>
  <c r="E351" i="40"/>
  <c r="D351" i="40"/>
  <c r="B351" i="40"/>
  <c r="G350" i="40"/>
  <c r="F350" i="40"/>
  <c r="E350" i="40"/>
  <c r="D350" i="40"/>
  <c r="B350" i="40"/>
  <c r="G349" i="40"/>
  <c r="F349" i="40"/>
  <c r="E349" i="40"/>
  <c r="D349" i="40"/>
  <c r="B349" i="40"/>
  <c r="G348" i="40"/>
  <c r="F348" i="40"/>
  <c r="E348" i="40"/>
  <c r="D348" i="40"/>
  <c r="B348" i="40"/>
  <c r="G347" i="40"/>
  <c r="F347" i="40"/>
  <c r="E347" i="40"/>
  <c r="D347" i="40"/>
  <c r="B347" i="40"/>
  <c r="G346" i="40"/>
  <c r="F346" i="40"/>
  <c r="E346" i="40"/>
  <c r="D346" i="40"/>
  <c r="B346" i="40"/>
  <c r="G345" i="40"/>
  <c r="F345" i="40"/>
  <c r="E345" i="40"/>
  <c r="D345" i="40"/>
  <c r="B345" i="40"/>
  <c r="G344" i="40"/>
  <c r="F344" i="40"/>
  <c r="E344" i="40"/>
  <c r="D344" i="40"/>
  <c r="B344" i="40"/>
  <c r="G343" i="40"/>
  <c r="F343" i="40"/>
  <c r="E343" i="40"/>
  <c r="D343" i="40"/>
  <c r="B343" i="40"/>
  <c r="G342" i="40"/>
  <c r="F342" i="40"/>
  <c r="E342" i="40"/>
  <c r="D342" i="40"/>
  <c r="B342" i="40"/>
  <c r="G341" i="40"/>
  <c r="F341" i="40"/>
  <c r="E341" i="40"/>
  <c r="D341" i="40"/>
  <c r="B341" i="40"/>
  <c r="G340" i="40"/>
  <c r="F340" i="40"/>
  <c r="E340" i="40"/>
  <c r="D340" i="40"/>
  <c r="B340" i="40"/>
  <c r="G339" i="40"/>
  <c r="F339" i="40"/>
  <c r="E339" i="40"/>
  <c r="D339" i="40"/>
  <c r="B339" i="40"/>
  <c r="G338" i="40"/>
  <c r="F338" i="40"/>
  <c r="E338" i="40"/>
  <c r="D338" i="40"/>
  <c r="B338" i="40"/>
  <c r="G337" i="40"/>
  <c r="F337" i="40"/>
  <c r="E337" i="40"/>
  <c r="D337" i="40"/>
  <c r="B337" i="40"/>
  <c r="G336" i="40"/>
  <c r="F336" i="40"/>
  <c r="E336" i="40"/>
  <c r="D336" i="40"/>
  <c r="B336" i="40"/>
  <c r="G335" i="40"/>
  <c r="F335" i="40"/>
  <c r="E335" i="40"/>
  <c r="D335" i="40"/>
  <c r="B335" i="40"/>
  <c r="G334" i="40"/>
  <c r="F334" i="40"/>
  <c r="E334" i="40"/>
  <c r="D334" i="40"/>
  <c r="B334" i="40"/>
  <c r="G333" i="40"/>
  <c r="F333" i="40"/>
  <c r="E333" i="40"/>
  <c r="D333" i="40"/>
  <c r="B333" i="40"/>
  <c r="G332" i="40"/>
  <c r="F332" i="40"/>
  <c r="E332" i="40"/>
  <c r="D332" i="40"/>
  <c r="B332" i="40"/>
  <c r="G331" i="40"/>
  <c r="F331" i="40"/>
  <c r="E331" i="40"/>
  <c r="D331" i="40"/>
  <c r="B331" i="40"/>
  <c r="G330" i="40"/>
  <c r="F330" i="40"/>
  <c r="E330" i="40"/>
  <c r="D330" i="40"/>
  <c r="B330" i="40"/>
  <c r="G329" i="40"/>
  <c r="F329" i="40"/>
  <c r="E329" i="40"/>
  <c r="D329" i="40"/>
  <c r="B329" i="40"/>
  <c r="G328" i="40"/>
  <c r="F328" i="40"/>
  <c r="E328" i="40"/>
  <c r="D328" i="40"/>
  <c r="B328" i="40"/>
  <c r="G327" i="40"/>
  <c r="F327" i="40"/>
  <c r="E327" i="40"/>
  <c r="D327" i="40"/>
  <c r="B327" i="40"/>
  <c r="G326" i="40"/>
  <c r="F326" i="40"/>
  <c r="E326" i="40"/>
  <c r="D326" i="40"/>
  <c r="B326" i="40"/>
  <c r="G325" i="40"/>
  <c r="F325" i="40"/>
  <c r="E325" i="40"/>
  <c r="D325" i="40"/>
  <c r="B325" i="40"/>
  <c r="G324" i="40"/>
  <c r="F324" i="40"/>
  <c r="E324" i="40"/>
  <c r="D324" i="40"/>
  <c r="B324" i="40"/>
  <c r="G323" i="40"/>
  <c r="F323" i="40"/>
  <c r="E323" i="40"/>
  <c r="D323" i="40"/>
  <c r="B323" i="40"/>
  <c r="G322" i="40"/>
  <c r="F322" i="40"/>
  <c r="E322" i="40"/>
  <c r="D322" i="40"/>
  <c r="B322" i="40"/>
  <c r="G321" i="40"/>
  <c r="F321" i="40"/>
  <c r="E321" i="40"/>
  <c r="D321" i="40"/>
  <c r="B321" i="40"/>
  <c r="G320" i="40"/>
  <c r="F320" i="40"/>
  <c r="E320" i="40"/>
  <c r="D320" i="40"/>
  <c r="B320" i="40"/>
  <c r="G319" i="40"/>
  <c r="F319" i="40"/>
  <c r="E319" i="40"/>
  <c r="D319" i="40"/>
  <c r="B319" i="40"/>
  <c r="G318" i="40"/>
  <c r="F318" i="40"/>
  <c r="E318" i="40"/>
  <c r="D318" i="40"/>
  <c r="B318" i="40"/>
  <c r="G317" i="40"/>
  <c r="F317" i="40"/>
  <c r="E317" i="40"/>
  <c r="D317" i="40"/>
  <c r="B317" i="40"/>
  <c r="G316" i="40"/>
  <c r="F316" i="40"/>
  <c r="E316" i="40"/>
  <c r="D316" i="40"/>
  <c r="B316" i="40"/>
  <c r="G315" i="40"/>
  <c r="F315" i="40"/>
  <c r="E315" i="40"/>
  <c r="D315" i="40"/>
  <c r="B315" i="40"/>
  <c r="G314" i="40"/>
  <c r="F314" i="40"/>
  <c r="E314" i="40"/>
  <c r="D314" i="40"/>
  <c r="B314" i="40"/>
  <c r="G313" i="40"/>
  <c r="F313" i="40"/>
  <c r="E313" i="40"/>
  <c r="D313" i="40"/>
  <c r="B313" i="40"/>
  <c r="G312" i="40"/>
  <c r="F312" i="40"/>
  <c r="E312" i="40"/>
  <c r="D312" i="40"/>
  <c r="B312" i="40"/>
  <c r="G311" i="40"/>
  <c r="F311" i="40"/>
  <c r="E311" i="40"/>
  <c r="D311" i="40"/>
  <c r="B311" i="40"/>
  <c r="G310" i="40"/>
  <c r="F310" i="40"/>
  <c r="E310" i="40"/>
  <c r="D310" i="40"/>
  <c r="B310" i="40"/>
  <c r="G309" i="40"/>
  <c r="F309" i="40"/>
  <c r="E309" i="40"/>
  <c r="D309" i="40"/>
  <c r="B309" i="40"/>
  <c r="G308" i="40"/>
  <c r="F308" i="40"/>
  <c r="E308" i="40"/>
  <c r="D308" i="40"/>
  <c r="B308" i="40"/>
  <c r="G307" i="40"/>
  <c r="F307" i="40"/>
  <c r="E307" i="40"/>
  <c r="D307" i="40"/>
  <c r="B307" i="40"/>
  <c r="G306" i="40"/>
  <c r="F306" i="40"/>
  <c r="E306" i="40"/>
  <c r="D306" i="40"/>
  <c r="B306" i="40"/>
  <c r="G305" i="40"/>
  <c r="F305" i="40"/>
  <c r="E305" i="40"/>
  <c r="D305" i="40"/>
  <c r="B305" i="40"/>
  <c r="G304" i="40"/>
  <c r="F304" i="40"/>
  <c r="E304" i="40"/>
  <c r="D304" i="40"/>
  <c r="B304" i="40"/>
  <c r="G303" i="40"/>
  <c r="F303" i="40"/>
  <c r="E303" i="40"/>
  <c r="D303" i="40"/>
  <c r="B303" i="40"/>
  <c r="G302" i="40"/>
  <c r="F302" i="40"/>
  <c r="E302" i="40"/>
  <c r="D302" i="40"/>
  <c r="B302" i="40"/>
  <c r="G301" i="40"/>
  <c r="F301" i="40"/>
  <c r="E301" i="40"/>
  <c r="D301" i="40"/>
  <c r="B301" i="40"/>
  <c r="G300" i="40"/>
  <c r="F300" i="40"/>
  <c r="E300" i="40"/>
  <c r="D300" i="40"/>
  <c r="B300" i="40"/>
  <c r="G299" i="40"/>
  <c r="F299" i="40"/>
  <c r="E299" i="40"/>
  <c r="D299" i="40"/>
  <c r="B299" i="40"/>
  <c r="G298" i="40"/>
  <c r="F298" i="40"/>
  <c r="E298" i="40"/>
  <c r="D298" i="40"/>
  <c r="B298" i="40"/>
  <c r="G297" i="40"/>
  <c r="F297" i="40"/>
  <c r="E297" i="40"/>
  <c r="D297" i="40"/>
  <c r="B297" i="40"/>
  <c r="G296" i="40"/>
  <c r="F296" i="40"/>
  <c r="E296" i="40"/>
  <c r="D296" i="40"/>
  <c r="B296" i="40"/>
  <c r="G295" i="40"/>
  <c r="F295" i="40"/>
  <c r="E295" i="40"/>
  <c r="D295" i="40"/>
  <c r="B295" i="40"/>
  <c r="G294" i="40"/>
  <c r="F294" i="40"/>
  <c r="E294" i="40"/>
  <c r="D294" i="40"/>
  <c r="B294" i="40"/>
  <c r="G293" i="40"/>
  <c r="F293" i="40"/>
  <c r="E293" i="40"/>
  <c r="D293" i="40"/>
  <c r="B293" i="40"/>
  <c r="G292" i="40"/>
  <c r="F292" i="40"/>
  <c r="E292" i="40"/>
  <c r="D292" i="40"/>
  <c r="B292" i="40"/>
  <c r="G291" i="40"/>
  <c r="F291" i="40"/>
  <c r="E291" i="40"/>
  <c r="D291" i="40"/>
  <c r="B291" i="40"/>
  <c r="G290" i="40"/>
  <c r="F290" i="40"/>
  <c r="E290" i="40"/>
  <c r="D290" i="40"/>
  <c r="B290" i="40"/>
  <c r="G289" i="40"/>
  <c r="F289" i="40"/>
  <c r="E289" i="40"/>
  <c r="D289" i="40"/>
  <c r="B289" i="40"/>
  <c r="G288" i="40"/>
  <c r="F288" i="40"/>
  <c r="E288" i="40"/>
  <c r="D288" i="40"/>
  <c r="B288" i="40"/>
  <c r="G287" i="40"/>
  <c r="F287" i="40"/>
  <c r="E287" i="40"/>
  <c r="D287" i="40"/>
  <c r="B287" i="40"/>
  <c r="G286" i="40"/>
  <c r="F286" i="40"/>
  <c r="E286" i="40"/>
  <c r="D286" i="40"/>
  <c r="B286" i="40"/>
  <c r="G285" i="40"/>
  <c r="F285" i="40"/>
  <c r="E285" i="40"/>
  <c r="D285" i="40"/>
  <c r="B285" i="40"/>
  <c r="G284" i="40"/>
  <c r="F284" i="40"/>
  <c r="E284" i="40"/>
  <c r="D284" i="40"/>
  <c r="B284" i="40"/>
  <c r="G283" i="40"/>
  <c r="F283" i="40"/>
  <c r="E283" i="40"/>
  <c r="D283" i="40"/>
  <c r="B283" i="40"/>
  <c r="G282" i="40"/>
  <c r="F282" i="40"/>
  <c r="E282" i="40"/>
  <c r="D282" i="40"/>
  <c r="B282" i="40"/>
  <c r="G281" i="40"/>
  <c r="F281" i="40"/>
  <c r="E281" i="40"/>
  <c r="D281" i="40"/>
  <c r="B281" i="40"/>
  <c r="G280" i="40"/>
  <c r="F280" i="40"/>
  <c r="E280" i="40"/>
  <c r="D280" i="40"/>
  <c r="B280" i="40"/>
  <c r="G279" i="40"/>
  <c r="F279" i="40"/>
  <c r="E279" i="40"/>
  <c r="D279" i="40"/>
  <c r="B279" i="40"/>
  <c r="G278" i="40"/>
  <c r="F278" i="40"/>
  <c r="E278" i="40"/>
  <c r="D278" i="40"/>
  <c r="B278" i="40"/>
  <c r="G277" i="40"/>
  <c r="F277" i="40"/>
  <c r="E277" i="40"/>
  <c r="D277" i="40"/>
  <c r="B277" i="40"/>
  <c r="G276" i="40"/>
  <c r="F276" i="40"/>
  <c r="E276" i="40"/>
  <c r="D276" i="40"/>
  <c r="B276" i="40"/>
  <c r="G275" i="40"/>
  <c r="F275" i="40"/>
  <c r="E275" i="40"/>
  <c r="D275" i="40"/>
  <c r="B275" i="40"/>
  <c r="G274" i="40"/>
  <c r="F274" i="40"/>
  <c r="E274" i="40"/>
  <c r="D274" i="40"/>
  <c r="B274" i="40"/>
  <c r="G273" i="40"/>
  <c r="F273" i="40"/>
  <c r="E273" i="40"/>
  <c r="D273" i="40"/>
  <c r="B273" i="40"/>
  <c r="G272" i="40"/>
  <c r="F272" i="40"/>
  <c r="E272" i="40"/>
  <c r="D272" i="40"/>
  <c r="B272" i="40"/>
  <c r="G271" i="40"/>
  <c r="F271" i="40"/>
  <c r="E271" i="40"/>
  <c r="D271" i="40"/>
  <c r="B271" i="40"/>
  <c r="G270" i="40"/>
  <c r="F270" i="40"/>
  <c r="E270" i="40"/>
  <c r="D270" i="40"/>
  <c r="B270" i="40"/>
  <c r="G269" i="40"/>
  <c r="F269" i="40"/>
  <c r="E269" i="40"/>
  <c r="D269" i="40"/>
  <c r="B269" i="40"/>
  <c r="G268" i="40"/>
  <c r="F268" i="40"/>
  <c r="E268" i="40"/>
  <c r="D268" i="40"/>
  <c r="B268" i="40"/>
  <c r="G267" i="40"/>
  <c r="F267" i="40"/>
  <c r="E267" i="40"/>
  <c r="D267" i="40"/>
  <c r="B267" i="40"/>
  <c r="G266" i="40"/>
  <c r="F266" i="40"/>
  <c r="E266" i="40"/>
  <c r="D266" i="40"/>
  <c r="B266" i="40"/>
  <c r="G265" i="40"/>
  <c r="F265" i="40"/>
  <c r="E265" i="40"/>
  <c r="D265" i="40"/>
  <c r="B265" i="40"/>
  <c r="G264" i="40"/>
  <c r="F264" i="40"/>
  <c r="E264" i="40"/>
  <c r="D264" i="40"/>
  <c r="B264" i="40"/>
  <c r="G263" i="40"/>
  <c r="F263" i="40"/>
  <c r="E263" i="40"/>
  <c r="D263" i="40"/>
  <c r="B263" i="40"/>
  <c r="G262" i="40"/>
  <c r="F262" i="40"/>
  <c r="E262" i="40"/>
  <c r="D262" i="40"/>
  <c r="B262" i="40"/>
  <c r="G261" i="40"/>
  <c r="F261" i="40"/>
  <c r="E261" i="40"/>
  <c r="D261" i="40"/>
  <c r="B261" i="40"/>
  <c r="G260" i="40"/>
  <c r="F260" i="40"/>
  <c r="E260" i="40"/>
  <c r="D260" i="40"/>
  <c r="B260" i="40"/>
  <c r="G259" i="40"/>
  <c r="F259" i="40"/>
  <c r="E259" i="40"/>
  <c r="D259" i="40"/>
  <c r="B259" i="40"/>
  <c r="G258" i="40"/>
  <c r="F258" i="40"/>
  <c r="E258" i="40"/>
  <c r="D258" i="40"/>
  <c r="B258" i="40"/>
  <c r="G257" i="40"/>
  <c r="F257" i="40"/>
  <c r="E257" i="40"/>
  <c r="D257" i="40"/>
  <c r="B257" i="40"/>
  <c r="G256" i="40"/>
  <c r="F256" i="40"/>
  <c r="E256" i="40"/>
  <c r="D256" i="40"/>
  <c r="B256" i="40"/>
  <c r="G255" i="40"/>
  <c r="F255" i="40"/>
  <c r="E255" i="40"/>
  <c r="D255" i="40"/>
  <c r="B255" i="40"/>
  <c r="G254" i="40"/>
  <c r="F254" i="40"/>
  <c r="E254" i="40"/>
  <c r="D254" i="40"/>
  <c r="B254" i="40"/>
  <c r="G253" i="40"/>
  <c r="F253" i="40"/>
  <c r="E253" i="40"/>
  <c r="D253" i="40"/>
  <c r="B253" i="40"/>
  <c r="G252" i="40"/>
  <c r="F252" i="40"/>
  <c r="E252" i="40"/>
  <c r="D252" i="40"/>
  <c r="B252" i="40"/>
  <c r="G251" i="40"/>
  <c r="F251" i="40"/>
  <c r="E251" i="40"/>
  <c r="D251" i="40"/>
  <c r="B251" i="40"/>
  <c r="G250" i="40"/>
  <c r="F250" i="40"/>
  <c r="E250" i="40"/>
  <c r="D250" i="40"/>
  <c r="B250" i="40"/>
  <c r="G249" i="40"/>
  <c r="F249" i="40"/>
  <c r="E249" i="40"/>
  <c r="D249" i="40"/>
  <c r="B249" i="40"/>
  <c r="G248" i="40"/>
  <c r="F248" i="40"/>
  <c r="E248" i="40"/>
  <c r="D248" i="40"/>
  <c r="B248" i="40"/>
  <c r="G247" i="40"/>
  <c r="F247" i="40"/>
  <c r="E247" i="40"/>
  <c r="D247" i="40"/>
  <c r="B247" i="40"/>
  <c r="G246" i="40"/>
  <c r="F246" i="40"/>
  <c r="E246" i="40"/>
  <c r="D246" i="40"/>
  <c r="B246" i="40"/>
  <c r="G245" i="40"/>
  <c r="F245" i="40"/>
  <c r="E245" i="40"/>
  <c r="D245" i="40"/>
  <c r="B245" i="40"/>
  <c r="G244" i="40"/>
  <c r="F244" i="40"/>
  <c r="E244" i="40"/>
  <c r="D244" i="40"/>
  <c r="B244" i="40"/>
  <c r="G243" i="40"/>
  <c r="F243" i="40"/>
  <c r="E243" i="40"/>
  <c r="D243" i="40"/>
  <c r="B243" i="40"/>
  <c r="G242" i="40"/>
  <c r="F242" i="40"/>
  <c r="E242" i="40"/>
  <c r="D242" i="40"/>
  <c r="B242" i="40"/>
  <c r="G241" i="40"/>
  <c r="F241" i="40"/>
  <c r="E241" i="40"/>
  <c r="D241" i="40"/>
  <c r="B241" i="40"/>
  <c r="G240" i="40"/>
  <c r="F240" i="40"/>
  <c r="E240" i="40"/>
  <c r="D240" i="40"/>
  <c r="B240" i="40"/>
  <c r="G239" i="40"/>
  <c r="F239" i="40"/>
  <c r="E239" i="40"/>
  <c r="D239" i="40"/>
  <c r="B239" i="40"/>
  <c r="G238" i="40"/>
  <c r="F238" i="40"/>
  <c r="E238" i="40"/>
  <c r="D238" i="40"/>
  <c r="B238" i="40"/>
  <c r="G237" i="40"/>
  <c r="F237" i="40"/>
  <c r="E237" i="40"/>
  <c r="D237" i="40"/>
  <c r="B237" i="40"/>
  <c r="G236" i="40"/>
  <c r="F236" i="40"/>
  <c r="E236" i="40"/>
  <c r="D236" i="40"/>
  <c r="B236" i="40"/>
  <c r="G235" i="40"/>
  <c r="F235" i="40"/>
  <c r="E235" i="40"/>
  <c r="D235" i="40"/>
  <c r="B235" i="40"/>
  <c r="G234" i="40"/>
  <c r="F234" i="40"/>
  <c r="E234" i="40"/>
  <c r="D234" i="40"/>
  <c r="B234" i="40"/>
  <c r="G233" i="40"/>
  <c r="F233" i="40"/>
  <c r="E233" i="40"/>
  <c r="D233" i="40"/>
  <c r="B233" i="40"/>
  <c r="G232" i="40"/>
  <c r="F232" i="40"/>
  <c r="E232" i="40"/>
  <c r="D232" i="40"/>
  <c r="B232" i="40"/>
  <c r="G231" i="40"/>
  <c r="F231" i="40"/>
  <c r="E231" i="40"/>
  <c r="D231" i="40"/>
  <c r="B231" i="40"/>
  <c r="G230" i="40"/>
  <c r="F230" i="40"/>
  <c r="E230" i="40"/>
  <c r="D230" i="40"/>
  <c r="B230" i="40"/>
  <c r="G229" i="40"/>
  <c r="F229" i="40"/>
  <c r="E229" i="40"/>
  <c r="D229" i="40"/>
  <c r="B229" i="40"/>
  <c r="G228" i="40"/>
  <c r="F228" i="40"/>
  <c r="E228" i="40"/>
  <c r="D228" i="40"/>
  <c r="B228" i="40"/>
  <c r="G227" i="40"/>
  <c r="F227" i="40"/>
  <c r="E227" i="40"/>
  <c r="D227" i="40"/>
  <c r="B227" i="40"/>
  <c r="G226" i="40"/>
  <c r="F226" i="40"/>
  <c r="E226" i="40"/>
  <c r="D226" i="40"/>
  <c r="B226" i="40"/>
  <c r="G225" i="40"/>
  <c r="F225" i="40"/>
  <c r="E225" i="40"/>
  <c r="D225" i="40"/>
  <c r="B225" i="40"/>
  <c r="G224" i="40"/>
  <c r="F224" i="40"/>
  <c r="E224" i="40"/>
  <c r="D224" i="40"/>
  <c r="B224" i="40"/>
  <c r="G223" i="40"/>
  <c r="F223" i="40"/>
  <c r="E223" i="40"/>
  <c r="D223" i="40"/>
  <c r="B223" i="40"/>
  <c r="G222" i="40"/>
  <c r="F222" i="40"/>
  <c r="E222" i="40"/>
  <c r="D222" i="40"/>
  <c r="B222" i="40"/>
  <c r="G221" i="40"/>
  <c r="F221" i="40"/>
  <c r="E221" i="40"/>
  <c r="D221" i="40"/>
  <c r="B221" i="40"/>
  <c r="G220" i="40"/>
  <c r="F220" i="40"/>
  <c r="E220" i="40"/>
  <c r="D220" i="40"/>
  <c r="B220" i="40"/>
  <c r="G219" i="40"/>
  <c r="F219" i="40"/>
  <c r="E219" i="40"/>
  <c r="D219" i="40"/>
  <c r="B219" i="40"/>
  <c r="G218" i="40"/>
  <c r="F218" i="40"/>
  <c r="E218" i="40"/>
  <c r="D218" i="40"/>
  <c r="B218" i="40"/>
  <c r="G217" i="40"/>
  <c r="F217" i="40"/>
  <c r="E217" i="40"/>
  <c r="D217" i="40"/>
  <c r="B217" i="40"/>
  <c r="G216" i="40"/>
  <c r="F216" i="40"/>
  <c r="E216" i="40"/>
  <c r="D216" i="40"/>
  <c r="B216" i="40"/>
  <c r="G215" i="40"/>
  <c r="F215" i="40"/>
  <c r="E215" i="40"/>
  <c r="D215" i="40"/>
  <c r="B215" i="40"/>
  <c r="G214" i="40"/>
  <c r="F214" i="40"/>
  <c r="E214" i="40"/>
  <c r="D214" i="40"/>
  <c r="B214" i="40"/>
  <c r="G213" i="40"/>
  <c r="F213" i="40"/>
  <c r="E213" i="40"/>
  <c r="D213" i="40"/>
  <c r="B213" i="40"/>
  <c r="G212" i="40"/>
  <c r="F212" i="40"/>
  <c r="E212" i="40"/>
  <c r="D212" i="40"/>
  <c r="B212" i="40"/>
  <c r="G211" i="40"/>
  <c r="F211" i="40"/>
  <c r="E211" i="40"/>
  <c r="D211" i="40"/>
  <c r="B211" i="40"/>
  <c r="G210" i="40"/>
  <c r="F210" i="40"/>
  <c r="E210" i="40"/>
  <c r="D210" i="40"/>
  <c r="B210" i="40"/>
  <c r="G209" i="40"/>
  <c r="F209" i="40"/>
  <c r="E209" i="40"/>
  <c r="D209" i="40"/>
  <c r="B209" i="40"/>
  <c r="G208" i="40"/>
  <c r="F208" i="40"/>
  <c r="E208" i="40"/>
  <c r="D208" i="40"/>
  <c r="B208" i="40"/>
  <c r="G207" i="40"/>
  <c r="F207" i="40"/>
  <c r="E207" i="40"/>
  <c r="D207" i="40"/>
  <c r="B207" i="40"/>
  <c r="G206" i="40"/>
  <c r="F206" i="40"/>
  <c r="E206" i="40"/>
  <c r="D206" i="40"/>
  <c r="B206" i="40"/>
  <c r="G205" i="40"/>
  <c r="F205" i="40"/>
  <c r="E205" i="40"/>
  <c r="D205" i="40"/>
  <c r="B205" i="40"/>
  <c r="G204" i="40"/>
  <c r="F204" i="40"/>
  <c r="E204" i="40"/>
  <c r="D204" i="40"/>
  <c r="B204" i="40"/>
  <c r="G203" i="40"/>
  <c r="F203" i="40"/>
  <c r="E203" i="40"/>
  <c r="D203" i="40"/>
  <c r="B203" i="40"/>
  <c r="G202" i="40"/>
  <c r="F202" i="40"/>
  <c r="E202" i="40"/>
  <c r="D202" i="40"/>
  <c r="B202" i="40"/>
  <c r="G201" i="40"/>
  <c r="F201" i="40"/>
  <c r="E201" i="40"/>
  <c r="D201" i="40"/>
  <c r="B201" i="40"/>
  <c r="G200" i="40"/>
  <c r="F200" i="40"/>
  <c r="E200" i="40"/>
  <c r="D200" i="40"/>
  <c r="B200" i="40"/>
  <c r="G199" i="40"/>
  <c r="F199" i="40"/>
  <c r="E199" i="40"/>
  <c r="D199" i="40"/>
  <c r="B199" i="40"/>
  <c r="G198" i="40"/>
  <c r="F198" i="40"/>
  <c r="E198" i="40"/>
  <c r="D198" i="40"/>
  <c r="B198" i="40"/>
  <c r="G197" i="40"/>
  <c r="F197" i="40"/>
  <c r="E197" i="40"/>
  <c r="D197" i="40"/>
  <c r="B197" i="40"/>
  <c r="G196" i="40"/>
  <c r="F196" i="40"/>
  <c r="E196" i="40"/>
  <c r="D196" i="40"/>
  <c r="B196" i="40"/>
  <c r="G195" i="40"/>
  <c r="F195" i="40"/>
  <c r="E195" i="40"/>
  <c r="D195" i="40"/>
  <c r="B195" i="40"/>
  <c r="G194" i="40"/>
  <c r="F194" i="40"/>
  <c r="E194" i="40"/>
  <c r="D194" i="40"/>
  <c r="B194" i="40"/>
  <c r="G193" i="40"/>
  <c r="F193" i="40"/>
  <c r="E193" i="40"/>
  <c r="D193" i="40"/>
  <c r="B193" i="40"/>
  <c r="G192" i="40"/>
  <c r="F192" i="40"/>
  <c r="E192" i="40"/>
  <c r="D192" i="40"/>
  <c r="B192" i="40"/>
  <c r="G191" i="40"/>
  <c r="F191" i="40"/>
  <c r="E191" i="40"/>
  <c r="D191" i="40"/>
  <c r="B191" i="40"/>
  <c r="G190" i="40"/>
  <c r="F190" i="40"/>
  <c r="E190" i="40"/>
  <c r="D190" i="40"/>
  <c r="B190" i="40"/>
  <c r="G189" i="40"/>
  <c r="F189" i="40"/>
  <c r="E189" i="40"/>
  <c r="D189" i="40"/>
  <c r="B189" i="40"/>
  <c r="G188" i="40"/>
  <c r="F188" i="40"/>
  <c r="E188" i="40"/>
  <c r="D188" i="40"/>
  <c r="B188" i="40"/>
  <c r="G187" i="40"/>
  <c r="F187" i="40"/>
  <c r="E187" i="40"/>
  <c r="D187" i="40"/>
  <c r="B187" i="40"/>
  <c r="G186" i="40"/>
  <c r="F186" i="40"/>
  <c r="E186" i="40"/>
  <c r="D186" i="40"/>
  <c r="B186" i="40"/>
  <c r="G185" i="40"/>
  <c r="F185" i="40"/>
  <c r="E185" i="40"/>
  <c r="D185" i="40"/>
  <c r="B185" i="40"/>
  <c r="G184" i="40"/>
  <c r="F184" i="40"/>
  <c r="E184" i="40"/>
  <c r="D184" i="40"/>
  <c r="B184" i="40"/>
  <c r="G183" i="40"/>
  <c r="F183" i="40"/>
  <c r="E183" i="40"/>
  <c r="D183" i="40"/>
  <c r="B183" i="40"/>
  <c r="G182" i="40"/>
  <c r="F182" i="40"/>
  <c r="E182" i="40"/>
  <c r="D182" i="40"/>
  <c r="B182" i="40"/>
  <c r="G181" i="40"/>
  <c r="F181" i="40"/>
  <c r="E181" i="40"/>
  <c r="D181" i="40"/>
  <c r="B181" i="40"/>
  <c r="G180" i="40"/>
  <c r="F180" i="40"/>
  <c r="E180" i="40"/>
  <c r="D180" i="40"/>
  <c r="B180" i="40"/>
  <c r="G179" i="40"/>
  <c r="F179" i="40"/>
  <c r="E179" i="40"/>
  <c r="D179" i="40"/>
  <c r="B179" i="40"/>
  <c r="G178" i="40"/>
  <c r="F178" i="40"/>
  <c r="E178" i="40"/>
  <c r="D178" i="40"/>
  <c r="B178" i="40"/>
  <c r="G177" i="40"/>
  <c r="F177" i="40"/>
  <c r="E177" i="40"/>
  <c r="D177" i="40"/>
  <c r="B177" i="40"/>
  <c r="G176" i="40"/>
  <c r="F176" i="40"/>
  <c r="E176" i="40"/>
  <c r="D176" i="40"/>
  <c r="B176" i="40"/>
  <c r="G175" i="40"/>
  <c r="F175" i="40"/>
  <c r="E175" i="40"/>
  <c r="D175" i="40"/>
  <c r="B175" i="40"/>
  <c r="G174" i="40"/>
  <c r="F174" i="40"/>
  <c r="E174" i="40"/>
  <c r="D174" i="40"/>
  <c r="B174" i="40"/>
  <c r="G173" i="40"/>
  <c r="F173" i="40"/>
  <c r="E173" i="40"/>
  <c r="D173" i="40"/>
  <c r="B173" i="40"/>
  <c r="G172" i="40"/>
  <c r="F172" i="40"/>
  <c r="E172" i="40"/>
  <c r="D172" i="40"/>
  <c r="B172" i="40"/>
  <c r="G171" i="40"/>
  <c r="F171" i="40"/>
  <c r="E171" i="40"/>
  <c r="D171" i="40"/>
  <c r="B171" i="40"/>
  <c r="G170" i="40"/>
  <c r="F170" i="40"/>
  <c r="E170" i="40"/>
  <c r="D170" i="40"/>
  <c r="B170" i="40"/>
  <c r="G169" i="40"/>
  <c r="F169" i="40"/>
  <c r="E169" i="40"/>
  <c r="D169" i="40"/>
  <c r="B169" i="40"/>
  <c r="G168" i="40"/>
  <c r="F168" i="40"/>
  <c r="E168" i="40"/>
  <c r="D168" i="40"/>
  <c r="B168" i="40"/>
  <c r="G167" i="40"/>
  <c r="F167" i="40"/>
  <c r="E167" i="40"/>
  <c r="D167" i="40"/>
  <c r="B167" i="40"/>
  <c r="G166" i="40"/>
  <c r="F166" i="40"/>
  <c r="E166" i="40"/>
  <c r="D166" i="40"/>
  <c r="B166" i="40"/>
  <c r="G165" i="40"/>
  <c r="F165" i="40"/>
  <c r="E165" i="40"/>
  <c r="D165" i="40"/>
  <c r="B165" i="40"/>
  <c r="G164" i="40"/>
  <c r="F164" i="40"/>
  <c r="E164" i="40"/>
  <c r="D164" i="40"/>
  <c r="B164" i="40"/>
  <c r="G163" i="40"/>
  <c r="F163" i="40"/>
  <c r="E163" i="40"/>
  <c r="D163" i="40"/>
  <c r="B163" i="40"/>
  <c r="G162" i="40"/>
  <c r="F162" i="40"/>
  <c r="E162" i="40"/>
  <c r="D162" i="40"/>
  <c r="B162" i="40"/>
  <c r="G161" i="40"/>
  <c r="F161" i="40"/>
  <c r="E161" i="40"/>
  <c r="D161" i="40"/>
  <c r="B161" i="40"/>
  <c r="G160" i="40"/>
  <c r="F160" i="40"/>
  <c r="E160" i="40"/>
  <c r="D160" i="40"/>
  <c r="B160" i="40"/>
  <c r="G159" i="40"/>
  <c r="F159" i="40"/>
  <c r="E159" i="40"/>
  <c r="D159" i="40"/>
  <c r="B159" i="40"/>
  <c r="G158" i="40"/>
  <c r="F158" i="40"/>
  <c r="E158" i="40"/>
  <c r="D158" i="40"/>
  <c r="B158" i="40"/>
  <c r="G157" i="40"/>
  <c r="F157" i="40"/>
  <c r="E157" i="40"/>
  <c r="D157" i="40"/>
  <c r="B157" i="40"/>
  <c r="G156" i="40"/>
  <c r="F156" i="40"/>
  <c r="E156" i="40"/>
  <c r="D156" i="40"/>
  <c r="B156" i="40"/>
  <c r="G155" i="40"/>
  <c r="F155" i="40"/>
  <c r="E155" i="40"/>
  <c r="D155" i="40"/>
  <c r="B155" i="40"/>
  <c r="G154" i="40"/>
  <c r="F154" i="40"/>
  <c r="E154" i="40"/>
  <c r="D154" i="40"/>
  <c r="B154" i="40"/>
  <c r="G153" i="40"/>
  <c r="F153" i="40"/>
  <c r="E153" i="40"/>
  <c r="D153" i="40"/>
  <c r="B153" i="40"/>
  <c r="G152" i="40"/>
  <c r="F152" i="40"/>
  <c r="E152" i="40"/>
  <c r="D152" i="40"/>
  <c r="B152" i="40"/>
  <c r="G151" i="40"/>
  <c r="F151" i="40"/>
  <c r="E151" i="40"/>
  <c r="D151" i="40"/>
  <c r="B151" i="40"/>
  <c r="G150" i="40"/>
  <c r="F150" i="40"/>
  <c r="E150" i="40"/>
  <c r="D150" i="40"/>
  <c r="B150" i="40"/>
  <c r="G149" i="40"/>
  <c r="F149" i="40"/>
  <c r="E149" i="40"/>
  <c r="D149" i="40"/>
  <c r="B149" i="40"/>
  <c r="G148" i="40"/>
  <c r="F148" i="40"/>
  <c r="E148" i="40"/>
  <c r="D148" i="40"/>
  <c r="B148" i="40"/>
  <c r="G147" i="40"/>
  <c r="F147" i="40"/>
  <c r="E147" i="40"/>
  <c r="D147" i="40"/>
  <c r="B147" i="40"/>
  <c r="G146" i="40"/>
  <c r="F146" i="40"/>
  <c r="E146" i="40"/>
  <c r="D146" i="40"/>
  <c r="B146" i="40"/>
  <c r="G145" i="40"/>
  <c r="F145" i="40"/>
  <c r="E145" i="40"/>
  <c r="D145" i="40"/>
  <c r="B145" i="40"/>
  <c r="G144" i="40"/>
  <c r="F144" i="40"/>
  <c r="E144" i="40"/>
  <c r="D144" i="40"/>
  <c r="B144" i="40"/>
  <c r="G143" i="40"/>
  <c r="F143" i="40"/>
  <c r="E143" i="40"/>
  <c r="D143" i="40"/>
  <c r="B143" i="40"/>
  <c r="G142" i="40"/>
  <c r="F142" i="40"/>
  <c r="E142" i="40"/>
  <c r="D142" i="40"/>
  <c r="B142" i="40"/>
  <c r="G141" i="40"/>
  <c r="F141" i="40"/>
  <c r="E141" i="40"/>
  <c r="D141" i="40"/>
  <c r="B141" i="40"/>
  <c r="G140" i="40"/>
  <c r="F140" i="40"/>
  <c r="E140" i="40"/>
  <c r="D140" i="40"/>
  <c r="B140" i="40"/>
  <c r="G139" i="40"/>
  <c r="F139" i="40"/>
  <c r="E139" i="40"/>
  <c r="D139" i="40"/>
  <c r="B139" i="40"/>
  <c r="G138" i="40"/>
  <c r="F138" i="40"/>
  <c r="E138" i="40"/>
  <c r="D138" i="40"/>
  <c r="B138" i="40"/>
  <c r="G137" i="40"/>
  <c r="F137" i="40"/>
  <c r="E137" i="40"/>
  <c r="D137" i="40"/>
  <c r="B137" i="40"/>
  <c r="G136" i="40"/>
  <c r="F136" i="40"/>
  <c r="E136" i="40"/>
  <c r="D136" i="40"/>
  <c r="B136" i="40"/>
  <c r="G135" i="40"/>
  <c r="F135" i="40"/>
  <c r="E135" i="40"/>
  <c r="D135" i="40"/>
  <c r="B135" i="40"/>
  <c r="G134" i="40"/>
  <c r="F134" i="40"/>
  <c r="E134" i="40"/>
  <c r="D134" i="40"/>
  <c r="B134" i="40"/>
  <c r="G133" i="40"/>
  <c r="F133" i="40"/>
  <c r="E133" i="40"/>
  <c r="D133" i="40"/>
  <c r="B133" i="40"/>
  <c r="G132" i="40"/>
  <c r="F132" i="40"/>
  <c r="E132" i="40"/>
  <c r="D132" i="40"/>
  <c r="B132" i="40"/>
  <c r="G131" i="40"/>
  <c r="F131" i="40"/>
  <c r="E131" i="40"/>
  <c r="D131" i="40"/>
  <c r="B131" i="40"/>
  <c r="G130" i="40"/>
  <c r="F130" i="40"/>
  <c r="E130" i="40"/>
  <c r="D130" i="40"/>
  <c r="B130" i="40"/>
  <c r="G129" i="40"/>
  <c r="F129" i="40"/>
  <c r="E129" i="40"/>
  <c r="D129" i="40"/>
  <c r="B129" i="40"/>
  <c r="G128" i="40"/>
  <c r="F128" i="40"/>
  <c r="E128" i="40"/>
  <c r="D128" i="40"/>
  <c r="B128" i="40"/>
  <c r="G127" i="40"/>
  <c r="F127" i="40"/>
  <c r="E127" i="40"/>
  <c r="D127" i="40"/>
  <c r="B127" i="40"/>
  <c r="G126" i="40"/>
  <c r="F126" i="40"/>
  <c r="E126" i="40"/>
  <c r="D126" i="40"/>
  <c r="B126" i="40"/>
  <c r="G125" i="40"/>
  <c r="F125" i="40"/>
  <c r="E125" i="40"/>
  <c r="D125" i="40"/>
  <c r="B125" i="40"/>
  <c r="G124" i="40"/>
  <c r="F124" i="40"/>
  <c r="E124" i="40"/>
  <c r="D124" i="40"/>
  <c r="B124" i="40"/>
  <c r="G123" i="40"/>
  <c r="F123" i="40"/>
  <c r="E123" i="40"/>
  <c r="D123" i="40"/>
  <c r="B123" i="40"/>
  <c r="G122" i="40"/>
  <c r="F122" i="40"/>
  <c r="E122" i="40"/>
  <c r="D122" i="40"/>
  <c r="B122" i="40"/>
  <c r="G121" i="40"/>
  <c r="F121" i="40"/>
  <c r="E121" i="40"/>
  <c r="D121" i="40"/>
  <c r="B121" i="40"/>
  <c r="G120" i="40"/>
  <c r="F120" i="40"/>
  <c r="E120" i="40"/>
  <c r="D120" i="40"/>
  <c r="B120" i="40"/>
  <c r="G119" i="40"/>
  <c r="F119" i="40"/>
  <c r="E119" i="40"/>
  <c r="D119" i="40"/>
  <c r="B119" i="40"/>
  <c r="G118" i="40"/>
  <c r="F118" i="40"/>
  <c r="E118" i="40"/>
  <c r="D118" i="40"/>
  <c r="B118" i="40"/>
  <c r="G117" i="40"/>
  <c r="F117" i="40"/>
  <c r="E117" i="40"/>
  <c r="D117" i="40"/>
  <c r="B117" i="40"/>
  <c r="G116" i="40"/>
  <c r="F116" i="40"/>
  <c r="E116" i="40"/>
  <c r="D116" i="40"/>
  <c r="B116" i="40"/>
  <c r="G115" i="40"/>
  <c r="F115" i="40"/>
  <c r="E115" i="40"/>
  <c r="D115" i="40"/>
  <c r="B115" i="40"/>
  <c r="G114" i="40"/>
  <c r="F114" i="40"/>
  <c r="E114" i="40"/>
  <c r="D114" i="40"/>
  <c r="B114" i="40"/>
  <c r="G113" i="40"/>
  <c r="F113" i="40"/>
  <c r="E113" i="40"/>
  <c r="D113" i="40"/>
  <c r="B113" i="40"/>
  <c r="G112" i="40"/>
  <c r="F112" i="40"/>
  <c r="E112" i="40"/>
  <c r="D112" i="40"/>
  <c r="B112" i="40"/>
  <c r="G111" i="40"/>
  <c r="F111" i="40"/>
  <c r="E111" i="40"/>
  <c r="D111" i="40"/>
  <c r="B111" i="40"/>
  <c r="G110" i="40"/>
  <c r="F110" i="40"/>
  <c r="E110" i="40"/>
  <c r="D110" i="40"/>
  <c r="B110" i="40"/>
  <c r="G109" i="40"/>
  <c r="F109" i="40"/>
  <c r="E109" i="40"/>
  <c r="D109" i="40"/>
  <c r="B109" i="40"/>
  <c r="G108" i="40"/>
  <c r="F108" i="40"/>
  <c r="E108" i="40"/>
  <c r="D108" i="40"/>
  <c r="B108" i="40"/>
  <c r="G107" i="40"/>
  <c r="F107" i="40"/>
  <c r="E107" i="40"/>
  <c r="D107" i="40"/>
  <c r="B107" i="40"/>
  <c r="G106" i="40"/>
  <c r="F106" i="40"/>
  <c r="E106" i="40"/>
  <c r="D106" i="40"/>
  <c r="B106" i="40"/>
  <c r="G105" i="40"/>
  <c r="F105" i="40"/>
  <c r="E105" i="40"/>
  <c r="D105" i="40"/>
  <c r="B105" i="40"/>
  <c r="G104" i="40"/>
  <c r="F104" i="40"/>
  <c r="E104" i="40"/>
  <c r="D104" i="40"/>
  <c r="B104" i="40"/>
  <c r="G103" i="40"/>
  <c r="F103" i="40"/>
  <c r="E103" i="40"/>
  <c r="D103" i="40"/>
  <c r="B103" i="40"/>
  <c r="G102" i="40"/>
  <c r="F102" i="40"/>
  <c r="E102" i="40"/>
  <c r="D102" i="40"/>
  <c r="B102" i="40"/>
  <c r="G101" i="40"/>
  <c r="F101" i="40"/>
  <c r="E101" i="40"/>
  <c r="D101" i="40"/>
  <c r="B101" i="40"/>
  <c r="G100" i="40"/>
  <c r="F100" i="40"/>
  <c r="E100" i="40"/>
  <c r="D100" i="40"/>
  <c r="B100" i="40"/>
  <c r="G99" i="40"/>
  <c r="F99" i="40"/>
  <c r="E99" i="40"/>
  <c r="D99" i="40"/>
  <c r="B99" i="40"/>
  <c r="G98" i="40"/>
  <c r="F98" i="40"/>
  <c r="E98" i="40"/>
  <c r="D98" i="40"/>
  <c r="B98" i="40"/>
  <c r="G97" i="40"/>
  <c r="F97" i="40"/>
  <c r="E97" i="40"/>
  <c r="D97" i="40"/>
  <c r="B97" i="40"/>
  <c r="G96" i="40"/>
  <c r="F96" i="40"/>
  <c r="E96" i="40"/>
  <c r="D96" i="40"/>
  <c r="B96" i="40"/>
  <c r="G95" i="40"/>
  <c r="F95" i="40"/>
  <c r="E95" i="40"/>
  <c r="D95" i="40"/>
  <c r="B95" i="40"/>
  <c r="G94" i="40"/>
  <c r="F94" i="40"/>
  <c r="E94" i="40"/>
  <c r="D94" i="40"/>
  <c r="B94" i="40"/>
  <c r="G93" i="40"/>
  <c r="F93" i="40"/>
  <c r="E93" i="40"/>
  <c r="D93" i="40"/>
  <c r="B93" i="40"/>
  <c r="G92" i="40"/>
  <c r="F92" i="40"/>
  <c r="E92" i="40"/>
  <c r="D92" i="40"/>
  <c r="B92" i="40"/>
  <c r="G91" i="40"/>
  <c r="F91" i="40"/>
  <c r="E91" i="40"/>
  <c r="D91" i="40"/>
  <c r="B91" i="40"/>
  <c r="G90" i="40"/>
  <c r="F90" i="40"/>
  <c r="E90" i="40"/>
  <c r="D90" i="40"/>
  <c r="B90" i="40"/>
  <c r="G89" i="40"/>
  <c r="F89" i="40"/>
  <c r="E89" i="40"/>
  <c r="D89" i="40"/>
  <c r="B89" i="40"/>
  <c r="G88" i="40"/>
  <c r="F88" i="40"/>
  <c r="E88" i="40"/>
  <c r="D88" i="40"/>
  <c r="B88" i="40"/>
  <c r="G87" i="40"/>
  <c r="F87" i="40"/>
  <c r="E87" i="40"/>
  <c r="D87" i="40"/>
  <c r="B87" i="40"/>
  <c r="G86" i="40"/>
  <c r="F86" i="40"/>
  <c r="E86" i="40"/>
  <c r="D86" i="40"/>
  <c r="B86" i="40"/>
  <c r="G85" i="40"/>
  <c r="F85" i="40"/>
  <c r="E85" i="40"/>
  <c r="D85" i="40"/>
  <c r="B85" i="40"/>
  <c r="G84" i="40"/>
  <c r="F84" i="40"/>
  <c r="E84" i="40"/>
  <c r="D84" i="40"/>
  <c r="B84" i="40"/>
  <c r="G83" i="40"/>
  <c r="F83" i="40"/>
  <c r="E83" i="40"/>
  <c r="D83" i="40"/>
  <c r="B83" i="40"/>
  <c r="G82" i="40"/>
  <c r="F82" i="40"/>
  <c r="E82" i="40"/>
  <c r="D82" i="40"/>
  <c r="B82" i="40"/>
  <c r="G81" i="40"/>
  <c r="F81" i="40"/>
  <c r="E81" i="40"/>
  <c r="D81" i="40"/>
  <c r="B81" i="40"/>
  <c r="G80" i="40"/>
  <c r="F80" i="40"/>
  <c r="E80" i="40"/>
  <c r="D80" i="40"/>
  <c r="B80" i="40"/>
  <c r="G79" i="40"/>
  <c r="F79" i="40"/>
  <c r="E79" i="40"/>
  <c r="D79" i="40"/>
  <c r="B79" i="40"/>
  <c r="G78" i="40"/>
  <c r="F78" i="40"/>
  <c r="E78" i="40"/>
  <c r="D78" i="40"/>
  <c r="B78" i="40"/>
  <c r="G77" i="40"/>
  <c r="F77" i="40"/>
  <c r="E77" i="40"/>
  <c r="D77" i="40"/>
  <c r="B77" i="40"/>
  <c r="G76" i="40"/>
  <c r="F76" i="40"/>
  <c r="E76" i="40"/>
  <c r="D76" i="40"/>
  <c r="B76" i="40"/>
  <c r="G75" i="40"/>
  <c r="F75" i="40"/>
  <c r="E75" i="40"/>
  <c r="D75" i="40"/>
  <c r="B75" i="40"/>
  <c r="G74" i="40"/>
  <c r="F74" i="40"/>
  <c r="E74" i="40"/>
  <c r="D74" i="40"/>
  <c r="B74" i="40"/>
  <c r="G73" i="40"/>
  <c r="F73" i="40"/>
  <c r="E73" i="40"/>
  <c r="D73" i="40"/>
  <c r="B73" i="40"/>
  <c r="G72" i="40"/>
  <c r="F72" i="40"/>
  <c r="E72" i="40"/>
  <c r="D72" i="40"/>
  <c r="B72" i="40"/>
  <c r="G71" i="40"/>
  <c r="F71" i="40"/>
  <c r="E71" i="40"/>
  <c r="D71" i="40"/>
  <c r="B71" i="40"/>
  <c r="G70" i="40"/>
  <c r="F70" i="40"/>
  <c r="E70" i="40"/>
  <c r="D70" i="40"/>
  <c r="B70" i="40"/>
  <c r="G69" i="40"/>
  <c r="F69" i="40"/>
  <c r="E69" i="40"/>
  <c r="D69" i="40"/>
  <c r="B69" i="40"/>
  <c r="G68" i="40"/>
  <c r="F68" i="40"/>
  <c r="E68" i="40"/>
  <c r="D68" i="40"/>
  <c r="B68" i="40"/>
  <c r="G67" i="40"/>
  <c r="F67" i="40"/>
  <c r="E67" i="40"/>
  <c r="D67" i="40"/>
  <c r="B67" i="40"/>
  <c r="G66" i="40"/>
  <c r="F66" i="40"/>
  <c r="E66" i="40"/>
  <c r="D66" i="40"/>
  <c r="B66" i="40"/>
  <c r="G65" i="40"/>
  <c r="F65" i="40"/>
  <c r="E65" i="40"/>
  <c r="D65" i="40"/>
  <c r="B65" i="40"/>
  <c r="G64" i="40"/>
  <c r="F64" i="40"/>
  <c r="E64" i="40"/>
  <c r="D64" i="40"/>
  <c r="B64" i="40"/>
  <c r="G63" i="40"/>
  <c r="F63" i="40"/>
  <c r="E63" i="40"/>
  <c r="D63" i="40"/>
  <c r="B63" i="40"/>
  <c r="G62" i="40"/>
  <c r="F62" i="40"/>
  <c r="E62" i="40"/>
  <c r="D62" i="40"/>
  <c r="B62" i="40"/>
  <c r="G61" i="40"/>
  <c r="F61" i="40"/>
  <c r="E61" i="40"/>
  <c r="D61" i="40"/>
  <c r="B61" i="40"/>
  <c r="G60" i="40"/>
  <c r="F60" i="40"/>
  <c r="E60" i="40"/>
  <c r="D60" i="40"/>
  <c r="B60" i="40"/>
  <c r="G59" i="40"/>
  <c r="F59" i="40"/>
  <c r="E59" i="40"/>
  <c r="D59" i="40"/>
  <c r="B59" i="40"/>
  <c r="G58" i="40"/>
  <c r="F58" i="40"/>
  <c r="E58" i="40"/>
  <c r="D58" i="40"/>
  <c r="B58" i="40"/>
  <c r="G57" i="40"/>
  <c r="F57" i="40"/>
  <c r="E57" i="40"/>
  <c r="D57" i="40"/>
  <c r="B57" i="40"/>
  <c r="G56" i="40"/>
  <c r="F56" i="40"/>
  <c r="E56" i="40"/>
  <c r="D56" i="40"/>
  <c r="B56" i="40"/>
  <c r="G55" i="40"/>
  <c r="F55" i="40"/>
  <c r="E55" i="40"/>
  <c r="D55" i="40"/>
  <c r="B55" i="40"/>
  <c r="G54" i="40"/>
  <c r="F54" i="40"/>
  <c r="E54" i="40"/>
  <c r="D54" i="40"/>
  <c r="B54" i="40"/>
  <c r="G53" i="40"/>
  <c r="F53" i="40"/>
  <c r="E53" i="40"/>
  <c r="D53" i="40"/>
  <c r="B53" i="40"/>
  <c r="G52" i="40"/>
  <c r="F52" i="40"/>
  <c r="E52" i="40"/>
  <c r="D52" i="40"/>
  <c r="B52" i="40"/>
  <c r="G51" i="40"/>
  <c r="F51" i="40"/>
  <c r="E51" i="40"/>
  <c r="D51" i="40"/>
  <c r="B51" i="40"/>
  <c r="G50" i="40"/>
  <c r="F50" i="40"/>
  <c r="E50" i="40"/>
  <c r="D50" i="40"/>
  <c r="B50" i="40"/>
  <c r="G49" i="40"/>
  <c r="F49" i="40"/>
  <c r="E49" i="40"/>
  <c r="D49" i="40"/>
  <c r="B49" i="40"/>
  <c r="G48" i="40"/>
  <c r="F48" i="40"/>
  <c r="E48" i="40"/>
  <c r="D48" i="40"/>
  <c r="B48" i="40"/>
  <c r="G47" i="40"/>
  <c r="F47" i="40"/>
  <c r="E47" i="40"/>
  <c r="D47" i="40"/>
  <c r="B47" i="40"/>
  <c r="G46" i="40"/>
  <c r="F46" i="40"/>
  <c r="E46" i="40"/>
  <c r="D46" i="40"/>
  <c r="B46" i="40"/>
  <c r="G45" i="40"/>
  <c r="F45" i="40"/>
  <c r="E45" i="40"/>
  <c r="D45" i="40"/>
  <c r="B45" i="40"/>
  <c r="G44" i="40"/>
  <c r="F44" i="40"/>
  <c r="E44" i="40"/>
  <c r="D44" i="40"/>
  <c r="B44" i="40"/>
  <c r="G43" i="40"/>
  <c r="F43" i="40"/>
  <c r="E43" i="40"/>
  <c r="D43" i="40"/>
  <c r="B43" i="40"/>
  <c r="G42" i="40"/>
  <c r="F42" i="40"/>
  <c r="E42" i="40"/>
  <c r="D42" i="40"/>
  <c r="B42" i="40"/>
  <c r="G41" i="40"/>
  <c r="F41" i="40"/>
  <c r="E41" i="40"/>
  <c r="D41" i="40"/>
  <c r="B41" i="40"/>
  <c r="G40" i="40"/>
  <c r="F40" i="40"/>
  <c r="E40" i="40"/>
  <c r="D40" i="40"/>
  <c r="B40" i="40"/>
  <c r="G39" i="40"/>
  <c r="F39" i="40"/>
  <c r="E39" i="40"/>
  <c r="D39" i="40"/>
  <c r="B39" i="40"/>
  <c r="G38" i="40"/>
  <c r="F38" i="40"/>
  <c r="E38" i="40"/>
  <c r="D38" i="40"/>
  <c r="B38" i="40"/>
  <c r="G37" i="40"/>
  <c r="F37" i="40"/>
  <c r="E37" i="40"/>
  <c r="D37" i="40"/>
  <c r="B37" i="40"/>
  <c r="G36" i="40"/>
  <c r="F36" i="40"/>
  <c r="E36" i="40"/>
  <c r="D36" i="40"/>
  <c r="B36" i="40"/>
  <c r="G35" i="40"/>
  <c r="F35" i="40"/>
  <c r="E35" i="40"/>
  <c r="D35" i="40"/>
  <c r="B35" i="40"/>
  <c r="G34" i="40"/>
  <c r="F34" i="40"/>
  <c r="E34" i="40"/>
  <c r="D34" i="40"/>
  <c r="B34" i="40"/>
  <c r="G33" i="40"/>
  <c r="F33" i="40"/>
  <c r="E33" i="40"/>
  <c r="D33" i="40"/>
  <c r="B33" i="40"/>
  <c r="G32" i="40"/>
  <c r="F32" i="40"/>
  <c r="E32" i="40"/>
  <c r="D32" i="40"/>
  <c r="B32" i="40"/>
  <c r="G31" i="40"/>
  <c r="F31" i="40"/>
  <c r="E31" i="40"/>
  <c r="D31" i="40"/>
  <c r="B31" i="40"/>
  <c r="G30" i="40"/>
  <c r="F30" i="40"/>
  <c r="E30" i="40"/>
  <c r="D30" i="40"/>
  <c r="B30" i="40"/>
  <c r="G29" i="40"/>
  <c r="F29" i="40"/>
  <c r="E29" i="40"/>
  <c r="D29" i="40"/>
  <c r="B29" i="40"/>
  <c r="G28" i="40"/>
  <c r="F28" i="40"/>
  <c r="E28" i="40"/>
  <c r="D28" i="40"/>
  <c r="B28" i="40"/>
  <c r="G27" i="40"/>
  <c r="F27" i="40"/>
  <c r="E27" i="40"/>
  <c r="D27" i="40"/>
  <c r="B27" i="40"/>
  <c r="G26" i="40"/>
  <c r="F26" i="40"/>
  <c r="E26" i="40"/>
  <c r="D26" i="40"/>
  <c r="B26" i="40"/>
  <c r="G25" i="40"/>
  <c r="F25" i="40"/>
  <c r="E25" i="40"/>
  <c r="D25" i="40"/>
  <c r="B25" i="40"/>
  <c r="G24" i="40"/>
  <c r="F24" i="40"/>
  <c r="E24" i="40"/>
  <c r="D24" i="40"/>
  <c r="B24" i="40"/>
  <c r="G23" i="40"/>
  <c r="F23" i="40"/>
  <c r="E23" i="40"/>
  <c r="D23" i="40"/>
  <c r="B23" i="40"/>
  <c r="G22" i="40"/>
  <c r="F22" i="40"/>
  <c r="E22" i="40"/>
  <c r="D22" i="40"/>
  <c r="B22" i="40"/>
  <c r="G21" i="40"/>
  <c r="F21" i="40"/>
  <c r="E21" i="40"/>
  <c r="D21" i="40"/>
  <c r="B21" i="40"/>
  <c r="G20" i="40"/>
  <c r="F20" i="40"/>
  <c r="E20" i="40"/>
  <c r="D20" i="40"/>
  <c r="B20" i="40"/>
  <c r="G19" i="40"/>
  <c r="F19" i="40"/>
  <c r="E19" i="40"/>
  <c r="D19" i="40"/>
  <c r="B19" i="40"/>
  <c r="G18" i="40"/>
  <c r="F18" i="40"/>
  <c r="E18" i="40"/>
  <c r="D18" i="40"/>
  <c r="B18" i="40"/>
  <c r="J143" i="65"/>
  <c r="I143" i="65"/>
  <c r="G143" i="65"/>
  <c r="B143" i="65"/>
  <c r="J142" i="65"/>
  <c r="I142" i="65"/>
  <c r="G142" i="65"/>
  <c r="B142" i="65"/>
  <c r="J141" i="65"/>
  <c r="I141" i="65"/>
  <c r="G141" i="65"/>
  <c r="B141" i="65"/>
  <c r="J140" i="65"/>
  <c r="I140" i="65"/>
  <c r="G140" i="65"/>
  <c r="B140" i="65"/>
  <c r="J139" i="65"/>
  <c r="I139" i="65"/>
  <c r="G139" i="65"/>
  <c r="B139" i="65"/>
  <c r="J138" i="65"/>
  <c r="I138" i="65"/>
  <c r="G138" i="65"/>
  <c r="B138" i="65"/>
  <c r="J137" i="65"/>
  <c r="I137" i="65"/>
  <c r="G137" i="65"/>
  <c r="B137" i="65"/>
  <c r="J136" i="65"/>
  <c r="I136" i="65"/>
  <c r="G136" i="65"/>
  <c r="B136" i="65"/>
  <c r="J135" i="65"/>
  <c r="I135" i="65"/>
  <c r="G135" i="65"/>
  <c r="B135" i="65"/>
  <c r="J134" i="65"/>
  <c r="I134" i="65"/>
  <c r="G134" i="65"/>
  <c r="B134" i="65"/>
  <c r="J133" i="65"/>
  <c r="I133" i="65"/>
  <c r="G133" i="65"/>
  <c r="B133" i="65"/>
  <c r="J132" i="65"/>
  <c r="I132" i="65"/>
  <c r="G132" i="65"/>
  <c r="B132" i="65"/>
  <c r="J131" i="65"/>
  <c r="I131" i="65"/>
  <c r="G131" i="65"/>
  <c r="B131" i="65"/>
  <c r="J130" i="65"/>
  <c r="I130" i="65"/>
  <c r="G130" i="65"/>
  <c r="B130" i="65"/>
  <c r="J129" i="65"/>
  <c r="I129" i="65"/>
  <c r="G129" i="65"/>
  <c r="B129" i="65"/>
  <c r="J128" i="65"/>
  <c r="I128" i="65"/>
  <c r="G128" i="65"/>
  <c r="B128" i="65"/>
  <c r="J127" i="65"/>
  <c r="I127" i="65"/>
  <c r="G127" i="65"/>
  <c r="B127" i="65"/>
  <c r="J126" i="65"/>
  <c r="I126" i="65"/>
  <c r="G126" i="65"/>
  <c r="B126" i="65"/>
  <c r="J125" i="65"/>
  <c r="I125" i="65"/>
  <c r="G125" i="65"/>
  <c r="B125" i="65"/>
  <c r="J124" i="65"/>
  <c r="I124" i="65"/>
  <c r="G124" i="65"/>
  <c r="B124" i="65"/>
  <c r="J123" i="65"/>
  <c r="I123" i="65"/>
  <c r="G123" i="65"/>
  <c r="B123" i="65"/>
  <c r="J122" i="65"/>
  <c r="I122" i="65"/>
  <c r="G122" i="65"/>
  <c r="B122" i="65"/>
  <c r="J121" i="65"/>
  <c r="I121" i="65"/>
  <c r="G121" i="65"/>
  <c r="B121" i="65"/>
  <c r="J120" i="65"/>
  <c r="I120" i="65"/>
  <c r="G120" i="65"/>
  <c r="B120" i="65"/>
  <c r="J119" i="65"/>
  <c r="I119" i="65"/>
  <c r="G119" i="65"/>
  <c r="B119" i="65"/>
  <c r="J118" i="65"/>
  <c r="I118" i="65"/>
  <c r="G118" i="65"/>
  <c r="B118" i="65"/>
  <c r="J117" i="65"/>
  <c r="I117" i="65"/>
  <c r="G117" i="65"/>
  <c r="B117" i="65"/>
  <c r="J116" i="65"/>
  <c r="I116" i="65"/>
  <c r="G116" i="65"/>
  <c r="B116" i="65"/>
  <c r="J115" i="65"/>
  <c r="I115" i="65"/>
  <c r="G115" i="65"/>
  <c r="B115" i="65"/>
  <c r="J114" i="65"/>
  <c r="I114" i="65"/>
  <c r="G114" i="65"/>
  <c r="B114" i="65"/>
  <c r="J113" i="65"/>
  <c r="I113" i="65"/>
  <c r="G113" i="65"/>
  <c r="B113" i="65"/>
  <c r="J112" i="65"/>
  <c r="I112" i="65"/>
  <c r="G112" i="65"/>
  <c r="B112" i="65"/>
  <c r="J111" i="65"/>
  <c r="I111" i="65"/>
  <c r="G111" i="65"/>
  <c r="B111" i="65"/>
  <c r="J110" i="65"/>
  <c r="I110" i="65"/>
  <c r="G110" i="65"/>
  <c r="B110" i="65"/>
  <c r="J109" i="65"/>
  <c r="I109" i="65"/>
  <c r="G109" i="65"/>
  <c r="B109" i="65"/>
  <c r="J108" i="65"/>
  <c r="I108" i="65"/>
  <c r="G108" i="65"/>
  <c r="B108" i="65"/>
  <c r="J107" i="65"/>
  <c r="I107" i="65"/>
  <c r="G107" i="65"/>
  <c r="B107" i="65"/>
  <c r="J106" i="65"/>
  <c r="I106" i="65"/>
  <c r="G106" i="65"/>
  <c r="B106" i="65"/>
  <c r="J105" i="65"/>
  <c r="I105" i="65"/>
  <c r="G105" i="65"/>
  <c r="B105" i="65"/>
  <c r="J104" i="65"/>
  <c r="I104" i="65"/>
  <c r="G104" i="65"/>
  <c r="B104" i="65"/>
  <c r="J103" i="65"/>
  <c r="I103" i="65"/>
  <c r="G103" i="65"/>
  <c r="B103" i="65"/>
  <c r="J102" i="65"/>
  <c r="I102" i="65"/>
  <c r="G102" i="65"/>
  <c r="B102" i="65"/>
  <c r="J101" i="65"/>
  <c r="I101" i="65"/>
  <c r="G101" i="65"/>
  <c r="B101" i="65"/>
  <c r="J100" i="65"/>
  <c r="I100" i="65"/>
  <c r="G100" i="65"/>
  <c r="B100" i="65"/>
  <c r="J99" i="65"/>
  <c r="I99" i="65"/>
  <c r="G99" i="65"/>
  <c r="B99" i="65"/>
  <c r="J98" i="65"/>
  <c r="I98" i="65"/>
  <c r="G98" i="65"/>
  <c r="B98" i="65"/>
  <c r="J97" i="65"/>
  <c r="I97" i="65"/>
  <c r="G97" i="65"/>
  <c r="B97" i="65"/>
  <c r="J96" i="65"/>
  <c r="I96" i="65"/>
  <c r="G96" i="65"/>
  <c r="B96" i="65"/>
  <c r="J95" i="65"/>
  <c r="I95" i="65"/>
  <c r="G95" i="65"/>
  <c r="B95" i="65"/>
  <c r="J94" i="65"/>
  <c r="I94" i="65"/>
  <c r="G94" i="65"/>
  <c r="B94" i="65"/>
  <c r="J93" i="65"/>
  <c r="I93" i="65"/>
  <c r="G93" i="65"/>
  <c r="B93" i="65"/>
  <c r="J92" i="65"/>
  <c r="I92" i="65"/>
  <c r="G92" i="65"/>
  <c r="B92" i="65"/>
  <c r="J91" i="65"/>
  <c r="I91" i="65"/>
  <c r="G91" i="65"/>
  <c r="B91" i="65"/>
  <c r="J90" i="65"/>
  <c r="I90" i="65"/>
  <c r="G90" i="65"/>
  <c r="B90" i="65"/>
  <c r="J89" i="65"/>
  <c r="I89" i="65"/>
  <c r="G89" i="65"/>
  <c r="B89" i="65"/>
  <c r="J88" i="65"/>
  <c r="I88" i="65"/>
  <c r="G88" i="65"/>
  <c r="B88" i="65"/>
  <c r="J87" i="65"/>
  <c r="I87" i="65"/>
  <c r="G87" i="65"/>
  <c r="B87" i="65"/>
  <c r="J86" i="65"/>
  <c r="I86" i="65"/>
  <c r="G86" i="65"/>
  <c r="B86" i="65"/>
  <c r="J85" i="65"/>
  <c r="I85" i="65"/>
  <c r="G85" i="65"/>
  <c r="B85" i="65"/>
  <c r="J84" i="65"/>
  <c r="I84" i="65"/>
  <c r="G84" i="65"/>
  <c r="B84" i="65"/>
  <c r="J83" i="65"/>
  <c r="I83" i="65"/>
  <c r="G83" i="65"/>
  <c r="B83" i="65"/>
  <c r="J82" i="65"/>
  <c r="I82" i="65"/>
  <c r="G82" i="65"/>
  <c r="B82" i="65"/>
  <c r="J81" i="65"/>
  <c r="I81" i="65"/>
  <c r="G81" i="65"/>
  <c r="B81" i="65"/>
  <c r="J80" i="65"/>
  <c r="I80" i="65"/>
  <c r="G80" i="65"/>
  <c r="B80" i="65"/>
  <c r="J79" i="65"/>
  <c r="I79" i="65"/>
  <c r="G79" i="65"/>
  <c r="B79" i="65"/>
  <c r="J78" i="65"/>
  <c r="I78" i="65"/>
  <c r="G78" i="65"/>
  <c r="B78" i="65"/>
  <c r="J77" i="65"/>
  <c r="I77" i="65"/>
  <c r="G77" i="65"/>
  <c r="B77" i="65"/>
  <c r="J76" i="65"/>
  <c r="I76" i="65"/>
  <c r="G76" i="65"/>
  <c r="B76" i="65"/>
  <c r="J75" i="65"/>
  <c r="I75" i="65"/>
  <c r="G75" i="65"/>
  <c r="B75" i="65"/>
  <c r="J74" i="65"/>
  <c r="I74" i="65"/>
  <c r="G74" i="65"/>
  <c r="B74" i="65"/>
  <c r="J73" i="65"/>
  <c r="I73" i="65"/>
  <c r="G73" i="65"/>
  <c r="B73" i="65"/>
  <c r="J72" i="65"/>
  <c r="I72" i="65"/>
  <c r="G72" i="65"/>
  <c r="B72" i="65"/>
  <c r="J71" i="65"/>
  <c r="I71" i="65"/>
  <c r="G71" i="65"/>
  <c r="B71" i="65"/>
  <c r="J70" i="65"/>
  <c r="I70" i="65"/>
  <c r="G70" i="65"/>
  <c r="B70" i="65"/>
  <c r="J69" i="65"/>
  <c r="I69" i="65"/>
  <c r="G69" i="65"/>
  <c r="B69" i="65"/>
  <c r="J68" i="65"/>
  <c r="I68" i="65"/>
  <c r="G68" i="65"/>
  <c r="B68" i="65"/>
  <c r="J67" i="65"/>
  <c r="I67" i="65"/>
  <c r="G67" i="65"/>
  <c r="B67" i="65"/>
  <c r="J66" i="65"/>
  <c r="I66" i="65"/>
  <c r="G66" i="65"/>
  <c r="B66" i="65"/>
  <c r="J65" i="65"/>
  <c r="I65" i="65"/>
  <c r="G65" i="65"/>
  <c r="B65" i="65"/>
  <c r="J64" i="65"/>
  <c r="I64" i="65"/>
  <c r="G64" i="65"/>
  <c r="B64" i="65"/>
  <c r="J63" i="65"/>
  <c r="I63" i="65"/>
  <c r="G63" i="65"/>
  <c r="B63" i="65"/>
  <c r="J62" i="65"/>
  <c r="I62" i="65"/>
  <c r="G62" i="65"/>
  <c r="B62" i="65"/>
  <c r="J61" i="65"/>
  <c r="I61" i="65"/>
  <c r="G61" i="65"/>
  <c r="B61" i="65"/>
  <c r="J60" i="65"/>
  <c r="I60" i="65"/>
  <c r="G60" i="65"/>
  <c r="B60" i="65"/>
  <c r="J59" i="65"/>
  <c r="I59" i="65"/>
  <c r="G59" i="65"/>
  <c r="B59" i="65"/>
  <c r="J58" i="65"/>
  <c r="I58" i="65"/>
  <c r="G58" i="65"/>
  <c r="B58" i="65"/>
  <c r="J57" i="65"/>
  <c r="I57" i="65"/>
  <c r="G57" i="65"/>
  <c r="B57" i="65"/>
  <c r="J56" i="65"/>
  <c r="I56" i="65"/>
  <c r="G56" i="65"/>
  <c r="B56" i="65"/>
  <c r="J55" i="65"/>
  <c r="I55" i="65"/>
  <c r="G55" i="65"/>
  <c r="B55" i="65"/>
  <c r="J54" i="65"/>
  <c r="I54" i="65"/>
  <c r="G54" i="65"/>
  <c r="B54" i="65"/>
  <c r="J53" i="65"/>
  <c r="I53" i="65"/>
  <c r="G53" i="65"/>
  <c r="B53" i="65"/>
  <c r="J52" i="65"/>
  <c r="I52" i="65"/>
  <c r="G52" i="65"/>
  <c r="B52" i="65"/>
  <c r="B218" i="50"/>
  <c r="F218" i="50"/>
  <c r="B219" i="50"/>
  <c r="F219" i="50"/>
  <c r="B220" i="50"/>
  <c r="F220" i="50"/>
  <c r="B221" i="50"/>
  <c r="F221" i="50"/>
  <c r="B222" i="50"/>
  <c r="F222" i="50"/>
  <c r="B223" i="50"/>
  <c r="F223" i="50"/>
  <c r="B224" i="50"/>
  <c r="F224" i="50"/>
  <c r="B225" i="50"/>
  <c r="F225" i="50"/>
  <c r="B226" i="50"/>
  <c r="F226" i="50"/>
  <c r="B227" i="50"/>
  <c r="F227" i="50"/>
  <c r="B228" i="50"/>
  <c r="F228" i="50"/>
  <c r="B229" i="50"/>
  <c r="F229" i="50"/>
  <c r="B230" i="50"/>
  <c r="F230" i="50"/>
  <c r="B231" i="50"/>
  <c r="F231" i="50"/>
  <c r="B232" i="50"/>
  <c r="F232" i="50"/>
  <c r="B233" i="50"/>
  <c r="F233" i="50"/>
  <c r="B234" i="50"/>
  <c r="F234" i="50"/>
  <c r="B235" i="50"/>
  <c r="F235" i="50"/>
  <c r="B236" i="50"/>
  <c r="F236" i="50"/>
  <c r="B237" i="50"/>
  <c r="F237" i="50"/>
  <c r="B238" i="50"/>
  <c r="F238" i="50"/>
  <c r="B239" i="50"/>
  <c r="F239" i="50"/>
  <c r="B240" i="50"/>
  <c r="F240" i="50"/>
  <c r="B241" i="50"/>
  <c r="F241" i="50"/>
  <c r="B242" i="50"/>
  <c r="F242" i="50"/>
  <c r="B243" i="50"/>
  <c r="F243" i="50"/>
  <c r="B244" i="50"/>
  <c r="F244" i="50"/>
  <c r="B245" i="50"/>
  <c r="F245" i="50"/>
  <c r="B246" i="50"/>
  <c r="F246" i="50"/>
  <c r="B247" i="50"/>
  <c r="F247" i="50"/>
  <c r="B248" i="50"/>
  <c r="F248" i="50"/>
  <c r="B249" i="50"/>
  <c r="F249" i="50"/>
  <c r="B250" i="50"/>
  <c r="F250" i="50"/>
  <c r="B251" i="50"/>
  <c r="F251" i="50"/>
  <c r="B252" i="50"/>
  <c r="F252" i="50"/>
  <c r="B253" i="50"/>
  <c r="F253" i="50"/>
  <c r="B254" i="50"/>
  <c r="F254" i="50"/>
  <c r="B255" i="50"/>
  <c r="F255" i="50"/>
  <c r="B256" i="50"/>
  <c r="F256" i="50"/>
  <c r="B257" i="50"/>
  <c r="F257" i="50"/>
  <c r="B258" i="50"/>
  <c r="F258" i="50"/>
  <c r="B259" i="50"/>
  <c r="F259" i="50"/>
  <c r="B260" i="50"/>
  <c r="F260" i="50"/>
  <c r="B261" i="50"/>
  <c r="F261" i="50"/>
  <c r="B262" i="50"/>
  <c r="F262" i="50"/>
  <c r="B263" i="50"/>
  <c r="B264" i="50"/>
  <c r="B265" i="50"/>
  <c r="B266" i="50"/>
  <c r="B267" i="50"/>
  <c r="B268" i="50"/>
  <c r="B269" i="50"/>
  <c r="B270" i="50"/>
  <c r="B271" i="50"/>
  <c r="F217" i="50"/>
  <c r="B217" i="50"/>
  <c r="B17" i="79"/>
  <c r="O109" i="66" l="1"/>
  <c r="L103" i="42"/>
  <c r="J103" i="42"/>
  <c r="K103" i="42"/>
  <c r="B458" i="40"/>
  <c r="B177" i="65"/>
  <c r="Q29" i="66"/>
  <c r="P28" i="66"/>
  <c r="M15" i="66"/>
  <c r="B459" i="40" l="1"/>
  <c r="B178" i="65"/>
  <c r="Q28" i="66"/>
  <c r="J70" i="66"/>
  <c r="B460" i="40" l="1"/>
  <c r="B179" i="65"/>
  <c r="F52" i="65"/>
  <c r="F53" i="65"/>
  <c r="F54" i="65"/>
  <c r="F55" i="65"/>
  <c r="F56" i="65"/>
  <c r="F57" i="65"/>
  <c r="F58" i="65"/>
  <c r="F59" i="65"/>
  <c r="F60" i="65"/>
  <c r="F61" i="65"/>
  <c r="F62" i="65"/>
  <c r="F63" i="65"/>
  <c r="F64" i="65"/>
  <c r="F65" i="65"/>
  <c r="F66" i="65"/>
  <c r="F67" i="65"/>
  <c r="F68" i="65"/>
  <c r="F69" i="65"/>
  <c r="F70" i="65"/>
  <c r="F71" i="65"/>
  <c r="F72" i="65"/>
  <c r="F73" i="65"/>
  <c r="F74" i="65"/>
  <c r="F75" i="65"/>
  <c r="F76" i="65"/>
  <c r="F77" i="65"/>
  <c r="F78" i="65"/>
  <c r="F79" i="65"/>
  <c r="F80" i="65"/>
  <c r="F81" i="65"/>
  <c r="F82" i="65"/>
  <c r="F83" i="65"/>
  <c r="F84" i="65"/>
  <c r="F85" i="65"/>
  <c r="F86" i="65"/>
  <c r="F87" i="65"/>
  <c r="F88" i="65"/>
  <c r="F89" i="65"/>
  <c r="F90" i="65"/>
  <c r="F91" i="65"/>
  <c r="F92" i="65"/>
  <c r="F93" i="65"/>
  <c r="F94" i="65"/>
  <c r="F95" i="65"/>
  <c r="F96" i="65"/>
  <c r="F97" i="65"/>
  <c r="F98" i="65"/>
  <c r="F99" i="65"/>
  <c r="F100" i="65"/>
  <c r="F101" i="65"/>
  <c r="F102" i="65"/>
  <c r="F103" i="65"/>
  <c r="F104" i="65"/>
  <c r="F105" i="65"/>
  <c r="F106" i="65"/>
  <c r="F107" i="65"/>
  <c r="F108" i="65"/>
  <c r="F109" i="65"/>
  <c r="F110" i="65"/>
  <c r="F111" i="65"/>
  <c r="F112" i="65"/>
  <c r="F113" i="65"/>
  <c r="F114" i="65"/>
  <c r="F115" i="65"/>
  <c r="F116" i="65"/>
  <c r="F117" i="65"/>
  <c r="F118" i="65"/>
  <c r="F119" i="65"/>
  <c r="F120" i="65"/>
  <c r="F121" i="65"/>
  <c r="F122" i="65"/>
  <c r="F123" i="65"/>
  <c r="F124" i="65"/>
  <c r="F125" i="65"/>
  <c r="F126" i="65"/>
  <c r="F128" i="65"/>
  <c r="F129" i="65"/>
  <c r="F130" i="65"/>
  <c r="F131" i="65"/>
  <c r="F132" i="65"/>
  <c r="F133" i="65"/>
  <c r="F134" i="65"/>
  <c r="F135" i="65"/>
  <c r="F136" i="65"/>
  <c r="F137" i="65"/>
  <c r="F138" i="65"/>
  <c r="F139" i="65"/>
  <c r="F140" i="65"/>
  <c r="F141" i="65"/>
  <c r="F142" i="65"/>
  <c r="F143" i="65"/>
  <c r="Q67" i="66"/>
  <c r="P67" i="66"/>
  <c r="P79" i="66" s="1"/>
  <c r="O67" i="66"/>
  <c r="O79" i="66" s="1"/>
  <c r="N67" i="66"/>
  <c r="N79" i="66" s="1"/>
  <c r="Q66" i="66"/>
  <c r="P66" i="66"/>
  <c r="O66" i="66"/>
  <c r="N66" i="66"/>
  <c r="N80" i="66" s="1"/>
  <c r="P81" i="66" s="1"/>
  <c r="P45" i="66"/>
  <c r="Q46" i="66"/>
  <c r="P57" i="66"/>
  <c r="Q58" i="66"/>
  <c r="F25" i="66"/>
  <c r="P123" i="66" s="1"/>
  <c r="R125" i="66" s="1"/>
  <c r="P80" i="66" l="1"/>
  <c r="R81" i="66" s="1"/>
  <c r="N123" i="66"/>
  <c r="P125" i="66" s="1"/>
  <c r="O123" i="66"/>
  <c r="Q125" i="66" s="1"/>
  <c r="O80" i="66"/>
  <c r="Q81" i="66" s="1"/>
  <c r="B461" i="40"/>
  <c r="B180" i="65"/>
  <c r="F127" i="65"/>
  <c r="F22" i="66"/>
  <c r="F21" i="66"/>
  <c r="J71" i="66"/>
  <c r="M67" i="66"/>
  <c r="M79" i="66" s="1"/>
  <c r="M66" i="66"/>
  <c r="F18" i="66"/>
  <c r="O56" i="66"/>
  <c r="N55" i="66"/>
  <c r="M54" i="66"/>
  <c r="L53" i="66"/>
  <c r="K52" i="66"/>
  <c r="J51" i="66"/>
  <c r="I50" i="66"/>
  <c r="H49" i="66"/>
  <c r="O44" i="66"/>
  <c r="N43" i="66"/>
  <c r="M42" i="66"/>
  <c r="L41" i="66"/>
  <c r="K40" i="66"/>
  <c r="J39" i="66"/>
  <c r="I38" i="66"/>
  <c r="H37" i="66"/>
  <c r="O115" i="66" l="1"/>
  <c r="M80" i="66"/>
  <c r="O81" i="66" s="1"/>
  <c r="B462" i="40"/>
  <c r="B181" i="65"/>
  <c r="J267" i="50"/>
  <c r="J266" i="50"/>
  <c r="J265" i="50"/>
  <c r="J264" i="50"/>
  <c r="J263" i="50"/>
  <c r="J262" i="50"/>
  <c r="J261" i="50"/>
  <c r="J260" i="50"/>
  <c r="J259" i="50"/>
  <c r="J258" i="50"/>
  <c r="J257" i="50"/>
  <c r="J256" i="50"/>
  <c r="J255" i="50"/>
  <c r="J254" i="50"/>
  <c r="J253" i="50"/>
  <c r="J252" i="50"/>
  <c r="J251" i="50"/>
  <c r="B463" i="40" l="1"/>
  <c r="B182" i="65"/>
  <c r="M254" i="50"/>
  <c r="T254" i="50"/>
  <c r="P254" i="50"/>
  <c r="M252" i="50"/>
  <c r="T252" i="50"/>
  <c r="P252" i="50"/>
  <c r="M256" i="50"/>
  <c r="T256" i="50"/>
  <c r="P256" i="50"/>
  <c r="P260" i="50"/>
  <c r="T260" i="50"/>
  <c r="M260" i="50"/>
  <c r="T264" i="50"/>
  <c r="M264" i="50"/>
  <c r="P264" i="50"/>
  <c r="M253" i="50"/>
  <c r="T253" i="50"/>
  <c r="P253" i="50"/>
  <c r="P257" i="50"/>
  <c r="M257" i="50"/>
  <c r="T257" i="50"/>
  <c r="P261" i="50"/>
  <c r="T261" i="50"/>
  <c r="M261" i="50"/>
  <c r="P265" i="50"/>
  <c r="T265" i="50"/>
  <c r="M265" i="50"/>
  <c r="M258" i="50"/>
  <c r="T258" i="50"/>
  <c r="P258" i="50"/>
  <c r="P262" i="50"/>
  <c r="T262" i="50"/>
  <c r="M262" i="50"/>
  <c r="P266" i="50"/>
  <c r="T266" i="50"/>
  <c r="M266" i="50"/>
  <c r="P251" i="50"/>
  <c r="M251" i="50"/>
  <c r="T251" i="50"/>
  <c r="P255" i="50"/>
  <c r="M255" i="50"/>
  <c r="T255" i="50"/>
  <c r="P259" i="50"/>
  <c r="T259" i="50"/>
  <c r="M259" i="50"/>
  <c r="M263" i="50"/>
  <c r="P263" i="50"/>
  <c r="T263" i="50"/>
  <c r="M267" i="50"/>
  <c r="P267" i="50"/>
  <c r="T267" i="50"/>
  <c r="L61" i="42"/>
  <c r="CA61" i="42" s="1"/>
  <c r="M61" i="42"/>
  <c r="S61" i="42" s="1"/>
  <c r="L62" i="42"/>
  <c r="CA62" i="42" s="1"/>
  <c r="M62" i="42"/>
  <c r="L63" i="42"/>
  <c r="CA63" i="42" s="1"/>
  <c r="M63" i="42"/>
  <c r="S63" i="42" s="1"/>
  <c r="L64" i="42"/>
  <c r="CA64" i="42" s="1"/>
  <c r="M64" i="42"/>
  <c r="S64" i="42" s="1"/>
  <c r="BV64" i="42" l="1"/>
  <c r="O62" i="42"/>
  <c r="R62" i="42" s="1"/>
  <c r="S62" i="42"/>
  <c r="B464" i="40"/>
  <c r="B183" i="65"/>
  <c r="P61" i="42"/>
  <c r="V61" i="42"/>
  <c r="O61" i="42"/>
  <c r="P64" i="42"/>
  <c r="V64" i="42"/>
  <c r="O64" i="42"/>
  <c r="R64" i="42" s="1"/>
  <c r="P63" i="42"/>
  <c r="V63" i="42"/>
  <c r="O63" i="42"/>
  <c r="R63" i="42" s="1"/>
  <c r="P65" i="42"/>
  <c r="V65" i="42"/>
  <c r="P62" i="42"/>
  <c r="V62" i="42"/>
  <c r="K53" i="65"/>
  <c r="K54" i="65"/>
  <c r="K55" i="65"/>
  <c r="K56" i="65"/>
  <c r="M57" i="65"/>
  <c r="K58" i="65"/>
  <c r="K59" i="65"/>
  <c r="M61" i="65"/>
  <c r="M63" i="65"/>
  <c r="K65" i="65"/>
  <c r="M66" i="65"/>
  <c r="M67" i="65"/>
  <c r="K68" i="65"/>
  <c r="K70" i="65"/>
  <c r="M71" i="65"/>
  <c r="K72" i="65"/>
  <c r="M74" i="65"/>
  <c r="M76" i="65"/>
  <c r="K77" i="65"/>
  <c r="M78" i="65"/>
  <c r="M79" i="65"/>
  <c r="K80" i="65"/>
  <c r="M81" i="65"/>
  <c r="K82" i="65"/>
  <c r="M83" i="65"/>
  <c r="K84" i="65"/>
  <c r="M85" i="65"/>
  <c r="M87" i="65"/>
  <c r="M89" i="65"/>
  <c r="M91" i="65"/>
  <c r="M93" i="65"/>
  <c r="M95" i="65"/>
  <c r="M96" i="65"/>
  <c r="K97" i="65"/>
  <c r="M98" i="65"/>
  <c r="K99" i="65"/>
  <c r="M100" i="65"/>
  <c r="K102" i="65"/>
  <c r="K103" i="65"/>
  <c r="K104" i="65"/>
  <c r="K106" i="65"/>
  <c r="K107" i="65"/>
  <c r="K108" i="65"/>
  <c r="K109" i="65"/>
  <c r="M110" i="65"/>
  <c r="M112" i="65"/>
  <c r="M113" i="65"/>
  <c r="M114" i="65"/>
  <c r="M115" i="65"/>
  <c r="M116" i="65"/>
  <c r="M117" i="65"/>
  <c r="M118" i="65"/>
  <c r="M119" i="65"/>
  <c r="M120" i="65"/>
  <c r="M121" i="65"/>
  <c r="M122" i="65"/>
  <c r="M123" i="65"/>
  <c r="K124" i="65"/>
  <c r="M125" i="65"/>
  <c r="K126" i="65"/>
  <c r="K128" i="65"/>
  <c r="M129" i="65"/>
  <c r="K130" i="65"/>
  <c r="M131" i="65"/>
  <c r="K132" i="65"/>
  <c r="K134" i="65"/>
  <c r="M135" i="65"/>
  <c r="K136" i="65"/>
  <c r="K138" i="65"/>
  <c r="K140" i="65"/>
  <c r="M141" i="65"/>
  <c r="K142" i="65"/>
  <c r="K143" i="65"/>
  <c r="F1283" i="40"/>
  <c r="E1283" i="40"/>
  <c r="F1284" i="40"/>
  <c r="E1284" i="40"/>
  <c r="F1285" i="40"/>
  <c r="E1285" i="40"/>
  <c r="F1286" i="40"/>
  <c r="E1286" i="40"/>
  <c r="F1287" i="40"/>
  <c r="E1287" i="40"/>
  <c r="F1288" i="40"/>
  <c r="E1288" i="40"/>
  <c r="F1289" i="40"/>
  <c r="E1289" i="40"/>
  <c r="F1290" i="40"/>
  <c r="E1290" i="40"/>
  <c r="F1291" i="40"/>
  <c r="E1291" i="40"/>
  <c r="F1292" i="40"/>
  <c r="E1292" i="40"/>
  <c r="F1293" i="40"/>
  <c r="E1293" i="40"/>
  <c r="F1294" i="40"/>
  <c r="E1294" i="40"/>
  <c r="F1295" i="40"/>
  <c r="E1295" i="40"/>
  <c r="F1296" i="40"/>
  <c r="E1296" i="40"/>
  <c r="F1297" i="40"/>
  <c r="E1297" i="40"/>
  <c r="F1298" i="40"/>
  <c r="E1298" i="40"/>
  <c r="E1282" i="40"/>
  <c r="F1282" i="40"/>
  <c r="E1281" i="40"/>
  <c r="F1281" i="40"/>
  <c r="E1280" i="40"/>
  <c r="F1280" i="40"/>
  <c r="E1279" i="40"/>
  <c r="F1279" i="40"/>
  <c r="E1278" i="40"/>
  <c r="F1278" i="40"/>
  <c r="E1277" i="40"/>
  <c r="F1277" i="40"/>
  <c r="E1276" i="40"/>
  <c r="F1276" i="40"/>
  <c r="E1275" i="40"/>
  <c r="F1275" i="40"/>
  <c r="E1274" i="40"/>
  <c r="F1274" i="40"/>
  <c r="E1273" i="40"/>
  <c r="F1273" i="40"/>
  <c r="E1272" i="40"/>
  <c r="F1272" i="40"/>
  <c r="E1271" i="40"/>
  <c r="F1271" i="40"/>
  <c r="E1270" i="40"/>
  <c r="F1270" i="40"/>
  <c r="E1269" i="40"/>
  <c r="F1269" i="40"/>
  <c r="E1268" i="40"/>
  <c r="F1268" i="40"/>
  <c r="E1267" i="40"/>
  <c r="F1267" i="40"/>
  <c r="E1266" i="40"/>
  <c r="F1266" i="40"/>
  <c r="E1265" i="40"/>
  <c r="F1265" i="40"/>
  <c r="E1264" i="40"/>
  <c r="F1264" i="40"/>
  <c r="E1263" i="40"/>
  <c r="F1263" i="40"/>
  <c r="E1262" i="40"/>
  <c r="F1262" i="40"/>
  <c r="E1261" i="40"/>
  <c r="F1261" i="40"/>
  <c r="E1260" i="40"/>
  <c r="F1260" i="40"/>
  <c r="E1259" i="40"/>
  <c r="F1259" i="40"/>
  <c r="E1258" i="40"/>
  <c r="F1258" i="40"/>
  <c r="E1257" i="40"/>
  <c r="F1257" i="40"/>
  <c r="E1256" i="40"/>
  <c r="F1256" i="40"/>
  <c r="E1255" i="40"/>
  <c r="F1255" i="40"/>
  <c r="E1254" i="40"/>
  <c r="F1254" i="40"/>
  <c r="E1253" i="40"/>
  <c r="F1253" i="40"/>
  <c r="E1252" i="40"/>
  <c r="F1252" i="40"/>
  <c r="E1251" i="40"/>
  <c r="F1251" i="40"/>
  <c r="E1250" i="40"/>
  <c r="F1250" i="40"/>
  <c r="E1249" i="40"/>
  <c r="F1249" i="40"/>
  <c r="E1248" i="40"/>
  <c r="F1248" i="40"/>
  <c r="E1247" i="40"/>
  <c r="F1247" i="40"/>
  <c r="E1246" i="40"/>
  <c r="F1246" i="40"/>
  <c r="E1245" i="40"/>
  <c r="F1245" i="40"/>
  <c r="E1244" i="40"/>
  <c r="F1244" i="40"/>
  <c r="E1243" i="40"/>
  <c r="F1243" i="40"/>
  <c r="E1242" i="40"/>
  <c r="F1242" i="40"/>
  <c r="E1241" i="40"/>
  <c r="F1241" i="40"/>
  <c r="E1240" i="40"/>
  <c r="F1240" i="40"/>
  <c r="E1239" i="40"/>
  <c r="F1239" i="40"/>
  <c r="E1238" i="40"/>
  <c r="F1238" i="40"/>
  <c r="E1237" i="40"/>
  <c r="F1237" i="40"/>
  <c r="E1236" i="40"/>
  <c r="F1236" i="40"/>
  <c r="E1235" i="40"/>
  <c r="F1235" i="40"/>
  <c r="E1234" i="40"/>
  <c r="F1234" i="40"/>
  <c r="E1233" i="40"/>
  <c r="F1233" i="40"/>
  <c r="E1232" i="40"/>
  <c r="F1232" i="40"/>
  <c r="E1231" i="40"/>
  <c r="F1231" i="40"/>
  <c r="E1230" i="40"/>
  <c r="F1230" i="40"/>
  <c r="E1229" i="40"/>
  <c r="F1229" i="40"/>
  <c r="E1228" i="40"/>
  <c r="F1228" i="40"/>
  <c r="E1227" i="40"/>
  <c r="F1227" i="40"/>
  <c r="E1226" i="40"/>
  <c r="F1226" i="40"/>
  <c r="E1225" i="40"/>
  <c r="F1225" i="40"/>
  <c r="E1224" i="40"/>
  <c r="F1224" i="40"/>
  <c r="F1221" i="40"/>
  <c r="E1221" i="40"/>
  <c r="F1222" i="40"/>
  <c r="E1222" i="40"/>
  <c r="F1223" i="40"/>
  <c r="E1223" i="40"/>
  <c r="BD62" i="42" l="1"/>
  <c r="U61" i="42"/>
  <c r="R61" i="42"/>
  <c r="B465" i="40"/>
  <c r="B184" i="65"/>
  <c r="U63" i="42"/>
  <c r="U64" i="42"/>
  <c r="U62" i="42"/>
  <c r="M143" i="65"/>
  <c r="M68" i="65"/>
  <c r="N68" i="65" s="1"/>
  <c r="M106" i="65"/>
  <c r="K141" i="65"/>
  <c r="K131" i="65"/>
  <c r="M107" i="65"/>
  <c r="AL107" i="65" s="1"/>
  <c r="M102" i="65"/>
  <c r="M104" i="65"/>
  <c r="AK104" i="65" s="1"/>
  <c r="K98" i="65"/>
  <c r="AJ87" i="65"/>
  <c r="K135" i="65"/>
  <c r="K129" i="65"/>
  <c r="K125" i="65"/>
  <c r="K83" i="65"/>
  <c r="M80" i="65"/>
  <c r="N80" i="65" s="1"/>
  <c r="M108" i="65"/>
  <c r="K87" i="65"/>
  <c r="M84" i="65"/>
  <c r="N84" i="65" s="1"/>
  <c r="K79" i="65"/>
  <c r="K76" i="65"/>
  <c r="N74" i="65"/>
  <c r="M70" i="65"/>
  <c r="K61" i="65"/>
  <c r="M55" i="65"/>
  <c r="N95" i="65"/>
  <c r="M72" i="65"/>
  <c r="N72" i="65" s="1"/>
  <c r="K63" i="65"/>
  <c r="K57" i="65"/>
  <c r="N123" i="65"/>
  <c r="AL121" i="65"/>
  <c r="K111" i="65"/>
  <c r="M111" i="65"/>
  <c r="K127" i="65"/>
  <c r="M127" i="65"/>
  <c r="N127" i="65" s="1"/>
  <c r="K133" i="65"/>
  <c r="M133" i="65"/>
  <c r="N133" i="65" s="1"/>
  <c r="AK129" i="65"/>
  <c r="AL122" i="65"/>
  <c r="AL120" i="65"/>
  <c r="K139" i="65"/>
  <c r="M139" i="65"/>
  <c r="K137" i="65"/>
  <c r="M137" i="65"/>
  <c r="K110" i="65"/>
  <c r="M103" i="65"/>
  <c r="K100" i="65"/>
  <c r="M99" i="65"/>
  <c r="K91" i="65"/>
  <c r="K89" i="65"/>
  <c r="M82" i="65"/>
  <c r="N82" i="65" s="1"/>
  <c r="K71" i="65"/>
  <c r="K67" i="65"/>
  <c r="M53" i="65"/>
  <c r="M77" i="65"/>
  <c r="N77" i="65" s="1"/>
  <c r="M65" i="65"/>
  <c r="N65" i="65" s="1"/>
  <c r="M59" i="65"/>
  <c r="N59" i="65" s="1"/>
  <c r="M97" i="65"/>
  <c r="K96" i="65"/>
  <c r="K93" i="65"/>
  <c r="K85" i="65"/>
  <c r="K81" i="65"/>
  <c r="N78" i="65"/>
  <c r="K66" i="65"/>
  <c r="BE64" i="42"/>
  <c r="BE62" i="42"/>
  <c r="BE65" i="42"/>
  <c r="BE63" i="42"/>
  <c r="BD61" i="42"/>
  <c r="BE61" i="42"/>
  <c r="BD65" i="42"/>
  <c r="BD63" i="42"/>
  <c r="BD64" i="42"/>
  <c r="N129" i="65"/>
  <c r="AH129" i="65"/>
  <c r="AL129" i="65"/>
  <c r="AI129" i="65"/>
  <c r="AJ129" i="65"/>
  <c r="N131" i="65"/>
  <c r="N135" i="65"/>
  <c r="AL135" i="65"/>
  <c r="N141" i="65"/>
  <c r="AK135" i="65"/>
  <c r="N125" i="65"/>
  <c r="AK122" i="65"/>
  <c r="AJ121" i="65"/>
  <c r="AI120" i="65"/>
  <c r="AK120" i="65"/>
  <c r="N110" i="65"/>
  <c r="AL110" i="65"/>
  <c r="AK110" i="65"/>
  <c r="K101" i="65"/>
  <c r="M101" i="65"/>
  <c r="K88" i="65"/>
  <c r="M88" i="65"/>
  <c r="AK121" i="65"/>
  <c r="AI121" i="65"/>
  <c r="AJ120" i="65"/>
  <c r="M142" i="65"/>
  <c r="M140" i="65"/>
  <c r="M138" i="65"/>
  <c r="M136" i="65"/>
  <c r="M134" i="65"/>
  <c r="M132" i="65"/>
  <c r="M130" i="65"/>
  <c r="M128" i="65"/>
  <c r="M126" i="65"/>
  <c r="M124" i="65"/>
  <c r="N122" i="65"/>
  <c r="AH121" i="65"/>
  <c r="N121" i="65"/>
  <c r="AH120" i="65"/>
  <c r="N120" i="65"/>
  <c r="N119" i="65"/>
  <c r="N118" i="65"/>
  <c r="N117" i="65"/>
  <c r="N116" i="65"/>
  <c r="N115" i="65"/>
  <c r="N114" i="65"/>
  <c r="N113" i="65"/>
  <c r="N112" i="65"/>
  <c r="K105" i="65"/>
  <c r="M105" i="65"/>
  <c r="N100" i="65"/>
  <c r="N91" i="65"/>
  <c r="K123" i="65"/>
  <c r="K122" i="65"/>
  <c r="K121" i="65"/>
  <c r="K120" i="65"/>
  <c r="K119" i="65"/>
  <c r="K118" i="65"/>
  <c r="K117" i="65"/>
  <c r="K116" i="65"/>
  <c r="K115" i="65"/>
  <c r="K114" i="65"/>
  <c r="K113" i="65"/>
  <c r="K112" i="65"/>
  <c r="M109" i="65"/>
  <c r="N98" i="65"/>
  <c r="N93" i="65"/>
  <c r="K90" i="65"/>
  <c r="M90" i="65"/>
  <c r="N85" i="65"/>
  <c r="K92" i="65"/>
  <c r="M92" i="65"/>
  <c r="AK87" i="65"/>
  <c r="N87" i="65"/>
  <c r="AL87" i="65"/>
  <c r="N96" i="65"/>
  <c r="K94" i="65"/>
  <c r="M94" i="65"/>
  <c r="N89" i="65"/>
  <c r="K86" i="65"/>
  <c r="M86" i="65"/>
  <c r="N79" i="65"/>
  <c r="K75" i="65"/>
  <c r="M75" i="65"/>
  <c r="N81" i="65"/>
  <c r="N66" i="65"/>
  <c r="K95" i="65"/>
  <c r="N83" i="65"/>
  <c r="M73" i="65"/>
  <c r="K73" i="65"/>
  <c r="K78" i="65"/>
  <c r="K74" i="65"/>
  <c r="N71" i="65"/>
  <c r="M69" i="65"/>
  <c r="K69" i="65"/>
  <c r="N76" i="65"/>
  <c r="N57" i="65"/>
  <c r="N67" i="65"/>
  <c r="K64" i="65"/>
  <c r="M64" i="65"/>
  <c r="K62" i="65"/>
  <c r="M62" i="65"/>
  <c r="K60" i="65"/>
  <c r="M60" i="65"/>
  <c r="N63" i="65"/>
  <c r="N61" i="65"/>
  <c r="M58" i="65"/>
  <c r="M56" i="65"/>
  <c r="M54" i="65"/>
  <c r="B466" i="40" l="1"/>
  <c r="B185" i="65"/>
  <c r="N103" i="65"/>
  <c r="N106" i="65"/>
  <c r="N111" i="65"/>
  <c r="N55" i="65"/>
  <c r="N143" i="65"/>
  <c r="N137" i="65"/>
  <c r="N108" i="65"/>
  <c r="N107" i="65"/>
  <c r="AK107" i="65"/>
  <c r="AH107" i="65"/>
  <c r="N99" i="65"/>
  <c r="N70" i="65"/>
  <c r="N53" i="65"/>
  <c r="N97" i="65"/>
  <c r="N102" i="65"/>
  <c r="AJ107" i="65"/>
  <c r="AI107" i="65"/>
  <c r="AL104" i="65"/>
  <c r="N104" i="65"/>
  <c r="AI104" i="65"/>
  <c r="AH104" i="65"/>
  <c r="AJ104" i="65"/>
  <c r="N139" i="65"/>
  <c r="N58" i="65"/>
  <c r="N140" i="65"/>
  <c r="N62" i="65"/>
  <c r="N69" i="65"/>
  <c r="AI86" i="65"/>
  <c r="AJ86" i="65"/>
  <c r="AL86" i="65"/>
  <c r="N86" i="65"/>
  <c r="AK86" i="65"/>
  <c r="N94" i="65"/>
  <c r="N126" i="65"/>
  <c r="AJ134" i="65"/>
  <c r="AK134" i="65"/>
  <c r="N134" i="65"/>
  <c r="AL134" i="65"/>
  <c r="N142" i="65"/>
  <c r="AL88" i="65"/>
  <c r="N88" i="65"/>
  <c r="AK88" i="65"/>
  <c r="N124" i="65"/>
  <c r="N101" i="65"/>
  <c r="N54" i="65"/>
  <c r="N75" i="65"/>
  <c r="N92" i="65"/>
  <c r="N90" i="65"/>
  <c r="N105" i="65"/>
  <c r="N128" i="65"/>
  <c r="N136" i="65"/>
  <c r="AL136" i="65"/>
  <c r="N109" i="65"/>
  <c r="N132" i="65"/>
  <c r="N56" i="65"/>
  <c r="N60" i="65"/>
  <c r="N64" i="65"/>
  <c r="N73" i="65"/>
  <c r="N130" i="65"/>
  <c r="N138" i="65"/>
  <c r="B467" i="40" l="1"/>
  <c r="B186" i="65"/>
  <c r="F138" i="50"/>
  <c r="H138" i="50"/>
  <c r="I138" i="50"/>
  <c r="J138" i="50"/>
  <c r="K138" i="50"/>
  <c r="F139" i="50"/>
  <c r="H139" i="50"/>
  <c r="I139" i="50"/>
  <c r="J139" i="50"/>
  <c r="K139" i="50"/>
  <c r="F140" i="50"/>
  <c r="H140" i="50"/>
  <c r="I140" i="50"/>
  <c r="J140" i="50"/>
  <c r="K140" i="50"/>
  <c r="F141" i="50"/>
  <c r="H141" i="50"/>
  <c r="I141" i="50"/>
  <c r="J141" i="50"/>
  <c r="K141" i="50"/>
  <c r="F142" i="50"/>
  <c r="H142" i="50"/>
  <c r="I142" i="50"/>
  <c r="J142" i="50"/>
  <c r="K142" i="50"/>
  <c r="F143" i="50"/>
  <c r="H143" i="50"/>
  <c r="I143" i="50"/>
  <c r="J143" i="50"/>
  <c r="K143" i="50"/>
  <c r="F144" i="50"/>
  <c r="H144" i="50"/>
  <c r="I144" i="50"/>
  <c r="J144" i="50"/>
  <c r="K144" i="50"/>
  <c r="F145" i="50"/>
  <c r="H145" i="50"/>
  <c r="I145" i="50"/>
  <c r="J145" i="50"/>
  <c r="K145" i="50"/>
  <c r="F146" i="50"/>
  <c r="H146" i="50"/>
  <c r="I146" i="50"/>
  <c r="J146" i="50"/>
  <c r="K146" i="50"/>
  <c r="F147" i="50"/>
  <c r="H147" i="50"/>
  <c r="I147" i="50"/>
  <c r="J147" i="50"/>
  <c r="K147" i="50"/>
  <c r="F148" i="50"/>
  <c r="H148" i="50"/>
  <c r="I148" i="50"/>
  <c r="J148" i="50"/>
  <c r="K148" i="50"/>
  <c r="F149" i="50"/>
  <c r="H149" i="50"/>
  <c r="I149" i="50"/>
  <c r="J149" i="50"/>
  <c r="K149" i="50"/>
  <c r="F150" i="50"/>
  <c r="H150" i="50"/>
  <c r="I150" i="50"/>
  <c r="J150" i="50"/>
  <c r="K150" i="50"/>
  <c r="F151" i="50"/>
  <c r="H151" i="50"/>
  <c r="I151" i="50"/>
  <c r="J151" i="50"/>
  <c r="K151" i="50"/>
  <c r="F152" i="50"/>
  <c r="H152" i="50"/>
  <c r="I152" i="50"/>
  <c r="J152" i="50"/>
  <c r="K152" i="50"/>
  <c r="F153" i="50"/>
  <c r="H153" i="50"/>
  <c r="I153" i="50"/>
  <c r="J153" i="50"/>
  <c r="K153" i="50"/>
  <c r="F154" i="50"/>
  <c r="H154" i="50"/>
  <c r="I154" i="50"/>
  <c r="J154" i="50"/>
  <c r="K154" i="50"/>
  <c r="F155" i="50"/>
  <c r="H155" i="50"/>
  <c r="I155" i="50"/>
  <c r="J155" i="50"/>
  <c r="K155" i="50"/>
  <c r="F156" i="50"/>
  <c r="H156" i="50"/>
  <c r="I156" i="50"/>
  <c r="J156" i="50"/>
  <c r="K156" i="50"/>
  <c r="F157" i="50"/>
  <c r="H157" i="50"/>
  <c r="I157" i="50"/>
  <c r="J157" i="50"/>
  <c r="K157" i="50"/>
  <c r="F158" i="50"/>
  <c r="H158" i="50"/>
  <c r="I158" i="50"/>
  <c r="J158" i="50"/>
  <c r="K158" i="50"/>
  <c r="B157" i="50"/>
  <c r="B158" i="50"/>
  <c r="B138" i="50"/>
  <c r="B139" i="50"/>
  <c r="B140" i="50"/>
  <c r="B141" i="50"/>
  <c r="B142" i="50"/>
  <c r="B143" i="50"/>
  <c r="B144" i="50"/>
  <c r="B145" i="50"/>
  <c r="B146" i="50"/>
  <c r="B147" i="50"/>
  <c r="B148" i="50"/>
  <c r="B149" i="50"/>
  <c r="B150" i="50"/>
  <c r="B151" i="50"/>
  <c r="B152" i="50"/>
  <c r="B153" i="50"/>
  <c r="B154" i="50"/>
  <c r="B155" i="50"/>
  <c r="B156" i="50"/>
  <c r="B468" i="40" l="1"/>
  <c r="B187" i="65"/>
  <c r="AV155" i="50"/>
  <c r="AT155" i="50"/>
  <c r="AU155" i="50"/>
  <c r="AP153" i="50"/>
  <c r="AN153" i="50"/>
  <c r="AO153" i="50"/>
  <c r="AU147" i="50"/>
  <c r="AT147" i="50"/>
  <c r="AT139" i="50"/>
  <c r="AU139" i="50"/>
  <c r="AU158" i="50"/>
  <c r="AV158" i="50"/>
  <c r="AT158" i="50"/>
  <c r="AO156" i="50"/>
  <c r="AP156" i="50"/>
  <c r="AN156" i="50"/>
  <c r="AU154" i="50"/>
  <c r="AV154" i="50"/>
  <c r="AT154" i="50"/>
  <c r="AO152" i="50"/>
  <c r="AP152" i="50"/>
  <c r="AN152" i="50"/>
  <c r="AT150" i="50"/>
  <c r="AU150" i="50"/>
  <c r="AN148" i="50"/>
  <c r="AO148" i="50"/>
  <c r="AT146" i="50"/>
  <c r="AU146" i="50"/>
  <c r="AN144" i="50"/>
  <c r="AO144" i="50"/>
  <c r="AT142" i="50"/>
  <c r="AU142" i="50"/>
  <c r="AN140" i="50"/>
  <c r="AO140" i="50"/>
  <c r="AT138" i="50"/>
  <c r="AU138" i="50"/>
  <c r="AE157" i="50"/>
  <c r="AP157" i="50"/>
  <c r="AQ157" i="50"/>
  <c r="AR157" i="50" s="1"/>
  <c r="AN157" i="50"/>
  <c r="AO157" i="50"/>
  <c r="AV151" i="50"/>
  <c r="AU151" i="50"/>
  <c r="AT151" i="50"/>
  <c r="AO149" i="50"/>
  <c r="AN149" i="50"/>
  <c r="AF145" i="50"/>
  <c r="AP145" i="50"/>
  <c r="AQ145" i="50" s="1"/>
  <c r="AR145" i="50" s="1"/>
  <c r="AN145" i="50"/>
  <c r="AO145" i="50"/>
  <c r="AT143" i="50"/>
  <c r="AU143" i="50"/>
  <c r="AN141" i="50"/>
  <c r="AO141" i="50"/>
  <c r="AT157" i="50"/>
  <c r="AU157" i="50"/>
  <c r="AV157" i="50"/>
  <c r="AN155" i="50"/>
  <c r="AO155" i="50"/>
  <c r="AP155" i="50"/>
  <c r="AT153" i="50"/>
  <c r="AU153" i="50"/>
  <c r="AV153" i="50"/>
  <c r="V151" i="50"/>
  <c r="AO151" i="50"/>
  <c r="AP151" i="50"/>
  <c r="AQ151" i="50"/>
  <c r="AR151" i="50" s="1"/>
  <c r="AN151" i="50"/>
  <c r="AT149" i="50"/>
  <c r="AU149" i="50"/>
  <c r="AO147" i="50"/>
  <c r="AN147" i="50"/>
  <c r="AT145" i="50"/>
  <c r="AU145" i="50"/>
  <c r="AN143" i="50"/>
  <c r="AO143" i="50"/>
  <c r="AT141" i="50"/>
  <c r="AU141" i="50"/>
  <c r="V139" i="50"/>
  <c r="AN139" i="50"/>
  <c r="AO139" i="50"/>
  <c r="AP139" i="50"/>
  <c r="AQ139" i="50" s="1"/>
  <c r="AR139" i="50" s="1"/>
  <c r="AP158" i="50"/>
  <c r="AN158" i="50"/>
  <c r="AO158" i="50"/>
  <c r="AT156" i="50"/>
  <c r="AV156" i="50"/>
  <c r="AU156" i="50"/>
  <c r="AN154" i="50"/>
  <c r="AO154" i="50"/>
  <c r="AP154" i="50"/>
  <c r="AT152" i="50"/>
  <c r="AU152" i="50"/>
  <c r="AV152" i="50"/>
  <c r="AN150" i="50"/>
  <c r="AO150" i="50"/>
  <c r="AT148" i="50"/>
  <c r="AU148" i="50"/>
  <c r="AN146" i="50"/>
  <c r="AO146" i="50"/>
  <c r="AT144" i="50"/>
  <c r="AU144" i="50"/>
  <c r="AN142" i="50"/>
  <c r="AO142" i="50"/>
  <c r="AT140" i="50"/>
  <c r="AU140" i="50"/>
  <c r="AO138" i="50"/>
  <c r="AN138" i="50"/>
  <c r="N140" i="50"/>
  <c r="N158" i="50"/>
  <c r="W141" i="50"/>
  <c r="X139" i="50"/>
  <c r="W148" i="50"/>
  <c r="W151" i="50"/>
  <c r="V157" i="50"/>
  <c r="AC143" i="50"/>
  <c r="P155" i="50"/>
  <c r="AB158" i="50"/>
  <c r="V158" i="50"/>
  <c r="X155" i="50"/>
  <c r="P148" i="50"/>
  <c r="V143" i="50"/>
  <c r="V140" i="50"/>
  <c r="AB156" i="50"/>
  <c r="AF151" i="50"/>
  <c r="T143" i="50"/>
  <c r="AC140" i="50"/>
  <c r="T140" i="50"/>
  <c r="T158" i="50"/>
  <c r="W155" i="50"/>
  <c r="AD151" i="50"/>
  <c r="T151" i="50"/>
  <c r="W144" i="50"/>
  <c r="AD139" i="50"/>
  <c r="T139" i="50"/>
  <c r="M158" i="50"/>
  <c r="V156" i="50"/>
  <c r="AC155" i="50"/>
  <c r="M155" i="50"/>
  <c r="AB151" i="50"/>
  <c r="M151" i="50"/>
  <c r="T144" i="50"/>
  <c r="T142" i="50"/>
  <c r="AC139" i="50"/>
  <c r="N139" i="50"/>
  <c r="AD158" i="50"/>
  <c r="W158" i="50"/>
  <c r="P157" i="50"/>
  <c r="Y151" i="50"/>
  <c r="T148" i="50"/>
  <c r="Y139" i="50"/>
  <c r="P153" i="50"/>
  <c r="AB148" i="50"/>
  <c r="M148" i="50"/>
  <c r="T147" i="50"/>
  <c r="AE145" i="50"/>
  <c r="AB144" i="50"/>
  <c r="M144" i="50"/>
  <c r="N143" i="50"/>
  <c r="V141" i="50"/>
  <c r="AF139" i="50"/>
  <c r="AB139" i="50"/>
  <c r="AH139" i="50" s="1"/>
  <c r="W139" i="50"/>
  <c r="M139" i="50"/>
  <c r="P143" i="50"/>
  <c r="S143" i="50" s="1"/>
  <c r="AC158" i="50"/>
  <c r="X158" i="50"/>
  <c r="Z157" i="50"/>
  <c r="P156" i="50"/>
  <c r="AB155" i="50"/>
  <c r="V155" i="50"/>
  <c r="AE139" i="50"/>
  <c r="Z139" i="50"/>
  <c r="P139" i="50"/>
  <c r="S139" i="50" s="1"/>
  <c r="P141" i="50"/>
  <c r="S141" i="50" s="1"/>
  <c r="P149" i="50"/>
  <c r="P145" i="50"/>
  <c r="N155" i="50"/>
  <c r="AD154" i="50"/>
  <c r="AE151" i="50"/>
  <c r="Z151" i="50"/>
  <c r="W149" i="50"/>
  <c r="V148" i="50"/>
  <c r="AC147" i="50"/>
  <c r="N147" i="50"/>
  <c r="T146" i="50"/>
  <c r="W145" i="50"/>
  <c r="V144" i="50"/>
  <c r="Q143" i="50"/>
  <c r="P152" i="50"/>
  <c r="P144" i="50"/>
  <c r="P140" i="50"/>
  <c r="S140" i="50" s="1"/>
  <c r="M156" i="50"/>
  <c r="X154" i="50"/>
  <c r="X152" i="50"/>
  <c r="V149" i="50"/>
  <c r="AB147" i="50"/>
  <c r="W147" i="50"/>
  <c r="M147" i="50"/>
  <c r="V145" i="50"/>
  <c r="P151" i="50"/>
  <c r="P147" i="50"/>
  <c r="AD156" i="50"/>
  <c r="W156" i="50"/>
  <c r="AC151" i="50"/>
  <c r="X151" i="50"/>
  <c r="N151" i="50"/>
  <c r="AC148" i="50"/>
  <c r="N148" i="50"/>
  <c r="V147" i="50"/>
  <c r="AC144" i="50"/>
  <c r="N144" i="50"/>
  <c r="M143" i="50"/>
  <c r="V142" i="50"/>
  <c r="AB140" i="50"/>
  <c r="W140" i="50"/>
  <c r="M140" i="50"/>
  <c r="P158" i="50"/>
  <c r="P154" i="50"/>
  <c r="P150" i="50"/>
  <c r="P146" i="50"/>
  <c r="P142" i="50"/>
  <c r="P138" i="50"/>
  <c r="S138" i="50" s="1"/>
  <c r="W154" i="50"/>
  <c r="AB154" i="50"/>
  <c r="M153" i="50"/>
  <c r="X153" i="50"/>
  <c r="AC153" i="50"/>
  <c r="W150" i="50"/>
  <c r="AB150" i="50"/>
  <c r="W138" i="50"/>
  <c r="AB138" i="50"/>
  <c r="M138" i="50"/>
  <c r="AC138" i="50"/>
  <c r="V138" i="50"/>
  <c r="N138" i="50"/>
  <c r="AD157" i="50"/>
  <c r="Y157" i="50"/>
  <c r="T157" i="50"/>
  <c r="N157" i="50"/>
  <c r="AC154" i="50"/>
  <c r="V154" i="50"/>
  <c r="N154" i="50"/>
  <c r="AD153" i="50"/>
  <c r="W153" i="50"/>
  <c r="N152" i="50"/>
  <c r="T152" i="50"/>
  <c r="AD152" i="50"/>
  <c r="AC150" i="50"/>
  <c r="V150" i="50"/>
  <c r="N150" i="50"/>
  <c r="AC157" i="50"/>
  <c r="X157" i="50"/>
  <c r="M157" i="50"/>
  <c r="T156" i="50"/>
  <c r="N156" i="50"/>
  <c r="T154" i="50"/>
  <c r="M154" i="50"/>
  <c r="AB153" i="50"/>
  <c r="V153" i="50"/>
  <c r="N153" i="50"/>
  <c r="AC152" i="50"/>
  <c r="W152" i="50"/>
  <c r="T150" i="50"/>
  <c r="M150" i="50"/>
  <c r="W146" i="50"/>
  <c r="AB146" i="50"/>
  <c r="M146" i="50"/>
  <c r="AC146" i="50"/>
  <c r="N146" i="50"/>
  <c r="T138" i="50"/>
  <c r="AF157" i="50"/>
  <c r="AB157" i="50"/>
  <c r="W157" i="50"/>
  <c r="AC156" i="50"/>
  <c r="X156" i="50"/>
  <c r="AD155" i="50"/>
  <c r="T155" i="50"/>
  <c r="T153" i="50"/>
  <c r="AB152" i="50"/>
  <c r="V152" i="50"/>
  <c r="M152" i="50"/>
  <c r="M149" i="50"/>
  <c r="AC149" i="50"/>
  <c r="N149" i="50"/>
  <c r="T149" i="50"/>
  <c r="AB149" i="50"/>
  <c r="V146" i="50"/>
  <c r="M145" i="50"/>
  <c r="X145" i="50"/>
  <c r="AC145" i="50"/>
  <c r="N145" i="50"/>
  <c r="T145" i="50"/>
  <c r="Y145" i="50"/>
  <c r="AD145" i="50"/>
  <c r="W142" i="50"/>
  <c r="AB142" i="50"/>
  <c r="M142" i="50"/>
  <c r="AC142" i="50"/>
  <c r="M141" i="50"/>
  <c r="AC141" i="50"/>
  <c r="N141" i="50"/>
  <c r="T141" i="50"/>
  <c r="AB145" i="50"/>
  <c r="AB141" i="50"/>
  <c r="Z145" i="50"/>
  <c r="AL145" i="50" s="1"/>
  <c r="N142" i="50"/>
  <c r="AB143" i="50"/>
  <c r="W143" i="50"/>
  <c r="AK157" i="50" l="1"/>
  <c r="AH151" i="50"/>
  <c r="AI148" i="50"/>
  <c r="B469" i="40"/>
  <c r="B188" i="65"/>
  <c r="AJ139" i="50"/>
  <c r="S149" i="50"/>
  <c r="S156" i="50"/>
  <c r="S150" i="50"/>
  <c r="S144" i="50"/>
  <c r="S146" i="50"/>
  <c r="S154" i="50"/>
  <c r="S147" i="50"/>
  <c r="S152" i="50"/>
  <c r="S153" i="50"/>
  <c r="S157" i="50"/>
  <c r="S148" i="50"/>
  <c r="S155" i="50"/>
  <c r="Q142" i="50"/>
  <c r="S142" i="50"/>
  <c r="S158" i="50"/>
  <c r="S151" i="50"/>
  <c r="S145" i="50"/>
  <c r="AI141" i="50"/>
  <c r="AI144" i="50"/>
  <c r="AI139" i="50"/>
  <c r="AJ154" i="50"/>
  <c r="AL151" i="50"/>
  <c r="Q141" i="50"/>
  <c r="AK145" i="50"/>
  <c r="AI140" i="50"/>
  <c r="AI151" i="50"/>
  <c r="AL139" i="50"/>
  <c r="AI158" i="50"/>
  <c r="AK139" i="50"/>
  <c r="AH144" i="50"/>
  <c r="AI145" i="50"/>
  <c r="AJ156" i="50"/>
  <c r="AL157" i="50"/>
  <c r="AH157" i="50"/>
  <c r="AI143" i="50"/>
  <c r="AH145" i="50"/>
  <c r="AJ157" i="50"/>
  <c r="AK151" i="50"/>
  <c r="AI156" i="50"/>
  <c r="AH147" i="50"/>
  <c r="AI155" i="50"/>
  <c r="AH158" i="50"/>
  <c r="AH142" i="50"/>
  <c r="AJ152" i="50"/>
  <c r="AH140" i="50"/>
  <c r="AJ158" i="50"/>
  <c r="AH148" i="50"/>
  <c r="AJ151" i="50"/>
  <c r="AH156" i="50"/>
  <c r="AI149" i="50"/>
  <c r="AJ155" i="50"/>
  <c r="AH138" i="50"/>
  <c r="AI147" i="50"/>
  <c r="AH143" i="50"/>
  <c r="AH141" i="50"/>
  <c r="AH155" i="50"/>
  <c r="AH149" i="50"/>
  <c r="AH150" i="50"/>
  <c r="AI157" i="50"/>
  <c r="AI153" i="50"/>
  <c r="AH146" i="50"/>
  <c r="AI138" i="50"/>
  <c r="AI150" i="50"/>
  <c r="AJ145" i="50"/>
  <c r="AH154" i="50"/>
  <c r="AJ153" i="50"/>
  <c r="AI146" i="50"/>
  <c r="AI154" i="50"/>
  <c r="AI142" i="50"/>
  <c r="AH152" i="50"/>
  <c r="AI152" i="50"/>
  <c r="AH153" i="50"/>
  <c r="B470" i="40" l="1"/>
  <c r="B189" i="65"/>
  <c r="M60" i="42"/>
  <c r="L60" i="42"/>
  <c r="CA60" i="42" s="1"/>
  <c r="I19" i="68"/>
  <c r="J19" i="68"/>
  <c r="J20" i="68"/>
  <c r="K20" i="68"/>
  <c r="K21" i="68"/>
  <c r="L22" i="68"/>
  <c r="L21" i="68"/>
  <c r="I18" i="68"/>
  <c r="H18" i="68"/>
  <c r="F1207" i="40"/>
  <c r="E1207" i="40"/>
  <c r="F1208" i="40"/>
  <c r="E1208" i="40"/>
  <c r="F1209" i="40"/>
  <c r="E1209" i="40"/>
  <c r="F1210" i="40"/>
  <c r="E1210" i="40"/>
  <c r="F1211" i="40"/>
  <c r="E1211" i="40"/>
  <c r="F1212" i="40"/>
  <c r="E1212" i="40"/>
  <c r="F1213" i="40"/>
  <c r="E1213" i="40"/>
  <c r="F1214" i="40"/>
  <c r="E1214" i="40"/>
  <c r="F1215" i="40"/>
  <c r="E1215" i="40"/>
  <c r="F1216" i="40"/>
  <c r="E1216" i="40"/>
  <c r="F1217" i="40"/>
  <c r="E1217" i="40"/>
  <c r="F1218" i="40"/>
  <c r="E1218" i="40"/>
  <c r="F1219" i="40"/>
  <c r="E1219" i="40"/>
  <c r="F1220" i="40"/>
  <c r="E1220" i="40"/>
  <c r="I40" i="68"/>
  <c r="I41" i="68"/>
  <c r="I42" i="68"/>
  <c r="I43" i="68"/>
  <c r="I39" i="68"/>
  <c r="K54" i="24"/>
  <c r="I52" i="24"/>
  <c r="M39" i="24"/>
  <c r="L38" i="24"/>
  <c r="H40" i="37" s="1"/>
  <c r="K37" i="24"/>
  <c r="K17" i="25" s="1"/>
  <c r="J36" i="24"/>
  <c r="J16" i="25" s="1"/>
  <c r="I35" i="24"/>
  <c r="I15" i="25" s="1"/>
  <c r="F40" i="68"/>
  <c r="H40" i="68"/>
  <c r="F41" i="68"/>
  <c r="H41" i="68"/>
  <c r="F42" i="68"/>
  <c r="H42" i="68"/>
  <c r="F43" i="68"/>
  <c r="H43" i="68"/>
  <c r="H39" i="68"/>
  <c r="F39" i="68"/>
  <c r="F28" i="68"/>
  <c r="F25" i="68"/>
  <c r="V60" i="42" l="1"/>
  <c r="B471" i="40"/>
  <c r="B190" i="65"/>
  <c r="M41" i="66"/>
  <c r="I41" i="37"/>
  <c r="L37" i="24"/>
  <c r="L39" i="66" s="1"/>
  <c r="I49" i="66"/>
  <c r="I27" i="25"/>
  <c r="K51" i="66"/>
  <c r="K29" i="25"/>
  <c r="M38" i="24"/>
  <c r="I40" i="37" s="1"/>
  <c r="L40" i="66"/>
  <c r="J35" i="24"/>
  <c r="J15" i="25" s="1"/>
  <c r="I37" i="66"/>
  <c r="K36" i="24"/>
  <c r="K16" i="25" s="1"/>
  <c r="J38" i="66"/>
  <c r="K39" i="66"/>
  <c r="I32" i="32"/>
  <c r="B472" i="40" l="1"/>
  <c r="B191" i="65"/>
  <c r="M37" i="24"/>
  <c r="M17" i="25" s="1"/>
  <c r="L17" i="25"/>
  <c r="K35" i="24"/>
  <c r="K15" i="25" s="1"/>
  <c r="J37" i="66"/>
  <c r="L36" i="24"/>
  <c r="L16" i="25" s="1"/>
  <c r="K38" i="66"/>
  <c r="N38" i="24"/>
  <c r="J40" i="37" s="1"/>
  <c r="M40" i="66"/>
  <c r="K43" i="68"/>
  <c r="U43" i="68" s="1"/>
  <c r="K40" i="68"/>
  <c r="O40" i="68" s="1"/>
  <c r="K39" i="68"/>
  <c r="P39" i="68" s="1"/>
  <c r="O39" i="68"/>
  <c r="M39" i="66" l="1"/>
  <c r="B473" i="40"/>
  <c r="B192" i="65"/>
  <c r="N37" i="24"/>
  <c r="N17" i="25" s="1"/>
  <c r="M36" i="24"/>
  <c r="M16" i="25" s="1"/>
  <c r="L38" i="66"/>
  <c r="L35" i="24"/>
  <c r="L15" i="25" s="1"/>
  <c r="K37" i="66"/>
  <c r="O38" i="24"/>
  <c r="K40" i="37" s="1"/>
  <c r="N40" i="66"/>
  <c r="U39" i="68"/>
  <c r="AA39" i="68" s="1"/>
  <c r="T40" i="68"/>
  <c r="M39" i="68"/>
  <c r="Q39" i="68"/>
  <c r="V39" i="68"/>
  <c r="AB39" i="68" s="1"/>
  <c r="P40" i="68"/>
  <c r="U40" i="68"/>
  <c r="AA40" i="68" s="1"/>
  <c r="M43" i="68"/>
  <c r="Q43" i="68"/>
  <c r="V43" i="68"/>
  <c r="P43" i="68"/>
  <c r="N39" i="68"/>
  <c r="S39" i="68"/>
  <c r="W39" i="68"/>
  <c r="M40" i="68"/>
  <c r="Q40" i="68"/>
  <c r="V40" i="68"/>
  <c r="K41" i="68"/>
  <c r="W41" i="68" s="1"/>
  <c r="N43" i="68"/>
  <c r="S43" i="68"/>
  <c r="W43" i="68"/>
  <c r="T39" i="68"/>
  <c r="N40" i="68"/>
  <c r="S40" i="68"/>
  <c r="W40" i="68"/>
  <c r="K42" i="68"/>
  <c r="W42" i="68" s="1"/>
  <c r="O43" i="68"/>
  <c r="AA43" i="68" s="1"/>
  <c r="T43" i="68"/>
  <c r="N39" i="66" l="1"/>
  <c r="B474" i="40"/>
  <c r="B193" i="65"/>
  <c r="O37" i="24"/>
  <c r="O17" i="25" s="1"/>
  <c r="N36" i="24"/>
  <c r="N16" i="25" s="1"/>
  <c r="M38" i="66"/>
  <c r="P38" i="24"/>
  <c r="L40" i="37" s="1"/>
  <c r="O40" i="66"/>
  <c r="M35" i="24"/>
  <c r="M15" i="25" s="1"/>
  <c r="L37" i="66"/>
  <c r="Q41" i="68"/>
  <c r="AC41" i="68" s="1"/>
  <c r="M41" i="68"/>
  <c r="U41" i="68"/>
  <c r="P42" i="68"/>
  <c r="P41" i="68"/>
  <c r="Z40" i="68"/>
  <c r="O42" i="68"/>
  <c r="AC40" i="68"/>
  <c r="AB43" i="68"/>
  <c r="U42" i="68"/>
  <c r="T42" i="68"/>
  <c r="S41" i="68"/>
  <c r="Y40" i="68"/>
  <c r="AC43" i="68"/>
  <c r="S42" i="68"/>
  <c r="O41" i="68"/>
  <c r="AB40" i="68"/>
  <c r="V42" i="68"/>
  <c r="N41" i="68"/>
  <c r="Y43" i="68"/>
  <c r="N42" i="68"/>
  <c r="M42" i="68"/>
  <c r="Q42" i="68"/>
  <c r="AC42" i="68" s="1"/>
  <c r="Z39" i="68"/>
  <c r="AE40" i="68"/>
  <c r="AC39" i="68"/>
  <c r="Z43" i="68"/>
  <c r="V41" i="68"/>
  <c r="T41" i="68"/>
  <c r="Y39" i="68"/>
  <c r="I48" i="42"/>
  <c r="J49" i="42"/>
  <c r="K50" i="42"/>
  <c r="L51" i="42"/>
  <c r="M52" i="42"/>
  <c r="N53" i="42"/>
  <c r="H47" i="42"/>
  <c r="O39" i="66" l="1"/>
  <c r="B475" i="40"/>
  <c r="B194" i="65"/>
  <c r="AF40" i="68"/>
  <c r="AG40" i="68" s="1"/>
  <c r="AM40" i="68" s="1"/>
  <c r="P37" i="24"/>
  <c r="P17" i="25" s="1"/>
  <c r="O36" i="24"/>
  <c r="O16" i="25" s="1"/>
  <c r="N38" i="66"/>
  <c r="N35" i="24"/>
  <c r="N15" i="25" s="1"/>
  <c r="M37" i="66"/>
  <c r="P40" i="66"/>
  <c r="Q38" i="24"/>
  <c r="Z42" i="68"/>
  <c r="AB41" i="68"/>
  <c r="Y41" i="68"/>
  <c r="AE41" i="68" s="1"/>
  <c r="AA42" i="68"/>
  <c r="AB42" i="68"/>
  <c r="Y42" i="68"/>
  <c r="AE42" i="68" s="1"/>
  <c r="AA41" i="68"/>
  <c r="AE39" i="68"/>
  <c r="AF39" i="68" s="1"/>
  <c r="AG39" i="68" s="1"/>
  <c r="AE43" i="68"/>
  <c r="AF43" i="68" s="1"/>
  <c r="AG43" i="68" s="1"/>
  <c r="AK40" i="68"/>
  <c r="Z41" i="68"/>
  <c r="AH40" i="68" l="1"/>
  <c r="AI40" i="68" s="1"/>
  <c r="AO40" i="68" s="1"/>
  <c r="AL40" i="68"/>
  <c r="Q37" i="24"/>
  <c r="P39" i="66"/>
  <c r="B476" i="40"/>
  <c r="B195" i="65"/>
  <c r="Q40" i="66"/>
  <c r="M40" i="37"/>
  <c r="O35" i="24"/>
  <c r="O15" i="25" s="1"/>
  <c r="N37" i="66"/>
  <c r="AF42" i="68"/>
  <c r="AG42" i="68" s="1"/>
  <c r="AH42" i="68" s="1"/>
  <c r="AI42" i="68" s="1"/>
  <c r="AO42" i="68" s="1"/>
  <c r="O38" i="66"/>
  <c r="P36" i="24"/>
  <c r="P16" i="25" s="1"/>
  <c r="AK41" i="68"/>
  <c r="AL39" i="68"/>
  <c r="AL43" i="68"/>
  <c r="AK39" i="68"/>
  <c r="AK43" i="68"/>
  <c r="AF41" i="68"/>
  <c r="AG41" i="68" s="1"/>
  <c r="AH39" i="68"/>
  <c r="AM39" i="68"/>
  <c r="AK42" i="68"/>
  <c r="AH43" i="68"/>
  <c r="AM43" i="68"/>
  <c r="AN40" i="68" l="1"/>
  <c r="Q17" i="25"/>
  <c r="Q39" i="66"/>
  <c r="B477" i="40"/>
  <c r="B196" i="65"/>
  <c r="AM42" i="68"/>
  <c r="AN42" i="68"/>
  <c r="P38" i="66"/>
  <c r="Q36" i="24"/>
  <c r="O37" i="66"/>
  <c r="P35" i="24"/>
  <c r="P15" i="25" s="1"/>
  <c r="AL42" i="68"/>
  <c r="AI39" i="68"/>
  <c r="AO39" i="68" s="1"/>
  <c r="AN39" i="68"/>
  <c r="AI43" i="68"/>
  <c r="AO43" i="68" s="1"/>
  <c r="AN43" i="68"/>
  <c r="AH41" i="68"/>
  <c r="AM41" i="68"/>
  <c r="AL41" i="68"/>
  <c r="B478" i="40" l="1"/>
  <c r="B197" i="65"/>
  <c r="Q38" i="66"/>
  <c r="Q16" i="25"/>
  <c r="P37" i="66"/>
  <c r="Q35" i="24"/>
  <c r="AI41" i="68"/>
  <c r="AO41" i="68" s="1"/>
  <c r="AN41" i="68"/>
  <c r="K17" i="42"/>
  <c r="AY66" i="42" s="1"/>
  <c r="BO66" i="42" s="1"/>
  <c r="L17" i="42"/>
  <c r="AZ66" i="42" s="1"/>
  <c r="BP66" i="42" s="1"/>
  <c r="M17" i="42"/>
  <c r="BA66" i="42" s="1"/>
  <c r="BQ66" i="42" s="1"/>
  <c r="N17" i="42"/>
  <c r="BB66" i="42" s="1"/>
  <c r="BR66" i="42" s="1"/>
  <c r="BZ66" i="42" s="1"/>
  <c r="J17" i="42"/>
  <c r="J16" i="50"/>
  <c r="M131" i="25"/>
  <c r="N131" i="25"/>
  <c r="O131" i="25"/>
  <c r="P131" i="25"/>
  <c r="Q131" i="25"/>
  <c r="N130" i="25"/>
  <c r="O130" i="25"/>
  <c r="P130" i="25"/>
  <c r="Q130" i="25"/>
  <c r="M130" i="25"/>
  <c r="F32" i="65"/>
  <c r="K52" i="65"/>
  <c r="K47" i="68" l="1"/>
  <c r="M57" i="68" s="1"/>
  <c r="N31" i="32" s="1"/>
  <c r="AZ323" i="50"/>
  <c r="AZ316" i="50"/>
  <c r="AZ315" i="50"/>
  <c r="AZ324" i="50"/>
  <c r="AZ313" i="50"/>
  <c r="AZ311" i="50"/>
  <c r="AZ319" i="50"/>
  <c r="AZ322" i="50"/>
  <c r="AZ321" i="50"/>
  <c r="AZ320" i="50"/>
  <c r="AZ309" i="50"/>
  <c r="AZ310" i="50"/>
  <c r="AZ308" i="50"/>
  <c r="AZ312" i="50"/>
  <c r="AZ318" i="50"/>
  <c r="AZ317" i="50"/>
  <c r="AZ314" i="50"/>
  <c r="AX66" i="42"/>
  <c r="BN66" i="42" s="1"/>
  <c r="B479" i="40"/>
  <c r="B198" i="65"/>
  <c r="AZ307" i="50"/>
  <c r="AZ302" i="50"/>
  <c r="AZ305" i="50"/>
  <c r="AZ301" i="50"/>
  <c r="AZ306" i="50"/>
  <c r="AZ300" i="50"/>
  <c r="AZ303" i="50"/>
  <c r="AZ304" i="50"/>
  <c r="AZ299" i="50"/>
  <c r="AZ297" i="50"/>
  <c r="AZ292" i="50"/>
  <c r="AZ293" i="50"/>
  <c r="AZ291" i="50"/>
  <c r="AZ295" i="50"/>
  <c r="AZ294" i="50"/>
  <c r="AZ296" i="50"/>
  <c r="AZ298" i="50"/>
  <c r="AZ200" i="50"/>
  <c r="AZ180" i="50"/>
  <c r="AZ166" i="50"/>
  <c r="AZ161" i="50"/>
  <c r="AZ162" i="50"/>
  <c r="AZ197" i="50"/>
  <c r="AZ185" i="50"/>
  <c r="AZ182" i="50"/>
  <c r="AZ160" i="50"/>
  <c r="AZ177" i="50"/>
  <c r="AZ165" i="50"/>
  <c r="AZ175" i="50"/>
  <c r="AZ167" i="50"/>
  <c r="AZ186" i="50"/>
  <c r="AZ199" i="50"/>
  <c r="AZ163" i="50"/>
  <c r="AZ178" i="50"/>
  <c r="AZ181" i="50"/>
  <c r="AZ159" i="50"/>
  <c r="AZ198" i="50"/>
  <c r="AZ176" i="50"/>
  <c r="AZ184" i="50"/>
  <c r="AZ179" i="50"/>
  <c r="AZ183" i="50"/>
  <c r="AZ168" i="50"/>
  <c r="AZ164" i="50"/>
  <c r="Q37" i="66"/>
  <c r="Q15" i="25"/>
  <c r="AZ158" i="50"/>
  <c r="AZ143" i="50"/>
  <c r="AZ149" i="50"/>
  <c r="AZ148" i="50"/>
  <c r="AZ146" i="50"/>
  <c r="AZ157" i="50"/>
  <c r="AZ145" i="50"/>
  <c r="AZ142" i="50"/>
  <c r="B480" i="40" l="1"/>
  <c r="B199" i="65"/>
  <c r="M55" i="25"/>
  <c r="F29" i="65"/>
  <c r="M52" i="65"/>
  <c r="L46" i="65"/>
  <c r="K45" i="65"/>
  <c r="J44" i="65"/>
  <c r="I43" i="65"/>
  <c r="H42" i="65"/>
  <c r="L39" i="65"/>
  <c r="K38" i="65"/>
  <c r="J37" i="65"/>
  <c r="I36" i="65"/>
  <c r="H35" i="65"/>
  <c r="F26" i="65"/>
  <c r="F23" i="65"/>
  <c r="F20" i="65"/>
  <c r="N54" i="25"/>
  <c r="O54" i="25"/>
  <c r="P54" i="25"/>
  <c r="Q54" i="25"/>
  <c r="M54" i="25"/>
  <c r="I50" i="50"/>
  <c r="J51" i="50"/>
  <c r="K52" i="50"/>
  <c r="L53" i="50"/>
  <c r="M54" i="50"/>
  <c r="N55" i="50"/>
  <c r="I41" i="50"/>
  <c r="J42" i="50"/>
  <c r="K43" i="50"/>
  <c r="L44" i="50"/>
  <c r="M45" i="50"/>
  <c r="N46" i="50"/>
  <c r="H49" i="50"/>
  <c r="H40" i="50"/>
  <c r="L31" i="25"/>
  <c r="M32" i="25"/>
  <c r="N33" i="25"/>
  <c r="O34" i="25"/>
  <c r="P35" i="25"/>
  <c r="Q36" i="25"/>
  <c r="L19" i="25"/>
  <c r="M20" i="25"/>
  <c r="N21" i="25"/>
  <c r="O22" i="25"/>
  <c r="P23" i="25"/>
  <c r="Q24" i="25"/>
  <c r="K30" i="25"/>
  <c r="K18" i="25"/>
  <c r="N44" i="42"/>
  <c r="M43" i="42"/>
  <c r="L42" i="42"/>
  <c r="K41" i="42"/>
  <c r="J40" i="42"/>
  <c r="I39" i="42"/>
  <c r="H38" i="42"/>
  <c r="O60" i="42" s="1"/>
  <c r="R60" i="42" s="1"/>
  <c r="J53" i="24"/>
  <c r="L54" i="24"/>
  <c r="L29" i="25" s="1"/>
  <c r="L55" i="24"/>
  <c r="M56" i="24"/>
  <c r="N57" i="24"/>
  <c r="O58" i="24"/>
  <c r="K52" i="37" s="1"/>
  <c r="P59" i="24"/>
  <c r="Q60" i="24"/>
  <c r="J40" i="50"/>
  <c r="N39" i="24"/>
  <c r="N40" i="24"/>
  <c r="O41" i="24"/>
  <c r="P42" i="24"/>
  <c r="Q43" i="24"/>
  <c r="R418" i="65" l="1"/>
  <c r="P418" i="65"/>
  <c r="S418" i="65"/>
  <c r="R454" i="65"/>
  <c r="Q418" i="65"/>
  <c r="S454" i="65"/>
  <c r="T418" i="65"/>
  <c r="P454" i="65"/>
  <c r="AB454" i="65" s="1"/>
  <c r="T454" i="65"/>
  <c r="AF454" i="65" s="1"/>
  <c r="Q454" i="65"/>
  <c r="AC454" i="65" s="1"/>
  <c r="Y418" i="65"/>
  <c r="Z418" i="65"/>
  <c r="X418" i="65"/>
  <c r="V418" i="65"/>
  <c r="X454" i="65"/>
  <c r="W454" i="65"/>
  <c r="V454" i="65"/>
  <c r="Z454" i="65"/>
  <c r="W418" i="65"/>
  <c r="Y454" i="65"/>
  <c r="Q451" i="65"/>
  <c r="Q413" i="65"/>
  <c r="Q397" i="65"/>
  <c r="T493" i="65"/>
  <c r="P457" i="65"/>
  <c r="S501" i="65"/>
  <c r="P417" i="65"/>
  <c r="Q457" i="65"/>
  <c r="T497" i="65"/>
  <c r="S459" i="65"/>
  <c r="P481" i="65"/>
  <c r="P415" i="65"/>
  <c r="P441" i="65"/>
  <c r="S469" i="65"/>
  <c r="S452" i="65"/>
  <c r="T409" i="65"/>
  <c r="Q481" i="65"/>
  <c r="S417" i="65"/>
  <c r="R405" i="65"/>
  <c r="S399" i="65"/>
  <c r="P449" i="65"/>
  <c r="S449" i="65"/>
  <c r="T397" i="65"/>
  <c r="Q484" i="65"/>
  <c r="R395" i="65"/>
  <c r="Q468" i="65"/>
  <c r="P484" i="65"/>
  <c r="R449" i="65"/>
  <c r="R409" i="65"/>
  <c r="Q485" i="65"/>
  <c r="Q443" i="65"/>
  <c r="P401" i="65"/>
  <c r="S401" i="65"/>
  <c r="R401" i="65"/>
  <c r="Q415" i="65"/>
  <c r="Q405" i="65"/>
  <c r="T405" i="65"/>
  <c r="T417" i="65"/>
  <c r="P395" i="65"/>
  <c r="R493" i="65"/>
  <c r="T495" i="65"/>
  <c r="R495" i="65"/>
  <c r="T445" i="65"/>
  <c r="Q447" i="65"/>
  <c r="T399" i="65"/>
  <c r="P399" i="65"/>
  <c r="S447" i="65"/>
  <c r="P499" i="65"/>
  <c r="S411" i="65"/>
  <c r="S493" i="65"/>
  <c r="P397" i="65"/>
  <c r="P445" i="65"/>
  <c r="T401" i="65"/>
  <c r="S495" i="65"/>
  <c r="S409" i="65"/>
  <c r="R411" i="65"/>
  <c r="Q453" i="65"/>
  <c r="T451" i="65"/>
  <c r="R445" i="65"/>
  <c r="Q417" i="65"/>
  <c r="R501" i="65"/>
  <c r="Q501" i="65"/>
  <c r="R407" i="65"/>
  <c r="P403" i="65"/>
  <c r="R415" i="65"/>
  <c r="T447" i="65"/>
  <c r="P493" i="65"/>
  <c r="T407" i="65"/>
  <c r="P407" i="65"/>
  <c r="R468" i="65"/>
  <c r="R497" i="65"/>
  <c r="T481" i="65"/>
  <c r="P393" i="65"/>
  <c r="S453" i="65"/>
  <c r="P469" i="65"/>
  <c r="Q499" i="65"/>
  <c r="P468" i="65"/>
  <c r="S497" i="65"/>
  <c r="P501" i="65"/>
  <c r="P405" i="65"/>
  <c r="R481" i="65"/>
  <c r="S405" i="65"/>
  <c r="P413" i="65"/>
  <c r="Q411" i="65"/>
  <c r="AC411" i="65" s="1"/>
  <c r="Q445" i="65"/>
  <c r="Q441" i="65"/>
  <c r="P495" i="65"/>
  <c r="S407" i="65"/>
  <c r="R397" i="65"/>
  <c r="R443" i="65"/>
  <c r="Q452" i="65"/>
  <c r="Q401" i="65"/>
  <c r="P459" i="65"/>
  <c r="S457" i="65"/>
  <c r="S403" i="65"/>
  <c r="R452" i="65"/>
  <c r="T413" i="65"/>
  <c r="R451" i="65"/>
  <c r="S445" i="65"/>
  <c r="P443" i="65"/>
  <c r="R470" i="65"/>
  <c r="Q395" i="65"/>
  <c r="R403" i="65"/>
  <c r="S397" i="65"/>
  <c r="R413" i="65"/>
  <c r="R417" i="65"/>
  <c r="R399" i="65"/>
  <c r="Q399" i="65"/>
  <c r="T415" i="65"/>
  <c r="P452" i="65"/>
  <c r="T499" i="65"/>
  <c r="Q470" i="65"/>
  <c r="T400" i="65"/>
  <c r="P451" i="65"/>
  <c r="AB419" i="65"/>
  <c r="Q497" i="65"/>
  <c r="Q403" i="65"/>
  <c r="S481" i="65"/>
  <c r="R459" i="65"/>
  <c r="S415" i="65"/>
  <c r="T501" i="65"/>
  <c r="P497" i="65"/>
  <c r="AB497" i="65" s="1"/>
  <c r="R469" i="65"/>
  <c r="P485" i="65"/>
  <c r="T449" i="65"/>
  <c r="T414" i="65"/>
  <c r="Q469" i="65"/>
  <c r="Q407" i="65"/>
  <c r="T457" i="65"/>
  <c r="R457" i="65"/>
  <c r="T468" i="65"/>
  <c r="P409" i="65"/>
  <c r="R447" i="65"/>
  <c r="P447" i="65"/>
  <c r="P404" i="65"/>
  <c r="T411" i="65"/>
  <c r="T488" i="65"/>
  <c r="R471" i="65"/>
  <c r="T459" i="65"/>
  <c r="S443" i="65"/>
  <c r="T469" i="65"/>
  <c r="S414" i="65"/>
  <c r="Q449" i="65"/>
  <c r="P453" i="65"/>
  <c r="P414" i="65"/>
  <c r="R453" i="65"/>
  <c r="S451" i="65"/>
  <c r="R404" i="65"/>
  <c r="Q459" i="65"/>
  <c r="T452" i="65"/>
  <c r="R499" i="65"/>
  <c r="P411" i="65"/>
  <c r="Q495" i="65"/>
  <c r="T453" i="65"/>
  <c r="R485" i="65"/>
  <c r="Q414" i="65"/>
  <c r="S499" i="65"/>
  <c r="Q493" i="65"/>
  <c r="S413" i="65"/>
  <c r="S468" i="65"/>
  <c r="S485" i="65"/>
  <c r="AE485" i="65" s="1"/>
  <c r="T403" i="65"/>
  <c r="R414" i="65"/>
  <c r="Q409" i="65"/>
  <c r="T492" i="65"/>
  <c r="Q442" i="65"/>
  <c r="P440" i="65"/>
  <c r="R398" i="65"/>
  <c r="P394" i="65"/>
  <c r="T487" i="65"/>
  <c r="Q450" i="65"/>
  <c r="R456" i="65"/>
  <c r="T494" i="65"/>
  <c r="Q446" i="65"/>
  <c r="S410" i="65"/>
  <c r="Q496" i="65"/>
  <c r="P396" i="65"/>
  <c r="R450" i="65"/>
  <c r="Q396" i="65"/>
  <c r="S412" i="65"/>
  <c r="S470" i="65"/>
  <c r="Q410" i="65"/>
  <c r="S471" i="65"/>
  <c r="Q500" i="65"/>
  <c r="T471" i="65"/>
  <c r="P471" i="65"/>
  <c r="S398" i="65"/>
  <c r="R486" i="65"/>
  <c r="R478" i="65"/>
  <c r="Q487" i="65"/>
  <c r="S450" i="65"/>
  <c r="R396" i="65"/>
  <c r="R402" i="65"/>
  <c r="T412" i="65"/>
  <c r="T410" i="65"/>
  <c r="Q477" i="65"/>
  <c r="S488" i="65"/>
  <c r="P460" i="65"/>
  <c r="R408" i="65"/>
  <c r="Q488" i="65"/>
  <c r="T478" i="65"/>
  <c r="T448" i="65"/>
  <c r="S492" i="65"/>
  <c r="S479" i="65"/>
  <c r="T480" i="65"/>
  <c r="S480" i="65"/>
  <c r="R489" i="65"/>
  <c r="T504" i="65"/>
  <c r="T450" i="65"/>
  <c r="S487" i="65"/>
  <c r="P412" i="65"/>
  <c r="T491" i="65"/>
  <c r="Q489" i="65"/>
  <c r="S416" i="65"/>
  <c r="S460" i="65"/>
  <c r="R487" i="65"/>
  <c r="T404" i="65"/>
  <c r="R490" i="65"/>
  <c r="P478" i="65"/>
  <c r="R479" i="65"/>
  <c r="Q471" i="65"/>
  <c r="P492" i="65"/>
  <c r="Q486" i="65"/>
  <c r="T486" i="65"/>
  <c r="T489" i="65"/>
  <c r="R491" i="65"/>
  <c r="P416" i="65"/>
  <c r="Q504" i="65"/>
  <c r="T496" i="65"/>
  <c r="S489" i="65"/>
  <c r="R412" i="65"/>
  <c r="R442" i="65"/>
  <c r="Q400" i="65"/>
  <c r="S478" i="65"/>
  <c r="S396" i="65"/>
  <c r="R488" i="65"/>
  <c r="Q416" i="65"/>
  <c r="T460" i="65"/>
  <c r="P496" i="65"/>
  <c r="S448" i="65"/>
  <c r="R446" i="65"/>
  <c r="R460" i="65"/>
  <c r="Q408" i="65"/>
  <c r="P491" i="65"/>
  <c r="T500" i="65"/>
  <c r="S491" i="65"/>
  <c r="R400" i="65"/>
  <c r="P448" i="65"/>
  <c r="R448" i="65"/>
  <c r="R500" i="65"/>
  <c r="T470" i="65"/>
  <c r="S500" i="65"/>
  <c r="P400" i="65"/>
  <c r="R494" i="65"/>
  <c r="P456" i="65"/>
  <c r="T416" i="65"/>
  <c r="S446" i="65"/>
  <c r="S496" i="65"/>
  <c r="S402" i="65"/>
  <c r="P410" i="65"/>
  <c r="R492" i="65"/>
  <c r="T498" i="65"/>
  <c r="Q398" i="65"/>
  <c r="R504" i="65"/>
  <c r="S486" i="65"/>
  <c r="P488" i="65"/>
  <c r="S504" i="65"/>
  <c r="P408" i="65"/>
  <c r="S406" i="65"/>
  <c r="T490" i="65"/>
  <c r="Q494" i="65"/>
  <c r="T444" i="65"/>
  <c r="Q456" i="65"/>
  <c r="Q490" i="65"/>
  <c r="P406" i="65"/>
  <c r="P490" i="65"/>
  <c r="Q444" i="65"/>
  <c r="R498" i="65"/>
  <c r="Q480" i="65"/>
  <c r="P450" i="65"/>
  <c r="Q394" i="65"/>
  <c r="Q479" i="65"/>
  <c r="R496" i="65"/>
  <c r="P494" i="65"/>
  <c r="Q491" i="65"/>
  <c r="Q412" i="65"/>
  <c r="S477" i="65"/>
  <c r="P398" i="65"/>
  <c r="Q478" i="65"/>
  <c r="Q448" i="65"/>
  <c r="T456" i="65"/>
  <c r="AF456" i="65" s="1"/>
  <c r="Q404" i="65"/>
  <c r="R444" i="65"/>
  <c r="P486" i="65"/>
  <c r="S400" i="65"/>
  <c r="P500" i="65"/>
  <c r="T408" i="65"/>
  <c r="Q498" i="65"/>
  <c r="P489" i="65"/>
  <c r="S408" i="65"/>
  <c r="P487" i="65"/>
  <c r="S456" i="65"/>
  <c r="P504" i="65"/>
  <c r="R416" i="65"/>
  <c r="Q406" i="65"/>
  <c r="P402" i="65"/>
  <c r="S444" i="65"/>
  <c r="R406" i="65"/>
  <c r="P444" i="65"/>
  <c r="Q492" i="65"/>
  <c r="R480" i="65"/>
  <c r="P477" i="65"/>
  <c r="T477" i="65"/>
  <c r="Q460" i="65"/>
  <c r="R410" i="65"/>
  <c r="S404" i="65"/>
  <c r="AE404" i="65" s="1"/>
  <c r="P470" i="65"/>
  <c r="P479" i="65"/>
  <c r="T479" i="65"/>
  <c r="P442" i="65"/>
  <c r="T398" i="65"/>
  <c r="P498" i="65"/>
  <c r="T406" i="65"/>
  <c r="P446" i="65"/>
  <c r="T446" i="65"/>
  <c r="R477" i="65"/>
  <c r="S494" i="65"/>
  <c r="Q402" i="65"/>
  <c r="P480" i="65"/>
  <c r="S498" i="65"/>
  <c r="T402" i="65"/>
  <c r="P476" i="65"/>
  <c r="S490" i="65"/>
  <c r="Y465" i="65"/>
  <c r="X505" i="65"/>
  <c r="Y503" i="65"/>
  <c r="X483" i="65"/>
  <c r="Y427" i="65"/>
  <c r="T467" i="65"/>
  <c r="V439" i="65"/>
  <c r="X387" i="65"/>
  <c r="W435" i="65"/>
  <c r="R433" i="65"/>
  <c r="V463" i="65"/>
  <c r="W465" i="65"/>
  <c r="P461" i="65"/>
  <c r="S463" i="65"/>
  <c r="X423" i="65"/>
  <c r="V391" i="65"/>
  <c r="T385" i="65"/>
  <c r="W503" i="65"/>
  <c r="Q427" i="65"/>
  <c r="Q387" i="65"/>
  <c r="W389" i="65"/>
  <c r="T465" i="65"/>
  <c r="Y461" i="65"/>
  <c r="P425" i="65"/>
  <c r="S423" i="65"/>
  <c r="P505" i="65"/>
  <c r="Q503" i="65"/>
  <c r="P483" i="65"/>
  <c r="Q473" i="65"/>
  <c r="V427" i="65"/>
  <c r="Z439" i="65"/>
  <c r="Y387" i="65"/>
  <c r="X435" i="65"/>
  <c r="V433" i="65"/>
  <c r="P463" i="65"/>
  <c r="Z465" i="65"/>
  <c r="T461" i="65"/>
  <c r="Q393" i="65"/>
  <c r="Q423" i="65"/>
  <c r="Q391" i="65"/>
  <c r="P465" i="65"/>
  <c r="Y505" i="65"/>
  <c r="Q461" i="65"/>
  <c r="X475" i="65"/>
  <c r="S441" i="65"/>
  <c r="Y423" i="65"/>
  <c r="P475" i="65"/>
  <c r="Z395" i="65"/>
  <c r="X385" i="65"/>
  <c r="Z443" i="65"/>
  <c r="Z391" i="65"/>
  <c r="S395" i="65"/>
  <c r="T505" i="65"/>
  <c r="V503" i="65"/>
  <c r="T483" i="65"/>
  <c r="Z427" i="65"/>
  <c r="Y467" i="65"/>
  <c r="W439" i="65"/>
  <c r="V387" i="65"/>
  <c r="P435" i="65"/>
  <c r="S433" i="65"/>
  <c r="T463" i="65"/>
  <c r="R465" i="65"/>
  <c r="V425" i="65"/>
  <c r="R423" i="65"/>
  <c r="R391" i="65"/>
  <c r="Z385" i="65"/>
  <c r="W483" i="65"/>
  <c r="W391" i="65"/>
  <c r="R427" i="65"/>
  <c r="R393" i="65"/>
  <c r="T395" i="65"/>
  <c r="R385" i="65"/>
  <c r="V505" i="65"/>
  <c r="Z503" i="65"/>
  <c r="T485" i="65"/>
  <c r="Y483" i="65"/>
  <c r="W427" i="65"/>
  <c r="Q467" i="65"/>
  <c r="P439" i="65"/>
  <c r="Z387" i="65"/>
  <c r="T435" i="65"/>
  <c r="Z433" i="65"/>
  <c r="Y389" i="65"/>
  <c r="X463" i="65"/>
  <c r="V465" i="65"/>
  <c r="V475" i="65"/>
  <c r="S467" i="65"/>
  <c r="W393" i="65"/>
  <c r="S503" i="65"/>
  <c r="AE503" i="65" s="1"/>
  <c r="AQ503" i="65" s="1"/>
  <c r="X389" i="65"/>
  <c r="V483" i="65"/>
  <c r="S425" i="65"/>
  <c r="S393" i="65"/>
  <c r="Y391" i="65"/>
  <c r="W473" i="65"/>
  <c r="Y463" i="65"/>
  <c r="W423" i="65"/>
  <c r="P473" i="65"/>
  <c r="R505" i="65"/>
  <c r="AD505" i="65" s="1"/>
  <c r="AP505" i="65" s="1"/>
  <c r="R503" i="65"/>
  <c r="Q483" i="65"/>
  <c r="AC483" i="65" s="1"/>
  <c r="AO483" i="65" s="1"/>
  <c r="P427" i="65"/>
  <c r="AB427" i="65" s="1"/>
  <c r="AN427" i="65" s="1"/>
  <c r="V467" i="65"/>
  <c r="T439" i="65"/>
  <c r="P387" i="65"/>
  <c r="W425" i="65"/>
  <c r="P433" i="65"/>
  <c r="V389" i="65"/>
  <c r="Q389" i="65"/>
  <c r="Q463" i="65"/>
  <c r="S465" i="65"/>
  <c r="X441" i="65"/>
  <c r="Y393" i="65"/>
  <c r="Y385" i="65"/>
  <c r="T503" i="65"/>
  <c r="AF503" i="65" s="1"/>
  <c r="AR503" i="65" s="1"/>
  <c r="S483" i="65"/>
  <c r="AE483" i="65" s="1"/>
  <c r="AQ483" i="65" s="1"/>
  <c r="R467" i="65"/>
  <c r="Q439" i="65"/>
  <c r="R435" i="65"/>
  <c r="Y425" i="65"/>
  <c r="Z441" i="65"/>
  <c r="X473" i="65"/>
  <c r="Z425" i="65"/>
  <c r="R441" i="65"/>
  <c r="S391" i="65"/>
  <c r="X427" i="65"/>
  <c r="R387" i="65"/>
  <c r="AD387" i="65" s="1"/>
  <c r="AP387" i="65" s="1"/>
  <c r="R475" i="65"/>
  <c r="Z505" i="65"/>
  <c r="P503" i="65"/>
  <c r="R389" i="65"/>
  <c r="T441" i="65"/>
  <c r="AF441" i="65" s="1"/>
  <c r="X391" i="65"/>
  <c r="X461" i="65"/>
  <c r="Z423" i="65"/>
  <c r="P389" i="65"/>
  <c r="R461" i="65"/>
  <c r="Q505" i="65"/>
  <c r="X503" i="65"/>
  <c r="Z483" i="65"/>
  <c r="T427" i="65"/>
  <c r="AF427" i="65" s="1"/>
  <c r="AR427" i="65" s="1"/>
  <c r="Z467" i="65"/>
  <c r="X439" i="65"/>
  <c r="T387" i="65"/>
  <c r="Q435" i="65"/>
  <c r="X425" i="65"/>
  <c r="Q425" i="65"/>
  <c r="AC425" i="65" s="1"/>
  <c r="AO425" i="65" s="1"/>
  <c r="T433" i="65"/>
  <c r="Z389" i="65"/>
  <c r="Z463" i="65"/>
  <c r="X465" i="65"/>
  <c r="Y441" i="65"/>
  <c r="Q465" i="65"/>
  <c r="Z393" i="65"/>
  <c r="V385" i="65"/>
  <c r="T473" i="65"/>
  <c r="Z475" i="65"/>
  <c r="R463" i="65"/>
  <c r="Q433" i="65"/>
  <c r="S475" i="65"/>
  <c r="R439" i="65"/>
  <c r="S435" i="65"/>
  <c r="V473" i="65"/>
  <c r="R425" i="65"/>
  <c r="Y395" i="65"/>
  <c r="W461" i="65"/>
  <c r="X393" i="65"/>
  <c r="W385" i="65"/>
  <c r="AC385" i="65" s="1"/>
  <c r="AO385" i="65" s="1"/>
  <c r="Z473" i="65"/>
  <c r="S387" i="65"/>
  <c r="Y435" i="65"/>
  <c r="S385" i="65"/>
  <c r="W467" i="65"/>
  <c r="W475" i="65"/>
  <c r="S439" i="65"/>
  <c r="V423" i="65"/>
  <c r="S389" i="65"/>
  <c r="V461" i="65"/>
  <c r="R483" i="65"/>
  <c r="AD483" i="65" s="1"/>
  <c r="AP483" i="65" s="1"/>
  <c r="P507" i="65"/>
  <c r="T475" i="65"/>
  <c r="R473" i="65"/>
  <c r="AD473" i="65" s="1"/>
  <c r="AP473" i="65" s="1"/>
  <c r="Y473" i="65"/>
  <c r="S427" i="65"/>
  <c r="Y475" i="65"/>
  <c r="W433" i="65"/>
  <c r="Q385" i="65"/>
  <c r="W505" i="65"/>
  <c r="Q475" i="65"/>
  <c r="S473" i="65"/>
  <c r="X467" i="65"/>
  <c r="V435" i="65"/>
  <c r="T443" i="65"/>
  <c r="T425" i="65"/>
  <c r="X433" i="65"/>
  <c r="T389" i="65"/>
  <c r="Z461" i="65"/>
  <c r="T393" i="65"/>
  <c r="P423" i="65"/>
  <c r="AB423" i="65" s="1"/>
  <c r="AN423" i="65" s="1"/>
  <c r="P391" i="65"/>
  <c r="AB391" i="65" s="1"/>
  <c r="AN391" i="65" s="1"/>
  <c r="S505" i="65"/>
  <c r="Z485" i="65"/>
  <c r="P467" i="65"/>
  <c r="Y439" i="65"/>
  <c r="W387" i="65"/>
  <c r="Z435" i="65"/>
  <c r="Y433" i="65"/>
  <c r="W463" i="65"/>
  <c r="S461" i="65"/>
  <c r="T423" i="65"/>
  <c r="T391" i="65"/>
  <c r="P385" i="65"/>
  <c r="V495" i="65"/>
  <c r="W469" i="65"/>
  <c r="X401" i="65"/>
  <c r="V507" i="65"/>
  <c r="V441" i="65"/>
  <c r="Z405" i="65"/>
  <c r="X449" i="65"/>
  <c r="AD449" i="65" s="1"/>
  <c r="Z469" i="65"/>
  <c r="Z481" i="65"/>
  <c r="Y469" i="65"/>
  <c r="Y452" i="65"/>
  <c r="R506" i="65"/>
  <c r="T476" i="65"/>
  <c r="X474" i="65"/>
  <c r="R472" i="65"/>
  <c r="Y394" i="65"/>
  <c r="Q464" i="65"/>
  <c r="Q437" i="65"/>
  <c r="X390" i="65"/>
  <c r="Z422" i="65"/>
  <c r="V432" i="65"/>
  <c r="X434" i="65"/>
  <c r="X426" i="65"/>
  <c r="Q438" i="65"/>
  <c r="V424" i="65"/>
  <c r="Z436" i="65"/>
  <c r="R429" i="65"/>
  <c r="V430" i="65"/>
  <c r="T462" i="65"/>
  <c r="W466" i="65"/>
  <c r="R440" i="65"/>
  <c r="X386" i="65"/>
  <c r="R421" i="65"/>
  <c r="Y447" i="65"/>
  <c r="Z417" i="65"/>
  <c r="X417" i="65"/>
  <c r="Y399" i="65"/>
  <c r="R484" i="65"/>
  <c r="W481" i="65"/>
  <c r="X469" i="65"/>
  <c r="W485" i="65"/>
  <c r="V484" i="65"/>
  <c r="Y485" i="65"/>
  <c r="W507" i="65"/>
  <c r="Z397" i="65"/>
  <c r="W495" i="65"/>
  <c r="Z399" i="65"/>
  <c r="Y457" i="65"/>
  <c r="Y453" i="65"/>
  <c r="Y507" i="65"/>
  <c r="AE507" i="65" s="1"/>
  <c r="AQ507" i="65" s="1"/>
  <c r="X445" i="65"/>
  <c r="Z497" i="65"/>
  <c r="Z407" i="65"/>
  <c r="Y397" i="65"/>
  <c r="S507" i="65"/>
  <c r="V411" i="65"/>
  <c r="X443" i="65"/>
  <c r="Z409" i="65"/>
  <c r="X411" i="65"/>
  <c r="X453" i="65"/>
  <c r="W449" i="65"/>
  <c r="X405" i="65"/>
  <c r="Y443" i="65"/>
  <c r="Z459" i="65"/>
  <c r="Y401" i="65"/>
  <c r="Y413" i="65"/>
  <c r="Y449" i="65"/>
  <c r="W459" i="65"/>
  <c r="V481" i="65"/>
  <c r="Q506" i="65"/>
  <c r="X472" i="65"/>
  <c r="P464" i="65"/>
  <c r="Z437" i="65"/>
  <c r="Y390" i="65"/>
  <c r="X422" i="65"/>
  <c r="S432" i="65"/>
  <c r="Y434" i="65"/>
  <c r="S388" i="65"/>
  <c r="P426" i="65"/>
  <c r="R424" i="65"/>
  <c r="W428" i="65"/>
  <c r="Y462" i="65"/>
  <c r="R466" i="65"/>
  <c r="V386" i="65"/>
  <c r="V420" i="65"/>
  <c r="Y392" i="65"/>
  <c r="T421" i="65"/>
  <c r="W401" i="65"/>
  <c r="X481" i="65"/>
  <c r="X415" i="65"/>
  <c r="AD415" i="65" s="1"/>
  <c r="W451" i="65"/>
  <c r="AC451" i="65" s="1"/>
  <c r="Q507" i="65"/>
  <c r="V445" i="65"/>
  <c r="AB445" i="65" s="1"/>
  <c r="V482" i="65"/>
  <c r="T506" i="65"/>
  <c r="V474" i="65"/>
  <c r="P472" i="65"/>
  <c r="T464" i="65"/>
  <c r="V390" i="65"/>
  <c r="Y422" i="65"/>
  <c r="P432" i="65"/>
  <c r="AB432" i="65" s="1"/>
  <c r="AN432" i="65" s="1"/>
  <c r="P434" i="65"/>
  <c r="P388" i="65"/>
  <c r="T426" i="65"/>
  <c r="W429" i="65"/>
  <c r="R428" i="65"/>
  <c r="P462" i="65"/>
  <c r="S466" i="65"/>
  <c r="Z386" i="65"/>
  <c r="Z420" i="65"/>
  <c r="S392" i="65"/>
  <c r="X397" i="65"/>
  <c r="X452" i="65"/>
  <c r="Z401" i="65"/>
  <c r="X484" i="65"/>
  <c r="W441" i="65"/>
  <c r="T482" i="65"/>
  <c r="Z474" i="65"/>
  <c r="T472" i="65"/>
  <c r="X394" i="65"/>
  <c r="R464" i="65"/>
  <c r="Y431" i="65"/>
  <c r="Z390" i="65"/>
  <c r="Q422" i="65"/>
  <c r="T432" i="65"/>
  <c r="T434" i="65"/>
  <c r="T388" i="65"/>
  <c r="X436" i="65"/>
  <c r="X429" i="65"/>
  <c r="X466" i="65"/>
  <c r="S420" i="65"/>
  <c r="P392" i="65"/>
  <c r="Z421" i="65"/>
  <c r="Y470" i="65"/>
  <c r="Z404" i="65"/>
  <c r="Y403" i="65"/>
  <c r="V493" i="65"/>
  <c r="Y481" i="65"/>
  <c r="X468" i="65"/>
  <c r="V401" i="65"/>
  <c r="X407" i="65"/>
  <c r="R482" i="65"/>
  <c r="W399" i="65"/>
  <c r="V413" i="65"/>
  <c r="Z457" i="65"/>
  <c r="W415" i="65"/>
  <c r="V447" i="65"/>
  <c r="W476" i="65"/>
  <c r="R474" i="65"/>
  <c r="AD474" i="65" s="1"/>
  <c r="AP474" i="65" s="1"/>
  <c r="V472" i="65"/>
  <c r="Z394" i="65"/>
  <c r="W464" i="65"/>
  <c r="V431" i="65"/>
  <c r="R422" i="65"/>
  <c r="Q432" i="65"/>
  <c r="Q388" i="65"/>
  <c r="Y436" i="65"/>
  <c r="Y429" i="65"/>
  <c r="Z460" i="65"/>
  <c r="V442" i="65"/>
  <c r="P466" i="65"/>
  <c r="W386" i="65"/>
  <c r="W420" i="65"/>
  <c r="T392" i="65"/>
  <c r="Q421" i="65"/>
  <c r="W430" i="65"/>
  <c r="R386" i="65"/>
  <c r="R392" i="65"/>
  <c r="W457" i="65"/>
  <c r="X493" i="65"/>
  <c r="W403" i="65"/>
  <c r="Y501" i="65"/>
  <c r="W397" i="65"/>
  <c r="Z449" i="65"/>
  <c r="S484" i="65"/>
  <c r="V453" i="65"/>
  <c r="Z411" i="65"/>
  <c r="S476" i="65"/>
  <c r="P474" i="65"/>
  <c r="Z472" i="65"/>
  <c r="R394" i="65"/>
  <c r="Z431" i="65"/>
  <c r="W390" i="65"/>
  <c r="S422" i="65"/>
  <c r="R432" i="65"/>
  <c r="R388" i="65"/>
  <c r="V438" i="65"/>
  <c r="V429" i="65"/>
  <c r="Z430" i="65"/>
  <c r="Z442" i="65"/>
  <c r="T466" i="65"/>
  <c r="Q386" i="65"/>
  <c r="P420" i="65"/>
  <c r="Q392" i="65"/>
  <c r="V399" i="65"/>
  <c r="X497" i="65"/>
  <c r="X399" i="65"/>
  <c r="X457" i="65"/>
  <c r="W411" i="65"/>
  <c r="X476" i="65"/>
  <c r="Y472" i="65"/>
  <c r="W437" i="65"/>
  <c r="Q390" i="65"/>
  <c r="V400" i="65"/>
  <c r="Z429" i="65"/>
  <c r="Y442" i="65"/>
  <c r="X416" i="65"/>
  <c r="V404" i="65"/>
  <c r="Q420" i="65"/>
  <c r="X495" i="65"/>
  <c r="Z445" i="65"/>
  <c r="T507" i="65"/>
  <c r="W500" i="65"/>
  <c r="Y437" i="65"/>
  <c r="Z501" i="65"/>
  <c r="T474" i="65"/>
  <c r="AF474" i="65" s="1"/>
  <c r="AR474" i="65" s="1"/>
  <c r="S394" i="65"/>
  <c r="AE394" i="65" s="1"/>
  <c r="W431" i="65"/>
  <c r="T422" i="65"/>
  <c r="Z438" i="65"/>
  <c r="V436" i="65"/>
  <c r="T420" i="65"/>
  <c r="AF420" i="65" s="1"/>
  <c r="AR420" i="65" s="1"/>
  <c r="W493" i="65"/>
  <c r="V501" i="65"/>
  <c r="V417" i="65"/>
  <c r="Y493" i="65"/>
  <c r="W445" i="65"/>
  <c r="W407" i="65"/>
  <c r="V459" i="65"/>
  <c r="V443" i="65"/>
  <c r="X507" i="65"/>
  <c r="V506" i="65"/>
  <c r="Z476" i="65"/>
  <c r="W474" i="65"/>
  <c r="T394" i="65"/>
  <c r="X437" i="65"/>
  <c r="P431" i="65"/>
  <c r="R390" i="65"/>
  <c r="P422" i="65"/>
  <c r="W438" i="65"/>
  <c r="X424" i="65"/>
  <c r="S436" i="65"/>
  <c r="S429" i="65"/>
  <c r="X430" i="65"/>
  <c r="X428" i="65"/>
  <c r="S442" i="65"/>
  <c r="S386" i="65"/>
  <c r="Y497" i="65"/>
  <c r="Y407" i="65"/>
  <c r="V451" i="65"/>
  <c r="Z506" i="65"/>
  <c r="T431" i="65"/>
  <c r="W417" i="65"/>
  <c r="V468" i="65"/>
  <c r="X485" i="65"/>
  <c r="V485" i="65"/>
  <c r="W497" i="65"/>
  <c r="Z413" i="65"/>
  <c r="W395" i="65"/>
  <c r="T484" i="65"/>
  <c r="Z495" i="65"/>
  <c r="Z453" i="65"/>
  <c r="Y411" i="65"/>
  <c r="Y451" i="65"/>
  <c r="W409" i="65"/>
  <c r="AC409" i="65" s="1"/>
  <c r="X451" i="65"/>
  <c r="W506" i="65"/>
  <c r="R476" i="65"/>
  <c r="S472" i="65"/>
  <c r="V464" i="65"/>
  <c r="R426" i="65"/>
  <c r="Y424" i="65"/>
  <c r="Q429" i="65"/>
  <c r="V462" i="65"/>
  <c r="Z466" i="65"/>
  <c r="W450" i="65"/>
  <c r="R420" i="65"/>
  <c r="P421" i="65"/>
  <c r="Z392" i="65"/>
  <c r="Q482" i="65"/>
  <c r="T390" i="65"/>
  <c r="X392" i="65"/>
  <c r="T440" i="65"/>
  <c r="P437" i="65"/>
  <c r="T442" i="65"/>
  <c r="Z452" i="65"/>
  <c r="P438" i="65"/>
  <c r="Y482" i="65"/>
  <c r="Q431" i="65"/>
  <c r="Q466" i="65"/>
  <c r="AC466" i="65" s="1"/>
  <c r="AO466" i="65" s="1"/>
  <c r="Z482" i="65"/>
  <c r="V450" i="65"/>
  <c r="Y415" i="65"/>
  <c r="V395" i="65"/>
  <c r="W453" i="65"/>
  <c r="S506" i="65"/>
  <c r="Y476" i="65"/>
  <c r="Z464" i="65"/>
  <c r="S431" i="65"/>
  <c r="AE431" i="65" s="1"/>
  <c r="AQ431" i="65" s="1"/>
  <c r="X432" i="65"/>
  <c r="V388" i="65"/>
  <c r="S426" i="65"/>
  <c r="Z424" i="65"/>
  <c r="Z462" i="65"/>
  <c r="Y450" i="65"/>
  <c r="V392" i="65"/>
  <c r="Z484" i="65"/>
  <c r="S438" i="65"/>
  <c r="X447" i="65"/>
  <c r="W440" i="65"/>
  <c r="V415" i="65"/>
  <c r="V449" i="65"/>
  <c r="S430" i="65"/>
  <c r="Z403" i="65"/>
  <c r="Y484" i="65"/>
  <c r="S434" i="65"/>
  <c r="T430" i="65"/>
  <c r="X464" i="65"/>
  <c r="V466" i="65"/>
  <c r="Y445" i="65"/>
  <c r="V407" i="65"/>
  <c r="S482" i="65"/>
  <c r="Y506" i="65"/>
  <c r="Q472" i="65"/>
  <c r="Y464" i="65"/>
  <c r="X431" i="65"/>
  <c r="Y432" i="65"/>
  <c r="Z388" i="65"/>
  <c r="S424" i="65"/>
  <c r="X462" i="65"/>
  <c r="V397" i="65"/>
  <c r="Q424" i="65"/>
  <c r="V469" i="65"/>
  <c r="P390" i="65"/>
  <c r="Z507" i="65"/>
  <c r="X414" i="65"/>
  <c r="Z447" i="65"/>
  <c r="W488" i="65"/>
  <c r="X482" i="65"/>
  <c r="Q434" i="65"/>
  <c r="W482" i="65"/>
  <c r="Y466" i="65"/>
  <c r="Y459" i="65"/>
  <c r="V421" i="65"/>
  <c r="V393" i="65"/>
  <c r="Y409" i="65"/>
  <c r="W405" i="65"/>
  <c r="AE419" i="65"/>
  <c r="W447" i="65"/>
  <c r="W452" i="65"/>
  <c r="X506" i="65"/>
  <c r="Q476" i="65"/>
  <c r="AC476" i="65" s="1"/>
  <c r="AO476" i="65" s="1"/>
  <c r="S464" i="65"/>
  <c r="Z432" i="65"/>
  <c r="P424" i="65"/>
  <c r="AB424" i="65" s="1"/>
  <c r="AN424" i="65" s="1"/>
  <c r="Y428" i="65"/>
  <c r="Q462" i="65"/>
  <c r="X440" i="65"/>
  <c r="Z451" i="65"/>
  <c r="T436" i="65"/>
  <c r="W443" i="65"/>
  <c r="V434" i="65"/>
  <c r="S474" i="65"/>
  <c r="R436" i="65"/>
  <c r="V405" i="65"/>
  <c r="T437" i="65"/>
  <c r="Y430" i="65"/>
  <c r="Z426" i="65"/>
  <c r="W484" i="65"/>
  <c r="Y417" i="65"/>
  <c r="X395" i="65"/>
  <c r="AD395" i="65" s="1"/>
  <c r="X413" i="65"/>
  <c r="Z415" i="65"/>
  <c r="P506" i="65"/>
  <c r="AB506" i="65" s="1"/>
  <c r="AN506" i="65" s="1"/>
  <c r="W432" i="65"/>
  <c r="W388" i="65"/>
  <c r="X438" i="65"/>
  <c r="T424" i="65"/>
  <c r="W436" i="65"/>
  <c r="V428" i="65"/>
  <c r="R462" i="65"/>
  <c r="Y440" i="65"/>
  <c r="Y495" i="65"/>
  <c r="S440" i="65"/>
  <c r="V403" i="65"/>
  <c r="Z468" i="65"/>
  <c r="V437" i="65"/>
  <c r="Q436" i="65"/>
  <c r="T438" i="65"/>
  <c r="AF438" i="65" s="1"/>
  <c r="AR438" i="65" s="1"/>
  <c r="P386" i="65"/>
  <c r="Z493" i="65"/>
  <c r="Q440" i="65"/>
  <c r="X459" i="65"/>
  <c r="Y468" i="65"/>
  <c r="R434" i="65"/>
  <c r="W477" i="65"/>
  <c r="R431" i="65"/>
  <c r="Y426" i="65"/>
  <c r="Y420" i="65"/>
  <c r="W413" i="65"/>
  <c r="X409" i="65"/>
  <c r="V457" i="65"/>
  <c r="R507" i="65"/>
  <c r="Y474" i="65"/>
  <c r="Y480" i="65"/>
  <c r="R437" i="65"/>
  <c r="AD437" i="65" s="1"/>
  <c r="AP437" i="65" s="1"/>
  <c r="S390" i="65"/>
  <c r="X388" i="65"/>
  <c r="Y438" i="65"/>
  <c r="W424" i="65"/>
  <c r="P436" i="65"/>
  <c r="Z428" i="65"/>
  <c r="W462" i="65"/>
  <c r="Z440" i="65"/>
  <c r="Y386" i="65"/>
  <c r="W392" i="65"/>
  <c r="V409" i="65"/>
  <c r="S437" i="65"/>
  <c r="Y388" i="65"/>
  <c r="S462" i="65"/>
  <c r="AE462" i="65" s="1"/>
  <c r="AQ462" i="65" s="1"/>
  <c r="X470" i="65"/>
  <c r="P428" i="65"/>
  <c r="AB428" i="65" s="1"/>
  <c r="AN428" i="65" s="1"/>
  <c r="V497" i="65"/>
  <c r="V498" i="65"/>
  <c r="Z434" i="65"/>
  <c r="T428" i="65"/>
  <c r="AF428" i="65" s="1"/>
  <c r="AR428" i="65" s="1"/>
  <c r="W421" i="65"/>
  <c r="X501" i="65"/>
  <c r="W434" i="65"/>
  <c r="Q428" i="65"/>
  <c r="AC428" i="65" s="1"/>
  <c r="AO428" i="65" s="1"/>
  <c r="X421" i="65"/>
  <c r="X403" i="65"/>
  <c r="V422" i="65"/>
  <c r="X444" i="65"/>
  <c r="Y405" i="65"/>
  <c r="W422" i="65"/>
  <c r="Y414" i="65"/>
  <c r="Y421" i="65"/>
  <c r="W501" i="65"/>
  <c r="Q426" i="65"/>
  <c r="X420" i="65"/>
  <c r="W472" i="65"/>
  <c r="T429" i="65"/>
  <c r="V452" i="65"/>
  <c r="Q474" i="65"/>
  <c r="R438" i="65"/>
  <c r="AD438" i="65" s="1"/>
  <c r="AP438" i="65" s="1"/>
  <c r="S428" i="65"/>
  <c r="AE428" i="65" s="1"/>
  <c r="AQ428" i="65" s="1"/>
  <c r="W479" i="65"/>
  <c r="Q430" i="65"/>
  <c r="T386" i="65"/>
  <c r="AF386" i="65" s="1"/>
  <c r="AR386" i="65" s="1"/>
  <c r="R430" i="65"/>
  <c r="Z498" i="65"/>
  <c r="V426" i="65"/>
  <c r="X499" i="65"/>
  <c r="Z396" i="65"/>
  <c r="W426" i="65"/>
  <c r="P430" i="65"/>
  <c r="AB430" i="65" s="1"/>
  <c r="AN430" i="65" s="1"/>
  <c r="T396" i="65"/>
  <c r="P482" i="65"/>
  <c r="Z499" i="65"/>
  <c r="P429" i="65"/>
  <c r="S421" i="65"/>
  <c r="W468" i="65"/>
  <c r="AC468" i="65" s="1"/>
  <c r="X398" i="65"/>
  <c r="X498" i="65"/>
  <c r="V396" i="65"/>
  <c r="V414" i="65"/>
  <c r="X460" i="65"/>
  <c r="W412" i="65"/>
  <c r="AC412" i="65" s="1"/>
  <c r="W414" i="65"/>
  <c r="AC414" i="65" s="1"/>
  <c r="Y402" i="65"/>
  <c r="V476" i="65"/>
  <c r="V486" i="65"/>
  <c r="V478" i="65"/>
  <c r="Z412" i="65"/>
  <c r="Z504" i="65"/>
  <c r="Z471" i="65"/>
  <c r="W480" i="65"/>
  <c r="Z414" i="65"/>
  <c r="Y412" i="65"/>
  <c r="Y499" i="65"/>
  <c r="Z398" i="65"/>
  <c r="AF398" i="65" s="1"/>
  <c r="X396" i="65"/>
  <c r="V489" i="65"/>
  <c r="V402" i="65"/>
  <c r="AB402" i="65" s="1"/>
  <c r="Z486" i="65"/>
  <c r="V504" i="65"/>
  <c r="X456" i="65"/>
  <c r="Z478" i="65"/>
  <c r="Y487" i="65"/>
  <c r="Y494" i="65"/>
  <c r="Z406" i="65"/>
  <c r="AF406" i="65" s="1"/>
  <c r="W478" i="65"/>
  <c r="W402" i="65"/>
  <c r="X442" i="65"/>
  <c r="V398" i="65"/>
  <c r="Z480" i="65"/>
  <c r="Z400" i="65"/>
  <c r="W486" i="65"/>
  <c r="Y486" i="65"/>
  <c r="Z489" i="65"/>
  <c r="Z402" i="65"/>
  <c r="Y504" i="65"/>
  <c r="V456" i="65"/>
  <c r="V494" i="65"/>
  <c r="Z410" i="65"/>
  <c r="V440" i="65"/>
  <c r="V492" i="65"/>
  <c r="X471" i="65"/>
  <c r="V480" i="65"/>
  <c r="W444" i="65"/>
  <c r="V479" i="65"/>
  <c r="W416" i="65"/>
  <c r="X486" i="65"/>
  <c r="Z456" i="65"/>
  <c r="W487" i="65"/>
  <c r="Y488" i="65"/>
  <c r="V488" i="65"/>
  <c r="X504" i="65"/>
  <c r="Y496" i="65"/>
  <c r="W456" i="65"/>
  <c r="Y444" i="65"/>
  <c r="X480" i="65"/>
  <c r="V448" i="65"/>
  <c r="V444" i="65"/>
  <c r="Z479" i="65"/>
  <c r="X500" i="65"/>
  <c r="Z492" i="65"/>
  <c r="W489" i="65"/>
  <c r="V410" i="65"/>
  <c r="W460" i="65"/>
  <c r="Y448" i="65"/>
  <c r="V491" i="65"/>
  <c r="AB491" i="65" s="1"/>
  <c r="Y471" i="65"/>
  <c r="Z494" i="65"/>
  <c r="W471" i="65"/>
  <c r="W490" i="65"/>
  <c r="W470" i="65"/>
  <c r="X492" i="65"/>
  <c r="V416" i="65"/>
  <c r="Z450" i="65"/>
  <c r="Y477" i="65"/>
  <c r="V490" i="65"/>
  <c r="W410" i="65"/>
  <c r="AC410" i="65" s="1"/>
  <c r="W400" i="65"/>
  <c r="Y446" i="65"/>
  <c r="X488" i="65"/>
  <c r="W396" i="65"/>
  <c r="W406" i="65"/>
  <c r="X410" i="65"/>
  <c r="X400" i="65"/>
  <c r="Y460" i="65"/>
  <c r="Z448" i="65"/>
  <c r="V477" i="65"/>
  <c r="X446" i="65"/>
  <c r="Z477" i="65"/>
  <c r="Y456" i="65"/>
  <c r="Z500" i="65"/>
  <c r="Z488" i="65"/>
  <c r="W446" i="65"/>
  <c r="X408" i="65"/>
  <c r="Y479" i="65"/>
  <c r="V496" i="65"/>
  <c r="X404" i="65"/>
  <c r="V499" i="65"/>
  <c r="Y489" i="65"/>
  <c r="AE489" i="65" s="1"/>
  <c r="Y404" i="65"/>
  <c r="Y491" i="65"/>
  <c r="Z490" i="65"/>
  <c r="X406" i="65"/>
  <c r="W504" i="65"/>
  <c r="Y396" i="65"/>
  <c r="W494" i="65"/>
  <c r="Z446" i="65"/>
  <c r="W408" i="65"/>
  <c r="Y478" i="65"/>
  <c r="V406" i="65"/>
  <c r="W398" i="65"/>
  <c r="V460" i="65"/>
  <c r="Y490" i="65"/>
  <c r="X489" i="65"/>
  <c r="X487" i="65"/>
  <c r="AD487" i="65" s="1"/>
  <c r="Z491" i="65"/>
  <c r="Y410" i="65"/>
  <c r="Y400" i="65"/>
  <c r="X490" i="65"/>
  <c r="X494" i="65"/>
  <c r="V471" i="65"/>
  <c r="X402" i="65"/>
  <c r="Z444" i="65"/>
  <c r="Y416" i="65"/>
  <c r="X491" i="65"/>
  <c r="W498" i="65"/>
  <c r="V470" i="65"/>
  <c r="V487" i="65"/>
  <c r="Y498" i="65"/>
  <c r="V446" i="65"/>
  <c r="Z496" i="65"/>
  <c r="Y406" i="65"/>
  <c r="X477" i="65"/>
  <c r="X496" i="65"/>
  <c r="Y408" i="65"/>
  <c r="Y398" i="65"/>
  <c r="X450" i="65"/>
  <c r="W499" i="65"/>
  <c r="W448" i="65"/>
  <c r="Y492" i="65"/>
  <c r="V408" i="65"/>
  <c r="X448" i="65"/>
  <c r="V412" i="65"/>
  <c r="X479" i="65"/>
  <c r="V394" i="65"/>
  <c r="Z487" i="65"/>
  <c r="W442" i="65"/>
  <c r="W496" i="65"/>
  <c r="Z470" i="65"/>
  <c r="Y500" i="65"/>
  <c r="W491" i="65"/>
  <c r="V500" i="65"/>
  <c r="W404" i="65"/>
  <c r="W492" i="65"/>
  <c r="Z408" i="65"/>
  <c r="AF408" i="65" s="1"/>
  <c r="X478" i="65"/>
  <c r="W394" i="65"/>
  <c r="Z416" i="65"/>
  <c r="X412" i="65"/>
  <c r="L527" i="65"/>
  <c r="P371" i="65"/>
  <c r="X327" i="65"/>
  <c r="T381" i="65"/>
  <c r="V333" i="65"/>
  <c r="R299" i="65"/>
  <c r="T275" i="65"/>
  <c r="X363" i="65"/>
  <c r="X299" i="65"/>
  <c r="Q299" i="65"/>
  <c r="V331" i="65"/>
  <c r="T365" i="65"/>
  <c r="W327" i="65"/>
  <c r="T327" i="65"/>
  <c r="P327" i="65"/>
  <c r="Q301" i="65"/>
  <c r="S301" i="65"/>
  <c r="T373" i="65"/>
  <c r="Z363" i="65"/>
  <c r="Q381" i="65"/>
  <c r="P381" i="65"/>
  <c r="W269" i="65"/>
  <c r="P269" i="65"/>
  <c r="T371" i="65"/>
  <c r="Y371" i="65"/>
  <c r="R371" i="65"/>
  <c r="S307" i="65"/>
  <c r="R307" i="65"/>
  <c r="R275" i="65"/>
  <c r="P333" i="65"/>
  <c r="Q371" i="65"/>
  <c r="X339" i="65"/>
  <c r="Y327" i="65"/>
  <c r="X301" i="65"/>
  <c r="T301" i="65"/>
  <c r="T299" i="65"/>
  <c r="X317" i="65"/>
  <c r="Q269" i="65"/>
  <c r="V269" i="65"/>
  <c r="R333" i="65"/>
  <c r="S371" i="65"/>
  <c r="X371" i="65"/>
  <c r="Z269" i="65"/>
  <c r="X381" i="65"/>
  <c r="V325" i="65"/>
  <c r="Y269" i="65"/>
  <c r="R269" i="65"/>
  <c r="Z371" i="65"/>
  <c r="Z307" i="65"/>
  <c r="S275" i="65"/>
  <c r="Q333" i="65"/>
  <c r="S274" i="65"/>
  <c r="S365" i="65"/>
  <c r="V327" i="65"/>
  <c r="Z301" i="65"/>
  <c r="X383" i="65"/>
  <c r="W381" i="65"/>
  <c r="Z381" i="65"/>
  <c r="S381" i="65"/>
  <c r="W371" i="65"/>
  <c r="Y307" i="65"/>
  <c r="V307" i="65"/>
  <c r="Y333" i="65"/>
  <c r="X333" i="65"/>
  <c r="V381" i="65"/>
  <c r="T363" i="65"/>
  <c r="Y299" i="65"/>
  <c r="Z333" i="65"/>
  <c r="X307" i="65"/>
  <c r="V276" i="65"/>
  <c r="S276" i="65"/>
  <c r="W363" i="65"/>
  <c r="P363" i="65"/>
  <c r="W299" i="65"/>
  <c r="P299" i="65"/>
  <c r="P331" i="65"/>
  <c r="R363" i="65"/>
  <c r="Z327" i="65"/>
  <c r="Y275" i="65"/>
  <c r="W333" i="65"/>
  <c r="Q307" i="65"/>
  <c r="Y301" i="65"/>
  <c r="W383" i="65"/>
  <c r="Y381" i="65"/>
  <c r="R327" i="65"/>
  <c r="W301" i="65"/>
  <c r="T276" i="65"/>
  <c r="X269" i="65"/>
  <c r="Z275" i="65"/>
  <c r="T307" i="65"/>
  <c r="S333" i="65"/>
  <c r="V301" i="65"/>
  <c r="S269" i="65"/>
  <c r="Z373" i="65"/>
  <c r="Z276" i="65"/>
  <c r="X276" i="65"/>
  <c r="V363" i="65"/>
  <c r="Y363" i="65"/>
  <c r="V299" i="65"/>
  <c r="Y365" i="65"/>
  <c r="Z365" i="65"/>
  <c r="S327" i="65"/>
  <c r="Q327" i="65"/>
  <c r="P301" i="65"/>
  <c r="W307" i="65"/>
  <c r="R381" i="65"/>
  <c r="T333" i="65"/>
  <c r="R301" i="65"/>
  <c r="T269" i="65"/>
  <c r="P307" i="65"/>
  <c r="X275" i="65"/>
  <c r="X373" i="65"/>
  <c r="Y276" i="65"/>
  <c r="S363" i="65"/>
  <c r="Q363" i="65"/>
  <c r="S299" i="65"/>
  <c r="Z299" i="65"/>
  <c r="T382" i="65"/>
  <c r="V371" i="65"/>
  <c r="V295" i="65"/>
  <c r="Q274" i="65"/>
  <c r="S336" i="65"/>
  <c r="X306" i="65"/>
  <c r="Z295" i="65"/>
  <c r="W359" i="65"/>
  <c r="X382" i="65"/>
  <c r="W293" i="65"/>
  <c r="Y339" i="65"/>
  <c r="Z383" i="65"/>
  <c r="W275" i="65"/>
  <c r="W285" i="65"/>
  <c r="V275" i="65"/>
  <c r="X293" i="65"/>
  <c r="Y285" i="65"/>
  <c r="V293" i="65"/>
  <c r="W306" i="65"/>
  <c r="Z325" i="65"/>
  <c r="W325" i="65"/>
  <c r="T336" i="65"/>
  <c r="Z336" i="65"/>
  <c r="Y293" i="65"/>
  <c r="X295" i="65"/>
  <c r="Y317" i="65"/>
  <c r="Y359" i="65"/>
  <c r="V336" i="65"/>
  <c r="Y295" i="65"/>
  <c r="X274" i="65"/>
  <c r="Q330" i="65"/>
  <c r="W292" i="65"/>
  <c r="P362" i="65"/>
  <c r="R362" i="65"/>
  <c r="T274" i="65"/>
  <c r="Z344" i="65"/>
  <c r="V370" i="65"/>
  <c r="R331" i="65"/>
  <c r="P382" i="65"/>
  <c r="W274" i="65"/>
  <c r="R382" i="65"/>
  <c r="R318" i="65"/>
  <c r="R370" i="65"/>
  <c r="Q382" i="65"/>
  <c r="V282" i="65"/>
  <c r="Y274" i="65"/>
  <c r="Z370" i="65"/>
  <c r="Y331" i="65"/>
  <c r="Q306" i="65"/>
  <c r="Z357" i="65"/>
  <c r="T305" i="65"/>
  <c r="V314" i="65"/>
  <c r="Q338" i="65"/>
  <c r="V354" i="65"/>
  <c r="Y357" i="65"/>
  <c r="Q305" i="65"/>
  <c r="W378" i="65"/>
  <c r="Z354" i="65"/>
  <c r="S305" i="65"/>
  <c r="Q362" i="65"/>
  <c r="W373" i="65"/>
  <c r="S370" i="65"/>
  <c r="X365" i="65"/>
  <c r="X285" i="65"/>
  <c r="V339" i="65"/>
  <c r="Y336" i="65"/>
  <c r="V285" i="65"/>
  <c r="Q336" i="65"/>
  <c r="Z359" i="65"/>
  <c r="P336" i="65"/>
  <c r="T362" i="65"/>
  <c r="Z362" i="65"/>
  <c r="T306" i="65"/>
  <c r="R330" i="65"/>
  <c r="Y318" i="65"/>
  <c r="X282" i="65"/>
  <c r="X318" i="65"/>
  <c r="W370" i="65"/>
  <c r="Z374" i="65"/>
  <c r="R336" i="65"/>
  <c r="S382" i="65"/>
  <c r="Z292" i="65"/>
  <c r="Y305" i="65"/>
  <c r="V365" i="65"/>
  <c r="X325" i="65"/>
  <c r="Y338" i="65"/>
  <c r="W336" i="65"/>
  <c r="W339" i="65"/>
  <c r="Z285" i="65"/>
  <c r="V383" i="65"/>
  <c r="Y292" i="65"/>
  <c r="P330" i="65"/>
  <c r="T331" i="65"/>
  <c r="W276" i="65"/>
  <c r="W354" i="65"/>
  <c r="Y325" i="65"/>
  <c r="V349" i="65"/>
  <c r="W349" i="65"/>
  <c r="T370" i="65"/>
  <c r="Z293" i="65"/>
  <c r="W317" i="65"/>
  <c r="Z338" i="65"/>
  <c r="W318" i="65"/>
  <c r="V359" i="65"/>
  <c r="W295" i="65"/>
  <c r="V373" i="65"/>
  <c r="Z339" i="65"/>
  <c r="Y373" i="65"/>
  <c r="V317" i="65"/>
  <c r="Y383" i="65"/>
  <c r="Z317" i="65"/>
  <c r="Z305" i="65"/>
  <c r="R338" i="65"/>
  <c r="X336" i="65"/>
  <c r="W365" i="65"/>
  <c r="X349" i="65"/>
  <c r="Z274" i="65"/>
  <c r="Z349" i="65"/>
  <c r="X359" i="65"/>
  <c r="Y349" i="65"/>
  <c r="T330" i="65"/>
  <c r="X362" i="65"/>
  <c r="T318" i="65"/>
  <c r="W282" i="65"/>
  <c r="Z318" i="65"/>
  <c r="V344" i="65"/>
  <c r="Y370" i="65"/>
  <c r="R306" i="65"/>
  <c r="X344" i="65"/>
  <c r="S306" i="65"/>
  <c r="Y382" i="65"/>
  <c r="W357" i="65"/>
  <c r="V338" i="65"/>
  <c r="X338" i="65"/>
  <c r="X354" i="65"/>
  <c r="P338" i="65"/>
  <c r="V357" i="65"/>
  <c r="X298" i="65"/>
  <c r="Z282" i="65"/>
  <c r="X292" i="65"/>
  <c r="P270" i="65"/>
  <c r="Z270" i="65"/>
  <c r="S270" i="65"/>
  <c r="Q329" i="65"/>
  <c r="X329" i="65"/>
  <c r="R329" i="65"/>
  <c r="X364" i="65"/>
  <c r="S372" i="65"/>
  <c r="X296" i="65"/>
  <c r="V308" i="65"/>
  <c r="S308" i="65"/>
  <c r="P308" i="65"/>
  <c r="Z380" i="65"/>
  <c r="P380" i="65"/>
  <c r="S380" i="65"/>
  <c r="X302" i="65"/>
  <c r="Y302" i="65"/>
  <c r="V302" i="65"/>
  <c r="X303" i="65"/>
  <c r="V303" i="65"/>
  <c r="T303" i="65"/>
  <c r="R328" i="65"/>
  <c r="Y328" i="65"/>
  <c r="V272" i="65"/>
  <c r="Y272" i="65"/>
  <c r="W272" i="65"/>
  <c r="X335" i="65"/>
  <c r="V335" i="65"/>
  <c r="W294" i="65"/>
  <c r="Z332" i="65"/>
  <c r="Y332" i="65"/>
  <c r="Q332" i="65"/>
  <c r="W334" i="65"/>
  <c r="Z334" i="65"/>
  <c r="S334" i="65"/>
  <c r="X337" i="65"/>
  <c r="R337" i="65"/>
  <c r="T337" i="65"/>
  <c r="Z326" i="65"/>
  <c r="W326" i="65"/>
  <c r="R326" i="65"/>
  <c r="Z300" i="65"/>
  <c r="Y300" i="65"/>
  <c r="T300" i="65"/>
  <c r="Z304" i="65"/>
  <c r="Q304" i="65"/>
  <c r="P304" i="65"/>
  <c r="Y271" i="65"/>
  <c r="V271" i="65"/>
  <c r="V268" i="65"/>
  <c r="X268" i="65"/>
  <c r="T268" i="65"/>
  <c r="X273" i="65"/>
  <c r="R273" i="65"/>
  <c r="P273" i="65"/>
  <c r="W308" i="65"/>
  <c r="Y321" i="65"/>
  <c r="V321" i="65"/>
  <c r="W380" i="65"/>
  <c r="W302" i="65"/>
  <c r="S303" i="65"/>
  <c r="P303" i="65"/>
  <c r="W328" i="65"/>
  <c r="S328" i="65"/>
  <c r="Y312" i="65"/>
  <c r="Q272" i="65"/>
  <c r="T272" i="65"/>
  <c r="S335" i="65"/>
  <c r="Y362" i="65"/>
  <c r="W330" i="65"/>
  <c r="W362" i="65"/>
  <c r="X331" i="65"/>
  <c r="V306" i="65"/>
  <c r="Z346" i="65"/>
  <c r="Q331" i="65"/>
  <c r="S318" i="65"/>
  <c r="Z331" i="65"/>
  <c r="Y306" i="65"/>
  <c r="Q318" i="65"/>
  <c r="Z306" i="65"/>
  <c r="W338" i="65"/>
  <c r="W305" i="65"/>
  <c r="Z277" i="65"/>
  <c r="Z314" i="65"/>
  <c r="X341" i="65"/>
  <c r="W320" i="65"/>
  <c r="T270" i="65"/>
  <c r="Q270" i="65"/>
  <c r="W329" i="65"/>
  <c r="P329" i="65"/>
  <c r="Y364" i="65"/>
  <c r="V288" i="65"/>
  <c r="W347" i="65"/>
  <c r="Y347" i="65"/>
  <c r="Z372" i="65"/>
  <c r="T372" i="65"/>
  <c r="V296" i="65"/>
  <c r="Z308" i="65"/>
  <c r="X308" i="65"/>
  <c r="V286" i="65"/>
  <c r="Q380" i="65"/>
  <c r="S302" i="65"/>
  <c r="Z272" i="65"/>
  <c r="Y330" i="65"/>
  <c r="X330" i="65"/>
  <c r="V362" i="65"/>
  <c r="S362" i="65"/>
  <c r="P370" i="65"/>
  <c r="W331" i="65"/>
  <c r="P306" i="65"/>
  <c r="P318" i="65"/>
  <c r="W346" i="65"/>
  <c r="Q370" i="65"/>
  <c r="S331" i="65"/>
  <c r="X357" i="65"/>
  <c r="T277" i="65"/>
  <c r="X305" i="65"/>
  <c r="Y314" i="65"/>
  <c r="S338" i="65"/>
  <c r="Y351" i="65"/>
  <c r="Y378" i="65"/>
  <c r="P305" i="65"/>
  <c r="X378" i="65"/>
  <c r="V305" i="65"/>
  <c r="Y346" i="65"/>
  <c r="Y344" i="65"/>
  <c r="Z330" i="65"/>
  <c r="X270" i="65"/>
  <c r="R270" i="65"/>
  <c r="Y329" i="65"/>
  <c r="Z329" i="65"/>
  <c r="Z364" i="65"/>
  <c r="S364" i="65"/>
  <c r="Z288" i="65"/>
  <c r="Y372" i="65"/>
  <c r="W372" i="65"/>
  <c r="Y308" i="65"/>
  <c r="T308" i="65"/>
  <c r="Z286" i="65"/>
  <c r="X321" i="65"/>
  <c r="R380" i="65"/>
  <c r="T380" i="65"/>
  <c r="P302" i="65"/>
  <c r="Z302" i="65"/>
  <c r="R302" i="65"/>
  <c r="V330" i="65"/>
  <c r="V292" i="65"/>
  <c r="V318" i="65"/>
  <c r="Z382" i="65"/>
  <c r="W344" i="65"/>
  <c r="W382" i="65"/>
  <c r="R274" i="65"/>
  <c r="X370" i="65"/>
  <c r="V382" i="65"/>
  <c r="Z378" i="65"/>
  <c r="V378" i="65"/>
  <c r="Y354" i="65"/>
  <c r="T338" i="65"/>
  <c r="AF338" i="65" s="1"/>
  <c r="AR338" i="65" s="1"/>
  <c r="W351" i="65"/>
  <c r="W314" i="65"/>
  <c r="R305" i="65"/>
  <c r="V351" i="65"/>
  <c r="Z298" i="65"/>
  <c r="Y282" i="65"/>
  <c r="S330" i="65"/>
  <c r="X284" i="65"/>
  <c r="Y284" i="65"/>
  <c r="Y320" i="65"/>
  <c r="W270" i="65"/>
  <c r="Y270" i="65"/>
  <c r="V270" i="65"/>
  <c r="V329" i="65"/>
  <c r="T329" i="65"/>
  <c r="S329" i="65"/>
  <c r="R364" i="65"/>
  <c r="AD364" i="65" s="1"/>
  <c r="T364" i="65"/>
  <c r="X288" i="65"/>
  <c r="R372" i="65"/>
  <c r="X372" i="65"/>
  <c r="W296" i="65"/>
  <c r="R308" i="65"/>
  <c r="Q308" i="65"/>
  <c r="X286" i="65"/>
  <c r="Y286" i="65"/>
  <c r="W345" i="65"/>
  <c r="V380" i="65"/>
  <c r="X380" i="65"/>
  <c r="Y303" i="65"/>
  <c r="X328" i="65"/>
  <c r="R272" i="65"/>
  <c r="P335" i="65"/>
  <c r="V294" i="65"/>
  <c r="R332" i="65"/>
  <c r="S332" i="65"/>
  <c r="P334" i="65"/>
  <c r="V334" i="65"/>
  <c r="Y337" i="65"/>
  <c r="W337" i="65"/>
  <c r="V326" i="65"/>
  <c r="R300" i="65"/>
  <c r="S300" i="65"/>
  <c r="Y304" i="65"/>
  <c r="W342" i="65"/>
  <c r="X271" i="65"/>
  <c r="T271" i="65"/>
  <c r="W268" i="65"/>
  <c r="P268" i="65"/>
  <c r="Q273" i="65"/>
  <c r="P337" i="65"/>
  <c r="S326" i="65"/>
  <c r="V304" i="65"/>
  <c r="S304" i="65"/>
  <c r="V352" i="65"/>
  <c r="P271" i="65"/>
  <c r="R268" i="65"/>
  <c r="Z273" i="65"/>
  <c r="X304" i="65"/>
  <c r="S268" i="65"/>
  <c r="V367" i="65"/>
  <c r="W271" i="65"/>
  <c r="R271" i="65"/>
  <c r="Z268" i="65"/>
  <c r="Y273" i="65"/>
  <c r="Y380" i="65"/>
  <c r="T302" i="65"/>
  <c r="Q303" i="65"/>
  <c r="V340" i="65"/>
  <c r="T328" i="65"/>
  <c r="Z312" i="65"/>
  <c r="P272" i="65"/>
  <c r="W335" i="65"/>
  <c r="Z335" i="65"/>
  <c r="X332" i="65"/>
  <c r="T334" i="65"/>
  <c r="R334" i="65"/>
  <c r="Q337" i="65"/>
  <c r="X326" i="65"/>
  <c r="X300" i="65"/>
  <c r="S271" i="65"/>
  <c r="Q268" i="65"/>
  <c r="W273" i="65"/>
  <c r="W367" i="65"/>
  <c r="S273" i="65"/>
  <c r="Z271" i="65"/>
  <c r="Y268" i="65"/>
  <c r="W303" i="65"/>
  <c r="R303" i="65"/>
  <c r="Z340" i="65"/>
  <c r="V328" i="65"/>
  <c r="Q328" i="65"/>
  <c r="S272" i="65"/>
  <c r="V366" i="65"/>
  <c r="Y335" i="65"/>
  <c r="T335" i="65"/>
  <c r="Y369" i="65"/>
  <c r="Y323" i="65"/>
  <c r="Z278" i="65"/>
  <c r="X294" i="65"/>
  <c r="Y294" i="65"/>
  <c r="V332" i="65"/>
  <c r="P332" i="65"/>
  <c r="Y334" i="65"/>
  <c r="Z337" i="65"/>
  <c r="S337" i="65"/>
  <c r="P326" i="65"/>
  <c r="Q326" i="65"/>
  <c r="V300" i="65"/>
  <c r="P300" i="65"/>
  <c r="T304" i="65"/>
  <c r="AF304" i="65" s="1"/>
  <c r="AR304" i="65" s="1"/>
  <c r="Q271" i="65"/>
  <c r="V273" i="65"/>
  <c r="T273" i="65"/>
  <c r="AF273" i="65" s="1"/>
  <c r="AR273" i="65" s="1"/>
  <c r="Q302" i="65"/>
  <c r="Z303" i="65"/>
  <c r="W340" i="65"/>
  <c r="Z328" i="65"/>
  <c r="P328" i="65"/>
  <c r="AB328" i="65" s="1"/>
  <c r="AN328" i="65" s="1"/>
  <c r="X272" i="65"/>
  <c r="Q335" i="65"/>
  <c r="R335" i="65"/>
  <c r="Z369" i="65"/>
  <c r="V311" i="65"/>
  <c r="Z279" i="65"/>
  <c r="W332" i="65"/>
  <c r="T332" i="65"/>
  <c r="X334" i="65"/>
  <c r="Q334" i="65"/>
  <c r="V337" i="65"/>
  <c r="T326" i="65"/>
  <c r="Y326" i="65"/>
  <c r="W300" i="65"/>
  <c r="Q300" i="65"/>
  <c r="W358" i="65"/>
  <c r="R304" i="65"/>
  <c r="W304" i="65"/>
  <c r="Y281" i="65"/>
  <c r="Z324" i="65"/>
  <c r="V313" i="65"/>
  <c r="X348" i="65"/>
  <c r="Y313" i="65"/>
  <c r="W284" i="65"/>
  <c r="V347" i="65"/>
  <c r="W343" i="65"/>
  <c r="Z284" i="65"/>
  <c r="V323" i="65"/>
  <c r="V283" i="65"/>
  <c r="Y296" i="65"/>
  <c r="V284" i="65"/>
  <c r="V287" i="65"/>
  <c r="X353" i="65"/>
  <c r="Y366" i="65"/>
  <c r="W374" i="65"/>
  <c r="V342" i="65"/>
  <c r="X366" i="65"/>
  <c r="W361" i="65"/>
  <c r="V353" i="65"/>
  <c r="Z342" i="65"/>
  <c r="Z311" i="65"/>
  <c r="W283" i="65"/>
  <c r="Z320" i="65"/>
  <c r="X342" i="65"/>
  <c r="W297" i="65"/>
  <c r="Z289" i="65"/>
  <c r="X313" i="65"/>
  <c r="X322" i="65"/>
  <c r="X312" i="65"/>
  <c r="W360" i="65"/>
  <c r="Y291" i="65"/>
  <c r="X291" i="65"/>
  <c r="Z309" i="65"/>
  <c r="X377" i="65"/>
  <c r="V377" i="65"/>
  <c r="Z281" i="65"/>
  <c r="V375" i="65"/>
  <c r="X278" i="65"/>
  <c r="Y348" i="65"/>
  <c r="Y316" i="65"/>
  <c r="Y360" i="65"/>
  <c r="Y279" i="65"/>
  <c r="X277" i="65"/>
  <c r="W368" i="65"/>
  <c r="Y358" i="65"/>
  <c r="Z384" i="65"/>
  <c r="X368" i="65"/>
  <c r="V298" i="65"/>
  <c r="Z310" i="65"/>
  <c r="V341" i="65"/>
  <c r="V356" i="65"/>
  <c r="V312" i="65"/>
  <c r="W310" i="65"/>
  <c r="W364" i="65"/>
  <c r="Y310" i="65"/>
  <c r="X319" i="65"/>
  <c r="Y298" i="65"/>
  <c r="W287" i="65"/>
  <c r="Y319" i="65"/>
  <c r="Y289" i="65"/>
  <c r="X351" i="65"/>
  <c r="Y311" i="65"/>
  <c r="W321" i="65"/>
  <c r="W356" i="65"/>
  <c r="Y374" i="65"/>
  <c r="X384" i="65"/>
  <c r="V360" i="65"/>
  <c r="W375" i="65"/>
  <c r="W352" i="65"/>
  <c r="Y343" i="65"/>
  <c r="V364" i="65"/>
  <c r="X315" i="65"/>
  <c r="W323" i="65"/>
  <c r="Y340" i="65"/>
  <c r="V310" i="65"/>
  <c r="X355" i="65"/>
  <c r="Y290" i="65"/>
  <c r="Y384" i="65"/>
  <c r="Z375" i="65"/>
  <c r="Y350" i="65"/>
  <c r="Z296" i="65"/>
  <c r="Z355" i="65"/>
  <c r="Z358" i="65"/>
  <c r="X358" i="65"/>
  <c r="Z313" i="65"/>
  <c r="Y361" i="65"/>
  <c r="X290" i="65"/>
  <c r="Y288" i="65"/>
  <c r="Z290" i="65"/>
  <c r="W369" i="65"/>
  <c r="Y309" i="65"/>
  <c r="V291" i="65"/>
  <c r="Z348" i="65"/>
  <c r="W316" i="65"/>
  <c r="W309" i="65"/>
  <c r="X360" i="65"/>
  <c r="V277" i="65"/>
  <c r="W324" i="65"/>
  <c r="V324" i="65"/>
  <c r="Y377" i="65"/>
  <c r="X297" i="65"/>
  <c r="Z350" i="65"/>
  <c r="X347" i="65"/>
  <c r="W279" i="65"/>
  <c r="X369" i="65"/>
  <c r="X367" i="65"/>
  <c r="Z367" i="65"/>
  <c r="Y352" i="65"/>
  <c r="Y342" i="65"/>
  <c r="Y324" i="65"/>
  <c r="X320" i="65"/>
  <c r="V322" i="65"/>
  <c r="X361" i="65"/>
  <c r="V320" i="65"/>
  <c r="Z294" i="65"/>
  <c r="X345" i="65"/>
  <c r="W286" i="65"/>
  <c r="Z347" i="65"/>
  <c r="W298" i="65"/>
  <c r="W290" i="65"/>
  <c r="W348" i="65"/>
  <c r="Z283" i="65"/>
  <c r="W366" i="65"/>
  <c r="V290" i="65"/>
  <c r="X311" i="65"/>
  <c r="X283" i="65"/>
  <c r="V372" i="65"/>
  <c r="W315" i="65"/>
  <c r="V361" i="65"/>
  <c r="X350" i="65"/>
  <c r="Y353" i="65"/>
  <c r="Y297" i="65"/>
  <c r="Y322" i="65"/>
  <c r="Z291" i="65"/>
  <c r="V309" i="65"/>
  <c r="Z352" i="65"/>
  <c r="Z377" i="65"/>
  <c r="Y278" i="65"/>
  <c r="X316" i="65"/>
  <c r="V279" i="65"/>
  <c r="W355" i="65"/>
  <c r="V316" i="65"/>
  <c r="Z366" i="65"/>
  <c r="Y367" i="65"/>
  <c r="V348" i="65"/>
  <c r="W384" i="65"/>
  <c r="V369" i="65"/>
  <c r="Y376" i="65"/>
  <c r="V274" i="65"/>
  <c r="W312" i="65"/>
  <c r="V376" i="65"/>
  <c r="Y280" i="65"/>
  <c r="X314" i="65"/>
  <c r="Z322" i="65"/>
  <c r="V346" i="65"/>
  <c r="Z353" i="65"/>
  <c r="Y283" i="65"/>
  <c r="V355" i="65"/>
  <c r="V281" i="65"/>
  <c r="X376" i="65"/>
  <c r="X323" i="65"/>
  <c r="W350" i="65"/>
  <c r="W288" i="65"/>
  <c r="Y355" i="65"/>
  <c r="W311" i="65"/>
  <c r="Z376" i="65"/>
  <c r="V297" i="65"/>
  <c r="W353" i="65"/>
  <c r="W313" i="65"/>
  <c r="W291" i="65"/>
  <c r="X309" i="65"/>
  <c r="X352" i="65"/>
  <c r="Y375" i="65"/>
  <c r="V278" i="65"/>
  <c r="W278" i="65"/>
  <c r="Z316" i="65"/>
  <c r="X279" i="65"/>
  <c r="W277" i="65"/>
  <c r="Y277" i="65"/>
  <c r="X324" i="65"/>
  <c r="V315" i="65"/>
  <c r="Z315" i="65"/>
  <c r="Y287" i="65"/>
  <c r="X356" i="65"/>
  <c r="W322" i="65"/>
  <c r="V374" i="65"/>
  <c r="Z351" i="65"/>
  <c r="Z345" i="65"/>
  <c r="V289" i="65"/>
  <c r="W280" i="65"/>
  <c r="Z368" i="65"/>
  <c r="V358" i="65"/>
  <c r="W281" i="65"/>
  <c r="Y315" i="65"/>
  <c r="W376" i="65"/>
  <c r="W289" i="65"/>
  <c r="V345" i="65"/>
  <c r="X346" i="65"/>
  <c r="Y341" i="65"/>
  <c r="Z280" i="65"/>
  <c r="X310" i="65"/>
  <c r="W319" i="65"/>
  <c r="Z356" i="65"/>
  <c r="W341" i="65"/>
  <c r="Y368" i="65"/>
  <c r="V384" i="65"/>
  <c r="X375" i="65"/>
  <c r="W377" i="65"/>
  <c r="Z323" i="65"/>
  <c r="Z321" i="65"/>
  <c r="X289" i="65"/>
  <c r="Z341" i="65"/>
  <c r="X287" i="65"/>
  <c r="Z343" i="65"/>
  <c r="X343" i="65"/>
  <c r="Z287" i="65"/>
  <c r="Z297" i="65"/>
  <c r="X340" i="65"/>
  <c r="X281" i="65"/>
  <c r="Z360" i="65"/>
  <c r="V368" i="65"/>
  <c r="Z361" i="65"/>
  <c r="V319" i="65"/>
  <c r="Y356" i="65"/>
  <c r="Y345" i="65"/>
  <c r="V350" i="65"/>
  <c r="Z319" i="65"/>
  <c r="V343" i="65"/>
  <c r="X280" i="65"/>
  <c r="V280" i="65"/>
  <c r="X374" i="65"/>
  <c r="R276" i="65"/>
  <c r="P383" i="65"/>
  <c r="S325" i="65"/>
  <c r="S349" i="65"/>
  <c r="S285" i="65"/>
  <c r="T339" i="65"/>
  <c r="P276" i="65"/>
  <c r="S293" i="65"/>
  <c r="Q293" i="65"/>
  <c r="R285" i="65"/>
  <c r="R339" i="65"/>
  <c r="Q383" i="65"/>
  <c r="S292" i="65"/>
  <c r="P359" i="65"/>
  <c r="R354" i="65"/>
  <c r="P293" i="65"/>
  <c r="P282" i="65"/>
  <c r="Q378" i="65"/>
  <c r="Q319" i="65"/>
  <c r="Q373" i="65"/>
  <c r="S373" i="65"/>
  <c r="S295" i="65"/>
  <c r="R349" i="65"/>
  <c r="P285" i="65"/>
  <c r="T282" i="65"/>
  <c r="Q285" i="65"/>
  <c r="T293" i="65"/>
  <c r="S317" i="65"/>
  <c r="S339" i="65"/>
  <c r="R325" i="65"/>
  <c r="Q317" i="65"/>
  <c r="P325" i="65"/>
  <c r="T325" i="65"/>
  <c r="Q359" i="65"/>
  <c r="R365" i="65"/>
  <c r="Q354" i="65"/>
  <c r="T359" i="65"/>
  <c r="P378" i="65"/>
  <c r="T349" i="65"/>
  <c r="P275" i="65"/>
  <c r="P339" i="65"/>
  <c r="AB339" i="65" s="1"/>
  <c r="Q276" i="65"/>
  <c r="P365" i="65"/>
  <c r="P373" i="65"/>
  <c r="T383" i="65"/>
  <c r="Q344" i="65"/>
  <c r="R295" i="65"/>
  <c r="P317" i="65"/>
  <c r="T285" i="65"/>
  <c r="S359" i="65"/>
  <c r="Q339" i="65"/>
  <c r="Q325" i="65"/>
  <c r="Q295" i="65"/>
  <c r="AC295" i="65" s="1"/>
  <c r="Q349" i="65"/>
  <c r="AC349" i="65" s="1"/>
  <c r="P357" i="65"/>
  <c r="Q314" i="65"/>
  <c r="P351" i="65"/>
  <c r="Q365" i="65"/>
  <c r="S383" i="65"/>
  <c r="R373" i="65"/>
  <c r="R383" i="65"/>
  <c r="Q275" i="65"/>
  <c r="R314" i="65"/>
  <c r="P353" i="65"/>
  <c r="T317" i="65"/>
  <c r="R344" i="65"/>
  <c r="S354" i="65"/>
  <c r="P349" i="65"/>
  <c r="R317" i="65"/>
  <c r="P295" i="65"/>
  <c r="R293" i="65"/>
  <c r="R359" i="65"/>
  <c r="T295" i="65"/>
  <c r="S314" i="65"/>
  <c r="T354" i="65"/>
  <c r="P354" i="65"/>
  <c r="R292" i="65"/>
  <c r="S357" i="65"/>
  <c r="S378" i="65"/>
  <c r="S351" i="65"/>
  <c r="Q346" i="65"/>
  <c r="R282" i="65"/>
  <c r="T341" i="65"/>
  <c r="P288" i="65"/>
  <c r="R321" i="65"/>
  <c r="Q294" i="65"/>
  <c r="S361" i="65"/>
  <c r="P286" i="65"/>
  <c r="R357" i="65"/>
  <c r="Q357" i="65"/>
  <c r="P314" i="65"/>
  <c r="Q310" i="65"/>
  <c r="R378" i="65"/>
  <c r="R346" i="65"/>
  <c r="S282" i="65"/>
  <c r="P344" i="65"/>
  <c r="T292" i="65"/>
  <c r="R347" i="65"/>
  <c r="P296" i="65"/>
  <c r="S340" i="65"/>
  <c r="T344" i="65"/>
  <c r="S344" i="65"/>
  <c r="AE344" i="65" s="1"/>
  <c r="S289" i="65"/>
  <c r="S319" i="65"/>
  <c r="T314" i="65"/>
  <c r="Q282" i="65"/>
  <c r="P341" i="65"/>
  <c r="R296" i="65"/>
  <c r="Q296" i="65"/>
  <c r="T286" i="65"/>
  <c r="P292" i="65"/>
  <c r="Q289" i="65"/>
  <c r="T357" i="65"/>
  <c r="T378" i="65"/>
  <c r="T351" i="65"/>
  <c r="S346" i="65"/>
  <c r="Q292" i="65"/>
  <c r="S320" i="65"/>
  <c r="S347" i="65"/>
  <c r="Q347" i="65"/>
  <c r="T347" i="65"/>
  <c r="S296" i="65"/>
  <c r="T361" i="65"/>
  <c r="Q321" i="65"/>
  <c r="Q340" i="65"/>
  <c r="R311" i="65"/>
  <c r="R323" i="65"/>
  <c r="T352" i="65"/>
  <c r="Q342" i="65"/>
  <c r="P348" i="65"/>
  <c r="Q367" i="65"/>
  <c r="R352" i="65"/>
  <c r="S367" i="65"/>
  <c r="S369" i="65"/>
  <c r="P311" i="65"/>
  <c r="S294" i="65"/>
  <c r="T342" i="65"/>
  <c r="S342" i="65"/>
  <c r="AE342" i="65" s="1"/>
  <c r="R367" i="65"/>
  <c r="R312" i="65"/>
  <c r="S316" i="65"/>
  <c r="P358" i="65"/>
  <c r="Q352" i="65"/>
  <c r="S323" i="65"/>
  <c r="R278" i="65"/>
  <c r="T294" i="65"/>
  <c r="R294" i="65"/>
  <c r="R342" i="65"/>
  <c r="S350" i="65"/>
  <c r="Q355" i="65"/>
  <c r="S358" i="65"/>
  <c r="P278" i="65"/>
  <c r="R366" i="65"/>
  <c r="T367" i="65"/>
  <c r="P355" i="65"/>
  <c r="S279" i="65"/>
  <c r="T345" i="65"/>
  <c r="P361" i="65"/>
  <c r="P346" i="65"/>
  <c r="P283" i="65"/>
  <c r="S321" i="65"/>
  <c r="AE321" i="65" s="1"/>
  <c r="T320" i="65"/>
  <c r="T289" i="65"/>
  <c r="P374" i="65"/>
  <c r="P384" i="65"/>
  <c r="S353" i="65"/>
  <c r="T353" i="65"/>
  <c r="Q281" i="65"/>
  <c r="R320" i="65"/>
  <c r="S286" i="65"/>
  <c r="P274" i="65"/>
  <c r="Q323" i="65"/>
  <c r="Q353" i="65"/>
  <c r="R309" i="65"/>
  <c r="P352" i="65"/>
  <c r="S360" i="65"/>
  <c r="S278" i="65"/>
  <c r="Q277" i="65"/>
  <c r="S324" i="65"/>
  <c r="T324" i="65"/>
  <c r="T360" i="65"/>
  <c r="S348" i="65"/>
  <c r="S315" i="65"/>
  <c r="S311" i="65"/>
  <c r="T350" i="65"/>
  <c r="Q345" i="65"/>
  <c r="T296" i="65"/>
  <c r="S341" i="65"/>
  <c r="R341" i="65"/>
  <c r="AD341" i="65" s="1"/>
  <c r="S366" i="65"/>
  <c r="R283" i="65"/>
  <c r="P321" i="65"/>
  <c r="R298" i="65"/>
  <c r="T321" i="65"/>
  <c r="P343" i="65"/>
  <c r="R350" i="65"/>
  <c r="S343" i="65"/>
  <c r="S368" i="65"/>
  <c r="P324" i="65"/>
  <c r="Q313" i="65"/>
  <c r="Q361" i="65"/>
  <c r="R279" i="65"/>
  <c r="T279" i="65"/>
  <c r="AF279" i="65" s="1"/>
  <c r="R369" i="65"/>
  <c r="P342" i="65"/>
  <c r="AB342" i="65" s="1"/>
  <c r="P377" i="65"/>
  <c r="P350" i="65"/>
  <c r="R277" i="65"/>
  <c r="R286" i="65"/>
  <c r="P320" i="65"/>
  <c r="P340" i="65"/>
  <c r="Q286" i="65"/>
  <c r="Q372" i="65"/>
  <c r="Q320" i="65"/>
  <c r="R351" i="65"/>
  <c r="Q290" i="65"/>
  <c r="P290" i="65"/>
  <c r="T366" i="65"/>
  <c r="P375" i="65"/>
  <c r="T358" i="65"/>
  <c r="Q322" i="65"/>
  <c r="T297" i="65"/>
  <c r="R376" i="65"/>
  <c r="Q298" i="65"/>
  <c r="AC298" i="65" s="1"/>
  <c r="R322" i="65"/>
  <c r="T322" i="65"/>
  <c r="R288" i="65"/>
  <c r="Q291" i="65"/>
  <c r="S291" i="65"/>
  <c r="T291" i="65"/>
  <c r="P309" i="65"/>
  <c r="R348" i="65"/>
  <c r="T377" i="65"/>
  <c r="S281" i="65"/>
  <c r="Q278" i="65"/>
  <c r="P281" i="65"/>
  <c r="Q316" i="65"/>
  <c r="Q279" i="65"/>
  <c r="P277" i="65"/>
  <c r="R360" i="65"/>
  <c r="S377" i="65"/>
  <c r="T284" i="65"/>
  <c r="R356" i="65"/>
  <c r="T287" i="65"/>
  <c r="T311" i="65"/>
  <c r="Q284" i="65"/>
  <c r="R374" i="65"/>
  <c r="Q375" i="65"/>
  <c r="T374" i="65"/>
  <c r="S375" i="65"/>
  <c r="R355" i="65"/>
  <c r="R319" i="65"/>
  <c r="R297" i="65"/>
  <c r="P294" i="65"/>
  <c r="S313" i="65"/>
  <c r="S374" i="65"/>
  <c r="T323" i="65"/>
  <c r="P372" i="65"/>
  <c r="R289" i="65"/>
  <c r="P322" i="65"/>
  <c r="S352" i="65"/>
  <c r="P360" i="65"/>
  <c r="P291" i="65"/>
  <c r="S309" i="65"/>
  <c r="T309" i="65"/>
  <c r="R375" i="65"/>
  <c r="R316" i="65"/>
  <c r="T278" i="65"/>
  <c r="T348" i="65"/>
  <c r="T316" i="65"/>
  <c r="P368" i="65"/>
  <c r="Q377" i="65"/>
  <c r="T313" i="65"/>
  <c r="Q350" i="65"/>
  <c r="Q358" i="65"/>
  <c r="P367" i="65"/>
  <c r="P347" i="65"/>
  <c r="R284" i="65"/>
  <c r="T376" i="65"/>
  <c r="S284" i="65"/>
  <c r="S280" i="65"/>
  <c r="P312" i="65"/>
  <c r="R368" i="65"/>
  <c r="R361" i="65"/>
  <c r="S288" i="65"/>
  <c r="P284" i="65"/>
  <c r="T319" i="65"/>
  <c r="S384" i="65"/>
  <c r="S287" i="65"/>
  <c r="T355" i="65"/>
  <c r="Q374" i="65"/>
  <c r="P297" i="65"/>
  <c r="Q364" i="65"/>
  <c r="S298" i="65"/>
  <c r="R353" i="65"/>
  <c r="S355" i="65"/>
  <c r="T288" i="65"/>
  <c r="Q280" i="65"/>
  <c r="P279" i="65"/>
  <c r="Q360" i="65"/>
  <c r="R291" i="65"/>
  <c r="Q309" i="65"/>
  <c r="R377" i="65"/>
  <c r="R281" i="65"/>
  <c r="Q348" i="65"/>
  <c r="P316" i="65"/>
  <c r="T368" i="65"/>
  <c r="R358" i="65"/>
  <c r="Q384" i="65"/>
  <c r="T315" i="65"/>
  <c r="Q297" i="65"/>
  <c r="R340" i="65"/>
  <c r="Q288" i="65"/>
  <c r="Q315" i="65"/>
  <c r="T346" i="65"/>
  <c r="T310" i="65"/>
  <c r="T356" i="65"/>
  <c r="P369" i="65"/>
  <c r="Q312" i="65"/>
  <c r="S310" i="65"/>
  <c r="R315" i="65"/>
  <c r="R280" i="65"/>
  <c r="Q366" i="65"/>
  <c r="P323" i="65"/>
  <c r="S312" i="65"/>
  <c r="R310" i="65"/>
  <c r="T280" i="65"/>
  <c r="T340" i="65"/>
  <c r="S322" i="65"/>
  <c r="R290" i="65"/>
  <c r="P376" i="65"/>
  <c r="T369" i="65"/>
  <c r="Q283" i="65"/>
  <c r="P287" i="65"/>
  <c r="S277" i="65"/>
  <c r="Q324" i="65"/>
  <c r="T384" i="65"/>
  <c r="P366" i="65"/>
  <c r="P364" i="65"/>
  <c r="Q341" i="65"/>
  <c r="Q287" i="65"/>
  <c r="P315" i="65"/>
  <c r="AB315" i="65" s="1"/>
  <c r="T283" i="65"/>
  <c r="S297" i="65"/>
  <c r="P310" i="65"/>
  <c r="T375" i="65"/>
  <c r="T281" i="65"/>
  <c r="T312" i="65"/>
  <c r="Q356" i="65"/>
  <c r="S290" i="65"/>
  <c r="Q343" i="65"/>
  <c r="T290" i="65"/>
  <c r="P345" i="65"/>
  <c r="T298" i="65"/>
  <c r="Q351" i="65"/>
  <c r="R313" i="65"/>
  <c r="AD313" i="65" s="1"/>
  <c r="S345" i="65"/>
  <c r="P319" i="65"/>
  <c r="P289" i="65"/>
  <c r="S376" i="65"/>
  <c r="P298" i="65"/>
  <c r="S356" i="65"/>
  <c r="R324" i="65"/>
  <c r="Q368" i="65"/>
  <c r="R384" i="65"/>
  <c r="Q369" i="65"/>
  <c r="S283" i="65"/>
  <c r="P356" i="65"/>
  <c r="R287" i="65"/>
  <c r="T343" i="65"/>
  <c r="R345" i="65"/>
  <c r="Q311" i="65"/>
  <c r="Q376" i="65"/>
  <c r="R343" i="65"/>
  <c r="P280" i="65"/>
  <c r="P313" i="65"/>
  <c r="AF379" i="65"/>
  <c r="B481" i="40"/>
  <c r="B200" i="65"/>
  <c r="R192" i="65"/>
  <c r="P192" i="65"/>
  <c r="Q212" i="65"/>
  <c r="S165" i="65"/>
  <c r="P217" i="65"/>
  <c r="R217" i="65"/>
  <c r="Q156" i="65"/>
  <c r="P156" i="65"/>
  <c r="S168" i="65"/>
  <c r="Q188" i="65"/>
  <c r="P188" i="65"/>
  <c r="T228" i="65"/>
  <c r="P228" i="65"/>
  <c r="P153" i="65"/>
  <c r="Q153" i="65"/>
  <c r="T209" i="65"/>
  <c r="S209" i="65"/>
  <c r="R160" i="65"/>
  <c r="P154" i="65"/>
  <c r="Q158" i="65"/>
  <c r="Q192" i="65"/>
  <c r="S212" i="65"/>
  <c r="T165" i="65"/>
  <c r="R156" i="65"/>
  <c r="P208" i="65"/>
  <c r="Q228" i="65"/>
  <c r="T158" i="65"/>
  <c r="Q250" i="65"/>
  <c r="T192" i="65"/>
  <c r="P212" i="65"/>
  <c r="S232" i="65"/>
  <c r="Q232" i="65"/>
  <c r="T256" i="65"/>
  <c r="R165" i="65"/>
  <c r="T217" i="65"/>
  <c r="T233" i="65"/>
  <c r="Q253" i="65"/>
  <c r="S156" i="65"/>
  <c r="T168" i="65"/>
  <c r="R228" i="65"/>
  <c r="S228" i="65"/>
  <c r="R236" i="65"/>
  <c r="P209" i="65"/>
  <c r="P237" i="65"/>
  <c r="P241" i="65"/>
  <c r="T160" i="65"/>
  <c r="Q160" i="65"/>
  <c r="R154" i="65"/>
  <c r="T212" i="65"/>
  <c r="R256" i="65"/>
  <c r="P253" i="65"/>
  <c r="R158" i="65"/>
  <c r="S214" i="65"/>
  <c r="R250" i="65"/>
  <c r="S250" i="65"/>
  <c r="T254" i="65"/>
  <c r="R258" i="65"/>
  <c r="S258" i="65"/>
  <c r="R163" i="65"/>
  <c r="S231" i="65"/>
  <c r="R235" i="65"/>
  <c r="P229" i="65"/>
  <c r="R195" i="65"/>
  <c r="S161" i="65"/>
  <c r="Q194" i="65"/>
  <c r="S230" i="65"/>
  <c r="S195" i="65"/>
  <c r="Q241" i="65"/>
  <c r="R210" i="65"/>
  <c r="R218" i="65"/>
  <c r="T242" i="65"/>
  <c r="P250" i="65"/>
  <c r="Q254" i="65"/>
  <c r="T251" i="65"/>
  <c r="T240" i="65"/>
  <c r="T161" i="65"/>
  <c r="S193" i="65"/>
  <c r="R152" i="65"/>
  <c r="R212" i="65"/>
  <c r="T232" i="65"/>
  <c r="P165" i="65"/>
  <c r="S253" i="65"/>
  <c r="T156" i="65"/>
  <c r="P168" i="65"/>
  <c r="T237" i="65"/>
  <c r="S210" i="65"/>
  <c r="T214" i="65"/>
  <c r="S242" i="65"/>
  <c r="T250" i="65"/>
  <c r="P254" i="65"/>
  <c r="S254" i="65"/>
  <c r="P258" i="65"/>
  <c r="Q151" i="65"/>
  <c r="Q155" i="65"/>
  <c r="Q163" i="65"/>
  <c r="S163" i="65"/>
  <c r="R167" i="65"/>
  <c r="T167" i="65"/>
  <c r="T211" i="65"/>
  <c r="Q235" i="65"/>
  <c r="S235" i="65"/>
  <c r="R239" i="65"/>
  <c r="P243" i="65"/>
  <c r="Q243" i="65"/>
  <c r="R259" i="65"/>
  <c r="T229" i="65"/>
  <c r="T238" i="65"/>
  <c r="T195" i="65"/>
  <c r="Q195" i="65"/>
  <c r="R164" i="65"/>
  <c r="S192" i="65"/>
  <c r="S157" i="65"/>
  <c r="Q217" i="65"/>
  <c r="P158" i="65"/>
  <c r="P214" i="65"/>
  <c r="T218" i="65"/>
  <c r="T234" i="65"/>
  <c r="Q258" i="65"/>
  <c r="T155" i="65"/>
  <c r="P167" i="65"/>
  <c r="Q211" i="65"/>
  <c r="R219" i="65"/>
  <c r="Q231" i="65"/>
  <c r="T235" i="65"/>
  <c r="T239" i="65"/>
  <c r="R243" i="65"/>
  <c r="S243" i="65"/>
  <c r="P251" i="65"/>
  <c r="T255" i="65"/>
  <c r="P240" i="65"/>
  <c r="T193" i="65"/>
  <c r="R157" i="65"/>
  <c r="Q168" i="65"/>
  <c r="S236" i="65"/>
  <c r="Q248" i="65"/>
  <c r="R153" i="65"/>
  <c r="R209" i="65"/>
  <c r="R241" i="65"/>
  <c r="S158" i="65"/>
  <c r="Q214" i="65"/>
  <c r="Q234" i="65"/>
  <c r="P234" i="65"/>
  <c r="P242" i="65"/>
  <c r="R254" i="65"/>
  <c r="T258" i="65"/>
  <c r="R155" i="65"/>
  <c r="P163" i="65"/>
  <c r="Q167" i="65"/>
  <c r="R211" i="65"/>
  <c r="R227" i="65"/>
  <c r="P227" i="65"/>
  <c r="R231" i="65"/>
  <c r="P231" i="65"/>
  <c r="T231" i="65"/>
  <c r="P235" i="65"/>
  <c r="S239" i="65"/>
  <c r="P239" i="65"/>
  <c r="T243" i="65"/>
  <c r="Q251" i="65"/>
  <c r="T259" i="65"/>
  <c r="P259" i="65"/>
  <c r="R220" i="65"/>
  <c r="R240" i="65"/>
  <c r="S240" i="65"/>
  <c r="R229" i="65"/>
  <c r="T249" i="65"/>
  <c r="R230" i="65"/>
  <c r="R238" i="65"/>
  <c r="Q154" i="65"/>
  <c r="T163" i="65"/>
  <c r="S211" i="65"/>
  <c r="S227" i="65"/>
  <c r="S247" i="65"/>
  <c r="R251" i="65"/>
  <c r="S255" i="65"/>
  <c r="T220" i="65"/>
  <c r="P161" i="65"/>
  <c r="R193" i="65"/>
  <c r="Q249" i="65"/>
  <c r="P194" i="65"/>
  <c r="Q191" i="65"/>
  <c r="P195" i="65"/>
  <c r="Q238" i="65"/>
  <c r="S249" i="65"/>
  <c r="S166" i="65"/>
  <c r="T159" i="65"/>
  <c r="S238" i="65"/>
  <c r="P191" i="65"/>
  <c r="T215" i="65"/>
  <c r="T166" i="65"/>
  <c r="S215" i="65"/>
  <c r="Q229" i="65"/>
  <c r="P230" i="65"/>
  <c r="S159" i="65"/>
  <c r="R255" i="65"/>
  <c r="P162" i="65"/>
  <c r="P215" i="65"/>
  <c r="R159" i="65"/>
  <c r="Q213" i="65"/>
  <c r="R213" i="65"/>
  <c r="Q166" i="65"/>
  <c r="P219" i="65"/>
  <c r="P218" i="65"/>
  <c r="S256" i="65"/>
  <c r="S252" i="65"/>
  <c r="R252" i="65"/>
  <c r="T164" i="65"/>
  <c r="P164" i="65"/>
  <c r="S189" i="65"/>
  <c r="T191" i="65"/>
  <c r="P193" i="65"/>
  <c r="T210" i="65"/>
  <c r="T170" i="65"/>
  <c r="Q170" i="65"/>
  <c r="T154" i="65"/>
  <c r="S169" i="65"/>
  <c r="T257" i="65"/>
  <c r="Q190" i="65"/>
  <c r="T216" i="65"/>
  <c r="Q216" i="65"/>
  <c r="S194" i="65"/>
  <c r="R249" i="65"/>
  <c r="Q240" i="65"/>
  <c r="Q239" i="65"/>
  <c r="S219" i="65"/>
  <c r="S153" i="65"/>
  <c r="P248" i="65"/>
  <c r="P252" i="65"/>
  <c r="T241" i="65"/>
  <c r="S221" i="65"/>
  <c r="Q152" i="65"/>
  <c r="S237" i="65"/>
  <c r="T253" i="65"/>
  <c r="P256" i="65"/>
  <c r="R253" i="65"/>
  <c r="Q259" i="65"/>
  <c r="S234" i="65"/>
  <c r="P160" i="65"/>
  <c r="P236" i="65"/>
  <c r="R233" i="65"/>
  <c r="R232" i="65"/>
  <c r="P233" i="65"/>
  <c r="P157" i="65"/>
  <c r="R189" i="65"/>
  <c r="S257" i="65"/>
  <c r="Q267" i="65"/>
  <c r="T169" i="65"/>
  <c r="S191" i="65"/>
  <c r="R267" i="65"/>
  <c r="T248" i="65"/>
  <c r="S154" i="65"/>
  <c r="P232" i="65"/>
  <c r="T236" i="65"/>
  <c r="P152" i="65"/>
  <c r="P211" i="65"/>
  <c r="R162" i="65"/>
  <c r="S162" i="65"/>
  <c r="R190" i="65"/>
  <c r="P159" i="65"/>
  <c r="P213" i="65"/>
  <c r="T213" i="65"/>
  <c r="S170" i="65"/>
  <c r="T267" i="65"/>
  <c r="P210" i="65"/>
  <c r="Q233" i="65"/>
  <c r="Q252" i="65"/>
  <c r="S164" i="65"/>
  <c r="Q257" i="65"/>
  <c r="R191" i="65"/>
  <c r="Q255" i="65"/>
  <c r="Q247" i="65"/>
  <c r="Q218" i="65"/>
  <c r="Q210" i="65"/>
  <c r="P170" i="65"/>
  <c r="P189" i="65"/>
  <c r="P169" i="65"/>
  <c r="R214" i="65"/>
  <c r="S190" i="65"/>
  <c r="P150" i="65"/>
  <c r="P216" i="65"/>
  <c r="Q215" i="65"/>
  <c r="P166" i="65"/>
  <c r="Q193" i="65"/>
  <c r="P220" i="65"/>
  <c r="R215" i="65"/>
  <c r="P238" i="65"/>
  <c r="S229" i="65"/>
  <c r="Q161" i="65"/>
  <c r="S220" i="65"/>
  <c r="S259" i="65"/>
  <c r="P247" i="65"/>
  <c r="Q227" i="65"/>
  <c r="Q219" i="65"/>
  <c r="P187" i="65"/>
  <c r="S167" i="65"/>
  <c r="S155" i="65"/>
  <c r="R242" i="65"/>
  <c r="S218" i="65"/>
  <c r="S248" i="65"/>
  <c r="R168" i="65"/>
  <c r="S233" i="65"/>
  <c r="R221" i="65"/>
  <c r="Q157" i="65"/>
  <c r="Q256" i="65"/>
  <c r="Q236" i="65"/>
  <c r="S217" i="65"/>
  <c r="T157" i="65"/>
  <c r="Q230" i="65"/>
  <c r="Q209" i="65"/>
  <c r="R216" i="65"/>
  <c r="T230" i="65"/>
  <c r="S267" i="65"/>
  <c r="R194" i="65"/>
  <c r="P255" i="65"/>
  <c r="Q242" i="65"/>
  <c r="R234" i="65"/>
  <c r="R248" i="65"/>
  <c r="R237" i="65"/>
  <c r="T221" i="65"/>
  <c r="Q165" i="65"/>
  <c r="Q237" i="65"/>
  <c r="P249" i="65"/>
  <c r="T219" i="65"/>
  <c r="Q162" i="65"/>
  <c r="T162" i="65"/>
  <c r="Q159" i="65"/>
  <c r="P246" i="65"/>
  <c r="S213" i="65"/>
  <c r="Q220" i="65"/>
  <c r="P226" i="65"/>
  <c r="Q221" i="65"/>
  <c r="T252" i="65"/>
  <c r="Q164" i="65"/>
  <c r="Q189" i="65"/>
  <c r="P257" i="65"/>
  <c r="R257" i="65"/>
  <c r="T194" i="65"/>
  <c r="S251" i="65"/>
  <c r="R247" i="65"/>
  <c r="R170" i="65"/>
  <c r="R169" i="65"/>
  <c r="S241" i="65"/>
  <c r="P190" i="65"/>
  <c r="T190" i="65"/>
  <c r="S216" i="65"/>
  <c r="R166" i="65"/>
  <c r="P267" i="65"/>
  <c r="R161" i="65"/>
  <c r="P155" i="65"/>
  <c r="P151" i="65"/>
  <c r="Q169" i="65"/>
  <c r="S160" i="65"/>
  <c r="P221" i="65"/>
  <c r="P148" i="65"/>
  <c r="Q148" i="65"/>
  <c r="R148" i="65"/>
  <c r="V148" i="65"/>
  <c r="Z152" i="65"/>
  <c r="Z204" i="65"/>
  <c r="V204" i="65"/>
  <c r="S204" i="65"/>
  <c r="X212" i="65"/>
  <c r="X232" i="65"/>
  <c r="W232" i="65"/>
  <c r="R244" i="65"/>
  <c r="Z244" i="65"/>
  <c r="V244" i="65"/>
  <c r="Y145" i="65"/>
  <c r="Q145" i="65"/>
  <c r="Y165" i="65"/>
  <c r="V177" i="65"/>
  <c r="S177" i="65"/>
  <c r="Y177" i="65"/>
  <c r="Z205" i="65"/>
  <c r="S205" i="65"/>
  <c r="W205" i="65"/>
  <c r="Y205" i="65"/>
  <c r="T185" i="65"/>
  <c r="Z185" i="65"/>
  <c r="Y197" i="65"/>
  <c r="X197" i="65"/>
  <c r="Z197" i="65"/>
  <c r="W261" i="65"/>
  <c r="X261" i="65"/>
  <c r="Y265" i="65"/>
  <c r="T265" i="65"/>
  <c r="X265" i="65"/>
  <c r="T144" i="65"/>
  <c r="Y144" i="65"/>
  <c r="W168" i="65"/>
  <c r="Q180" i="65"/>
  <c r="W180" i="65"/>
  <c r="V188" i="65"/>
  <c r="X196" i="65"/>
  <c r="W196" i="65"/>
  <c r="Y196" i="65"/>
  <c r="Y208" i="65"/>
  <c r="W208" i="65"/>
  <c r="V228" i="65"/>
  <c r="X260" i="65"/>
  <c r="Q225" i="65"/>
  <c r="W245" i="65"/>
  <c r="V245" i="65"/>
  <c r="W160" i="65"/>
  <c r="X160" i="65"/>
  <c r="V172" i="65"/>
  <c r="P172" i="65"/>
  <c r="X172" i="65"/>
  <c r="S172" i="65"/>
  <c r="P176" i="65"/>
  <c r="S176" i="65"/>
  <c r="T176" i="65"/>
  <c r="Y176" i="65"/>
  <c r="W184" i="65"/>
  <c r="S184" i="65"/>
  <c r="P200" i="65"/>
  <c r="W224" i="65"/>
  <c r="Y224" i="65"/>
  <c r="Z149" i="65"/>
  <c r="R149" i="65"/>
  <c r="X149" i="65"/>
  <c r="T181" i="65"/>
  <c r="V181" i="65"/>
  <c r="V201" i="65"/>
  <c r="W201" i="65"/>
  <c r="Z150" i="65"/>
  <c r="R150" i="65"/>
  <c r="Q150" i="65"/>
  <c r="W154" i="65"/>
  <c r="W158" i="65"/>
  <c r="Y178" i="65"/>
  <c r="S186" i="65"/>
  <c r="Z186" i="65"/>
  <c r="T148" i="65"/>
  <c r="Y148" i="65"/>
  <c r="S148" i="65"/>
  <c r="T152" i="65"/>
  <c r="V192" i="65"/>
  <c r="Q204" i="65"/>
  <c r="W212" i="65"/>
  <c r="Q244" i="65"/>
  <c r="T244" i="65"/>
  <c r="P145" i="65"/>
  <c r="W145" i="65"/>
  <c r="S145" i="65"/>
  <c r="Z177" i="65"/>
  <c r="X177" i="65"/>
  <c r="P205" i="65"/>
  <c r="Y185" i="65"/>
  <c r="S185" i="65"/>
  <c r="V185" i="65"/>
  <c r="P197" i="65"/>
  <c r="R197" i="65"/>
  <c r="AD197" i="65" s="1"/>
  <c r="AP197" i="65" s="1"/>
  <c r="S261" i="65"/>
  <c r="V261" i="65"/>
  <c r="T261" i="65"/>
  <c r="S265" i="65"/>
  <c r="P144" i="65"/>
  <c r="W144" i="65"/>
  <c r="W156" i="65"/>
  <c r="V168" i="65"/>
  <c r="V180" i="65"/>
  <c r="T180" i="65"/>
  <c r="S180" i="65"/>
  <c r="X188" i="65"/>
  <c r="R188" i="65"/>
  <c r="Z196" i="65"/>
  <c r="S196" i="65"/>
  <c r="Z228" i="65"/>
  <c r="S260" i="65"/>
  <c r="W260" i="65"/>
  <c r="T225" i="65"/>
  <c r="Y225" i="65"/>
  <c r="R225" i="65"/>
  <c r="X225" i="65"/>
  <c r="Q245" i="65"/>
  <c r="Z245" i="65"/>
  <c r="Y160" i="65"/>
  <c r="Z172" i="65"/>
  <c r="T172" i="65"/>
  <c r="Y172" i="65"/>
  <c r="V176" i="65"/>
  <c r="X176" i="65"/>
  <c r="T184" i="65"/>
  <c r="X184" i="65"/>
  <c r="V184" i="65"/>
  <c r="Q200" i="65"/>
  <c r="Z200" i="65"/>
  <c r="T200" i="65"/>
  <c r="X200" i="65"/>
  <c r="V224" i="65"/>
  <c r="T224" i="65"/>
  <c r="Q149" i="65"/>
  <c r="Y149" i="65"/>
  <c r="S181" i="65"/>
  <c r="Z181" i="65"/>
  <c r="Q181" i="65"/>
  <c r="T189" i="65"/>
  <c r="P201" i="65"/>
  <c r="R201" i="65"/>
  <c r="X201" i="65"/>
  <c r="S150" i="65"/>
  <c r="Z158" i="65"/>
  <c r="Q178" i="65"/>
  <c r="T178" i="65"/>
  <c r="R178" i="65"/>
  <c r="Q186" i="65"/>
  <c r="R186" i="65"/>
  <c r="T186" i="65"/>
  <c r="T198" i="65"/>
  <c r="R198" i="65"/>
  <c r="T206" i="65"/>
  <c r="Z206" i="65"/>
  <c r="W206" i="65"/>
  <c r="Q222" i="65"/>
  <c r="W222" i="65"/>
  <c r="V222" i="65"/>
  <c r="R222" i="65"/>
  <c r="R226" i="65"/>
  <c r="Z250" i="65"/>
  <c r="Y254" i="65"/>
  <c r="W262" i="65"/>
  <c r="T262" i="65"/>
  <c r="Q266" i="65"/>
  <c r="Z266" i="65"/>
  <c r="R266" i="65"/>
  <c r="Y147" i="65"/>
  <c r="S147" i="65"/>
  <c r="Z151" i="65"/>
  <c r="X163" i="65"/>
  <c r="Z163" i="65"/>
  <c r="Z171" i="65"/>
  <c r="Y171" i="65"/>
  <c r="W148" i="65"/>
  <c r="X148" i="65"/>
  <c r="V152" i="65"/>
  <c r="W192" i="65"/>
  <c r="W204" i="65"/>
  <c r="P204" i="65"/>
  <c r="Y204" i="65"/>
  <c r="X204" i="65"/>
  <c r="Y212" i="65"/>
  <c r="Z212" i="65"/>
  <c r="V232" i="65"/>
  <c r="Y244" i="65"/>
  <c r="S244" i="65"/>
  <c r="P244" i="65"/>
  <c r="W244" i="65"/>
  <c r="Y256" i="65"/>
  <c r="T145" i="65"/>
  <c r="V145" i="65"/>
  <c r="X145" i="65"/>
  <c r="Z165" i="65"/>
  <c r="W165" i="65"/>
  <c r="R177" i="65"/>
  <c r="T177" i="65"/>
  <c r="Q205" i="65"/>
  <c r="R205" i="65"/>
  <c r="V217" i="65"/>
  <c r="Z221" i="65"/>
  <c r="W233" i="65"/>
  <c r="Q185" i="65"/>
  <c r="P185" i="65"/>
  <c r="AB185" i="65" s="1"/>
  <c r="AN185" i="65" s="1"/>
  <c r="X185" i="65"/>
  <c r="W197" i="65"/>
  <c r="Q197" i="65"/>
  <c r="Z253" i="65"/>
  <c r="Z261" i="65"/>
  <c r="W265" i="65"/>
  <c r="R265" i="65"/>
  <c r="P265" i="65"/>
  <c r="R144" i="65"/>
  <c r="V144" i="65"/>
  <c r="S144" i="65"/>
  <c r="Z156" i="65"/>
  <c r="X156" i="65"/>
  <c r="Z168" i="65"/>
  <c r="X168" i="65"/>
  <c r="Z180" i="65"/>
  <c r="Y180" i="65"/>
  <c r="X180" i="65"/>
  <c r="T188" i="65"/>
  <c r="Y188" i="65"/>
  <c r="T196" i="65"/>
  <c r="Q196" i="65"/>
  <c r="R196" i="65"/>
  <c r="P196" i="65"/>
  <c r="T208" i="65"/>
  <c r="Z208" i="65"/>
  <c r="S208" i="65"/>
  <c r="V208" i="65"/>
  <c r="R260" i="65"/>
  <c r="Z260" i="65"/>
  <c r="V260" i="65"/>
  <c r="Q260" i="65"/>
  <c r="T153" i="65"/>
  <c r="W153" i="65"/>
  <c r="V209" i="65"/>
  <c r="V225" i="65"/>
  <c r="Z225" i="65"/>
  <c r="W225" i="65"/>
  <c r="V237" i="65"/>
  <c r="X241" i="65"/>
  <c r="Y245" i="65"/>
  <c r="T245" i="65"/>
  <c r="P245" i="65"/>
  <c r="R172" i="65"/>
  <c r="Z176" i="65"/>
  <c r="W176" i="65"/>
  <c r="R176" i="65"/>
  <c r="Z184" i="65"/>
  <c r="W200" i="65"/>
  <c r="V200" i="65"/>
  <c r="R224" i="65"/>
  <c r="X224" i="65"/>
  <c r="S224" i="65"/>
  <c r="P149" i="65"/>
  <c r="W149" i="65"/>
  <c r="S149" i="65"/>
  <c r="X181" i="65"/>
  <c r="Y181" i="65"/>
  <c r="Z189" i="65"/>
  <c r="S201" i="65"/>
  <c r="Q201" i="65"/>
  <c r="X150" i="65"/>
  <c r="Y150" i="65"/>
  <c r="Y154" i="65"/>
  <c r="V154" i="65"/>
  <c r="X158" i="65"/>
  <c r="V158" i="65"/>
  <c r="Y158" i="65"/>
  <c r="V178" i="65"/>
  <c r="S178" i="65"/>
  <c r="Y152" i="65"/>
  <c r="S152" i="65"/>
  <c r="Z192" i="65"/>
  <c r="T204" i="65"/>
  <c r="Y232" i="65"/>
  <c r="X244" i="65"/>
  <c r="Z145" i="65"/>
  <c r="V205" i="65"/>
  <c r="Z217" i="65"/>
  <c r="V221" i="65"/>
  <c r="X233" i="65"/>
  <c r="W185" i="65"/>
  <c r="P261" i="65"/>
  <c r="Q144" i="65"/>
  <c r="V156" i="65"/>
  <c r="Y260" i="65"/>
  <c r="T260" i="65"/>
  <c r="Y209" i="65"/>
  <c r="P225" i="65"/>
  <c r="W241" i="65"/>
  <c r="R245" i="65"/>
  <c r="W172" i="65"/>
  <c r="P184" i="65"/>
  <c r="Y200" i="65"/>
  <c r="Q224" i="65"/>
  <c r="Z224" i="65"/>
  <c r="P181" i="65"/>
  <c r="T150" i="65"/>
  <c r="X178" i="65"/>
  <c r="W186" i="65"/>
  <c r="Q198" i="65"/>
  <c r="V206" i="65"/>
  <c r="R206" i="65"/>
  <c r="Y206" i="65"/>
  <c r="Y214" i="65"/>
  <c r="S222" i="65"/>
  <c r="X222" i="65"/>
  <c r="T222" i="65"/>
  <c r="W226" i="65"/>
  <c r="Y226" i="65"/>
  <c r="V234" i="65"/>
  <c r="V242" i="65"/>
  <c r="X250" i="65"/>
  <c r="V254" i="65"/>
  <c r="S262" i="65"/>
  <c r="X262" i="65"/>
  <c r="T266" i="65"/>
  <c r="S151" i="65"/>
  <c r="Y163" i="65"/>
  <c r="X167" i="65"/>
  <c r="Q171" i="65"/>
  <c r="W171" i="65"/>
  <c r="Q179" i="65"/>
  <c r="S179" i="65"/>
  <c r="T179" i="65"/>
  <c r="P179" i="65"/>
  <c r="P183" i="65"/>
  <c r="V183" i="65"/>
  <c r="Q187" i="65"/>
  <c r="T187" i="65"/>
  <c r="V187" i="65"/>
  <c r="Q203" i="65"/>
  <c r="Y231" i="65"/>
  <c r="Y235" i="65"/>
  <c r="Z243" i="65"/>
  <c r="Y243" i="65"/>
  <c r="W263" i="65"/>
  <c r="R263" i="65"/>
  <c r="Q263" i="65"/>
  <c r="Y264" i="65"/>
  <c r="T264" i="65"/>
  <c r="V264" i="65"/>
  <c r="S173" i="65"/>
  <c r="Z173" i="65"/>
  <c r="V173" i="65"/>
  <c r="T146" i="65"/>
  <c r="R146" i="65"/>
  <c r="W146" i="65"/>
  <c r="V146" i="65"/>
  <c r="R174" i="65"/>
  <c r="T174" i="65"/>
  <c r="V174" i="65"/>
  <c r="Z182" i="65"/>
  <c r="Q202" i="65"/>
  <c r="W202" i="65"/>
  <c r="Z238" i="65"/>
  <c r="W246" i="65"/>
  <c r="R246" i="65"/>
  <c r="Z246" i="65"/>
  <c r="S175" i="65"/>
  <c r="X195" i="65"/>
  <c r="T199" i="65"/>
  <c r="Q199" i="65"/>
  <c r="W207" i="65"/>
  <c r="Y207" i="65"/>
  <c r="S207" i="65"/>
  <c r="X207" i="65"/>
  <c r="Q223" i="65"/>
  <c r="R223" i="65"/>
  <c r="V223" i="65"/>
  <c r="V263" i="65"/>
  <c r="X264" i="65"/>
  <c r="W173" i="65"/>
  <c r="X229" i="65"/>
  <c r="Z146" i="65"/>
  <c r="W174" i="65"/>
  <c r="S182" i="65"/>
  <c r="Y182" i="65"/>
  <c r="T202" i="65"/>
  <c r="R202" i="65"/>
  <c r="Y202" i="65"/>
  <c r="X202" i="65"/>
  <c r="X238" i="65"/>
  <c r="Y238" i="65"/>
  <c r="Q246" i="65"/>
  <c r="P175" i="65"/>
  <c r="V195" i="65"/>
  <c r="P199" i="65"/>
  <c r="S199" i="65"/>
  <c r="Q207" i="65"/>
  <c r="Y223" i="65"/>
  <c r="X223" i="65"/>
  <c r="W166" i="65"/>
  <c r="Z194" i="65"/>
  <c r="V238" i="65"/>
  <c r="Y246" i="65"/>
  <c r="R175" i="65"/>
  <c r="Z191" i="65"/>
  <c r="W195" i="65"/>
  <c r="R199" i="65"/>
  <c r="W199" i="65"/>
  <c r="T207" i="65"/>
  <c r="T223" i="65"/>
  <c r="Q265" i="65"/>
  <c r="W228" i="65"/>
  <c r="Z153" i="65"/>
  <c r="S225" i="65"/>
  <c r="W237" i="65"/>
  <c r="Z160" i="65"/>
  <c r="V149" i="65"/>
  <c r="Z201" i="65"/>
  <c r="Y201" i="65"/>
  <c r="W170" i="65"/>
  <c r="W178" i="65"/>
  <c r="V198" i="65"/>
  <c r="W234" i="65"/>
  <c r="P262" i="65"/>
  <c r="V266" i="65"/>
  <c r="Y151" i="65"/>
  <c r="V155" i="65"/>
  <c r="P203" i="65"/>
  <c r="V211" i="65"/>
  <c r="Y259" i="65"/>
  <c r="Y267" i="65"/>
  <c r="Z220" i="65"/>
  <c r="Q264" i="65"/>
  <c r="Z264" i="65"/>
  <c r="R173" i="65"/>
  <c r="T173" i="65"/>
  <c r="Y192" i="65"/>
  <c r="X157" i="65"/>
  <c r="W177" i="65"/>
  <c r="Y217" i="65"/>
  <c r="X221" i="65"/>
  <c r="Z233" i="65"/>
  <c r="V197" i="65"/>
  <c r="R261" i="65"/>
  <c r="V265" i="65"/>
  <c r="X144" i="65"/>
  <c r="R180" i="65"/>
  <c r="Z188" i="65"/>
  <c r="V196" i="65"/>
  <c r="X208" i="65"/>
  <c r="Y228" i="65"/>
  <c r="V248" i="65"/>
  <c r="V160" i="65"/>
  <c r="Q184" i="65"/>
  <c r="R184" i="65"/>
  <c r="S200" i="65"/>
  <c r="T149" i="65"/>
  <c r="R181" i="65"/>
  <c r="T201" i="65"/>
  <c r="Z178" i="65"/>
  <c r="Y186" i="65"/>
  <c r="V186" i="65"/>
  <c r="X198" i="65"/>
  <c r="Z198" i="65"/>
  <c r="W198" i="65"/>
  <c r="X214" i="65"/>
  <c r="V214" i="65"/>
  <c r="X218" i="65"/>
  <c r="P222" i="65"/>
  <c r="T226" i="65"/>
  <c r="Q226" i="65"/>
  <c r="Y234" i="65"/>
  <c r="X234" i="65"/>
  <c r="Y242" i="65"/>
  <c r="V250" i="65"/>
  <c r="W258" i="65"/>
  <c r="R262" i="65"/>
  <c r="Z262" i="65"/>
  <c r="Y266" i="65"/>
  <c r="P266" i="65"/>
  <c r="T147" i="65"/>
  <c r="P147" i="65"/>
  <c r="R151" i="65"/>
  <c r="X155" i="65"/>
  <c r="W163" i="65"/>
  <c r="P171" i="65"/>
  <c r="V179" i="65"/>
  <c r="Y179" i="65"/>
  <c r="S183" i="65"/>
  <c r="T183" i="65"/>
  <c r="R183" i="65"/>
  <c r="S187" i="65"/>
  <c r="W187" i="65"/>
  <c r="Y203" i="65"/>
  <c r="W203" i="65"/>
  <c r="S203" i="65"/>
  <c r="Y211" i="65"/>
  <c r="V227" i="65"/>
  <c r="W227" i="65"/>
  <c r="Z231" i="65"/>
  <c r="X231" i="65"/>
  <c r="V231" i="65"/>
  <c r="W235" i="65"/>
  <c r="Z239" i="65"/>
  <c r="W243" i="65"/>
  <c r="W259" i="65"/>
  <c r="Z263" i="65"/>
  <c r="T263" i="65"/>
  <c r="X263" i="65"/>
  <c r="S264" i="65"/>
  <c r="X173" i="65"/>
  <c r="Q146" i="65"/>
  <c r="Y174" i="65"/>
  <c r="Q174" i="65"/>
  <c r="T182" i="65"/>
  <c r="W194" i="65"/>
  <c r="V175" i="65"/>
  <c r="V199" i="65"/>
  <c r="V166" i="65"/>
  <c r="W230" i="65"/>
  <c r="T175" i="65"/>
  <c r="X191" i="65"/>
  <c r="V212" i="65"/>
  <c r="W252" i="65"/>
  <c r="V256" i="65"/>
  <c r="X165" i="65"/>
  <c r="Q177" i="65"/>
  <c r="P177" i="65"/>
  <c r="X205" i="65"/>
  <c r="W221" i="65"/>
  <c r="Y233" i="65"/>
  <c r="R185" i="65"/>
  <c r="T197" i="65"/>
  <c r="S197" i="65"/>
  <c r="Y261" i="65"/>
  <c r="Z265" i="65"/>
  <c r="P180" i="65"/>
  <c r="S188" i="65"/>
  <c r="P260" i="65"/>
  <c r="X209" i="65"/>
  <c r="R200" i="65"/>
  <c r="X206" i="65"/>
  <c r="P206" i="65"/>
  <c r="Z222" i="65"/>
  <c r="W242" i="65"/>
  <c r="Z254" i="65"/>
  <c r="X147" i="65"/>
  <c r="W179" i="65"/>
  <c r="Z183" i="65"/>
  <c r="R203" i="65"/>
  <c r="Z227" i="65"/>
  <c r="Y227" i="65"/>
  <c r="Y247" i="65"/>
  <c r="Z247" i="65"/>
  <c r="X259" i="65"/>
  <c r="X267" i="65"/>
  <c r="Y220" i="65"/>
  <c r="Z148" i="65"/>
  <c r="R204" i="65"/>
  <c r="R145" i="65"/>
  <c r="V165" i="65"/>
  <c r="T205" i="65"/>
  <c r="Y253" i="65"/>
  <c r="Q261" i="65"/>
  <c r="Z144" i="65"/>
  <c r="Y156" i="65"/>
  <c r="Q208" i="65"/>
  <c r="R208" i="65"/>
  <c r="X228" i="65"/>
  <c r="X237" i="65"/>
  <c r="S245" i="65"/>
  <c r="Q172" i="65"/>
  <c r="Q176" i="65"/>
  <c r="P224" i="65"/>
  <c r="W181" i="65"/>
  <c r="W150" i="65"/>
  <c r="Z154" i="65"/>
  <c r="P178" i="65"/>
  <c r="X186" i="65"/>
  <c r="S198" i="65"/>
  <c r="Y198" i="65"/>
  <c r="S206" i="65"/>
  <c r="W214" i="65"/>
  <c r="Z214" i="65"/>
  <c r="Z226" i="65"/>
  <c r="S226" i="65"/>
  <c r="X242" i="65"/>
  <c r="Y250" i="65"/>
  <c r="X254" i="65"/>
  <c r="W254" i="65"/>
  <c r="X258" i="65"/>
  <c r="Q262" i="65"/>
  <c r="V262" i="65"/>
  <c r="S266" i="65"/>
  <c r="X266" i="65"/>
  <c r="Z147" i="65"/>
  <c r="W147" i="65"/>
  <c r="V147" i="65"/>
  <c r="Q147" i="65"/>
  <c r="T151" i="65"/>
  <c r="X151" i="65"/>
  <c r="W151" i="65"/>
  <c r="Z155" i="65"/>
  <c r="V163" i="65"/>
  <c r="Y167" i="65"/>
  <c r="R171" i="65"/>
  <c r="V171" i="65"/>
  <c r="S171" i="65"/>
  <c r="Z179" i="65"/>
  <c r="X179" i="65"/>
  <c r="R179" i="65"/>
  <c r="X183" i="65"/>
  <c r="Y183" i="65"/>
  <c r="Q183" i="65"/>
  <c r="W183" i="65"/>
  <c r="Y187" i="65"/>
  <c r="R187" i="65"/>
  <c r="X187" i="65"/>
  <c r="Z187" i="65"/>
  <c r="Z203" i="65"/>
  <c r="V203" i="65"/>
  <c r="X203" i="65"/>
  <c r="X211" i="65"/>
  <c r="T227" i="65"/>
  <c r="Z235" i="65"/>
  <c r="X235" i="65"/>
  <c r="W239" i="65"/>
  <c r="V243" i="65"/>
  <c r="X243" i="65"/>
  <c r="T247" i="65"/>
  <c r="Z251" i="65"/>
  <c r="Z259" i="65"/>
  <c r="Y263" i="65"/>
  <c r="P263" i="65"/>
  <c r="V220" i="65"/>
  <c r="X240" i="65"/>
  <c r="W264" i="65"/>
  <c r="R264" i="65"/>
  <c r="P264" i="65"/>
  <c r="W161" i="65"/>
  <c r="V161" i="65"/>
  <c r="Z161" i="65"/>
  <c r="Y173" i="65"/>
  <c r="Q173" i="65"/>
  <c r="Y193" i="65"/>
  <c r="Z193" i="65"/>
  <c r="Y229" i="65"/>
  <c r="Z229" i="65"/>
  <c r="W249" i="65"/>
  <c r="X146" i="65"/>
  <c r="Y146" i="65"/>
  <c r="Z174" i="65"/>
  <c r="P182" i="65"/>
  <c r="Q182" i="65"/>
  <c r="Y194" i="65"/>
  <c r="Z202" i="65"/>
  <c r="V202" i="65"/>
  <c r="T246" i="65"/>
  <c r="Q175" i="65"/>
  <c r="Y195" i="65"/>
  <c r="X199" i="65"/>
  <c r="Z207" i="65"/>
  <c r="S223" i="65"/>
  <c r="Y168" i="65"/>
  <c r="Y236" i="65"/>
  <c r="Y153" i="65"/>
  <c r="X245" i="65"/>
  <c r="Y184" i="65"/>
  <c r="V169" i="65"/>
  <c r="P186" i="65"/>
  <c r="P198" i="65"/>
  <c r="Q206" i="65"/>
  <c r="Y222" i="65"/>
  <c r="X226" i="65"/>
  <c r="W250" i="65"/>
  <c r="Y262" i="65"/>
  <c r="W266" i="65"/>
  <c r="R147" i="65"/>
  <c r="X171" i="65"/>
  <c r="T171" i="65"/>
  <c r="AF171" i="65" s="1"/>
  <c r="AR171" i="65" s="1"/>
  <c r="T203" i="65"/>
  <c r="Y219" i="65"/>
  <c r="W231" i="65"/>
  <c r="V235" i="65"/>
  <c r="Y239" i="65"/>
  <c r="S263" i="65"/>
  <c r="Y240" i="65"/>
  <c r="P173" i="65"/>
  <c r="AB173" i="65" s="1"/>
  <c r="AN173" i="65" s="1"/>
  <c r="X166" i="65"/>
  <c r="S174" i="65"/>
  <c r="W182" i="65"/>
  <c r="X246" i="65"/>
  <c r="W175" i="65"/>
  <c r="X175" i="65"/>
  <c r="X215" i="65"/>
  <c r="P223" i="65"/>
  <c r="W223" i="65"/>
  <c r="Z175" i="65"/>
  <c r="Z195" i="65"/>
  <c r="V207" i="65"/>
  <c r="Y199" i="65"/>
  <c r="X213" i="65"/>
  <c r="W229" i="65"/>
  <c r="P174" i="65"/>
  <c r="V194" i="65"/>
  <c r="P202" i="65"/>
  <c r="V230" i="65"/>
  <c r="V191" i="65"/>
  <c r="P146" i="65"/>
  <c r="V229" i="65"/>
  <c r="X174" i="65"/>
  <c r="V182" i="65"/>
  <c r="X182" i="65"/>
  <c r="Z230" i="65"/>
  <c r="W238" i="65"/>
  <c r="S246" i="65"/>
  <c r="Y175" i="65"/>
  <c r="Z199" i="65"/>
  <c r="R207" i="65"/>
  <c r="Z223" i="65"/>
  <c r="S146" i="65"/>
  <c r="R182" i="65"/>
  <c r="S202" i="65"/>
  <c r="P207" i="65"/>
  <c r="Z169" i="65"/>
  <c r="X227" i="65"/>
  <c r="X162" i="65"/>
  <c r="X239" i="65"/>
  <c r="V159" i="65"/>
  <c r="W162" i="65"/>
  <c r="Y218" i="65"/>
  <c r="W255" i="65"/>
  <c r="V257" i="65"/>
  <c r="Z257" i="65"/>
  <c r="Z255" i="65"/>
  <c r="Y251" i="65"/>
  <c r="Z218" i="65"/>
  <c r="Y169" i="65"/>
  <c r="V219" i="65"/>
  <c r="V150" i="65"/>
  <c r="X230" i="65"/>
  <c r="X249" i="65"/>
  <c r="W240" i="65"/>
  <c r="X255" i="65"/>
  <c r="W191" i="65"/>
  <c r="X193" i="65"/>
  <c r="W267" i="65"/>
  <c r="X251" i="65"/>
  <c r="V167" i="65"/>
  <c r="Y155" i="65"/>
  <c r="Z258" i="65"/>
  <c r="Z242" i="65"/>
  <c r="Z234" i="65"/>
  <c r="V190" i="65"/>
  <c r="X248" i="65"/>
  <c r="W157" i="65"/>
  <c r="X154" i="65"/>
  <c r="Y237" i="65"/>
  <c r="V236" i="65"/>
  <c r="W188" i="65"/>
  <c r="V233" i="65"/>
  <c r="Z157" i="65"/>
  <c r="Z256" i="65"/>
  <c r="Z236" i="65"/>
  <c r="Y221" i="65"/>
  <c r="W256" i="65"/>
  <c r="Y248" i="65"/>
  <c r="W257" i="65"/>
  <c r="Y164" i="65"/>
  <c r="W217" i="65"/>
  <c r="V241" i="65"/>
  <c r="X194" i="65"/>
  <c r="Z240" i="65"/>
  <c r="Y159" i="65"/>
  <c r="V213" i="65"/>
  <c r="W152" i="65"/>
  <c r="V226" i="65"/>
  <c r="X252" i="65"/>
  <c r="V164" i="65"/>
  <c r="X189" i="65"/>
  <c r="V215" i="65"/>
  <c r="X219" i="65"/>
  <c r="Y170" i="65"/>
  <c r="Y190" i="65"/>
  <c r="X216" i="65"/>
  <c r="Y215" i="65"/>
  <c r="Y161" i="65"/>
  <c r="V249" i="65"/>
  <c r="Z219" i="65"/>
  <c r="W155" i="65"/>
  <c r="W253" i="65"/>
  <c r="V246" i="65"/>
  <c r="X247" i="65"/>
  <c r="Y191" i="65"/>
  <c r="V162" i="65"/>
  <c r="X159" i="65"/>
  <c r="Y213" i="65"/>
  <c r="Y255" i="65"/>
  <c r="Z252" i="65"/>
  <c r="X192" i="65"/>
  <c r="W164" i="65"/>
  <c r="V189" i="65"/>
  <c r="X257" i="65"/>
  <c r="Z232" i="65"/>
  <c r="X161" i="65"/>
  <c r="Z170" i="65"/>
  <c r="W169" i="65"/>
  <c r="W216" i="65"/>
  <c r="Y166" i="65"/>
  <c r="V258" i="65"/>
  <c r="Z248" i="65"/>
  <c r="Y216" i="65"/>
  <c r="Z237" i="65"/>
  <c r="Z241" i="65"/>
  <c r="Z209" i="65"/>
  <c r="W236" i="65"/>
  <c r="X152" i="65"/>
  <c r="W167" i="65"/>
  <c r="X153" i="65"/>
  <c r="Z267" i="65"/>
  <c r="Y162" i="65"/>
  <c r="W159" i="65"/>
  <c r="V259" i="65"/>
  <c r="W219" i="65"/>
  <c r="X190" i="65"/>
  <c r="V252" i="65"/>
  <c r="Y189" i="65"/>
  <c r="Z249" i="65"/>
  <c r="W218" i="65"/>
  <c r="X170" i="65"/>
  <c r="V240" i="65"/>
  <c r="Z211" i="65"/>
  <c r="Z167" i="65"/>
  <c r="X236" i="65"/>
  <c r="Y157" i="65"/>
  <c r="Z210" i="65"/>
  <c r="AF210" i="65" s="1"/>
  <c r="Z159" i="65"/>
  <c r="W213" i="65"/>
  <c r="V216" i="65"/>
  <c r="V267" i="65"/>
  <c r="V247" i="65"/>
  <c r="Z190" i="65"/>
  <c r="Y252" i="65"/>
  <c r="Z164" i="65"/>
  <c r="W189" i="65"/>
  <c r="X220" i="65"/>
  <c r="V218" i="65"/>
  <c r="W210" i="65"/>
  <c r="V170" i="65"/>
  <c r="X169" i="65"/>
  <c r="Z216" i="65"/>
  <c r="X253" i="65"/>
  <c r="Z215" i="65"/>
  <c r="W215" i="65"/>
  <c r="Y230" i="65"/>
  <c r="Z166" i="65"/>
  <c r="V193" i="65"/>
  <c r="W220" i="65"/>
  <c r="W247" i="65"/>
  <c r="W211" i="65"/>
  <c r="Y258" i="65"/>
  <c r="X210" i="65"/>
  <c r="W248" i="65"/>
  <c r="Y241" i="65"/>
  <c r="V253" i="65"/>
  <c r="W209" i="65"/>
  <c r="V251" i="65"/>
  <c r="Z162" i="65"/>
  <c r="Z213" i="65"/>
  <c r="V255" i="65"/>
  <c r="X217" i="65"/>
  <c r="X164" i="65"/>
  <c r="Y257" i="65"/>
  <c r="W251" i="65"/>
  <c r="V210" i="65"/>
  <c r="W190" i="65"/>
  <c r="Y249" i="65"/>
  <c r="W193" i="65"/>
  <c r="V239" i="65"/>
  <c r="V151" i="65"/>
  <c r="Y210" i="65"/>
  <c r="V157" i="65"/>
  <c r="V153" i="65"/>
  <c r="X256" i="65"/>
  <c r="N272" i="50"/>
  <c r="Q272" i="50" s="1"/>
  <c r="S272" i="50" s="1"/>
  <c r="N273" i="50"/>
  <c r="Q273" i="50" s="1"/>
  <c r="S273" i="50" s="1"/>
  <c r="N268" i="50"/>
  <c r="Q268" i="50" s="1"/>
  <c r="S268" i="50" s="1"/>
  <c r="N270" i="50"/>
  <c r="Q270" i="50" s="1"/>
  <c r="S270" i="50" s="1"/>
  <c r="N269" i="50"/>
  <c r="Q269" i="50" s="1"/>
  <c r="S269" i="50" s="1"/>
  <c r="N257" i="50"/>
  <c r="Q257" i="50" s="1"/>
  <c r="S257" i="50" s="1"/>
  <c r="N265" i="50"/>
  <c r="Q265" i="50" s="1"/>
  <c r="S265" i="50" s="1"/>
  <c r="N258" i="50"/>
  <c r="Q258" i="50" s="1"/>
  <c r="S258" i="50" s="1"/>
  <c r="N251" i="50"/>
  <c r="Q251" i="50" s="1"/>
  <c r="S251" i="50" s="1"/>
  <c r="N262" i="50"/>
  <c r="Q262" i="50" s="1"/>
  <c r="S262" i="50" s="1"/>
  <c r="N267" i="50"/>
  <c r="Q267" i="50" s="1"/>
  <c r="S267" i="50" s="1"/>
  <c r="N261" i="50"/>
  <c r="Q261" i="50" s="1"/>
  <c r="S261" i="50" s="1"/>
  <c r="N263" i="50"/>
  <c r="Q263" i="50" s="1"/>
  <c r="S263" i="50" s="1"/>
  <c r="N255" i="50"/>
  <c r="Q255" i="50" s="1"/>
  <c r="S255" i="50" s="1"/>
  <c r="N254" i="50"/>
  <c r="Q254" i="50" s="1"/>
  <c r="S254" i="50" s="1"/>
  <c r="N252" i="50"/>
  <c r="Q252" i="50" s="1"/>
  <c r="S252" i="50" s="1"/>
  <c r="N256" i="50"/>
  <c r="Q256" i="50" s="1"/>
  <c r="S256" i="50" s="1"/>
  <c r="N264" i="50"/>
  <c r="Q264" i="50" s="1"/>
  <c r="S264" i="50" s="1"/>
  <c r="N259" i="50"/>
  <c r="Q259" i="50" s="1"/>
  <c r="S259" i="50" s="1"/>
  <c r="N260" i="50"/>
  <c r="Q260" i="50" s="1"/>
  <c r="S260" i="50" s="1"/>
  <c r="N253" i="50"/>
  <c r="Q253" i="50" s="1"/>
  <c r="S253" i="50" s="1"/>
  <c r="N266" i="50"/>
  <c r="Q266" i="50" s="1"/>
  <c r="S266" i="50" s="1"/>
  <c r="O43" i="66"/>
  <c r="K43" i="37"/>
  <c r="M53" i="66"/>
  <c r="I50" i="37"/>
  <c r="P56" i="66"/>
  <c r="L53" i="37"/>
  <c r="Q57" i="66"/>
  <c r="M54" i="37"/>
  <c r="N42" i="66"/>
  <c r="J42" i="37"/>
  <c r="L52" i="66"/>
  <c r="H49" i="37"/>
  <c r="Q45" i="66"/>
  <c r="M45" i="37"/>
  <c r="N41" i="66"/>
  <c r="J41" i="37"/>
  <c r="P44" i="66"/>
  <c r="P115" i="66" s="1"/>
  <c r="L44" i="37"/>
  <c r="N54" i="66"/>
  <c r="J51" i="37"/>
  <c r="M187" i="50"/>
  <c r="P187" i="50" s="1"/>
  <c r="M194" i="50"/>
  <c r="P194" i="50" s="1"/>
  <c r="J50" i="66"/>
  <c r="J28" i="25"/>
  <c r="N195" i="50"/>
  <c r="Q195" i="50" s="1"/>
  <c r="S195" i="50" s="1"/>
  <c r="N188" i="50"/>
  <c r="Q188" i="50" s="1"/>
  <c r="S188" i="50" s="1"/>
  <c r="L50" i="42"/>
  <c r="O55" i="66"/>
  <c r="M54" i="24"/>
  <c r="N54" i="24" s="1"/>
  <c r="L51" i="66"/>
  <c r="P74" i="65"/>
  <c r="Q74" i="65"/>
  <c r="R115" i="65"/>
  <c r="R116" i="65"/>
  <c r="P59" i="65"/>
  <c r="T83" i="65"/>
  <c r="P118" i="65"/>
  <c r="S78" i="65"/>
  <c r="P78" i="65"/>
  <c r="Q80" i="65"/>
  <c r="P63" i="65"/>
  <c r="R72" i="65"/>
  <c r="S80" i="65"/>
  <c r="P131" i="65"/>
  <c r="Q131" i="65"/>
  <c r="R63" i="65"/>
  <c r="Q78" i="65"/>
  <c r="S117" i="65"/>
  <c r="Q65" i="65"/>
  <c r="Q68" i="65"/>
  <c r="T66" i="65"/>
  <c r="S76" i="65"/>
  <c r="T118" i="65"/>
  <c r="P133" i="65"/>
  <c r="S141" i="65"/>
  <c r="S127" i="65"/>
  <c r="Q76" i="65"/>
  <c r="T82" i="65"/>
  <c r="S68" i="65"/>
  <c r="Q115" i="65"/>
  <c r="P111" i="65"/>
  <c r="P115" i="65"/>
  <c r="R118" i="65"/>
  <c r="P76" i="65"/>
  <c r="P109" i="65"/>
  <c r="Q61" i="65"/>
  <c r="R66" i="65"/>
  <c r="Q63" i="65"/>
  <c r="R76" i="65"/>
  <c r="P83" i="65"/>
  <c r="Q67" i="65"/>
  <c r="Q82" i="65"/>
  <c r="R67" i="65"/>
  <c r="R71" i="65"/>
  <c r="T74" i="65"/>
  <c r="T63" i="65"/>
  <c r="P71" i="65"/>
  <c r="T71" i="65"/>
  <c r="S63" i="65"/>
  <c r="Q71" i="65"/>
  <c r="P67" i="65"/>
  <c r="S79" i="65"/>
  <c r="R141" i="65"/>
  <c r="T81" i="65"/>
  <c r="S72" i="65"/>
  <c r="S112" i="65"/>
  <c r="T111" i="65"/>
  <c r="T119" i="65"/>
  <c r="S125" i="65"/>
  <c r="Q141" i="65"/>
  <c r="R82" i="65"/>
  <c r="R68" i="65"/>
  <c r="Q85" i="65"/>
  <c r="S119" i="65"/>
  <c r="R133" i="65"/>
  <c r="T68" i="65"/>
  <c r="Q81" i="65"/>
  <c r="P85" i="65"/>
  <c r="Q118" i="65"/>
  <c r="R113" i="65"/>
  <c r="R117" i="65"/>
  <c r="S66" i="65"/>
  <c r="Q111" i="65"/>
  <c r="T79" i="65"/>
  <c r="R78" i="65"/>
  <c r="S111" i="65"/>
  <c r="P65" i="65"/>
  <c r="R119" i="65"/>
  <c r="R85" i="65"/>
  <c r="T72" i="65"/>
  <c r="P125" i="65"/>
  <c r="T80" i="65"/>
  <c r="R70" i="65"/>
  <c r="P80" i="65"/>
  <c r="T77" i="65"/>
  <c r="S77" i="65"/>
  <c r="Q79" i="65"/>
  <c r="T125" i="65"/>
  <c r="T127" i="65"/>
  <c r="Q77" i="65"/>
  <c r="R77" i="65"/>
  <c r="Q72" i="65"/>
  <c r="S71" i="65"/>
  <c r="T115" i="65"/>
  <c r="Q125" i="65"/>
  <c r="P68" i="65"/>
  <c r="P113" i="65"/>
  <c r="Q119" i="65"/>
  <c r="S113" i="65"/>
  <c r="S82" i="65"/>
  <c r="R110" i="65"/>
  <c r="T112" i="65"/>
  <c r="T117" i="65"/>
  <c r="Q110" i="65"/>
  <c r="P61" i="65"/>
  <c r="T70" i="65"/>
  <c r="P70" i="65"/>
  <c r="S83" i="65"/>
  <c r="P116" i="65"/>
  <c r="R112" i="65"/>
  <c r="Q66" i="65"/>
  <c r="T78" i="65"/>
  <c r="Q117" i="65"/>
  <c r="T65" i="65"/>
  <c r="P72" i="65"/>
  <c r="Q116" i="65"/>
  <c r="Q133" i="65"/>
  <c r="P127" i="65"/>
  <c r="P117" i="65"/>
  <c r="P119" i="65"/>
  <c r="Q113" i="65"/>
  <c r="S81" i="65"/>
  <c r="S118" i="65"/>
  <c r="S110" i="65"/>
  <c r="T113" i="65"/>
  <c r="P112" i="65"/>
  <c r="S74" i="65"/>
  <c r="R74" i="65"/>
  <c r="T131" i="65"/>
  <c r="Q84" i="65"/>
  <c r="S70" i="65"/>
  <c r="R65" i="65"/>
  <c r="P84" i="65"/>
  <c r="R79" i="65"/>
  <c r="S65" i="65"/>
  <c r="P79" i="65"/>
  <c r="P110" i="65"/>
  <c r="S67" i="65"/>
  <c r="T76" i="65"/>
  <c r="P81" i="65"/>
  <c r="T85" i="65"/>
  <c r="S116" i="65"/>
  <c r="S133" i="65"/>
  <c r="Q127" i="65"/>
  <c r="R114" i="65"/>
  <c r="R131" i="65"/>
  <c r="P77" i="65"/>
  <c r="R81" i="65"/>
  <c r="Q114" i="65"/>
  <c r="R111" i="65"/>
  <c r="R80" i="65"/>
  <c r="P114" i="65"/>
  <c r="R127" i="65"/>
  <c r="T133" i="65"/>
  <c r="T84" i="65"/>
  <c r="S84" i="65"/>
  <c r="Q83" i="65"/>
  <c r="R83" i="65"/>
  <c r="S131" i="65"/>
  <c r="P141" i="65"/>
  <c r="S115" i="65"/>
  <c r="P66" i="65"/>
  <c r="S85" i="65"/>
  <c r="R125" i="65"/>
  <c r="Q108" i="65"/>
  <c r="Q112" i="65"/>
  <c r="T114" i="65"/>
  <c r="R84" i="65"/>
  <c r="S114" i="65"/>
  <c r="R61" i="65"/>
  <c r="T67" i="65"/>
  <c r="P82" i="65"/>
  <c r="T116" i="65"/>
  <c r="P107" i="65"/>
  <c r="Q130" i="65"/>
  <c r="Q70" i="65"/>
  <c r="P108" i="65"/>
  <c r="Q142" i="65"/>
  <c r="T142" i="65"/>
  <c r="R142" i="65"/>
  <c r="R132" i="65"/>
  <c r="Q64" i="65"/>
  <c r="Q75" i="65"/>
  <c r="R69" i="65"/>
  <c r="P69" i="65"/>
  <c r="S64" i="65"/>
  <c r="T128" i="65"/>
  <c r="T124" i="65"/>
  <c r="Q69" i="65"/>
  <c r="R130" i="65"/>
  <c r="R128" i="65"/>
  <c r="T69" i="65"/>
  <c r="R109" i="65"/>
  <c r="S142" i="65"/>
  <c r="R62" i="65"/>
  <c r="P75" i="65"/>
  <c r="S62" i="65"/>
  <c r="Q128" i="65"/>
  <c r="P64" i="65"/>
  <c r="T132" i="65"/>
  <c r="Q73" i="65"/>
  <c r="S128" i="65"/>
  <c r="R124" i="65"/>
  <c r="P60" i="65"/>
  <c r="T73" i="65"/>
  <c r="Q124" i="65"/>
  <c r="Q109" i="65"/>
  <c r="S132" i="65"/>
  <c r="Q62" i="65"/>
  <c r="R73" i="65"/>
  <c r="Q60" i="65"/>
  <c r="P124" i="65"/>
  <c r="P62" i="65"/>
  <c r="T75" i="65"/>
  <c r="T64" i="65"/>
  <c r="T130" i="65"/>
  <c r="P73" i="65"/>
  <c r="S75" i="65"/>
  <c r="S69" i="65"/>
  <c r="P142" i="65"/>
  <c r="P128" i="65"/>
  <c r="P132" i="65"/>
  <c r="S73" i="65"/>
  <c r="R64" i="65"/>
  <c r="P130" i="65"/>
  <c r="Q132" i="65"/>
  <c r="S124" i="65"/>
  <c r="S130" i="65"/>
  <c r="R75" i="65"/>
  <c r="P98" i="65"/>
  <c r="Z89" i="65"/>
  <c r="Q121" i="65"/>
  <c r="S122" i="65"/>
  <c r="T95" i="65"/>
  <c r="X95" i="65"/>
  <c r="V137" i="65"/>
  <c r="S129" i="65"/>
  <c r="P129" i="65"/>
  <c r="Q129" i="65"/>
  <c r="X135" i="65"/>
  <c r="T135" i="65"/>
  <c r="V135" i="65"/>
  <c r="Y122" i="65"/>
  <c r="T120" i="65"/>
  <c r="W120" i="65"/>
  <c r="Q123" i="65"/>
  <c r="P121" i="65"/>
  <c r="R100" i="65"/>
  <c r="W91" i="65"/>
  <c r="X91" i="65"/>
  <c r="V91" i="65"/>
  <c r="W123" i="65"/>
  <c r="Z98" i="65"/>
  <c r="W93" i="65"/>
  <c r="X93" i="65"/>
  <c r="V93" i="65"/>
  <c r="P96" i="65"/>
  <c r="S96" i="65"/>
  <c r="W96" i="65"/>
  <c r="R87" i="65"/>
  <c r="S87" i="65"/>
  <c r="T87" i="65"/>
  <c r="Y89" i="65"/>
  <c r="Y61" i="65"/>
  <c r="S55" i="65"/>
  <c r="P55" i="65"/>
  <c r="Q55" i="65"/>
  <c r="Q95" i="65"/>
  <c r="W98" i="65"/>
  <c r="W135" i="65"/>
  <c r="T98" i="65"/>
  <c r="S123" i="65"/>
  <c r="Z100" i="65"/>
  <c r="Y98" i="65"/>
  <c r="R55" i="65"/>
  <c r="X137" i="65"/>
  <c r="Y137" i="65"/>
  <c r="T129" i="65"/>
  <c r="Z129" i="65"/>
  <c r="X143" i="65"/>
  <c r="P135" i="65"/>
  <c r="Z135" i="65"/>
  <c r="Z141" i="65"/>
  <c r="R135" i="65"/>
  <c r="R122" i="65"/>
  <c r="Z121" i="65"/>
  <c r="R120" i="65"/>
  <c r="Y100" i="65"/>
  <c r="T91" i="65"/>
  <c r="W103" i="65"/>
  <c r="R123" i="65"/>
  <c r="V106" i="65"/>
  <c r="S98" i="65"/>
  <c r="Q98" i="65"/>
  <c r="R93" i="65"/>
  <c r="Y93" i="65"/>
  <c r="T96" i="65"/>
  <c r="X87" i="65"/>
  <c r="P87" i="65"/>
  <c r="Y106" i="65"/>
  <c r="P89" i="65"/>
  <c r="Y95" i="65"/>
  <c r="X57" i="65"/>
  <c r="T57" i="65"/>
  <c r="V57" i="65"/>
  <c r="T61" i="65"/>
  <c r="P95" i="65"/>
  <c r="V95" i="65"/>
  <c r="X129" i="65"/>
  <c r="Y129" i="65"/>
  <c r="P143" i="65"/>
  <c r="S135" i="65"/>
  <c r="Y135" i="65"/>
  <c r="R143" i="65"/>
  <c r="T141" i="65"/>
  <c r="P122" i="65"/>
  <c r="W122" i="65"/>
  <c r="P120" i="65"/>
  <c r="X96" i="65"/>
  <c r="Z123" i="65"/>
  <c r="T121" i="65"/>
  <c r="Z120" i="65"/>
  <c r="X123" i="65"/>
  <c r="X120" i="65"/>
  <c r="Q100" i="65"/>
  <c r="S91" i="65"/>
  <c r="P91" i="65"/>
  <c r="Q91" i="65"/>
  <c r="P123" i="65"/>
  <c r="V123" i="65"/>
  <c r="Z110" i="65"/>
  <c r="T137" i="65"/>
  <c r="V129" i="65"/>
  <c r="Q143" i="65"/>
  <c r="W137" i="65"/>
  <c r="R121" i="65"/>
  <c r="S100" i="65"/>
  <c r="P100" i="65"/>
  <c r="Y123" i="65"/>
  <c r="Q122" i="65"/>
  <c r="Z91" i="65"/>
  <c r="X98" i="65"/>
  <c r="S93" i="65"/>
  <c r="P93" i="65"/>
  <c r="Y96" i="65"/>
  <c r="Q96" i="65"/>
  <c r="W87" i="65"/>
  <c r="Q87" i="65"/>
  <c r="W95" i="65"/>
  <c r="W74" i="65"/>
  <c r="Q57" i="65"/>
  <c r="V55" i="65"/>
  <c r="Z95" i="65"/>
  <c r="V96" i="65"/>
  <c r="Z87" i="65"/>
  <c r="Q93" i="65"/>
  <c r="S120" i="65"/>
  <c r="Z104" i="65"/>
  <c r="W106" i="65"/>
  <c r="T106" i="65"/>
  <c r="R96" i="65"/>
  <c r="V143" i="65"/>
  <c r="Q135" i="65"/>
  <c r="T122" i="65"/>
  <c r="Y120" i="65"/>
  <c r="Z107" i="65"/>
  <c r="W121" i="65"/>
  <c r="X121" i="65"/>
  <c r="X100" i="65"/>
  <c r="V100" i="65"/>
  <c r="X103" i="65"/>
  <c r="V121" i="65"/>
  <c r="V119" i="65"/>
  <c r="X99" i="65"/>
  <c r="V87" i="65"/>
  <c r="R106" i="65"/>
  <c r="R98" i="65"/>
  <c r="R89" i="65"/>
  <c r="S89" i="65"/>
  <c r="T89" i="65"/>
  <c r="S95" i="65"/>
  <c r="P57" i="65"/>
  <c r="Z57" i="65"/>
  <c r="W57" i="65"/>
  <c r="T55" i="65"/>
  <c r="Z55" i="65"/>
  <c r="Z93" i="65"/>
  <c r="Q89" i="65"/>
  <c r="S121" i="65"/>
  <c r="Z61" i="65"/>
  <c r="R129" i="65"/>
  <c r="Z137" i="65"/>
  <c r="S143" i="65"/>
  <c r="W129" i="65"/>
  <c r="X107" i="65"/>
  <c r="Q120" i="65"/>
  <c r="X122" i="65"/>
  <c r="R91" i="65"/>
  <c r="Q103" i="65"/>
  <c r="T103" i="65"/>
  <c r="T110" i="65"/>
  <c r="V99" i="65"/>
  <c r="X106" i="65"/>
  <c r="Z97" i="65"/>
  <c r="Z96" i="65"/>
  <c r="Y87" i="65"/>
  <c r="Y102" i="65"/>
  <c r="W89" i="65"/>
  <c r="X89" i="65"/>
  <c r="V89" i="65"/>
  <c r="V74" i="65"/>
  <c r="S57" i="65"/>
  <c r="Y57" i="65"/>
  <c r="S61" i="65"/>
  <c r="X55" i="65"/>
  <c r="Y55" i="65"/>
  <c r="T100" i="65"/>
  <c r="T143" i="65"/>
  <c r="Y121" i="65"/>
  <c r="W100" i="65"/>
  <c r="Y91" i="65"/>
  <c r="V103" i="65"/>
  <c r="P103" i="65"/>
  <c r="T123" i="65"/>
  <c r="Z122" i="65"/>
  <c r="V122" i="65"/>
  <c r="V120" i="65"/>
  <c r="Z99" i="65"/>
  <c r="V98" i="65"/>
  <c r="T93" i="65"/>
  <c r="X97" i="65"/>
  <c r="R95" i="65"/>
  <c r="R57" i="65"/>
  <c r="X76" i="65"/>
  <c r="Y141" i="65"/>
  <c r="X102" i="65"/>
  <c r="Z108" i="65"/>
  <c r="W77" i="65"/>
  <c r="S99" i="65"/>
  <c r="W78" i="65"/>
  <c r="Z139" i="65"/>
  <c r="R103" i="65"/>
  <c r="Z106" i="65"/>
  <c r="Q106" i="65"/>
  <c r="W55" i="65"/>
  <c r="Q53" i="65"/>
  <c r="W104" i="65"/>
  <c r="Q97" i="65"/>
  <c r="P104" i="65"/>
  <c r="R102" i="65"/>
  <c r="R108" i="65"/>
  <c r="V114" i="65"/>
  <c r="V116" i="65"/>
  <c r="X139" i="65"/>
  <c r="Z53" i="65"/>
  <c r="Q104" i="65"/>
  <c r="T53" i="65"/>
  <c r="P139" i="65"/>
  <c r="X141" i="65"/>
  <c r="X80" i="65"/>
  <c r="Y59" i="65"/>
  <c r="S59" i="65"/>
  <c r="Y84" i="65"/>
  <c r="W83" i="65"/>
  <c r="X84" i="65"/>
  <c r="Y114" i="65"/>
  <c r="R97" i="65"/>
  <c r="W79" i="65"/>
  <c r="V111" i="65"/>
  <c r="R53" i="65"/>
  <c r="W115" i="65"/>
  <c r="V79" i="65"/>
  <c r="V59" i="65"/>
  <c r="V83" i="65"/>
  <c r="Z79" i="65"/>
  <c r="X116" i="65"/>
  <c r="X125" i="65"/>
  <c r="Y131" i="65"/>
  <c r="Y58" i="65"/>
  <c r="V140" i="65"/>
  <c r="W140" i="65"/>
  <c r="X140" i="65"/>
  <c r="T140" i="65"/>
  <c r="Z62" i="65"/>
  <c r="Z72" i="65"/>
  <c r="W66" i="65"/>
  <c r="Y86" i="65"/>
  <c r="Z86" i="65"/>
  <c r="W86" i="65"/>
  <c r="Y94" i="65"/>
  <c r="Z94" i="65"/>
  <c r="Z77" i="65"/>
  <c r="W110" i="65"/>
  <c r="X113" i="65"/>
  <c r="X117" i="65"/>
  <c r="T126" i="65"/>
  <c r="T134" i="65"/>
  <c r="T88" i="65"/>
  <c r="V88" i="65"/>
  <c r="W114" i="65"/>
  <c r="Y125" i="65"/>
  <c r="S101" i="65"/>
  <c r="T101" i="65"/>
  <c r="Q54" i="65"/>
  <c r="R54" i="65"/>
  <c r="S54" i="65"/>
  <c r="T54" i="65"/>
  <c r="T92" i="65"/>
  <c r="V92" i="65"/>
  <c r="T90" i="65"/>
  <c r="V90" i="65"/>
  <c r="V113" i="65"/>
  <c r="Q105" i="65"/>
  <c r="R105" i="65"/>
  <c r="Y105" i="65"/>
  <c r="Z119" i="65"/>
  <c r="V136" i="65"/>
  <c r="W136" i="65"/>
  <c r="X136" i="65"/>
  <c r="Z113" i="65"/>
  <c r="V82" i="65"/>
  <c r="Z56" i="65"/>
  <c r="T56" i="65"/>
  <c r="R60" i="65"/>
  <c r="X60" i="65"/>
  <c r="S60" i="65"/>
  <c r="V67" i="65"/>
  <c r="X72" i="65"/>
  <c r="Z127" i="65"/>
  <c r="P102" i="65"/>
  <c r="W133" i="65"/>
  <c r="Q107" i="65"/>
  <c r="Z78" i="65"/>
  <c r="Z103" i="65"/>
  <c r="Y81" i="65"/>
  <c r="Y143" i="65"/>
  <c r="X53" i="65"/>
  <c r="P106" i="65"/>
  <c r="S53" i="65"/>
  <c r="S97" i="65"/>
  <c r="Y78" i="65"/>
  <c r="S102" i="65"/>
  <c r="P53" i="65"/>
  <c r="Y74" i="65"/>
  <c r="S108" i="65"/>
  <c r="Q137" i="65"/>
  <c r="Y104" i="65"/>
  <c r="X127" i="65"/>
  <c r="V115" i="65"/>
  <c r="V80" i="65"/>
  <c r="X85" i="65"/>
  <c r="Z84" i="65"/>
  <c r="W85" i="65"/>
  <c r="V84" i="65"/>
  <c r="Z131" i="65"/>
  <c r="P99" i="65"/>
  <c r="Y99" i="65"/>
  <c r="Y115" i="65"/>
  <c r="R139" i="65"/>
  <c r="Z125" i="65"/>
  <c r="X65" i="65"/>
  <c r="X71" i="65"/>
  <c r="W119" i="65"/>
  <c r="X131" i="65"/>
  <c r="W59" i="65"/>
  <c r="Q58" i="65"/>
  <c r="R58" i="65"/>
  <c r="S58" i="65"/>
  <c r="P58" i="65"/>
  <c r="Q140" i="65"/>
  <c r="Z65" i="65"/>
  <c r="T62" i="65"/>
  <c r="Y67" i="65"/>
  <c r="X68" i="65"/>
  <c r="Y71" i="65"/>
  <c r="Z82" i="65"/>
  <c r="S86" i="65"/>
  <c r="T94" i="65"/>
  <c r="S94" i="65"/>
  <c r="R94" i="65"/>
  <c r="Z116" i="65"/>
  <c r="Z126" i="65"/>
  <c r="W126" i="65"/>
  <c r="X126" i="65"/>
  <c r="Y126" i="65"/>
  <c r="S88" i="65"/>
  <c r="X88" i="65"/>
  <c r="V101" i="65"/>
  <c r="X101" i="65"/>
  <c r="V54" i="65"/>
  <c r="Q92" i="65"/>
  <c r="S90" i="65"/>
  <c r="X90" i="65"/>
  <c r="V105" i="65"/>
  <c r="T105" i="65"/>
  <c r="S136" i="65"/>
  <c r="Y110" i="65"/>
  <c r="Y113" i="65"/>
  <c r="W117" i="65"/>
  <c r="W76" i="65"/>
  <c r="V81" i="65"/>
  <c r="Y60" i="65"/>
  <c r="X67" i="65"/>
  <c r="W84" i="65"/>
  <c r="Z114" i="65"/>
  <c r="Q138" i="65"/>
  <c r="R138" i="65"/>
  <c r="S138" i="65"/>
  <c r="T138" i="65"/>
  <c r="V110" i="65"/>
  <c r="Z111" i="65"/>
  <c r="Y133" i="65"/>
  <c r="W102" i="65"/>
  <c r="T108" i="65"/>
  <c r="T107" i="65"/>
  <c r="W143" i="65"/>
  <c r="S106" i="65"/>
  <c r="Z143" i="65"/>
  <c r="Y82" i="65"/>
  <c r="X104" i="65"/>
  <c r="V97" i="65"/>
  <c r="T97" i="65"/>
  <c r="Y97" i="65"/>
  <c r="Q102" i="65"/>
  <c r="P137" i="65"/>
  <c r="X108" i="65"/>
  <c r="Q99" i="65"/>
  <c r="W113" i="65"/>
  <c r="Z74" i="65"/>
  <c r="V78" i="65"/>
  <c r="V102" i="65"/>
  <c r="W53" i="65"/>
  <c r="W107" i="65"/>
  <c r="V141" i="65"/>
  <c r="R104" i="65"/>
  <c r="Q139" i="65"/>
  <c r="V104" i="65"/>
  <c r="X59" i="65"/>
  <c r="X133" i="65"/>
  <c r="T59" i="65"/>
  <c r="X63" i="65"/>
  <c r="Y85" i="65"/>
  <c r="X118" i="65"/>
  <c r="V118" i="65"/>
  <c r="V133" i="65"/>
  <c r="W125" i="65"/>
  <c r="Q59" i="65"/>
  <c r="V58" i="65"/>
  <c r="S140" i="65"/>
  <c r="P140" i="65"/>
  <c r="Y65" i="65"/>
  <c r="T86" i="65"/>
  <c r="W94" i="65"/>
  <c r="Z112" i="65"/>
  <c r="V126" i="65"/>
  <c r="P126" i="65"/>
  <c r="Z134" i="65"/>
  <c r="Y88" i="65"/>
  <c r="Q101" i="65"/>
  <c r="X54" i="65"/>
  <c r="Z92" i="65"/>
  <c r="W92" i="65"/>
  <c r="P90" i="65"/>
  <c r="Z90" i="65"/>
  <c r="V117" i="65"/>
  <c r="P105" i="65"/>
  <c r="T136" i="65"/>
  <c r="Y111" i="65"/>
  <c r="Y117" i="65"/>
  <c r="W141" i="65"/>
  <c r="Z109" i="65"/>
  <c r="T109" i="65"/>
  <c r="W61" i="65"/>
  <c r="X81" i="65"/>
  <c r="W63" i="65"/>
  <c r="V68" i="65"/>
  <c r="V66" i="65"/>
  <c r="X115" i="65"/>
  <c r="W138" i="65"/>
  <c r="Y127" i="65"/>
  <c r="Y63" i="65"/>
  <c r="T102" i="65"/>
  <c r="S107" i="65"/>
  <c r="Y103" i="65"/>
  <c r="Z68" i="65"/>
  <c r="Y139" i="65"/>
  <c r="S104" i="65"/>
  <c r="AE104" i="65" s="1"/>
  <c r="AQ104" i="65" s="1"/>
  <c r="V139" i="65"/>
  <c r="S139" i="65"/>
  <c r="T104" i="65"/>
  <c r="Z80" i="65"/>
  <c r="Y70" i="65"/>
  <c r="R59" i="65"/>
  <c r="W80" i="65"/>
  <c r="X114" i="65"/>
  <c r="V112" i="65"/>
  <c r="X79" i="65"/>
  <c r="W111" i="65"/>
  <c r="Z58" i="65"/>
  <c r="R140" i="65"/>
  <c r="V71" i="65"/>
  <c r="Z81" i="65"/>
  <c r="Q94" i="65"/>
  <c r="R88" i="65"/>
  <c r="W118" i="65"/>
  <c r="Y66" i="65"/>
  <c r="Z101" i="65"/>
  <c r="Y101" i="65"/>
  <c r="P101" i="65"/>
  <c r="W54" i="65"/>
  <c r="P54" i="65"/>
  <c r="P92" i="65"/>
  <c r="R92" i="65"/>
  <c r="Y90" i="65"/>
  <c r="X105" i="65"/>
  <c r="R136" i="65"/>
  <c r="Y136" i="65"/>
  <c r="Y112" i="65"/>
  <c r="Y109" i="65"/>
  <c r="Z76" i="65"/>
  <c r="X82" i="65"/>
  <c r="R56" i="65"/>
  <c r="S56" i="65"/>
  <c r="P56" i="65"/>
  <c r="Z63" i="65"/>
  <c r="T60" i="65"/>
  <c r="Y72" i="65"/>
  <c r="V138" i="65"/>
  <c r="V63" i="65"/>
  <c r="Y107" i="65"/>
  <c r="V70" i="65"/>
  <c r="W131" i="65"/>
  <c r="R107" i="65"/>
  <c r="T139" i="65"/>
  <c r="Y53" i="65"/>
  <c r="V53" i="65"/>
  <c r="W68" i="65"/>
  <c r="Y77" i="65"/>
  <c r="Z83" i="65"/>
  <c r="X83" i="65"/>
  <c r="V85" i="65"/>
  <c r="P97" i="65"/>
  <c r="T99" i="65"/>
  <c r="X112" i="65"/>
  <c r="W139" i="65"/>
  <c r="Y119" i="65"/>
  <c r="V77" i="65"/>
  <c r="W127" i="65"/>
  <c r="Z59" i="65"/>
  <c r="X58" i="65"/>
  <c r="T58" i="65"/>
  <c r="Z117" i="65"/>
  <c r="V65" i="65"/>
  <c r="V72" i="65"/>
  <c r="Q86" i="65"/>
  <c r="R86" i="65"/>
  <c r="V94" i="65"/>
  <c r="S126" i="65"/>
  <c r="Q134" i="65"/>
  <c r="R134" i="65"/>
  <c r="S134" i="65"/>
  <c r="Y134" i="65"/>
  <c r="Q88" i="65"/>
  <c r="W88" i="65"/>
  <c r="W82" i="65"/>
  <c r="W101" i="65"/>
  <c r="Y68" i="65"/>
  <c r="Y92" i="65"/>
  <c r="S92" i="65"/>
  <c r="X92" i="65"/>
  <c r="R90" i="65"/>
  <c r="Z115" i="65"/>
  <c r="Q136" i="65"/>
  <c r="P136" i="65"/>
  <c r="Y79" i="65"/>
  <c r="Z66" i="65"/>
  <c r="Q56" i="65"/>
  <c r="W56" i="65"/>
  <c r="X56" i="65"/>
  <c r="Z60" i="65"/>
  <c r="Z71" i="65"/>
  <c r="Y83" i="65"/>
  <c r="W108" i="65"/>
  <c r="Z118" i="65"/>
  <c r="Z138" i="65"/>
  <c r="Y138" i="65"/>
  <c r="W116" i="65"/>
  <c r="V125" i="65"/>
  <c r="Y108" i="65"/>
  <c r="R99" i="65"/>
  <c r="S103" i="65"/>
  <c r="S137" i="65"/>
  <c r="X78" i="65"/>
  <c r="Z102" i="65"/>
  <c r="X74" i="65"/>
  <c r="V131" i="65"/>
  <c r="W70" i="65"/>
  <c r="X61" i="65"/>
  <c r="Y80" i="65"/>
  <c r="W97" i="65"/>
  <c r="AC97" i="65" s="1"/>
  <c r="W99" i="65"/>
  <c r="Y118" i="65"/>
  <c r="W65" i="65"/>
  <c r="V127" i="65"/>
  <c r="W58" i="65"/>
  <c r="W72" i="65"/>
  <c r="P94" i="65"/>
  <c r="X77" i="65"/>
  <c r="X134" i="65"/>
  <c r="Z88" i="65"/>
  <c r="R101" i="65"/>
  <c r="Y54" i="65"/>
  <c r="Q90" i="65"/>
  <c r="Y76" i="65"/>
  <c r="Y56" i="65"/>
  <c r="W71" i="65"/>
  <c r="X138" i="65"/>
  <c r="Z133" i="65"/>
  <c r="Y140" i="65"/>
  <c r="V86" i="65"/>
  <c r="X86" i="65"/>
  <c r="X94" i="65"/>
  <c r="W134" i="65"/>
  <c r="X110" i="65"/>
  <c r="S109" i="65"/>
  <c r="V56" i="65"/>
  <c r="V107" i="65"/>
  <c r="Z67" i="65"/>
  <c r="X111" i="65"/>
  <c r="V76" i="65"/>
  <c r="X66" i="65"/>
  <c r="R126" i="65"/>
  <c r="P88" i="65"/>
  <c r="Z54" i="65"/>
  <c r="W81" i="65"/>
  <c r="Z85" i="65"/>
  <c r="S105" i="65"/>
  <c r="W105" i="65"/>
  <c r="Z136" i="65"/>
  <c r="Y116" i="65"/>
  <c r="W112" i="65"/>
  <c r="V61" i="65"/>
  <c r="R137" i="65"/>
  <c r="Z140" i="65"/>
  <c r="W67" i="65"/>
  <c r="P86" i="65"/>
  <c r="Q126" i="65"/>
  <c r="V134" i="65"/>
  <c r="P134" i="65"/>
  <c r="W90" i="65"/>
  <c r="Z105" i="65"/>
  <c r="X119" i="65"/>
  <c r="P138" i="65"/>
  <c r="Z142" i="65"/>
  <c r="X64" i="65"/>
  <c r="W69" i="65"/>
  <c r="Z130" i="65"/>
  <c r="X130" i="65"/>
  <c r="W109" i="65"/>
  <c r="X124" i="65"/>
  <c r="Z64" i="65"/>
  <c r="Y75" i="65"/>
  <c r="X70" i="65"/>
  <c r="V108" i="65"/>
  <c r="V109" i="65"/>
  <c r="V64" i="65"/>
  <c r="X142" i="65"/>
  <c r="W60" i="65"/>
  <c r="V142" i="65"/>
  <c r="Y130" i="65"/>
  <c r="Y132" i="65"/>
  <c r="Y128" i="65"/>
  <c r="Y62" i="65"/>
  <c r="W130" i="65"/>
  <c r="X73" i="65"/>
  <c r="W128" i="65"/>
  <c r="W124" i="65"/>
  <c r="W75" i="65"/>
  <c r="X109" i="65"/>
  <c r="V75" i="65"/>
  <c r="V128" i="65"/>
  <c r="V62" i="65"/>
  <c r="Z70" i="65"/>
  <c r="Y64" i="65"/>
  <c r="W142" i="65"/>
  <c r="V60" i="65"/>
  <c r="V132" i="65"/>
  <c r="V73" i="65"/>
  <c r="V130" i="65"/>
  <c r="W73" i="65"/>
  <c r="X128" i="65"/>
  <c r="Z75" i="65"/>
  <c r="V124" i="65"/>
  <c r="Z69" i="65"/>
  <c r="X132" i="65"/>
  <c r="X62" i="65"/>
  <c r="Z132" i="65"/>
  <c r="W64" i="65"/>
  <c r="Y142" i="65"/>
  <c r="Z124" i="65"/>
  <c r="Z73" i="65"/>
  <c r="Z128" i="65"/>
  <c r="W132" i="65"/>
  <c r="V69" i="65"/>
  <c r="Y73" i="65"/>
  <c r="Y69" i="65"/>
  <c r="Y124" i="65"/>
  <c r="W62" i="65"/>
  <c r="X75" i="65"/>
  <c r="X69" i="65"/>
  <c r="N52" i="65"/>
  <c r="W52" i="65" s="1"/>
  <c r="N43" i="42"/>
  <c r="M44" i="50"/>
  <c r="L43" i="50"/>
  <c r="O40" i="24"/>
  <c r="K42" i="37" s="1"/>
  <c r="N52" i="42"/>
  <c r="M31" i="25"/>
  <c r="J48" i="42"/>
  <c r="O57" i="24"/>
  <c r="K49" i="42"/>
  <c r="M51" i="42"/>
  <c r="M55" i="24"/>
  <c r="I47" i="42"/>
  <c r="Q59" i="24"/>
  <c r="N56" i="24"/>
  <c r="J50" i="37" s="1"/>
  <c r="K53" i="24"/>
  <c r="K28" i="25" s="1"/>
  <c r="K41" i="50"/>
  <c r="O39" i="24"/>
  <c r="K41" i="37" s="1"/>
  <c r="Q42" i="24"/>
  <c r="I42" i="65"/>
  <c r="P58" i="24"/>
  <c r="L52" i="37" s="1"/>
  <c r="L52" i="50"/>
  <c r="K51" i="50"/>
  <c r="J52" i="24"/>
  <c r="J27" i="25" s="1"/>
  <c r="J38" i="42"/>
  <c r="J39" i="42"/>
  <c r="K40" i="42"/>
  <c r="M18" i="25"/>
  <c r="P22" i="25"/>
  <c r="O21" i="25"/>
  <c r="N19" i="25"/>
  <c r="L30" i="25"/>
  <c r="Q35" i="25"/>
  <c r="N32" i="25"/>
  <c r="I49" i="50"/>
  <c r="N54" i="50"/>
  <c r="M53" i="50"/>
  <c r="L45" i="65"/>
  <c r="K44" i="65"/>
  <c r="P41" i="24"/>
  <c r="J43" i="65"/>
  <c r="J50" i="50"/>
  <c r="I38" i="42"/>
  <c r="S92" i="42" s="1"/>
  <c r="U92" i="42" s="1"/>
  <c r="AP92" i="42" s="1"/>
  <c r="AQ92" i="42" s="1"/>
  <c r="K39" i="42"/>
  <c r="L41" i="42"/>
  <c r="M42" i="42"/>
  <c r="L18" i="25"/>
  <c r="Q23" i="25"/>
  <c r="N20" i="25"/>
  <c r="M19" i="25"/>
  <c r="P34" i="25"/>
  <c r="O33" i="25"/>
  <c r="I40" i="50"/>
  <c r="N45" i="50"/>
  <c r="K42" i="50"/>
  <c r="J41" i="50"/>
  <c r="I21" i="32"/>
  <c r="J21" i="32"/>
  <c r="I22" i="32"/>
  <c r="J22" i="32"/>
  <c r="I23" i="32"/>
  <c r="J23" i="32"/>
  <c r="I24" i="32"/>
  <c r="J24" i="32"/>
  <c r="I25" i="32"/>
  <c r="J25" i="32"/>
  <c r="I26" i="32"/>
  <c r="J26" i="32"/>
  <c r="I29" i="32"/>
  <c r="J29" i="32"/>
  <c r="I34" i="32"/>
  <c r="J34" i="32"/>
  <c r="E1206" i="40"/>
  <c r="CE237" i="53"/>
  <c r="CF237" i="53"/>
  <c r="CG237" i="53"/>
  <c r="CD237" i="53"/>
  <c r="CC13" i="40" s="1"/>
  <c r="AC260" i="65" l="1"/>
  <c r="AO260" i="65" s="1"/>
  <c r="AF436" i="65"/>
  <c r="AR436" i="65" s="1"/>
  <c r="AB456" i="65"/>
  <c r="AD394" i="65"/>
  <c r="AE314" i="65"/>
  <c r="AE424" i="65"/>
  <c r="AQ424" i="65" s="1"/>
  <c r="AC465" i="65"/>
  <c r="AO465" i="65" s="1"/>
  <c r="AC388" i="65"/>
  <c r="AO388" i="65" s="1"/>
  <c r="AC429" i="65"/>
  <c r="AO429" i="65" s="1"/>
  <c r="AB474" i="65"/>
  <c r="AN474" i="65" s="1"/>
  <c r="AE473" i="65"/>
  <c r="AQ473" i="65" s="1"/>
  <c r="AE395" i="65"/>
  <c r="AC505" i="65"/>
  <c r="AO505" i="65" s="1"/>
  <c r="AE423" i="65"/>
  <c r="AQ423" i="65" s="1"/>
  <c r="AC427" i="65"/>
  <c r="AO427" i="65" s="1"/>
  <c r="AE408" i="65"/>
  <c r="AD400" i="65"/>
  <c r="AE454" i="65"/>
  <c r="AD469" i="65"/>
  <c r="AC386" i="65"/>
  <c r="AO386" i="65" s="1"/>
  <c r="AB467" i="65"/>
  <c r="AN467" i="65" s="1"/>
  <c r="AC475" i="65"/>
  <c r="AO475" i="65" s="1"/>
  <c r="AD461" i="65"/>
  <c r="AP461" i="65" s="1"/>
  <c r="AD454" i="65"/>
  <c r="AE238" i="65"/>
  <c r="AF334" i="65"/>
  <c r="AR334" i="65" s="1"/>
  <c r="AB486" i="65"/>
  <c r="AH486" i="65" s="1"/>
  <c r="AC440" i="65"/>
  <c r="AO440" i="65" s="1"/>
  <c r="AF400" i="65"/>
  <c r="AE506" i="65"/>
  <c r="AQ506" i="65" s="1"/>
  <c r="AE482" i="65"/>
  <c r="AQ482" i="65" s="1"/>
  <c r="AB91" i="65"/>
  <c r="AC482" i="65"/>
  <c r="AO482" i="65" s="1"/>
  <c r="AF431" i="65"/>
  <c r="AR431" i="65" s="1"/>
  <c r="AC397" i="65"/>
  <c r="AD389" i="65"/>
  <c r="AP389" i="65" s="1"/>
  <c r="AD401" i="65"/>
  <c r="AB417" i="65"/>
  <c r="AB307" i="65"/>
  <c r="AN307" i="65" s="1"/>
  <c r="AD406" i="65"/>
  <c r="AD409" i="65"/>
  <c r="AB390" i="65"/>
  <c r="AN390" i="65" s="1"/>
  <c r="AF445" i="65"/>
  <c r="AB411" i="65"/>
  <c r="AH411" i="65" s="1"/>
  <c r="AI411" i="65" s="1"/>
  <c r="AE445" i="65"/>
  <c r="AE401" i="65"/>
  <c r="AB421" i="65"/>
  <c r="AN421" i="65" s="1"/>
  <c r="AF426" i="65"/>
  <c r="AR426" i="65" s="1"/>
  <c r="AE432" i="65"/>
  <c r="AQ432" i="65" s="1"/>
  <c r="AE461" i="65"/>
  <c r="AQ461" i="65" s="1"/>
  <c r="AE387" i="65"/>
  <c r="AQ387" i="65" s="1"/>
  <c r="AF485" i="65"/>
  <c r="AF461" i="65"/>
  <c r="AR461" i="65" s="1"/>
  <c r="AF402" i="65"/>
  <c r="AB470" i="65"/>
  <c r="AH470" i="65" s="1"/>
  <c r="AC406" i="65"/>
  <c r="AD498" i="65"/>
  <c r="AF460" i="65"/>
  <c r="AB416" i="65"/>
  <c r="AH416" i="65" s="1"/>
  <c r="AE460" i="65"/>
  <c r="AC487" i="65"/>
  <c r="AB396" i="65"/>
  <c r="AD414" i="65"/>
  <c r="AF499" i="65"/>
  <c r="AE417" i="65"/>
  <c r="AE426" i="65"/>
  <c r="AQ426" i="65" s="1"/>
  <c r="AH454" i="65"/>
  <c r="AI454" i="65" s="1"/>
  <c r="AJ454" i="65" s="1"/>
  <c r="AK454" i="65" s="1"/>
  <c r="AL454" i="65" s="1"/>
  <c r="AR454" i="65" s="1"/>
  <c r="AD411" i="65"/>
  <c r="AE494" i="65"/>
  <c r="AF477" i="65"/>
  <c r="AB487" i="65"/>
  <c r="AD492" i="65"/>
  <c r="AE478" i="65"/>
  <c r="AE413" i="65"/>
  <c r="AF418" i="65"/>
  <c r="AF434" i="65"/>
  <c r="AR434" i="65" s="1"/>
  <c r="AE465" i="65"/>
  <c r="AQ465" i="65" s="1"/>
  <c r="AE477" i="65"/>
  <c r="AE487" i="65"/>
  <c r="AD456" i="65"/>
  <c r="AF100" i="65"/>
  <c r="AB244" i="65"/>
  <c r="AN244" i="65" s="1"/>
  <c r="AE421" i="65"/>
  <c r="AQ421" i="65" s="1"/>
  <c r="AF432" i="65"/>
  <c r="AR432" i="65" s="1"/>
  <c r="AF464" i="65"/>
  <c r="AR464" i="65" s="1"/>
  <c r="AD425" i="65"/>
  <c r="AP425" i="65" s="1"/>
  <c r="AB477" i="65"/>
  <c r="AF444" i="65"/>
  <c r="AC471" i="65"/>
  <c r="AF450" i="65"/>
  <c r="AB460" i="65"/>
  <c r="AH460" i="65" s="1"/>
  <c r="AC450" i="65"/>
  <c r="AC418" i="65"/>
  <c r="AC493" i="65"/>
  <c r="AE316" i="65"/>
  <c r="AE429" i="65"/>
  <c r="AQ429" i="65" s="1"/>
  <c r="AC390" i="65"/>
  <c r="AO390" i="65" s="1"/>
  <c r="AF466" i="65"/>
  <c r="AR466" i="65" s="1"/>
  <c r="AC421" i="65"/>
  <c r="AO421" i="65" s="1"/>
  <c r="AC422" i="65"/>
  <c r="AO422" i="65" s="1"/>
  <c r="AF437" i="65"/>
  <c r="AR437" i="65" s="1"/>
  <c r="AB437" i="65"/>
  <c r="AN437" i="65" s="1"/>
  <c r="AE436" i="65"/>
  <c r="AQ436" i="65" s="1"/>
  <c r="AF411" i="65"/>
  <c r="AE418" i="65"/>
  <c r="AB105" i="65"/>
  <c r="AD203" i="65"/>
  <c r="AP203" i="65" s="1"/>
  <c r="AE156" i="65"/>
  <c r="AF376" i="65"/>
  <c r="AB292" i="65"/>
  <c r="AF424" i="65"/>
  <c r="AR424" i="65" s="1"/>
  <c r="AB484" i="65"/>
  <c r="AD397" i="65"/>
  <c r="AB403" i="65"/>
  <c r="AB418" i="65"/>
  <c r="AF451" i="65"/>
  <c r="AB438" i="65"/>
  <c r="AN438" i="65" s="1"/>
  <c r="AC474" i="65"/>
  <c r="AO474" i="65" s="1"/>
  <c r="AF493" i="65"/>
  <c r="AD436" i="65"/>
  <c r="AP436" i="65" s="1"/>
  <c r="AD418" i="65"/>
  <c r="AB464" i="65"/>
  <c r="AN464" i="65" s="1"/>
  <c r="AF405" i="65"/>
  <c r="AD385" i="65"/>
  <c r="AP385" i="65" s="1"/>
  <c r="AB475" i="65"/>
  <c r="AN475" i="65" s="1"/>
  <c r="AB485" i="65"/>
  <c r="AE399" i="65"/>
  <c r="AC405" i="65"/>
  <c r="AF467" i="65"/>
  <c r="AR467" i="65" s="1"/>
  <c r="AF488" i="65"/>
  <c r="AB452" i="65"/>
  <c r="AH452" i="65" s="1"/>
  <c r="AD405" i="65"/>
  <c r="AB490" i="65"/>
  <c r="AH490" i="65" s="1"/>
  <c r="AD501" i="65"/>
  <c r="AD390" i="65"/>
  <c r="AP390" i="65" s="1"/>
  <c r="AE493" i="65"/>
  <c r="AC506" i="65"/>
  <c r="AO506" i="65" s="1"/>
  <c r="AC463" i="65"/>
  <c r="AO463" i="65" s="1"/>
  <c r="AE402" i="65"/>
  <c r="AD442" i="65"/>
  <c r="AF399" i="65"/>
  <c r="AC448" i="65"/>
  <c r="AC426" i="65"/>
  <c r="AO426" i="65" s="1"/>
  <c r="AC424" i="65"/>
  <c r="AO424" i="65" s="1"/>
  <c r="AB431" i="65"/>
  <c r="AN431" i="65" s="1"/>
  <c r="AE484" i="65"/>
  <c r="AD440" i="65"/>
  <c r="AP440" i="65" s="1"/>
  <c r="AB389" i="65"/>
  <c r="AN389" i="65" s="1"/>
  <c r="AC389" i="65"/>
  <c r="AO389" i="65" s="1"/>
  <c r="AB446" i="65"/>
  <c r="AH446" i="65" s="1"/>
  <c r="AC494" i="65"/>
  <c r="AE496" i="65"/>
  <c r="AF500" i="65"/>
  <c r="AD479" i="65"/>
  <c r="AE471" i="65"/>
  <c r="AF487" i="65"/>
  <c r="AB404" i="65"/>
  <c r="AH404" i="65" s="1"/>
  <c r="AF455" i="65"/>
  <c r="AB413" i="65"/>
  <c r="AH413" i="65" s="1"/>
  <c r="AN413" i="65" s="1"/>
  <c r="AC453" i="65"/>
  <c r="AC447" i="65"/>
  <c r="AE501" i="65"/>
  <c r="AB451" i="65"/>
  <c r="AH451" i="65" s="1"/>
  <c r="AI451" i="65" s="1"/>
  <c r="AC441" i="65"/>
  <c r="AF448" i="65"/>
  <c r="AF478" i="65"/>
  <c r="AC459" i="65"/>
  <c r="AB499" i="65"/>
  <c r="AC416" i="65"/>
  <c r="AE449" i="65"/>
  <c r="AC496" i="65"/>
  <c r="AC470" i="65"/>
  <c r="AB504" i="65"/>
  <c r="AH504" i="65" s="1"/>
  <c r="AD434" i="65"/>
  <c r="AP434" i="65" s="1"/>
  <c r="AB385" i="65"/>
  <c r="AN385" i="65" s="1"/>
  <c r="AF393" i="65"/>
  <c r="AR393" i="65" s="1"/>
  <c r="AC391" i="65"/>
  <c r="AO391" i="65" s="1"/>
  <c r="AF481" i="65"/>
  <c r="AD393" i="65"/>
  <c r="AP393" i="65" s="1"/>
  <c r="AC444" i="65"/>
  <c r="AD462" i="65"/>
  <c r="AP462" i="65" s="1"/>
  <c r="AC433" i="65"/>
  <c r="AO433" i="65" s="1"/>
  <c r="AC435" i="65"/>
  <c r="AO435" i="65" s="1"/>
  <c r="AF443" i="65"/>
  <c r="AD504" i="65"/>
  <c r="AE456" i="65"/>
  <c r="AF429" i="65"/>
  <c r="AR429" i="65" s="1"/>
  <c r="AB435" i="65"/>
  <c r="AN435" i="65" s="1"/>
  <c r="AB412" i="65"/>
  <c r="AH412" i="65" s="1"/>
  <c r="AI412" i="65" s="1"/>
  <c r="AF494" i="65"/>
  <c r="AC457" i="65"/>
  <c r="AB422" i="65"/>
  <c r="AN422" i="65" s="1"/>
  <c r="AD421" i="65"/>
  <c r="AP421" i="65" s="1"/>
  <c r="AF395" i="65"/>
  <c r="AB492" i="65"/>
  <c r="AE390" i="65"/>
  <c r="AQ390" i="65" s="1"/>
  <c r="AD426" i="65"/>
  <c r="AP426" i="65" s="1"/>
  <c r="AC395" i="65"/>
  <c r="AF423" i="65"/>
  <c r="AR423" i="65" s="1"/>
  <c r="AF389" i="65"/>
  <c r="AR389" i="65" s="1"/>
  <c r="AF387" i="65"/>
  <c r="AR387" i="65" s="1"/>
  <c r="AB503" i="65"/>
  <c r="AN503" i="65" s="1"/>
  <c r="AD423" i="65"/>
  <c r="AP423" i="65" s="1"/>
  <c r="AB93" i="65"/>
  <c r="AD315" i="65"/>
  <c r="AB425" i="65"/>
  <c r="AN425" i="65" s="1"/>
  <c r="AH396" i="65"/>
  <c r="AN396" i="65" s="1"/>
  <c r="AE443" i="65"/>
  <c r="AC407" i="65"/>
  <c r="AH419" i="65"/>
  <c r="AN419" i="65" s="1"/>
  <c r="AH403" i="65"/>
  <c r="AN403" i="65" s="1"/>
  <c r="AE310" i="65"/>
  <c r="AF396" i="65"/>
  <c r="AC472" i="65"/>
  <c r="AO472" i="65" s="1"/>
  <c r="AF440" i="65"/>
  <c r="AR440" i="65" s="1"/>
  <c r="AE472" i="65"/>
  <c r="AQ472" i="65" s="1"/>
  <c r="AC392" i="65"/>
  <c r="AO392" i="65" s="1"/>
  <c r="AC432" i="65"/>
  <c r="AO432" i="65" s="1"/>
  <c r="AD482" i="65"/>
  <c r="AP482" i="65" s="1"/>
  <c r="AB388" i="65"/>
  <c r="AN388" i="65" s="1"/>
  <c r="AF425" i="65"/>
  <c r="AR425" i="65" s="1"/>
  <c r="AF475" i="65"/>
  <c r="AR475" i="65" s="1"/>
  <c r="AF473" i="65"/>
  <c r="AR473" i="65" s="1"/>
  <c r="AD465" i="65"/>
  <c r="AP465" i="65" s="1"/>
  <c r="AD433" i="65"/>
  <c r="AP433" i="65" s="1"/>
  <c r="AE498" i="65"/>
  <c r="AD416" i="65"/>
  <c r="AF470" i="65"/>
  <c r="AD491" i="65"/>
  <c r="AE416" i="65"/>
  <c r="AD478" i="65"/>
  <c r="AF403" i="65"/>
  <c r="AD499" i="65"/>
  <c r="AB455" i="65"/>
  <c r="AC469" i="65"/>
  <c r="AE407" i="65"/>
  <c r="AB469" i="65"/>
  <c r="AD407" i="65"/>
  <c r="AF397" i="65"/>
  <c r="AE459" i="65"/>
  <c r="AC318" i="65"/>
  <c r="AO318" i="65" s="1"/>
  <c r="AD471" i="65"/>
  <c r="AF422" i="65"/>
  <c r="AR422" i="65" s="1"/>
  <c r="AC438" i="65"/>
  <c r="AO438" i="65" s="1"/>
  <c r="AB263" i="65"/>
  <c r="AN263" i="65" s="1"/>
  <c r="AB350" i="65"/>
  <c r="AH350" i="65" s="1"/>
  <c r="AD305" i="65"/>
  <c r="AP305" i="65" s="1"/>
  <c r="AH491" i="65"/>
  <c r="AN491" i="65"/>
  <c r="AB398" i="65"/>
  <c r="AD403" i="65"/>
  <c r="AE437" i="65"/>
  <c r="AQ437" i="65" s="1"/>
  <c r="AD476" i="65"/>
  <c r="AP476" i="65" s="1"/>
  <c r="AB420" i="65"/>
  <c r="AN420" i="65" s="1"/>
  <c r="AD392" i="65"/>
  <c r="AP392" i="65" s="1"/>
  <c r="AD422" i="65"/>
  <c r="AP422" i="65" s="1"/>
  <c r="AB434" i="65"/>
  <c r="AN434" i="65" s="1"/>
  <c r="AB507" i="65"/>
  <c r="AN507" i="65" s="1"/>
  <c r="AD475" i="65"/>
  <c r="AP475" i="65" s="1"/>
  <c r="AD503" i="65"/>
  <c r="AP503" i="65" s="1"/>
  <c r="AE467" i="65"/>
  <c r="AQ467" i="65" s="1"/>
  <c r="AF463" i="65"/>
  <c r="AR463" i="65" s="1"/>
  <c r="AB463" i="65"/>
  <c r="AN463" i="65" s="1"/>
  <c r="AF465" i="65"/>
  <c r="AR465" i="65" s="1"/>
  <c r="AB480" i="65"/>
  <c r="AD410" i="65"/>
  <c r="AC398" i="65"/>
  <c r="AD500" i="65"/>
  <c r="AD488" i="65"/>
  <c r="AF489" i="65"/>
  <c r="AC489" i="65"/>
  <c r="AD486" i="65"/>
  <c r="AE410" i="65"/>
  <c r="AF452" i="65"/>
  <c r="AF414" i="65"/>
  <c r="AD470" i="65"/>
  <c r="AB495" i="65"/>
  <c r="AE453" i="65"/>
  <c r="AC501" i="65"/>
  <c r="AE411" i="65"/>
  <c r="AF497" i="65"/>
  <c r="AC184" i="65"/>
  <c r="AO184" i="65" s="1"/>
  <c r="AD303" i="65"/>
  <c r="AP303" i="65" s="1"/>
  <c r="AF358" i="65"/>
  <c r="AD507" i="65"/>
  <c r="AP507" i="65" s="1"/>
  <c r="AB386" i="65"/>
  <c r="AN386" i="65" s="1"/>
  <c r="AE474" i="65"/>
  <c r="AQ474" i="65" s="1"/>
  <c r="AE438" i="65"/>
  <c r="AQ438" i="65" s="1"/>
  <c r="AF390" i="65"/>
  <c r="AR390" i="65" s="1"/>
  <c r="AE476" i="65"/>
  <c r="AQ476" i="65" s="1"/>
  <c r="AD386" i="65"/>
  <c r="AP386" i="65" s="1"/>
  <c r="AF388" i="65"/>
  <c r="AR388" i="65" s="1"/>
  <c r="AF421" i="65"/>
  <c r="AR421" i="65" s="1"/>
  <c r="AD453" i="65"/>
  <c r="AF417" i="65"/>
  <c r="AE433" i="65"/>
  <c r="AQ433" i="65" s="1"/>
  <c r="AC402" i="65"/>
  <c r="AC460" i="65"/>
  <c r="AC478" i="65"/>
  <c r="AB406" i="65"/>
  <c r="AF498" i="65"/>
  <c r="AD448" i="65"/>
  <c r="AE396" i="65"/>
  <c r="AF486" i="65"/>
  <c r="AF491" i="65"/>
  <c r="AC488" i="65"/>
  <c r="AE398" i="65"/>
  <c r="AC446" i="65"/>
  <c r="AE468" i="65"/>
  <c r="AF459" i="65"/>
  <c r="AF449" i="65"/>
  <c r="AB443" i="65"/>
  <c r="AB393" i="65"/>
  <c r="AN393" i="65" s="1"/>
  <c r="AC415" i="65"/>
  <c r="AB449" i="65"/>
  <c r="AD455" i="65"/>
  <c r="AC436" i="65"/>
  <c r="AO436" i="65" s="1"/>
  <c r="AC417" i="65"/>
  <c r="AD477" i="65"/>
  <c r="AC456" i="65"/>
  <c r="AB410" i="65"/>
  <c r="AC400" i="65"/>
  <c r="AH492" i="65"/>
  <c r="AI492" i="65" s="1"/>
  <c r="AJ492" i="65" s="1"/>
  <c r="AD408" i="65"/>
  <c r="AE451" i="65"/>
  <c r="AD451" i="65"/>
  <c r="AC445" i="65"/>
  <c r="AB399" i="65"/>
  <c r="AC455" i="65"/>
  <c r="AC404" i="65"/>
  <c r="AE492" i="65"/>
  <c r="AF392" i="65"/>
  <c r="AR392" i="65" s="1"/>
  <c r="AC437" i="65"/>
  <c r="AO437" i="65" s="1"/>
  <c r="AD441" i="65"/>
  <c r="AE441" i="65"/>
  <c r="AF446" i="65"/>
  <c r="AH477" i="65"/>
  <c r="AN477" i="65" s="1"/>
  <c r="AE491" i="65"/>
  <c r="AC500" i="65"/>
  <c r="AH497" i="65"/>
  <c r="AN497" i="65" s="1"/>
  <c r="AF415" i="65"/>
  <c r="AF413" i="65"/>
  <c r="AB401" i="65"/>
  <c r="AH417" i="65"/>
  <c r="AN417" i="65" s="1"/>
  <c r="AC387" i="65"/>
  <c r="AO387" i="65" s="1"/>
  <c r="AC246" i="65"/>
  <c r="AH456" i="65"/>
  <c r="AN456" i="65" s="1"/>
  <c r="AD420" i="65"/>
  <c r="AP420" i="65" s="1"/>
  <c r="AF507" i="65"/>
  <c r="AR507" i="65" s="1"/>
  <c r="AE392" i="65"/>
  <c r="AQ392" i="65" s="1"/>
  <c r="AB472" i="65"/>
  <c r="AN472" i="65" s="1"/>
  <c r="AD466" i="65"/>
  <c r="AP466" i="65" s="1"/>
  <c r="AE389" i="65"/>
  <c r="AQ389" i="65" s="1"/>
  <c r="AB473" i="65"/>
  <c r="AN473" i="65" s="1"/>
  <c r="AD427" i="65"/>
  <c r="AP427" i="65" s="1"/>
  <c r="AB489" i="65"/>
  <c r="AD412" i="65"/>
  <c r="AE488" i="65"/>
  <c r="AB414" i="65"/>
  <c r="AC399" i="65"/>
  <c r="AD452" i="65"/>
  <c r="AD468" i="65"/>
  <c r="AC443" i="65"/>
  <c r="AD260" i="65"/>
  <c r="AP260" i="65" s="1"/>
  <c r="AC351" i="65"/>
  <c r="AC353" i="65"/>
  <c r="AE285" i="65"/>
  <c r="AF370" i="65"/>
  <c r="AR370" i="65" s="1"/>
  <c r="AC491" i="65"/>
  <c r="AC499" i="65"/>
  <c r="AF471" i="65"/>
  <c r="AB397" i="65"/>
  <c r="AF430" i="65"/>
  <c r="AR430" i="65" s="1"/>
  <c r="AC431" i="65"/>
  <c r="AO431" i="65" s="1"/>
  <c r="AE505" i="65"/>
  <c r="AQ505" i="65" s="1"/>
  <c r="AE435" i="65"/>
  <c r="AQ435" i="65" s="1"/>
  <c r="AF435" i="65"/>
  <c r="AR435" i="65" s="1"/>
  <c r="AC461" i="65"/>
  <c r="AO461" i="65" s="1"/>
  <c r="AC473" i="65"/>
  <c r="AO473" i="65" s="1"/>
  <c r="AF385" i="65"/>
  <c r="AR385" i="65" s="1"/>
  <c r="AC492" i="65"/>
  <c r="AC498" i="65"/>
  <c r="AB494" i="65"/>
  <c r="AF490" i="65"/>
  <c r="AF504" i="65"/>
  <c r="AC477" i="65"/>
  <c r="AB394" i="65"/>
  <c r="AE499" i="65"/>
  <c r="AB453" i="65"/>
  <c r="AB447" i="65"/>
  <c r="AF501" i="65"/>
  <c r="AD399" i="65"/>
  <c r="AE403" i="65"/>
  <c r="AE405" i="65"/>
  <c r="AB407" i="65"/>
  <c r="AC485" i="65"/>
  <c r="AF409" i="65"/>
  <c r="AB457" i="65"/>
  <c r="AC173" i="65"/>
  <c r="AO173" i="65" s="1"/>
  <c r="AC176" i="65"/>
  <c r="AO176" i="65" s="1"/>
  <c r="AC464" i="65"/>
  <c r="AO464" i="65" s="1"/>
  <c r="AC320" i="65"/>
  <c r="AE500" i="65"/>
  <c r="AC502" i="65"/>
  <c r="AD430" i="65"/>
  <c r="AP430" i="65" s="1"/>
  <c r="AB436" i="65"/>
  <c r="AN436" i="65" s="1"/>
  <c r="AD431" i="65"/>
  <c r="AP431" i="65" s="1"/>
  <c r="AE440" i="65"/>
  <c r="AQ440" i="65" s="1"/>
  <c r="AC462" i="65"/>
  <c r="AO462" i="65" s="1"/>
  <c r="AE434" i="65"/>
  <c r="AQ434" i="65" s="1"/>
  <c r="AF394" i="65"/>
  <c r="AD388" i="65"/>
  <c r="AP388" i="65" s="1"/>
  <c r="AB466" i="65"/>
  <c r="AN466" i="65" s="1"/>
  <c r="AD464" i="65"/>
  <c r="AP464" i="65" s="1"/>
  <c r="AF506" i="65"/>
  <c r="AR506" i="65" s="1"/>
  <c r="AH484" i="65"/>
  <c r="AI484" i="65" s="1"/>
  <c r="AJ484" i="65" s="1"/>
  <c r="AK484" i="65" s="1"/>
  <c r="AL484" i="65" s="1"/>
  <c r="AF462" i="65"/>
  <c r="AR462" i="65" s="1"/>
  <c r="AD472" i="65"/>
  <c r="AP472" i="65" s="1"/>
  <c r="AE439" i="65"/>
  <c r="AQ439" i="65" s="1"/>
  <c r="AD439" i="65"/>
  <c r="AP439" i="65" s="1"/>
  <c r="AF433" i="65"/>
  <c r="AR433" i="65" s="1"/>
  <c r="AB433" i="65"/>
  <c r="AN433" i="65" s="1"/>
  <c r="AE391" i="65"/>
  <c r="AQ391" i="65" s="1"/>
  <c r="AF483" i="65"/>
  <c r="AR483" i="65" s="1"/>
  <c r="AB483" i="65"/>
  <c r="AN483" i="65" s="1"/>
  <c r="AB498" i="65"/>
  <c r="AB444" i="65"/>
  <c r="AD496" i="65"/>
  <c r="AE446" i="65"/>
  <c r="AC408" i="65"/>
  <c r="AB478" i="65"/>
  <c r="AE502" i="65"/>
  <c r="AF410" i="65"/>
  <c r="AE470" i="65"/>
  <c r="AD398" i="65"/>
  <c r="AD447" i="65"/>
  <c r="AE415" i="65"/>
  <c r="AD419" i="65"/>
  <c r="AE457" i="65"/>
  <c r="AD481" i="65"/>
  <c r="AF407" i="65"/>
  <c r="AE409" i="65"/>
  <c r="AE452" i="65"/>
  <c r="AH487" i="65"/>
  <c r="AI487" i="65" s="1"/>
  <c r="AJ487" i="65" s="1"/>
  <c r="AP487" i="65" s="1"/>
  <c r="AN487" i="65"/>
  <c r="AE447" i="65"/>
  <c r="AF62" i="65"/>
  <c r="AD261" i="65"/>
  <c r="AP261" i="65" s="1"/>
  <c r="AF345" i="65"/>
  <c r="AE361" i="65"/>
  <c r="AC335" i="65"/>
  <c r="AO335" i="65" s="1"/>
  <c r="AD382" i="65"/>
  <c r="AP382" i="65" s="1"/>
  <c r="AB502" i="65"/>
  <c r="AH499" i="65"/>
  <c r="AI499" i="65" s="1"/>
  <c r="AJ499" i="65" s="1"/>
  <c r="AD432" i="65"/>
  <c r="AP432" i="65" s="1"/>
  <c r="AE466" i="65"/>
  <c r="AQ466" i="65" s="1"/>
  <c r="AB482" i="65"/>
  <c r="AN482" i="65" s="1"/>
  <c r="AD424" i="65"/>
  <c r="AP424" i="65" s="1"/>
  <c r="AE475" i="65"/>
  <c r="AQ475" i="65" s="1"/>
  <c r="AE393" i="65"/>
  <c r="AQ393" i="65" s="1"/>
  <c r="AB439" i="65"/>
  <c r="AN439" i="65" s="1"/>
  <c r="AB465" i="65"/>
  <c r="AN465" i="65" s="1"/>
  <c r="AC503" i="65"/>
  <c r="AO503" i="65" s="1"/>
  <c r="AB500" i="65"/>
  <c r="AC479" i="65"/>
  <c r="AE406" i="65"/>
  <c r="AF416" i="65"/>
  <c r="AD460" i="65"/>
  <c r="AD489" i="65"/>
  <c r="AF412" i="65"/>
  <c r="AE412" i="65"/>
  <c r="AB440" i="65"/>
  <c r="AN440" i="65" s="1"/>
  <c r="AD485" i="65"/>
  <c r="AC449" i="65"/>
  <c r="AB409" i="65"/>
  <c r="AD459" i="65"/>
  <c r="AD417" i="65"/>
  <c r="AB459" i="65"/>
  <c r="AB405" i="65"/>
  <c r="AB493" i="65"/>
  <c r="AE495" i="65"/>
  <c r="AD495" i="65"/>
  <c r="AE469" i="65"/>
  <c r="AC419" i="65"/>
  <c r="AF285" i="65"/>
  <c r="AC274" i="65"/>
  <c r="AO274" i="65" s="1"/>
  <c r="AD404" i="65"/>
  <c r="AB448" i="65"/>
  <c r="AC430" i="65"/>
  <c r="AO430" i="65" s="1"/>
  <c r="AC484" i="65"/>
  <c r="AF484" i="65"/>
  <c r="AE386" i="65"/>
  <c r="AQ386" i="65" s="1"/>
  <c r="AC420" i="65"/>
  <c r="AO420" i="65" s="1"/>
  <c r="AE422" i="65"/>
  <c r="AQ422" i="65" s="1"/>
  <c r="AF472" i="65"/>
  <c r="AR472" i="65" s="1"/>
  <c r="AB462" i="65"/>
  <c r="AN462" i="65" s="1"/>
  <c r="AH445" i="65"/>
  <c r="AN445" i="65" s="1"/>
  <c r="AB426" i="65"/>
  <c r="AN426" i="65" s="1"/>
  <c r="AD429" i="65"/>
  <c r="AP429" i="65" s="1"/>
  <c r="AF476" i="65"/>
  <c r="AR476" i="65" s="1"/>
  <c r="AD435" i="65"/>
  <c r="AP435" i="65" s="1"/>
  <c r="AB387" i="65"/>
  <c r="AN387" i="65" s="1"/>
  <c r="AE425" i="65"/>
  <c r="AQ425" i="65" s="1"/>
  <c r="AC467" i="65"/>
  <c r="AO467" i="65" s="1"/>
  <c r="AF505" i="65"/>
  <c r="AR505" i="65" s="1"/>
  <c r="AB505" i="65"/>
  <c r="AN505" i="65" s="1"/>
  <c r="AE463" i="65"/>
  <c r="AQ463" i="65" s="1"/>
  <c r="AB442" i="65"/>
  <c r="AE400" i="65"/>
  <c r="AC394" i="65"/>
  <c r="AB408" i="65"/>
  <c r="AD446" i="65"/>
  <c r="AF502" i="65"/>
  <c r="AD490" i="65"/>
  <c r="AE480" i="65"/>
  <c r="AD402" i="65"/>
  <c r="AC396" i="65"/>
  <c r="AC442" i="65"/>
  <c r="AF453" i="65"/>
  <c r="AF419" i="65"/>
  <c r="AF468" i="65"/>
  <c r="AE481" i="65"/>
  <c r="AD413" i="65"/>
  <c r="AC401" i="65"/>
  <c r="AB501" i="65"/>
  <c r="AF401" i="65"/>
  <c r="AF495" i="65"/>
  <c r="AB441" i="65"/>
  <c r="AB191" i="65"/>
  <c r="AD322" i="65"/>
  <c r="AB340" i="65"/>
  <c r="AC490" i="65"/>
  <c r="AD480" i="65"/>
  <c r="AE486" i="65"/>
  <c r="AB429" i="65"/>
  <c r="AN429" i="65" s="1"/>
  <c r="AC434" i="65"/>
  <c r="AO434" i="65" s="1"/>
  <c r="AE430" i="65"/>
  <c r="AQ430" i="65" s="1"/>
  <c r="AE442" i="65"/>
  <c r="AD497" i="65"/>
  <c r="AB392" i="65"/>
  <c r="AN392" i="65" s="1"/>
  <c r="AD428" i="65"/>
  <c r="AP428" i="65" s="1"/>
  <c r="AC507" i="65"/>
  <c r="AO507" i="65" s="1"/>
  <c r="AE388" i="65"/>
  <c r="AQ388" i="65" s="1"/>
  <c r="AC481" i="65"/>
  <c r="AD506" i="65"/>
  <c r="AP506" i="65" s="1"/>
  <c r="AF391" i="65"/>
  <c r="AR391" i="65" s="1"/>
  <c r="AE427" i="65"/>
  <c r="AQ427" i="65" s="1"/>
  <c r="AE385" i="65"/>
  <c r="AQ385" i="65" s="1"/>
  <c r="AC439" i="65"/>
  <c r="AO439" i="65" s="1"/>
  <c r="AF439" i="65"/>
  <c r="AR439" i="65" s="1"/>
  <c r="AD391" i="65"/>
  <c r="AP391" i="65" s="1"/>
  <c r="AC423" i="65"/>
  <c r="AO423" i="65" s="1"/>
  <c r="AB461" i="65"/>
  <c r="AN461" i="65" s="1"/>
  <c r="AE490" i="65"/>
  <c r="AF479" i="65"/>
  <c r="AE444" i="65"/>
  <c r="AB450" i="65"/>
  <c r="AE504" i="65"/>
  <c r="AD494" i="65"/>
  <c r="AE448" i="65"/>
  <c r="AF496" i="65"/>
  <c r="AF404" i="65"/>
  <c r="AF480" i="65"/>
  <c r="AD396" i="65"/>
  <c r="AD450" i="65"/>
  <c r="AF492" i="65"/>
  <c r="AE414" i="65"/>
  <c r="AD457" i="65"/>
  <c r="AC403" i="65"/>
  <c r="AC452" i="65"/>
  <c r="AE497" i="65"/>
  <c r="AF447" i="65"/>
  <c r="AE455" i="65"/>
  <c r="AD493" i="65"/>
  <c r="AB415" i="65"/>
  <c r="AC413" i="65"/>
  <c r="AH485" i="65"/>
  <c r="AN485" i="65" s="1"/>
  <c r="AF246" i="65"/>
  <c r="AR246" i="65" s="1"/>
  <c r="AF189" i="65"/>
  <c r="AR189" i="65" s="1"/>
  <c r="AE298" i="65"/>
  <c r="AD311" i="65"/>
  <c r="AB471" i="65"/>
  <c r="AC486" i="65"/>
  <c r="AH402" i="65"/>
  <c r="AI402" i="65" s="1"/>
  <c r="AE464" i="65"/>
  <c r="AQ464" i="65" s="1"/>
  <c r="AF442" i="65"/>
  <c r="AE420" i="65"/>
  <c r="AQ420" i="65" s="1"/>
  <c r="AF482" i="65"/>
  <c r="AR482" i="65" s="1"/>
  <c r="AD445" i="65"/>
  <c r="AD484" i="65"/>
  <c r="AD463" i="65"/>
  <c r="AP463" i="65" s="1"/>
  <c r="AD467" i="65"/>
  <c r="AP467" i="65" s="1"/>
  <c r="AC393" i="65"/>
  <c r="AO393" i="65" s="1"/>
  <c r="AB476" i="65"/>
  <c r="AN476" i="65" s="1"/>
  <c r="AB479" i="65"/>
  <c r="AD444" i="65"/>
  <c r="AC480" i="65"/>
  <c r="AB488" i="65"/>
  <c r="AB400" i="65"/>
  <c r="AB496" i="65"/>
  <c r="AC504" i="65"/>
  <c r="AE479" i="65"/>
  <c r="AE450" i="65"/>
  <c r="AD502" i="65"/>
  <c r="AC495" i="65"/>
  <c r="AF469" i="65"/>
  <c r="AF457" i="65"/>
  <c r="AC497" i="65"/>
  <c r="AE397" i="65"/>
  <c r="AD443" i="65"/>
  <c r="AB468" i="65"/>
  <c r="AB395" i="65"/>
  <c r="AB481" i="65"/>
  <c r="AC126" i="65"/>
  <c r="AF141" i="65"/>
  <c r="AB297" i="65"/>
  <c r="AH297" i="65" s="1"/>
  <c r="AE309" i="65"/>
  <c r="AF340" i="65"/>
  <c r="AB361" i="65"/>
  <c r="AH361" i="65" s="1"/>
  <c r="AD233" i="65"/>
  <c r="AD280" i="65"/>
  <c r="AB288" i="65"/>
  <c r="AF360" i="65"/>
  <c r="AB298" i="65"/>
  <c r="AC312" i="65"/>
  <c r="AF342" i="65"/>
  <c r="AD339" i="65"/>
  <c r="AB90" i="65"/>
  <c r="AD97" i="65"/>
  <c r="AB236" i="65"/>
  <c r="AH236" i="65" s="1"/>
  <c r="AN236" i="65" s="1"/>
  <c r="AD177" i="65"/>
  <c r="AP177" i="65" s="1"/>
  <c r="AC355" i="65"/>
  <c r="AE351" i="65"/>
  <c r="AE329" i="65"/>
  <c r="AQ329" i="65" s="1"/>
  <c r="AF104" i="65"/>
  <c r="AR104" i="65" s="1"/>
  <c r="AF205" i="65"/>
  <c r="AR205" i="65" s="1"/>
  <c r="AB187" i="65"/>
  <c r="AN187" i="65" s="1"/>
  <c r="AF244" i="65"/>
  <c r="AR244" i="65" s="1"/>
  <c r="AD377" i="65"/>
  <c r="AE352" i="65"/>
  <c r="AF359" i="65"/>
  <c r="AE273" i="65"/>
  <c r="AQ273" i="65" s="1"/>
  <c r="AD268" i="65"/>
  <c r="AP268" i="65" s="1"/>
  <c r="AE196" i="65"/>
  <c r="AQ196" i="65" s="1"/>
  <c r="AF283" i="65"/>
  <c r="AD291" i="65"/>
  <c r="AE367" i="65"/>
  <c r="AD365" i="65"/>
  <c r="AF186" i="65"/>
  <c r="AR186" i="65" s="1"/>
  <c r="AE288" i="65"/>
  <c r="AB301" i="65"/>
  <c r="AN301" i="65" s="1"/>
  <c r="AD284" i="65"/>
  <c r="AD91" i="65"/>
  <c r="AE89" i="65"/>
  <c r="AF234" i="65"/>
  <c r="AC144" i="65"/>
  <c r="AO144" i="65" s="1"/>
  <c r="AF245" i="65"/>
  <c r="AR245" i="65" s="1"/>
  <c r="AB356" i="65"/>
  <c r="AH356" i="65" s="1"/>
  <c r="AD310" i="65"/>
  <c r="AB348" i="65"/>
  <c r="AH348" i="65" s="1"/>
  <c r="AC344" i="65"/>
  <c r="J52" i="32"/>
  <c r="I52" i="32"/>
  <c r="AF312" i="65"/>
  <c r="AF278" i="65"/>
  <c r="AC347" i="65"/>
  <c r="AD296" i="65"/>
  <c r="AC325" i="65"/>
  <c r="AD345" i="65"/>
  <c r="AF281" i="65"/>
  <c r="AC358" i="65"/>
  <c r="AD288" i="65"/>
  <c r="AB352" i="65"/>
  <c r="AH352" i="65" s="1"/>
  <c r="AB296" i="65"/>
  <c r="AH296" i="65" s="1"/>
  <c r="AC317" i="65"/>
  <c r="AC345" i="65"/>
  <c r="AD344" i="65"/>
  <c r="AC378" i="65"/>
  <c r="AB287" i="65"/>
  <c r="AH287" i="65" s="1"/>
  <c r="AC284" i="65"/>
  <c r="AC368" i="65"/>
  <c r="AE297" i="65"/>
  <c r="AF369" i="65"/>
  <c r="AB323" i="65"/>
  <c r="AH323" i="65" s="1"/>
  <c r="AD358" i="65"/>
  <c r="AC375" i="65"/>
  <c r="AF324" i="65"/>
  <c r="AC383" i="65"/>
  <c r="AF269" i="65"/>
  <c r="AR269" i="65" s="1"/>
  <c r="AD327" i="65"/>
  <c r="AP327" i="65" s="1"/>
  <c r="AE269" i="65"/>
  <c r="AQ269" i="65" s="1"/>
  <c r="AC334" i="65"/>
  <c r="AO334" i="65" s="1"/>
  <c r="AE272" i="65"/>
  <c r="AQ272" i="65" s="1"/>
  <c r="AD301" i="65"/>
  <c r="AP301" i="65" s="1"/>
  <c r="AE336" i="65"/>
  <c r="AQ336" i="65" s="1"/>
  <c r="AB371" i="65"/>
  <c r="AN371" i="65" s="1"/>
  <c r="S98" i="42"/>
  <c r="S94" i="42"/>
  <c r="S96" i="42"/>
  <c r="S91" i="42"/>
  <c r="S93" i="42"/>
  <c r="S97" i="42"/>
  <c r="S95" i="42"/>
  <c r="S66" i="42"/>
  <c r="AF343" i="65"/>
  <c r="AC369" i="65"/>
  <c r="AF298" i="65"/>
  <c r="AE366" i="65"/>
  <c r="AE296" i="65"/>
  <c r="AF286" i="65"/>
  <c r="AE357" i="65"/>
  <c r="AF339" i="65"/>
  <c r="AC287" i="65"/>
  <c r="AF384" i="65"/>
  <c r="AC283" i="65"/>
  <c r="AC384" i="65"/>
  <c r="AF374" i="65"/>
  <c r="AC316" i="65"/>
  <c r="AE343" i="65"/>
  <c r="AC342" i="65"/>
  <c r="AC340" i="65"/>
  <c r="AD357" i="65"/>
  <c r="AD383" i="65"/>
  <c r="AE339" i="65"/>
  <c r="AE292" i="65"/>
  <c r="AE384" i="65"/>
  <c r="AE284" i="65"/>
  <c r="AD348" i="65"/>
  <c r="AD350" i="65"/>
  <c r="AD373" i="65"/>
  <c r="AB275" i="65"/>
  <c r="AH275" i="65" s="1"/>
  <c r="AI275" i="65" s="1"/>
  <c r="AJ275" i="65" s="1"/>
  <c r="AC354" i="65"/>
  <c r="AB285" i="65"/>
  <c r="AH285" i="65" s="1"/>
  <c r="AN285" i="65" s="1"/>
  <c r="AE318" i="65"/>
  <c r="AQ318" i="65" s="1"/>
  <c r="AD363" i="65"/>
  <c r="AP363" i="65" s="1"/>
  <c r="AF380" i="65"/>
  <c r="AR380" i="65" s="1"/>
  <c r="AB278" i="65"/>
  <c r="AH278" i="65" s="1"/>
  <c r="AE328" i="65"/>
  <c r="AQ328" i="65" s="1"/>
  <c r="AE355" i="65"/>
  <c r="AC290" i="65"/>
  <c r="AD342" i="65"/>
  <c r="AC289" i="65"/>
  <c r="AD324" i="65"/>
  <c r="AF280" i="65"/>
  <c r="AB343" i="65"/>
  <c r="AH343" i="65" s="1"/>
  <c r="AF353" i="65"/>
  <c r="AE378" i="65"/>
  <c r="AE354" i="65"/>
  <c r="AE356" i="65"/>
  <c r="AC315" i="65"/>
  <c r="AD304" i="65"/>
  <c r="AP304" i="65" s="1"/>
  <c r="AB271" i="65"/>
  <c r="AN271" i="65" s="1"/>
  <c r="AB306" i="65"/>
  <c r="AN306" i="65" s="1"/>
  <c r="AC277" i="65"/>
  <c r="AC328" i="65"/>
  <c r="AO328" i="65" s="1"/>
  <c r="AE274" i="65"/>
  <c r="AQ274" i="65" s="1"/>
  <c r="AF350" i="65"/>
  <c r="AD278" i="65"/>
  <c r="AF326" i="65"/>
  <c r="AR326" i="65" s="1"/>
  <c r="AE300" i="65"/>
  <c r="AQ300" i="65" s="1"/>
  <c r="AD308" i="65"/>
  <c r="AP308" i="65" s="1"/>
  <c r="AB331" i="65"/>
  <c r="AN331" i="65" s="1"/>
  <c r="AE362" i="65"/>
  <c r="AQ362" i="65" s="1"/>
  <c r="AF318" i="65"/>
  <c r="AR318" i="65" s="1"/>
  <c r="AF378" i="65"/>
  <c r="AD378" i="65"/>
  <c r="AE299" i="65"/>
  <c r="AQ299" i="65" s="1"/>
  <c r="AB295" i="65"/>
  <c r="AH295" i="65" s="1"/>
  <c r="AI295" i="65" s="1"/>
  <c r="AE295" i="65"/>
  <c r="AF295" i="65"/>
  <c r="AE294" i="65"/>
  <c r="AF277" i="65"/>
  <c r="AD276" i="65"/>
  <c r="AC361" i="65"/>
  <c r="AF355" i="65"/>
  <c r="AF347" i="65"/>
  <c r="AB364" i="65"/>
  <c r="AH364" i="65" s="1"/>
  <c r="AI364" i="65" s="1"/>
  <c r="AJ364" i="65" s="1"/>
  <c r="AK364" i="65" s="1"/>
  <c r="AL364" i="65" s="1"/>
  <c r="AE277" i="65"/>
  <c r="AB376" i="65"/>
  <c r="AH376" i="65" s="1"/>
  <c r="AN376" i="65" s="1"/>
  <c r="AF368" i="65"/>
  <c r="AC374" i="65"/>
  <c r="AD368" i="65"/>
  <c r="AD316" i="65"/>
  <c r="AD289" i="65"/>
  <c r="AE313" i="65"/>
  <c r="AC278" i="65"/>
  <c r="AB324" i="65"/>
  <c r="AH324" i="65" s="1"/>
  <c r="AE282" i="65"/>
  <c r="AB314" i="65"/>
  <c r="AH314" i="65" s="1"/>
  <c r="AD293" i="65"/>
  <c r="AC339" i="65"/>
  <c r="AE271" i="65"/>
  <c r="AQ271" i="65" s="1"/>
  <c r="AC336" i="65"/>
  <c r="AO336" i="65" s="1"/>
  <c r="AD343" i="65"/>
  <c r="AB319" i="65"/>
  <c r="AH319" i="65" s="1"/>
  <c r="AF375" i="65"/>
  <c r="AB366" i="65"/>
  <c r="AH366" i="65" s="1"/>
  <c r="AD290" i="65"/>
  <c r="AC309" i="65"/>
  <c r="AB284" i="65"/>
  <c r="AH284" i="65" s="1"/>
  <c r="AB360" i="65"/>
  <c r="AH360" i="65" s="1"/>
  <c r="AB294" i="65"/>
  <c r="AH294" i="65" s="1"/>
  <c r="AE281" i="65"/>
  <c r="AE348" i="65"/>
  <c r="AE353" i="65"/>
  <c r="AF320" i="65"/>
  <c r="AF367" i="65"/>
  <c r="AF294" i="65"/>
  <c r="AE320" i="65"/>
  <c r="AC282" i="65"/>
  <c r="AD347" i="65"/>
  <c r="AD282" i="65"/>
  <c r="AC359" i="65"/>
  <c r="AB359" i="65"/>
  <c r="AH359" i="65" s="1"/>
  <c r="AD285" i="65"/>
  <c r="AB272" i="65"/>
  <c r="AN272" i="65" s="1"/>
  <c r="AB330" i="65"/>
  <c r="AN330" i="65" s="1"/>
  <c r="AB310" i="65"/>
  <c r="AH310" i="65" s="1"/>
  <c r="AF356" i="65"/>
  <c r="AC288" i="65"/>
  <c r="AC372" i="65"/>
  <c r="AD320" i="65"/>
  <c r="AC292" i="65"/>
  <c r="AC296" i="65"/>
  <c r="AF314" i="65"/>
  <c r="AD321" i="65"/>
  <c r="AD292" i="65"/>
  <c r="AD317" i="65"/>
  <c r="AF325" i="65"/>
  <c r="AC302" i="65"/>
  <c r="AO302" i="65" s="1"/>
  <c r="AF302" i="65"/>
  <c r="AR302" i="65" s="1"/>
  <c r="AE327" i="65"/>
  <c r="AQ327" i="65" s="1"/>
  <c r="AF381" i="65"/>
  <c r="AR381" i="65" s="1"/>
  <c r="AB313" i="65"/>
  <c r="AH313" i="65" s="1"/>
  <c r="AF310" i="65"/>
  <c r="AC286" i="65"/>
  <c r="AD369" i="65"/>
  <c r="AC313" i="65"/>
  <c r="AB321" i="65"/>
  <c r="AH321" i="65" s="1"/>
  <c r="AE360" i="65"/>
  <c r="AC323" i="65"/>
  <c r="AC281" i="65"/>
  <c r="AB283" i="65"/>
  <c r="AH283" i="65" s="1"/>
  <c r="AB344" i="65"/>
  <c r="AH344" i="65" s="1"/>
  <c r="AB354" i="65"/>
  <c r="AH354" i="65" s="1"/>
  <c r="AB373" i="65"/>
  <c r="AH373" i="65" s="1"/>
  <c r="AE317" i="65"/>
  <c r="AD274" i="65"/>
  <c r="AP274" i="65" s="1"/>
  <c r="AD306" i="65"/>
  <c r="AP306" i="65" s="1"/>
  <c r="AF307" i="65"/>
  <c r="AR307" i="65" s="1"/>
  <c r="AE283" i="65"/>
  <c r="AB289" i="65"/>
  <c r="AH289" i="65" s="1"/>
  <c r="AF346" i="65"/>
  <c r="AC297" i="65"/>
  <c r="AD353" i="65"/>
  <c r="AB368" i="65"/>
  <c r="AH368" i="65" s="1"/>
  <c r="AI368" i="65" s="1"/>
  <c r="AB277" i="65"/>
  <c r="AH277" i="65" s="1"/>
  <c r="AB375" i="65"/>
  <c r="AH375" i="65" s="1"/>
  <c r="AF296" i="65"/>
  <c r="AD294" i="65"/>
  <c r="AB311" i="65"/>
  <c r="AH311" i="65" s="1"/>
  <c r="AC367" i="65"/>
  <c r="AE347" i="65"/>
  <c r="AF354" i="65"/>
  <c r="AD314" i="65"/>
  <c r="AE383" i="65"/>
  <c r="AF349" i="65"/>
  <c r="AB268" i="65"/>
  <c r="AN268" i="65" s="1"/>
  <c r="AB302" i="65"/>
  <c r="AN302" i="65" s="1"/>
  <c r="AE338" i="65"/>
  <c r="AQ338" i="65" s="1"/>
  <c r="AE370" i="65"/>
  <c r="AQ370" i="65" s="1"/>
  <c r="AC327" i="65"/>
  <c r="AO327" i="65" s="1"/>
  <c r="AC348" i="65"/>
  <c r="AF288" i="65"/>
  <c r="AB347" i="65"/>
  <c r="AH347" i="65" s="1"/>
  <c r="AF313" i="65"/>
  <c r="AF348" i="65"/>
  <c r="AF309" i="65"/>
  <c r="AF323" i="65"/>
  <c r="AF377" i="65"/>
  <c r="AD298" i="65"/>
  <c r="AD366" i="65"/>
  <c r="AF357" i="65"/>
  <c r="AF292" i="65"/>
  <c r="AB351" i="65"/>
  <c r="AH351" i="65" s="1"/>
  <c r="AI351" i="65" s="1"/>
  <c r="AC293" i="65"/>
  <c r="AF332" i="65"/>
  <c r="AR332" i="65" s="1"/>
  <c r="AC379" i="65"/>
  <c r="AE379" i="65"/>
  <c r="AD379" i="65"/>
  <c r="AF247" i="65"/>
  <c r="AR247" i="65" s="1"/>
  <c r="AD297" i="65"/>
  <c r="AE377" i="65"/>
  <c r="AE291" i="65"/>
  <c r="AB290" i="65"/>
  <c r="AH290" i="65" s="1"/>
  <c r="AE286" i="65"/>
  <c r="AE369" i="65"/>
  <c r="AE325" i="65"/>
  <c r="AF321" i="65"/>
  <c r="AF306" i="65"/>
  <c r="AR306" i="65" s="1"/>
  <c r="AC332" i="65"/>
  <c r="AO332" i="65" s="1"/>
  <c r="AB338" i="65"/>
  <c r="AN338" i="65" s="1"/>
  <c r="AC366" i="65"/>
  <c r="AC360" i="65"/>
  <c r="AB367" i="65"/>
  <c r="AH367" i="65" s="1"/>
  <c r="AC294" i="65"/>
  <c r="AC275" i="65"/>
  <c r="AC350" i="65"/>
  <c r="AC271" i="65"/>
  <c r="AO271" i="65" s="1"/>
  <c r="AF330" i="65"/>
  <c r="AR330" i="65" s="1"/>
  <c r="AF382" i="65"/>
  <c r="AR382" i="65" s="1"/>
  <c r="AF58" i="65"/>
  <c r="AD126" i="65"/>
  <c r="AF86" i="65"/>
  <c r="AR86" i="65" s="1"/>
  <c r="AF123" i="65"/>
  <c r="AD287" i="65"/>
  <c r="AE345" i="65"/>
  <c r="AB291" i="65"/>
  <c r="AH291" i="65" s="1"/>
  <c r="AD355" i="65"/>
  <c r="AE279" i="65"/>
  <c r="AE323" i="65"/>
  <c r="AD271" i="65"/>
  <c r="AP271" i="65" s="1"/>
  <c r="AB337" i="65"/>
  <c r="AN337" i="65" s="1"/>
  <c r="AF329" i="65"/>
  <c r="AR329" i="65" s="1"/>
  <c r="AF308" i="65"/>
  <c r="AR308" i="65" s="1"/>
  <c r="AE331" i="65"/>
  <c r="AQ331" i="65" s="1"/>
  <c r="AE302" i="65"/>
  <c r="AQ302" i="65" s="1"/>
  <c r="AB329" i="65"/>
  <c r="AN329" i="65" s="1"/>
  <c r="AC272" i="65"/>
  <c r="AO272" i="65" s="1"/>
  <c r="AD273" i="65"/>
  <c r="AP273" i="65" s="1"/>
  <c r="AD329" i="65"/>
  <c r="AP329" i="65" s="1"/>
  <c r="AF333" i="65"/>
  <c r="AR333" i="65" s="1"/>
  <c r="AD196" i="65"/>
  <c r="AP196" i="65" s="1"/>
  <c r="AD295" i="65"/>
  <c r="AB334" i="65"/>
  <c r="AN334" i="65" s="1"/>
  <c r="AC329" i="65"/>
  <c r="AO329" i="65" s="1"/>
  <c r="AB222" i="65"/>
  <c r="AN222" i="65" s="1"/>
  <c r="AC233" i="65"/>
  <c r="AD361" i="65"/>
  <c r="AB322" i="65"/>
  <c r="AH322" i="65" s="1"/>
  <c r="AB281" i="65"/>
  <c r="AH281" i="65" s="1"/>
  <c r="AE341" i="65"/>
  <c r="AE278" i="65"/>
  <c r="AB384" i="65"/>
  <c r="AH384" i="65" s="1"/>
  <c r="AC326" i="65"/>
  <c r="AO326" i="65" s="1"/>
  <c r="AF335" i="65"/>
  <c r="AR335" i="65" s="1"/>
  <c r="AE332" i="65"/>
  <c r="AQ332" i="65" s="1"/>
  <c r="AC308" i="65"/>
  <c r="AO308" i="65" s="1"/>
  <c r="AF270" i="65"/>
  <c r="AR270" i="65" s="1"/>
  <c r="AC331" i="65"/>
  <c r="AO331" i="65" s="1"/>
  <c r="AE380" i="65"/>
  <c r="AQ380" i="65" s="1"/>
  <c r="AF362" i="65"/>
  <c r="AR362" i="65" s="1"/>
  <c r="AF274" i="65"/>
  <c r="AR274" i="65" s="1"/>
  <c r="AD384" i="65"/>
  <c r="AB369" i="65"/>
  <c r="AH369" i="65" s="1"/>
  <c r="AD376" i="65"/>
  <c r="AF352" i="65"/>
  <c r="AE346" i="65"/>
  <c r="AC346" i="65"/>
  <c r="AF383" i="65"/>
  <c r="AE373" i="65"/>
  <c r="AB326" i="65"/>
  <c r="AN326" i="65" s="1"/>
  <c r="AF271" i="65"/>
  <c r="AR271" i="65" s="1"/>
  <c r="AB305" i="65"/>
  <c r="AN305" i="65" s="1"/>
  <c r="AB303" i="65"/>
  <c r="AN303" i="65" s="1"/>
  <c r="AB336" i="65"/>
  <c r="AN336" i="65" s="1"/>
  <c r="AF336" i="65"/>
  <c r="AR336" i="65" s="1"/>
  <c r="AC363" i="65"/>
  <c r="AO363" i="65" s="1"/>
  <c r="AF363" i="65"/>
  <c r="AR363" i="65" s="1"/>
  <c r="AC177" i="65"/>
  <c r="AO177" i="65" s="1"/>
  <c r="AB349" i="65"/>
  <c r="AH349" i="65" s="1"/>
  <c r="AI349" i="65" s="1"/>
  <c r="AC314" i="65"/>
  <c r="AB325" i="65"/>
  <c r="AH325" i="65" s="1"/>
  <c r="AC373" i="65"/>
  <c r="AE293" i="65"/>
  <c r="AE363" i="65"/>
  <c r="AQ363" i="65" s="1"/>
  <c r="AD99" i="65"/>
  <c r="AB280" i="65"/>
  <c r="AH280" i="65" s="1"/>
  <c r="AN280" i="65" s="1"/>
  <c r="AF290" i="65"/>
  <c r="AC364" i="65"/>
  <c r="AD286" i="65"/>
  <c r="AD309" i="65"/>
  <c r="AB365" i="65"/>
  <c r="AH365" i="65" s="1"/>
  <c r="AB276" i="65"/>
  <c r="AH276" i="65" s="1"/>
  <c r="AN276" i="65" s="1"/>
  <c r="AB341" i="65"/>
  <c r="AH341" i="65" s="1"/>
  <c r="AN341" i="65" s="1"/>
  <c r="AF289" i="65"/>
  <c r="AB335" i="65"/>
  <c r="AN335" i="65" s="1"/>
  <c r="AB370" i="65"/>
  <c r="AN370" i="65" s="1"/>
  <c r="AF372" i="65"/>
  <c r="AE371" i="65"/>
  <c r="AQ371" i="65" s="1"/>
  <c r="AC343" i="65"/>
  <c r="AD281" i="65"/>
  <c r="AC357" i="65"/>
  <c r="AD325" i="65"/>
  <c r="AF322" i="65"/>
  <c r="AC362" i="65"/>
  <c r="AO362" i="65" s="1"/>
  <c r="AE308" i="65"/>
  <c r="AQ308" i="65" s="1"/>
  <c r="AC376" i="65"/>
  <c r="AE290" i="65"/>
  <c r="AB309" i="65"/>
  <c r="AH309" i="65" s="1"/>
  <c r="AF344" i="65"/>
  <c r="AE319" i="65"/>
  <c r="AB332" i="65"/>
  <c r="AN332" i="65" s="1"/>
  <c r="AE330" i="65"/>
  <c r="AQ330" i="65" s="1"/>
  <c r="AD318" i="65"/>
  <c r="AP318" i="65" s="1"/>
  <c r="AB327" i="65"/>
  <c r="AN327" i="65" s="1"/>
  <c r="AD93" i="65"/>
  <c r="AD173" i="65"/>
  <c r="AP173" i="65" s="1"/>
  <c r="AE376" i="65"/>
  <c r="AE312" i="65"/>
  <c r="AB379" i="65"/>
  <c r="AH379" i="65" s="1"/>
  <c r="AF284" i="65"/>
  <c r="AB286" i="65"/>
  <c r="AH286" i="65" s="1"/>
  <c r="AE349" i="65"/>
  <c r="AC269" i="65"/>
  <c r="AO269" i="65" s="1"/>
  <c r="AH342" i="65"/>
  <c r="AD340" i="65"/>
  <c r="AC319" i="65"/>
  <c r="AD346" i="65"/>
  <c r="AB374" i="65"/>
  <c r="AC291" i="65"/>
  <c r="AD360" i="65"/>
  <c r="AE350" i="65"/>
  <c r="AE374" i="65"/>
  <c r="AD351" i="65"/>
  <c r="AD334" i="65"/>
  <c r="AP334" i="65" s="1"/>
  <c r="AB378" i="65"/>
  <c r="AC270" i="65"/>
  <c r="AO270" i="65" s="1"/>
  <c r="AE335" i="65"/>
  <c r="AQ335" i="65" s="1"/>
  <c r="AF268" i="65"/>
  <c r="AR268" i="65" s="1"/>
  <c r="AF300" i="65"/>
  <c r="AR300" i="65" s="1"/>
  <c r="AB308" i="65"/>
  <c r="AN308" i="65" s="1"/>
  <c r="AE372" i="65"/>
  <c r="AD349" i="65"/>
  <c r="AF293" i="65"/>
  <c r="AD336" i="65"/>
  <c r="AP336" i="65" s="1"/>
  <c r="AC305" i="65"/>
  <c r="AO305" i="65" s="1"/>
  <c r="AC382" i="65"/>
  <c r="AO382" i="65" s="1"/>
  <c r="AC307" i="65"/>
  <c r="AO307" i="65" s="1"/>
  <c r="AB363" i="65"/>
  <c r="AN363" i="65" s="1"/>
  <c r="AE365" i="65"/>
  <c r="AD275" i="65"/>
  <c r="AB381" i="65"/>
  <c r="AN381" i="65" s="1"/>
  <c r="AE301" i="65"/>
  <c r="AQ301" i="65" s="1"/>
  <c r="AC322" i="65"/>
  <c r="AD283" i="65"/>
  <c r="AC356" i="65"/>
  <c r="AE289" i="65"/>
  <c r="AD319" i="65"/>
  <c r="AD312" i="65"/>
  <c r="AF311" i="65"/>
  <c r="AC303" i="65"/>
  <c r="AO303" i="65" s="1"/>
  <c r="AE268" i="65"/>
  <c r="AQ268" i="65" s="1"/>
  <c r="AE326" i="65"/>
  <c r="AQ326" i="65" s="1"/>
  <c r="AD272" i="65"/>
  <c r="AP272" i="65" s="1"/>
  <c r="AD372" i="65"/>
  <c r="AB318" i="65"/>
  <c r="AN318" i="65" s="1"/>
  <c r="AF272" i="65"/>
  <c r="AR272" i="65" s="1"/>
  <c r="AB273" i="65"/>
  <c r="AN273" i="65" s="1"/>
  <c r="AB304" i="65"/>
  <c r="AN304" i="65" s="1"/>
  <c r="AE334" i="65"/>
  <c r="AQ334" i="65" s="1"/>
  <c r="AE270" i="65"/>
  <c r="AQ270" i="65" s="1"/>
  <c r="AF282" i="65"/>
  <c r="AD354" i="65"/>
  <c r="AD359" i="65"/>
  <c r="AC365" i="65"/>
  <c r="AF317" i="65"/>
  <c r="AE305" i="65"/>
  <c r="AQ305" i="65" s="1"/>
  <c r="AF305" i="65"/>
  <c r="AR305" i="65" s="1"/>
  <c r="AD370" i="65"/>
  <c r="AP370" i="65" s="1"/>
  <c r="AB382" i="65"/>
  <c r="AN382" i="65" s="1"/>
  <c r="AC330" i="65"/>
  <c r="AO330" i="65" s="1"/>
  <c r="AE359" i="65"/>
  <c r="AD333" i="65"/>
  <c r="AP333" i="65" s="1"/>
  <c r="AF299" i="65"/>
  <c r="AR299" i="65" s="1"/>
  <c r="AD307" i="65"/>
  <c r="AP307" i="65" s="1"/>
  <c r="AF371" i="65"/>
  <c r="AR371" i="65" s="1"/>
  <c r="AC381" i="65"/>
  <c r="AO381" i="65" s="1"/>
  <c r="AC301" i="65"/>
  <c r="AO301" i="65" s="1"/>
  <c r="AF365" i="65"/>
  <c r="AH298" i="65"/>
  <c r="AI298" i="65" s="1"/>
  <c r="AH315" i="65"/>
  <c r="AH340" i="65"/>
  <c r="AH339" i="65"/>
  <c r="AF287" i="65"/>
  <c r="AF341" i="65"/>
  <c r="AC377" i="65"/>
  <c r="AC341" i="65"/>
  <c r="AB358" i="65"/>
  <c r="AD356" i="65"/>
  <c r="AD352" i="65"/>
  <c r="AC324" i="65"/>
  <c r="AC321" i="65"/>
  <c r="AB312" i="65"/>
  <c r="AD332" i="65"/>
  <c r="AP332" i="65" s="1"/>
  <c r="AC304" i="65"/>
  <c r="AO304" i="65" s="1"/>
  <c r="AF337" i="65"/>
  <c r="AR337" i="65" s="1"/>
  <c r="AD328" i="65"/>
  <c r="AP328" i="65" s="1"/>
  <c r="AB380" i="65"/>
  <c r="AN380" i="65" s="1"/>
  <c r="AE306" i="65"/>
  <c r="AQ306" i="65" s="1"/>
  <c r="AC276" i="65"/>
  <c r="AB383" i="65"/>
  <c r="AD331" i="65"/>
  <c r="AP331" i="65" s="1"/>
  <c r="AD362" i="65"/>
  <c r="AP362" i="65" s="1"/>
  <c r="AB293" i="65"/>
  <c r="AC285" i="65"/>
  <c r="AF276" i="65"/>
  <c r="AB299" i="65"/>
  <c r="AN299" i="65" s="1"/>
  <c r="AE276" i="65"/>
  <c r="AE333" i="65"/>
  <c r="AQ333" i="65" s="1"/>
  <c r="AE381" i="65"/>
  <c r="AQ381" i="65" s="1"/>
  <c r="AC333" i="65"/>
  <c r="AO333" i="65" s="1"/>
  <c r="AD269" i="65"/>
  <c r="AP269" i="65" s="1"/>
  <c r="AF301" i="65"/>
  <c r="AR301" i="65" s="1"/>
  <c r="AC371" i="65"/>
  <c r="AO371" i="65" s="1"/>
  <c r="AE307" i="65"/>
  <c r="AQ307" i="65" s="1"/>
  <c r="AB269" i="65"/>
  <c r="AN269" i="65" s="1"/>
  <c r="AF275" i="65"/>
  <c r="AC311" i="65"/>
  <c r="AB345" i="65"/>
  <c r="AE322" i="65"/>
  <c r="AF315" i="65"/>
  <c r="AB316" i="65"/>
  <c r="AC280" i="65"/>
  <c r="AF316" i="65"/>
  <c r="AB372" i="65"/>
  <c r="AE375" i="65"/>
  <c r="AC279" i="65"/>
  <c r="AF291" i="65"/>
  <c r="AF297" i="65"/>
  <c r="AF366" i="65"/>
  <c r="AB320" i="65"/>
  <c r="AD279" i="65"/>
  <c r="AE368" i="65"/>
  <c r="AE315" i="65"/>
  <c r="AE324" i="65"/>
  <c r="AB274" i="65"/>
  <c r="AN274" i="65" s="1"/>
  <c r="AB346" i="65"/>
  <c r="AB355" i="65"/>
  <c r="AE358" i="65"/>
  <c r="AC352" i="65"/>
  <c r="AD367" i="65"/>
  <c r="AD323" i="65"/>
  <c r="AF361" i="65"/>
  <c r="AH292" i="65"/>
  <c r="AE340" i="65"/>
  <c r="AC310" i="65"/>
  <c r="AH288" i="65"/>
  <c r="AD374" i="65"/>
  <c r="AF319" i="65"/>
  <c r="AD375" i="65"/>
  <c r="AF351" i="65"/>
  <c r="AE287" i="65"/>
  <c r="AE280" i="65"/>
  <c r="AB279" i="65"/>
  <c r="AE311" i="65"/>
  <c r="AD277" i="65"/>
  <c r="AB377" i="65"/>
  <c r="AB353" i="65"/>
  <c r="AC300" i="65"/>
  <c r="AO300" i="65" s="1"/>
  <c r="AD335" i="65"/>
  <c r="AP335" i="65" s="1"/>
  <c r="AB300" i="65"/>
  <c r="AN300" i="65" s="1"/>
  <c r="AE337" i="65"/>
  <c r="AQ337" i="65" s="1"/>
  <c r="AC268" i="65"/>
  <c r="AO268" i="65" s="1"/>
  <c r="AC337" i="65"/>
  <c r="AO337" i="65" s="1"/>
  <c r="AF328" i="65"/>
  <c r="AR328" i="65" s="1"/>
  <c r="AE304" i="65"/>
  <c r="AQ304" i="65" s="1"/>
  <c r="AC273" i="65"/>
  <c r="AO273" i="65" s="1"/>
  <c r="AD300" i="65"/>
  <c r="AP300" i="65" s="1"/>
  <c r="AF364" i="65"/>
  <c r="AD302" i="65"/>
  <c r="AP302" i="65" s="1"/>
  <c r="AD380" i="65"/>
  <c r="AP380" i="65" s="1"/>
  <c r="AE364" i="65"/>
  <c r="AD270" i="65"/>
  <c r="AP270" i="65" s="1"/>
  <c r="AC370" i="65"/>
  <c r="AO370" i="65" s="1"/>
  <c r="AD330" i="65"/>
  <c r="AP330" i="65" s="1"/>
  <c r="AC380" i="65"/>
  <c r="AO380" i="65" s="1"/>
  <c r="AE303" i="65"/>
  <c r="AQ303" i="65" s="1"/>
  <c r="AD326" i="65"/>
  <c r="AP326" i="65" s="1"/>
  <c r="AD337" i="65"/>
  <c r="AP337" i="65" s="1"/>
  <c r="AF303" i="65"/>
  <c r="AR303" i="65" s="1"/>
  <c r="AB270" i="65"/>
  <c r="AN270" i="65" s="1"/>
  <c r="AB357" i="65"/>
  <c r="AD338" i="65"/>
  <c r="AP338" i="65" s="1"/>
  <c r="AB317" i="65"/>
  <c r="AF331" i="65"/>
  <c r="AR331" i="65" s="1"/>
  <c r="AE382" i="65"/>
  <c r="AQ382" i="65" s="1"/>
  <c r="AC338" i="65"/>
  <c r="AO338" i="65" s="1"/>
  <c r="AC306" i="65"/>
  <c r="AO306" i="65" s="1"/>
  <c r="AB282" i="65"/>
  <c r="AB362" i="65"/>
  <c r="AN362" i="65" s="1"/>
  <c r="AD381" i="65"/>
  <c r="AP381" i="65" s="1"/>
  <c r="AE275" i="65"/>
  <c r="AB333" i="65"/>
  <c r="AN333" i="65" s="1"/>
  <c r="AD371" i="65"/>
  <c r="AP371" i="65" s="1"/>
  <c r="AF373" i="65"/>
  <c r="AF327" i="65"/>
  <c r="AR327" i="65" s="1"/>
  <c r="AC299" i="65"/>
  <c r="AO299" i="65" s="1"/>
  <c r="AD299" i="65"/>
  <c r="AP299" i="65" s="1"/>
  <c r="AE215" i="65"/>
  <c r="AF157" i="65"/>
  <c r="AB189" i="65"/>
  <c r="AH189" i="65" s="1"/>
  <c r="AB190" i="65"/>
  <c r="AH190" i="65" s="1"/>
  <c r="AE211" i="65"/>
  <c r="AB188" i="65"/>
  <c r="AH188" i="65" s="1"/>
  <c r="AN188" i="65" s="1"/>
  <c r="AC261" i="65"/>
  <c r="AO261" i="65" s="1"/>
  <c r="AB177" i="65"/>
  <c r="AN177" i="65" s="1"/>
  <c r="AE265" i="65"/>
  <c r="AQ265" i="65" s="1"/>
  <c r="AF149" i="65"/>
  <c r="AR149" i="65" s="1"/>
  <c r="AB226" i="65"/>
  <c r="AN226" i="65" s="1"/>
  <c r="AE236" i="65"/>
  <c r="AB180" i="65"/>
  <c r="AN180" i="65" s="1"/>
  <c r="AF150" i="65"/>
  <c r="AR150" i="65" s="1"/>
  <c r="AB144" i="65"/>
  <c r="AN144" i="65" s="1"/>
  <c r="AF152" i="65"/>
  <c r="AR152" i="65" s="1"/>
  <c r="AD160" i="65"/>
  <c r="AB151" i="65"/>
  <c r="AH151" i="65" s="1"/>
  <c r="AN151" i="65" s="1"/>
  <c r="AC206" i="65"/>
  <c r="AO206" i="65" s="1"/>
  <c r="AC262" i="65"/>
  <c r="AO262" i="65" s="1"/>
  <c r="AF198" i="65"/>
  <c r="AR198" i="65" s="1"/>
  <c r="AF188" i="65"/>
  <c r="AR188" i="65" s="1"/>
  <c r="AC170" i="65"/>
  <c r="AB184" i="65"/>
  <c r="AN184" i="65" s="1"/>
  <c r="AE224" i="65"/>
  <c r="AQ224" i="65" s="1"/>
  <c r="AF177" i="65"/>
  <c r="AR177" i="65" s="1"/>
  <c r="AC245" i="65"/>
  <c r="AO245" i="65" s="1"/>
  <c r="AC208" i="65"/>
  <c r="AO208" i="65" s="1"/>
  <c r="AF204" i="65"/>
  <c r="AR204" i="65" s="1"/>
  <c r="AD188" i="65"/>
  <c r="AP188" i="65" s="1"/>
  <c r="AB148" i="65"/>
  <c r="AN148" i="65" s="1"/>
  <c r="AD262" i="65"/>
  <c r="AP262" i="65" s="1"/>
  <c r="AE178" i="65"/>
  <c r="AQ178" i="65" s="1"/>
  <c r="AC196" i="65"/>
  <c r="AO196" i="65" s="1"/>
  <c r="AC202" i="65"/>
  <c r="AO202" i="65" s="1"/>
  <c r="AE203" i="65"/>
  <c r="AQ203" i="65" s="1"/>
  <c r="AD119" i="65"/>
  <c r="AB112" i="65"/>
  <c r="AH112" i="65" s="1"/>
  <c r="AN112" i="65" s="1"/>
  <c r="AB198" i="65"/>
  <c r="AN198" i="65" s="1"/>
  <c r="AE223" i="65"/>
  <c r="AQ223" i="65" s="1"/>
  <c r="AD179" i="65"/>
  <c r="AP179" i="65" s="1"/>
  <c r="AB260" i="65"/>
  <c r="AN260" i="65" s="1"/>
  <c r="AF201" i="65"/>
  <c r="AR201" i="65" s="1"/>
  <c r="AE152" i="65"/>
  <c r="AQ152" i="65" s="1"/>
  <c r="AE149" i="65"/>
  <c r="AQ149" i="65" s="1"/>
  <c r="AD224" i="65"/>
  <c r="AP224" i="65" s="1"/>
  <c r="AB172" i="65"/>
  <c r="AN172" i="65" s="1"/>
  <c r="AF185" i="65"/>
  <c r="AR185" i="65" s="1"/>
  <c r="AC210" i="65"/>
  <c r="AE216" i="65"/>
  <c r="AE246" i="65"/>
  <c r="AQ246" i="65" s="1"/>
  <c r="AB174" i="65"/>
  <c r="AN174" i="65" s="1"/>
  <c r="AF227" i="65"/>
  <c r="AR227" i="65" s="1"/>
  <c r="AF151" i="65"/>
  <c r="AR151" i="65" s="1"/>
  <c r="AC172" i="65"/>
  <c r="AO172" i="65" s="1"/>
  <c r="AC146" i="65"/>
  <c r="AO146" i="65" s="1"/>
  <c r="AF263" i="65"/>
  <c r="AR263" i="65" s="1"/>
  <c r="AB266" i="65"/>
  <c r="AN266" i="65" s="1"/>
  <c r="AE234" i="65"/>
  <c r="AE200" i="65"/>
  <c r="AQ200" i="65" s="1"/>
  <c r="AF173" i="65"/>
  <c r="AR173" i="65" s="1"/>
  <c r="AB262" i="65"/>
  <c r="AN262" i="65" s="1"/>
  <c r="AC166" i="65"/>
  <c r="AE182" i="65"/>
  <c r="AQ182" i="65" s="1"/>
  <c r="AF264" i="65"/>
  <c r="AR264" i="65" s="1"/>
  <c r="AC187" i="65"/>
  <c r="AO187" i="65" s="1"/>
  <c r="AC171" i="65"/>
  <c r="AO171" i="65" s="1"/>
  <c r="AF266" i="65"/>
  <c r="AR266" i="65" s="1"/>
  <c r="AC198" i="65"/>
  <c r="AO198" i="65" s="1"/>
  <c r="AB181" i="65"/>
  <c r="AN181" i="65" s="1"/>
  <c r="AC201" i="65"/>
  <c r="AO201" i="65" s="1"/>
  <c r="AF208" i="65"/>
  <c r="AR208" i="65" s="1"/>
  <c r="AF196" i="65"/>
  <c r="AR196" i="65" s="1"/>
  <c r="AE147" i="65"/>
  <c r="AQ147" i="65" s="1"/>
  <c r="AD201" i="65"/>
  <c r="AP201" i="65" s="1"/>
  <c r="AF172" i="65"/>
  <c r="AR172" i="65" s="1"/>
  <c r="AE148" i="65"/>
  <c r="AQ148" i="65" s="1"/>
  <c r="AE177" i="65"/>
  <c r="AQ177" i="65" s="1"/>
  <c r="AE160" i="65"/>
  <c r="AC175" i="65"/>
  <c r="AO175" i="65" s="1"/>
  <c r="AB264" i="65"/>
  <c r="AN264" i="65" s="1"/>
  <c r="AF187" i="65"/>
  <c r="AR187" i="65" s="1"/>
  <c r="AC147" i="65"/>
  <c r="AO147" i="65" s="1"/>
  <c r="AB206" i="65"/>
  <c r="AN206" i="65" s="1"/>
  <c r="AD180" i="65"/>
  <c r="AP180" i="65" s="1"/>
  <c r="AC234" i="65"/>
  <c r="AC265" i="65"/>
  <c r="AO265" i="65" s="1"/>
  <c r="AD202" i="65"/>
  <c r="AP202" i="65" s="1"/>
  <c r="AE176" i="65"/>
  <c r="AQ176" i="65" s="1"/>
  <c r="AE205" i="65"/>
  <c r="AQ205" i="65" s="1"/>
  <c r="AD182" i="65"/>
  <c r="AP182" i="65" s="1"/>
  <c r="AB202" i="65"/>
  <c r="AN202" i="65" s="1"/>
  <c r="AE174" i="65"/>
  <c r="AQ174" i="65" s="1"/>
  <c r="AE263" i="65"/>
  <c r="AQ263" i="65" s="1"/>
  <c r="AD264" i="65"/>
  <c r="AP264" i="65" s="1"/>
  <c r="AC151" i="65"/>
  <c r="AO151" i="65" s="1"/>
  <c r="AE226" i="65"/>
  <c r="AQ226" i="65" s="1"/>
  <c r="AE206" i="65"/>
  <c r="AQ206" i="65" s="1"/>
  <c r="AB224" i="65"/>
  <c r="AN224" i="65" s="1"/>
  <c r="AE188" i="65"/>
  <c r="AQ188" i="65" s="1"/>
  <c r="AE264" i="65"/>
  <c r="AQ264" i="65" s="1"/>
  <c r="AE225" i="65"/>
  <c r="AQ225" i="65" s="1"/>
  <c r="AC224" i="65"/>
  <c r="AO224" i="65" s="1"/>
  <c r="AB261" i="65"/>
  <c r="AN261" i="65" s="1"/>
  <c r="AD176" i="65"/>
  <c r="AP176" i="65" s="1"/>
  <c r="AB245" i="65"/>
  <c r="AN245" i="65" s="1"/>
  <c r="AE208" i="65"/>
  <c r="AQ208" i="65" s="1"/>
  <c r="AE144" i="65"/>
  <c r="AQ144" i="65" s="1"/>
  <c r="AD265" i="65"/>
  <c r="AP265" i="65" s="1"/>
  <c r="B482" i="40"/>
  <c r="B201" i="65"/>
  <c r="AD175" i="65"/>
  <c r="AP175" i="65" s="1"/>
  <c r="AE199" i="65"/>
  <c r="AQ199" i="65" s="1"/>
  <c r="AB146" i="65"/>
  <c r="AN146" i="65" s="1"/>
  <c r="AF179" i="65"/>
  <c r="AR179" i="65" s="1"/>
  <c r="AF153" i="65"/>
  <c r="AR153" i="65" s="1"/>
  <c r="AC266" i="65"/>
  <c r="AO266" i="65" s="1"/>
  <c r="AD186" i="65"/>
  <c r="AP186" i="65" s="1"/>
  <c r="AC178" i="65"/>
  <c r="AO178" i="65" s="1"/>
  <c r="AF224" i="65"/>
  <c r="AR224" i="65" s="1"/>
  <c r="AE186" i="65"/>
  <c r="AQ186" i="65" s="1"/>
  <c r="AB200" i="65"/>
  <c r="AN200" i="65" s="1"/>
  <c r="AF144" i="65"/>
  <c r="AR144" i="65" s="1"/>
  <c r="AD161" i="65"/>
  <c r="AF190" i="65"/>
  <c r="AD170" i="65"/>
  <c r="AD257" i="65"/>
  <c r="AF252" i="65"/>
  <c r="AE213" i="65"/>
  <c r="AC165" i="65"/>
  <c r="AD234" i="65"/>
  <c r="AE267" i="65"/>
  <c r="AC256" i="65"/>
  <c r="AC227" i="65"/>
  <c r="AB220" i="65"/>
  <c r="AH220" i="65" s="1"/>
  <c r="AB216" i="65"/>
  <c r="AH216" i="65" s="1"/>
  <c r="AB169" i="65"/>
  <c r="AH169" i="65" s="1"/>
  <c r="AN169" i="65" s="1"/>
  <c r="AC218" i="65"/>
  <c r="AB210" i="65"/>
  <c r="AB213" i="65"/>
  <c r="AH213" i="65" s="1"/>
  <c r="AD162" i="65"/>
  <c r="AE191" i="65"/>
  <c r="AC259" i="65"/>
  <c r="AE237" i="65"/>
  <c r="AB252" i="65"/>
  <c r="AH252" i="65" s="1"/>
  <c r="AN252" i="65" s="1"/>
  <c r="AC239" i="65"/>
  <c r="AE169" i="65"/>
  <c r="AB164" i="65"/>
  <c r="AH164" i="65" s="1"/>
  <c r="AN164" i="65" s="1"/>
  <c r="AE256" i="65"/>
  <c r="AB162" i="65"/>
  <c r="AH162" i="65" s="1"/>
  <c r="AN162" i="65" s="1"/>
  <c r="AC229" i="65"/>
  <c r="AE249" i="65"/>
  <c r="AD238" i="65"/>
  <c r="AE240" i="65"/>
  <c r="AE239" i="65"/>
  <c r="AD231" i="65"/>
  <c r="AC167" i="65"/>
  <c r="AD254" i="65"/>
  <c r="AC214" i="65"/>
  <c r="AD153" i="65"/>
  <c r="AD157" i="65"/>
  <c r="AB251" i="65"/>
  <c r="AH251" i="65" s="1"/>
  <c r="AN251" i="65" s="1"/>
  <c r="AF235" i="65"/>
  <c r="AB167" i="65"/>
  <c r="AH167" i="65" s="1"/>
  <c r="AF218" i="65"/>
  <c r="AE157" i="65"/>
  <c r="AF195" i="65"/>
  <c r="AC243" i="65"/>
  <c r="AC235" i="65"/>
  <c r="AE163" i="65"/>
  <c r="AB258" i="65"/>
  <c r="AH258" i="65" s="1"/>
  <c r="AB168" i="65"/>
  <c r="AH168" i="65" s="1"/>
  <c r="AN168" i="65" s="1"/>
  <c r="AF161" i="65"/>
  <c r="AB250" i="65"/>
  <c r="AH250" i="65" s="1"/>
  <c r="AC241" i="65"/>
  <c r="AE161" i="65"/>
  <c r="AF254" i="65"/>
  <c r="AD158" i="65"/>
  <c r="AB237" i="65"/>
  <c r="AH237" i="65" s="1"/>
  <c r="AD228" i="65"/>
  <c r="AF233" i="65"/>
  <c r="AC250" i="65"/>
  <c r="AC158" i="65"/>
  <c r="AF209" i="65"/>
  <c r="AF228" i="65"/>
  <c r="AR228" i="65" s="1"/>
  <c r="AE165" i="65"/>
  <c r="AD147" i="65"/>
  <c r="AP147" i="65" s="1"/>
  <c r="AD151" i="65"/>
  <c r="AP151" i="65" s="1"/>
  <c r="AB199" i="65"/>
  <c r="AN199" i="65" s="1"/>
  <c r="AC204" i="65"/>
  <c r="AO204" i="65" s="1"/>
  <c r="AF146" i="65"/>
  <c r="AR146" i="65" s="1"/>
  <c r="AH191" i="65"/>
  <c r="AN191" i="65" s="1"/>
  <c r="AB207" i="65"/>
  <c r="AN207" i="65" s="1"/>
  <c r="AD145" i="65"/>
  <c r="AP145" i="65" s="1"/>
  <c r="AC150" i="65"/>
  <c r="AO150" i="65" s="1"/>
  <c r="AC216" i="65"/>
  <c r="AE227" i="65"/>
  <c r="AQ227" i="65" s="1"/>
  <c r="AF259" i="65"/>
  <c r="AE231" i="65"/>
  <c r="AE202" i="65"/>
  <c r="AQ202" i="65" s="1"/>
  <c r="AE245" i="65"/>
  <c r="AQ245" i="65" s="1"/>
  <c r="AF182" i="65"/>
  <c r="AR182" i="65" s="1"/>
  <c r="AD183" i="65"/>
  <c r="AP183" i="65" s="1"/>
  <c r="AC226" i="65"/>
  <c r="AO226" i="65" s="1"/>
  <c r="AB197" i="65"/>
  <c r="AN197" i="65" s="1"/>
  <c r="AD199" i="65"/>
  <c r="AP199" i="65" s="1"/>
  <c r="AD223" i="65"/>
  <c r="AP223" i="65" s="1"/>
  <c r="AC223" i="65"/>
  <c r="AO223" i="65" s="1"/>
  <c r="AE175" i="65"/>
  <c r="AQ175" i="65" s="1"/>
  <c r="AC203" i="65"/>
  <c r="AO203" i="65" s="1"/>
  <c r="AE179" i="65"/>
  <c r="AQ179" i="65" s="1"/>
  <c r="AF222" i="65"/>
  <c r="AR222" i="65" s="1"/>
  <c r="AE201" i="65"/>
  <c r="AQ201" i="65" s="1"/>
  <c r="AF184" i="65"/>
  <c r="AR184" i="65" s="1"/>
  <c r="AD172" i="65"/>
  <c r="AP172" i="65" s="1"/>
  <c r="AB225" i="65"/>
  <c r="AN225" i="65" s="1"/>
  <c r="AB196" i="65"/>
  <c r="AN196" i="65" s="1"/>
  <c r="AB265" i="65"/>
  <c r="AN265" i="65" s="1"/>
  <c r="AB204" i="65"/>
  <c r="AN204" i="65" s="1"/>
  <c r="AD148" i="65"/>
  <c r="AP148" i="65" s="1"/>
  <c r="AF262" i="65"/>
  <c r="AR262" i="65" s="1"/>
  <c r="AD226" i="65"/>
  <c r="AP226" i="65" s="1"/>
  <c r="AC222" i="65"/>
  <c r="AO222" i="65" s="1"/>
  <c r="AD198" i="65"/>
  <c r="AP198" i="65" s="1"/>
  <c r="AC186" i="65"/>
  <c r="AO186" i="65" s="1"/>
  <c r="AB201" i="65"/>
  <c r="AN201" i="65" s="1"/>
  <c r="AE181" i="65"/>
  <c r="AQ181" i="65" s="1"/>
  <c r="AC200" i="65"/>
  <c r="AO200" i="65" s="1"/>
  <c r="AF180" i="65"/>
  <c r="AR180" i="65" s="1"/>
  <c r="AB145" i="65"/>
  <c r="AN145" i="65" s="1"/>
  <c r="AD150" i="65"/>
  <c r="AP150" i="65" s="1"/>
  <c r="AE184" i="65"/>
  <c r="AQ184" i="65" s="1"/>
  <c r="AC180" i="65"/>
  <c r="AO180" i="65" s="1"/>
  <c r="AC148" i="65"/>
  <c r="AO148" i="65" s="1"/>
  <c r="AC169" i="65"/>
  <c r="AB267" i="65"/>
  <c r="AD247" i="65"/>
  <c r="AB257" i="65"/>
  <c r="AC221" i="65"/>
  <c r="AB246" i="65"/>
  <c r="AF219" i="65"/>
  <c r="AF221" i="65"/>
  <c r="AC242" i="65"/>
  <c r="AF230" i="65"/>
  <c r="AC157" i="65"/>
  <c r="AE248" i="65"/>
  <c r="AE167" i="65"/>
  <c r="AB247" i="65"/>
  <c r="AE229" i="65"/>
  <c r="AC193" i="65"/>
  <c r="AB150" i="65"/>
  <c r="AN150" i="65" s="1"/>
  <c r="AC247" i="65"/>
  <c r="AE164" i="65"/>
  <c r="AF267" i="65"/>
  <c r="AB159" i="65"/>
  <c r="AB211" i="65"/>
  <c r="AE154" i="65"/>
  <c r="AF169" i="65"/>
  <c r="AB157" i="65"/>
  <c r="AD253" i="65"/>
  <c r="AC152" i="65"/>
  <c r="AB248" i="65"/>
  <c r="AC240" i="65"/>
  <c r="AF216" i="65"/>
  <c r="AF154" i="65"/>
  <c r="AR154" i="65" s="1"/>
  <c r="AB193" i="65"/>
  <c r="AF164" i="65"/>
  <c r="AB218" i="65"/>
  <c r="AC213" i="65"/>
  <c r="AD255" i="65"/>
  <c r="AC238" i="65"/>
  <c r="AC249" i="65"/>
  <c r="AE255" i="65"/>
  <c r="AD230" i="65"/>
  <c r="AD240" i="65"/>
  <c r="AC251" i="65"/>
  <c r="AB235" i="65"/>
  <c r="AB227" i="65"/>
  <c r="AB163" i="65"/>
  <c r="AB242" i="65"/>
  <c r="AE158" i="65"/>
  <c r="AC248" i="65"/>
  <c r="AF193" i="65"/>
  <c r="AE243" i="65"/>
  <c r="AC231" i="65"/>
  <c r="AF155" i="65"/>
  <c r="AB214" i="65"/>
  <c r="AE192" i="65"/>
  <c r="AF238" i="65"/>
  <c r="AB243" i="65"/>
  <c r="AF211" i="65"/>
  <c r="AC163" i="65"/>
  <c r="AE254" i="65"/>
  <c r="AF214" i="65"/>
  <c r="AF156" i="65"/>
  <c r="AD212" i="65"/>
  <c r="AF240" i="65"/>
  <c r="AF242" i="65"/>
  <c r="AE195" i="65"/>
  <c r="AD195" i="65"/>
  <c r="AD163" i="65"/>
  <c r="AE250" i="65"/>
  <c r="AB253" i="65"/>
  <c r="AC160" i="65"/>
  <c r="AB209" i="65"/>
  <c r="AF168" i="65"/>
  <c r="AF217" i="65"/>
  <c r="AE232" i="65"/>
  <c r="AF158" i="65"/>
  <c r="AF165" i="65"/>
  <c r="AB154" i="65"/>
  <c r="AC153" i="65"/>
  <c r="AC156" i="65"/>
  <c r="AC212" i="65"/>
  <c r="AE187" i="65"/>
  <c r="AQ187" i="65" s="1"/>
  <c r="AD185" i="65"/>
  <c r="AP185" i="65" s="1"/>
  <c r="AE180" i="65"/>
  <c r="AQ180" i="65" s="1"/>
  <c r="AB156" i="65"/>
  <c r="AB60" i="65"/>
  <c r="AH60" i="65" s="1"/>
  <c r="AE66" i="65"/>
  <c r="AD71" i="65"/>
  <c r="AE155" i="65"/>
  <c r="AC162" i="65"/>
  <c r="AD213" i="65"/>
  <c r="AC182" i="65"/>
  <c r="AO182" i="65" s="1"/>
  <c r="AD187" i="65"/>
  <c r="AP187" i="65" s="1"/>
  <c r="AC183" i="65"/>
  <c r="AO183" i="65" s="1"/>
  <c r="AD171" i="65"/>
  <c r="AP171" i="65" s="1"/>
  <c r="AE266" i="65"/>
  <c r="AQ266" i="65" s="1"/>
  <c r="AB178" i="65"/>
  <c r="AN178" i="65" s="1"/>
  <c r="AE197" i="65"/>
  <c r="AQ197" i="65" s="1"/>
  <c r="AC174" i="65"/>
  <c r="AO174" i="65" s="1"/>
  <c r="AF183" i="65"/>
  <c r="AR183" i="65" s="1"/>
  <c r="AB171" i="65"/>
  <c r="AN171" i="65" s="1"/>
  <c r="AB147" i="65"/>
  <c r="AN147" i="65" s="1"/>
  <c r="AE242" i="65"/>
  <c r="AF226" i="65"/>
  <c r="AR226" i="65" s="1"/>
  <c r="AB186" i="65"/>
  <c r="AN186" i="65" s="1"/>
  <c r="AD181" i="65"/>
  <c r="AP181" i="65" s="1"/>
  <c r="AD208" i="65"/>
  <c r="AP208" i="65" s="1"/>
  <c r="AD144" i="65"/>
  <c r="AP144" i="65" s="1"/>
  <c r="AF223" i="65"/>
  <c r="AR223" i="65" s="1"/>
  <c r="AF202" i="65"/>
  <c r="AR202" i="65" s="1"/>
  <c r="AD207" i="65"/>
  <c r="AP207" i="65" s="1"/>
  <c r="AC199" i="65"/>
  <c r="AO199" i="65" s="1"/>
  <c r="AF174" i="65"/>
  <c r="AR174" i="65" s="1"/>
  <c r="AD146" i="65"/>
  <c r="AP146" i="65" s="1"/>
  <c r="AE173" i="65"/>
  <c r="AQ173" i="65" s="1"/>
  <c r="AC263" i="65"/>
  <c r="AO263" i="65" s="1"/>
  <c r="AB183" i="65"/>
  <c r="AN183" i="65" s="1"/>
  <c r="AC179" i="65"/>
  <c r="AO179" i="65" s="1"/>
  <c r="AE262" i="65"/>
  <c r="AQ262" i="65" s="1"/>
  <c r="AD206" i="65"/>
  <c r="AP206" i="65" s="1"/>
  <c r="AD245" i="65"/>
  <c r="AP245" i="65" s="1"/>
  <c r="AF260" i="65"/>
  <c r="AR260" i="65" s="1"/>
  <c r="AD168" i="65"/>
  <c r="AC197" i="65"/>
  <c r="AO197" i="65" s="1"/>
  <c r="AC185" i="65"/>
  <c r="AO185" i="65" s="1"/>
  <c r="AD205" i="65"/>
  <c r="AP205" i="65" s="1"/>
  <c r="AF145" i="65"/>
  <c r="AR145" i="65" s="1"/>
  <c r="AE244" i="65"/>
  <c r="AQ244" i="65" s="1"/>
  <c r="AD266" i="65"/>
  <c r="AP266" i="65" s="1"/>
  <c r="AD222" i="65"/>
  <c r="AP222" i="65" s="1"/>
  <c r="AD178" i="65"/>
  <c r="AP178" i="65" s="1"/>
  <c r="AE150" i="65"/>
  <c r="AQ150" i="65" s="1"/>
  <c r="AD200" i="65"/>
  <c r="AP200" i="65" s="1"/>
  <c r="AD225" i="65"/>
  <c r="AP225" i="65" s="1"/>
  <c r="AE260" i="65"/>
  <c r="AQ260" i="65" s="1"/>
  <c r="AE261" i="65"/>
  <c r="AQ261" i="65" s="1"/>
  <c r="AE185" i="65"/>
  <c r="AQ185" i="65" s="1"/>
  <c r="AF148" i="65"/>
  <c r="AR148" i="65" s="1"/>
  <c r="AF181" i="65"/>
  <c r="AR181" i="65" s="1"/>
  <c r="AB176" i="65"/>
  <c r="AN176" i="65" s="1"/>
  <c r="AF265" i="65"/>
  <c r="AR265" i="65" s="1"/>
  <c r="AF197" i="65"/>
  <c r="AR197" i="65" s="1"/>
  <c r="AD166" i="65"/>
  <c r="AE241" i="65"/>
  <c r="AE251" i="65"/>
  <c r="AC189" i="65"/>
  <c r="AC159" i="65"/>
  <c r="AB249" i="65"/>
  <c r="AD237" i="65"/>
  <c r="AB255" i="65"/>
  <c r="AD216" i="65"/>
  <c r="AE217" i="65"/>
  <c r="AD221" i="65"/>
  <c r="AE218" i="65"/>
  <c r="AE259" i="65"/>
  <c r="AB238" i="65"/>
  <c r="AB166" i="65"/>
  <c r="AE190" i="65"/>
  <c r="AB170" i="65"/>
  <c r="AC255" i="65"/>
  <c r="AC252" i="65"/>
  <c r="AE170" i="65"/>
  <c r="AD190" i="65"/>
  <c r="AB152" i="65"/>
  <c r="AF248" i="65"/>
  <c r="AC267" i="65"/>
  <c r="AB233" i="65"/>
  <c r="AB160" i="65"/>
  <c r="AB256" i="65"/>
  <c r="AE221" i="65"/>
  <c r="AE153" i="65"/>
  <c r="AQ153" i="65" s="1"/>
  <c r="AD249" i="65"/>
  <c r="AC190" i="65"/>
  <c r="AF191" i="65"/>
  <c r="AD252" i="65"/>
  <c r="AB219" i="65"/>
  <c r="AD159" i="65"/>
  <c r="AE159" i="65"/>
  <c r="AF166" i="65"/>
  <c r="AF159" i="65"/>
  <c r="AB195" i="65"/>
  <c r="AD193" i="65"/>
  <c r="AD251" i="65"/>
  <c r="AF163" i="65"/>
  <c r="AF249" i="65"/>
  <c r="AD220" i="65"/>
  <c r="AF243" i="65"/>
  <c r="AF231" i="65"/>
  <c r="AD227" i="65"/>
  <c r="AD155" i="65"/>
  <c r="AB234" i="65"/>
  <c r="AD241" i="65"/>
  <c r="AB240" i="65"/>
  <c r="AD243" i="65"/>
  <c r="AD219" i="65"/>
  <c r="AC258" i="65"/>
  <c r="AB158" i="65"/>
  <c r="AD164" i="65"/>
  <c r="AF229" i="65"/>
  <c r="AD239" i="65"/>
  <c r="AF167" i="65"/>
  <c r="AC155" i="65"/>
  <c r="AB254" i="65"/>
  <c r="AE210" i="65"/>
  <c r="AE253" i="65"/>
  <c r="AD152" i="65"/>
  <c r="AP152" i="65" s="1"/>
  <c r="AF251" i="65"/>
  <c r="AD218" i="65"/>
  <c r="AE230" i="65"/>
  <c r="AB229" i="65"/>
  <c r="AE258" i="65"/>
  <c r="AD250" i="65"/>
  <c r="AD256" i="65"/>
  <c r="AF160" i="65"/>
  <c r="AD236" i="65"/>
  <c r="AD165" i="65"/>
  <c r="AB212" i="65"/>
  <c r="AC228" i="65"/>
  <c r="AE212" i="65"/>
  <c r="AB153" i="65"/>
  <c r="AC188" i="65"/>
  <c r="AO188" i="65" s="1"/>
  <c r="AD217" i="65"/>
  <c r="AB192" i="65"/>
  <c r="AF225" i="65"/>
  <c r="AR225" i="65" s="1"/>
  <c r="AF261" i="65"/>
  <c r="AR261" i="65" s="1"/>
  <c r="AF176" i="65"/>
  <c r="AR176" i="65" s="1"/>
  <c r="AC230" i="65"/>
  <c r="AC161" i="65"/>
  <c r="AC257" i="65"/>
  <c r="AB232" i="65"/>
  <c r="AD189" i="65"/>
  <c r="AF220" i="65"/>
  <c r="AF232" i="65"/>
  <c r="AC232" i="65"/>
  <c r="AD156" i="65"/>
  <c r="AD154" i="65"/>
  <c r="AE146" i="65"/>
  <c r="AQ146" i="65" s="1"/>
  <c r="AB194" i="65"/>
  <c r="AF203" i="65"/>
  <c r="AR203" i="65" s="1"/>
  <c r="AB182" i="65"/>
  <c r="AN182" i="65" s="1"/>
  <c r="AB203" i="65"/>
  <c r="AN203" i="65" s="1"/>
  <c r="AE198" i="65"/>
  <c r="AQ198" i="65" s="1"/>
  <c r="AF175" i="65"/>
  <c r="AR175" i="65" s="1"/>
  <c r="AE183" i="65"/>
  <c r="AQ183" i="65" s="1"/>
  <c r="AF147" i="65"/>
  <c r="AR147" i="65" s="1"/>
  <c r="AC264" i="65"/>
  <c r="AO264" i="65" s="1"/>
  <c r="AF207" i="65"/>
  <c r="AR207" i="65" s="1"/>
  <c r="AC207" i="65"/>
  <c r="AO207" i="65" s="1"/>
  <c r="AB175" i="65"/>
  <c r="AN175" i="65" s="1"/>
  <c r="AB223" i="65"/>
  <c r="AN223" i="65" s="1"/>
  <c r="AE207" i="65"/>
  <c r="AQ207" i="65" s="1"/>
  <c r="AF199" i="65"/>
  <c r="AR199" i="65" s="1"/>
  <c r="AD246" i="65"/>
  <c r="AD174" i="65"/>
  <c r="AP174" i="65" s="1"/>
  <c r="AD263" i="65"/>
  <c r="AP263" i="65" s="1"/>
  <c r="AB179" i="65"/>
  <c r="AN179" i="65" s="1"/>
  <c r="AE151" i="65"/>
  <c r="AQ151" i="65" s="1"/>
  <c r="AE222" i="65"/>
  <c r="AQ222" i="65" s="1"/>
  <c r="AB205" i="65"/>
  <c r="AN205" i="65" s="1"/>
  <c r="AB149" i="65"/>
  <c r="AN149" i="65" s="1"/>
  <c r="AC205" i="65"/>
  <c r="AO205" i="65" s="1"/>
  <c r="AD204" i="65"/>
  <c r="AP204" i="65" s="1"/>
  <c r="AE171" i="65"/>
  <c r="AQ171" i="65" s="1"/>
  <c r="AF206" i="65"/>
  <c r="AR206" i="65" s="1"/>
  <c r="AF178" i="65"/>
  <c r="AR178" i="65" s="1"/>
  <c r="AC181" i="65"/>
  <c r="AO181" i="65" s="1"/>
  <c r="AC149" i="65"/>
  <c r="AO149" i="65" s="1"/>
  <c r="AF200" i="65"/>
  <c r="AR200" i="65" s="1"/>
  <c r="AD184" i="65"/>
  <c r="AP184" i="65" s="1"/>
  <c r="AE145" i="65"/>
  <c r="AQ145" i="65" s="1"/>
  <c r="AC244" i="65"/>
  <c r="AO244" i="65" s="1"/>
  <c r="AD149" i="65"/>
  <c r="AP149" i="65" s="1"/>
  <c r="AE172" i="65"/>
  <c r="AQ172" i="65" s="1"/>
  <c r="AC225" i="65"/>
  <c r="AO225" i="65" s="1"/>
  <c r="AC145" i="65"/>
  <c r="AO145" i="65" s="1"/>
  <c r="AD244" i="65"/>
  <c r="AP244" i="65" s="1"/>
  <c r="AE204" i="65"/>
  <c r="AQ204" i="65" s="1"/>
  <c r="AB221" i="65"/>
  <c r="AB155" i="65"/>
  <c r="AD169" i="65"/>
  <c r="AF194" i="65"/>
  <c r="AC164" i="65"/>
  <c r="AC220" i="65"/>
  <c r="AF162" i="65"/>
  <c r="AC237" i="65"/>
  <c r="AD248" i="65"/>
  <c r="AD194" i="65"/>
  <c r="AC209" i="65"/>
  <c r="AC236" i="65"/>
  <c r="AE233" i="65"/>
  <c r="AD242" i="65"/>
  <c r="AC219" i="65"/>
  <c r="AE220" i="65"/>
  <c r="AD215" i="65"/>
  <c r="AC215" i="65"/>
  <c r="AD214" i="65"/>
  <c r="AD191" i="65"/>
  <c r="AF213" i="65"/>
  <c r="AE162" i="65"/>
  <c r="AF236" i="65"/>
  <c r="AD267" i="65"/>
  <c r="AE257" i="65"/>
  <c r="AD232" i="65"/>
  <c r="AF253" i="65"/>
  <c r="AF241" i="65"/>
  <c r="AE219" i="65"/>
  <c r="AE194" i="65"/>
  <c r="AF257" i="65"/>
  <c r="AF170" i="65"/>
  <c r="AE189" i="65"/>
  <c r="AQ189" i="65" s="1"/>
  <c r="AE252" i="65"/>
  <c r="AB215" i="65"/>
  <c r="AB230" i="65"/>
  <c r="AF215" i="65"/>
  <c r="AE166" i="65"/>
  <c r="AC191" i="65"/>
  <c r="AB161" i="65"/>
  <c r="AE247" i="65"/>
  <c r="AC154" i="65"/>
  <c r="AD229" i="65"/>
  <c r="AB259" i="65"/>
  <c r="AB239" i="65"/>
  <c r="AB231" i="65"/>
  <c r="AD211" i="65"/>
  <c r="AF258" i="65"/>
  <c r="AD209" i="65"/>
  <c r="AC168" i="65"/>
  <c r="AF255" i="65"/>
  <c r="AF239" i="65"/>
  <c r="AC211" i="65"/>
  <c r="AC217" i="65"/>
  <c r="AC195" i="65"/>
  <c r="AD259" i="65"/>
  <c r="AE235" i="65"/>
  <c r="AD167" i="65"/>
  <c r="AF250" i="65"/>
  <c r="AF237" i="65"/>
  <c r="AB165" i="65"/>
  <c r="AE193" i="65"/>
  <c r="AC254" i="65"/>
  <c r="AD210" i="65"/>
  <c r="AC194" i="65"/>
  <c r="AD235" i="65"/>
  <c r="AD258" i="65"/>
  <c r="AE214" i="65"/>
  <c r="AF212" i="65"/>
  <c r="AB241" i="65"/>
  <c r="AE228" i="65"/>
  <c r="AC253" i="65"/>
  <c r="AF256" i="65"/>
  <c r="AF192" i="65"/>
  <c r="AB208" i="65"/>
  <c r="AN208" i="65" s="1"/>
  <c r="AC192" i="65"/>
  <c r="AE209" i="65"/>
  <c r="AB228" i="65"/>
  <c r="AE168" i="65"/>
  <c r="AB217" i="65"/>
  <c r="AD192" i="65"/>
  <c r="AB125" i="65"/>
  <c r="AH125" i="65" s="1"/>
  <c r="AN125" i="65" s="1"/>
  <c r="AB108" i="65"/>
  <c r="AH108" i="65" s="1"/>
  <c r="AF73" i="65"/>
  <c r="AB65" i="65"/>
  <c r="AH65" i="65" s="1"/>
  <c r="O54" i="66"/>
  <c r="K51" i="37"/>
  <c r="M52" i="66"/>
  <c r="I49" i="37"/>
  <c r="Q44" i="66"/>
  <c r="M44" i="37"/>
  <c r="P60" i="42"/>
  <c r="P43" i="66"/>
  <c r="L43" i="37"/>
  <c r="Q34" i="25"/>
  <c r="M53" i="37"/>
  <c r="AE69" i="65"/>
  <c r="AC130" i="65"/>
  <c r="AD115" i="65"/>
  <c r="AH105" i="65"/>
  <c r="AH93" i="65"/>
  <c r="AH90" i="65"/>
  <c r="AH91" i="65"/>
  <c r="AN91" i="65" s="1"/>
  <c r="AD135" i="65"/>
  <c r="AB61" i="65"/>
  <c r="AH61" i="65" s="1"/>
  <c r="AN61" i="65" s="1"/>
  <c r="AC111" i="65"/>
  <c r="L51" i="50"/>
  <c r="AC80" i="65"/>
  <c r="AF133" i="65"/>
  <c r="AC142" i="65"/>
  <c r="AC124" i="65"/>
  <c r="AD107" i="65"/>
  <c r="AP107" i="65" s="1"/>
  <c r="AB137" i="65"/>
  <c r="AE106" i="65"/>
  <c r="AB59" i="65"/>
  <c r="N51" i="66"/>
  <c r="N86" i="66" s="1"/>
  <c r="P88" i="66" s="1"/>
  <c r="N29" i="25"/>
  <c r="N53" i="50"/>
  <c r="Q175" i="50"/>
  <c r="Q169" i="50"/>
  <c r="N187" i="50"/>
  <c r="Q187" i="50" s="1"/>
  <c r="S187" i="50" s="1"/>
  <c r="N194" i="50"/>
  <c r="Q194" i="50" s="1"/>
  <c r="S194" i="50" s="1"/>
  <c r="Q181" i="50"/>
  <c r="Q163" i="50"/>
  <c r="M51" i="66"/>
  <c r="M86" i="66" s="1"/>
  <c r="O88" i="66" s="1"/>
  <c r="M29" i="25"/>
  <c r="AB88" i="65"/>
  <c r="AB136" i="65"/>
  <c r="AE126" i="65"/>
  <c r="AF139" i="65"/>
  <c r="AF108" i="65"/>
  <c r="AC137" i="65"/>
  <c r="AE105" i="65"/>
  <c r="AF94" i="65"/>
  <c r="AE102" i="65"/>
  <c r="AD103" i="65"/>
  <c r="AF93" i="65"/>
  <c r="AC96" i="65"/>
  <c r="AD57" i="65"/>
  <c r="O32" i="25"/>
  <c r="J49" i="50"/>
  <c r="M30" i="25"/>
  <c r="M104" i="25" s="1"/>
  <c r="K50" i="50"/>
  <c r="N51" i="42"/>
  <c r="Q56" i="66"/>
  <c r="M50" i="42"/>
  <c r="P55" i="66"/>
  <c r="K48" i="42"/>
  <c r="N53" i="66"/>
  <c r="O56" i="24"/>
  <c r="K52" i="24"/>
  <c r="J49" i="66"/>
  <c r="L53" i="24"/>
  <c r="K50" i="66"/>
  <c r="AB86" i="65"/>
  <c r="AD56" i="65"/>
  <c r="AB140" i="65"/>
  <c r="AF97" i="65"/>
  <c r="AD102" i="65"/>
  <c r="AE61" i="65"/>
  <c r="AD143" i="65"/>
  <c r="AF129" i="65"/>
  <c r="AR129" i="65" s="1"/>
  <c r="AB138" i="65"/>
  <c r="AB134" i="65"/>
  <c r="AE92" i="65"/>
  <c r="AB101" i="65"/>
  <c r="AC107" i="65"/>
  <c r="AO107" i="65" s="1"/>
  <c r="AC95" i="65"/>
  <c r="AE100" i="65"/>
  <c r="AD137" i="65"/>
  <c r="AB107" i="65"/>
  <c r="AN107" i="65" s="1"/>
  <c r="AF83" i="65"/>
  <c r="AF79" i="65"/>
  <c r="AF60" i="65"/>
  <c r="AC138" i="65"/>
  <c r="AD105" i="65"/>
  <c r="AF90" i="65"/>
  <c r="AB120" i="65"/>
  <c r="AN120" i="65" s="1"/>
  <c r="AB55" i="65"/>
  <c r="AF87" i="65"/>
  <c r="AR87" i="65" s="1"/>
  <c r="AC123" i="65"/>
  <c r="AE109" i="65"/>
  <c r="AC99" i="65"/>
  <c r="AE86" i="65"/>
  <c r="AQ86" i="65" s="1"/>
  <c r="AF53" i="65"/>
  <c r="AF110" i="65"/>
  <c r="AR110" i="65" s="1"/>
  <c r="AE121" i="65"/>
  <c r="AQ121" i="65" s="1"/>
  <c r="AD96" i="65"/>
  <c r="AD136" i="65"/>
  <c r="AD88" i="65"/>
  <c r="AF109" i="65"/>
  <c r="AB126" i="65"/>
  <c r="AE58" i="65"/>
  <c r="AC104" i="65"/>
  <c r="AO104" i="65" s="1"/>
  <c r="AC106" i="65"/>
  <c r="AD95" i="65"/>
  <c r="AF89" i="65"/>
  <c r="AD106" i="65"/>
  <c r="AC87" i="65"/>
  <c r="AE140" i="65"/>
  <c r="AB58" i="65"/>
  <c r="AD54" i="65"/>
  <c r="AE143" i="65"/>
  <c r="AC100" i="65"/>
  <c r="AD129" i="65"/>
  <c r="AP129" i="65" s="1"/>
  <c r="AE55" i="65"/>
  <c r="AB97" i="65"/>
  <c r="AC140" i="65"/>
  <c r="AC58" i="65"/>
  <c r="AE54" i="65"/>
  <c r="AE101" i="65"/>
  <c r="AD53" i="65"/>
  <c r="AE59" i="65"/>
  <c r="AB139" i="65"/>
  <c r="AB57" i="65"/>
  <c r="AD89" i="65"/>
  <c r="AC143" i="65"/>
  <c r="AE91" i="65"/>
  <c r="AC98" i="65"/>
  <c r="AE96" i="65"/>
  <c r="AB129" i="65"/>
  <c r="AN129" i="65" s="1"/>
  <c r="AF95" i="65"/>
  <c r="AB98" i="65"/>
  <c r="AD64" i="65"/>
  <c r="AB142" i="65"/>
  <c r="AH142" i="65" s="1"/>
  <c r="AF130" i="65"/>
  <c r="AB124" i="65"/>
  <c r="AH124" i="65" s="1"/>
  <c r="AE132" i="65"/>
  <c r="AF132" i="65"/>
  <c r="AB75" i="65"/>
  <c r="AH75" i="65" s="1"/>
  <c r="AN75" i="65" s="1"/>
  <c r="AF124" i="65"/>
  <c r="AD142" i="65"/>
  <c r="AB82" i="65"/>
  <c r="AH82" i="65" s="1"/>
  <c r="AN82" i="65" s="1"/>
  <c r="AD84" i="65"/>
  <c r="AD125" i="65"/>
  <c r="AE84" i="65"/>
  <c r="AC127" i="65"/>
  <c r="AB81" i="65"/>
  <c r="AH81" i="65" s="1"/>
  <c r="AN81" i="65" s="1"/>
  <c r="AB79" i="65"/>
  <c r="AH79" i="65" s="1"/>
  <c r="AD65" i="65"/>
  <c r="AE110" i="65"/>
  <c r="AQ110" i="65" s="1"/>
  <c r="AB119" i="65"/>
  <c r="AH119" i="65" s="1"/>
  <c r="AN119" i="65" s="1"/>
  <c r="AC116" i="65"/>
  <c r="AF78" i="65"/>
  <c r="AE82" i="65"/>
  <c r="AB68" i="65"/>
  <c r="AH68" i="65" s="1"/>
  <c r="AF125" i="65"/>
  <c r="AE111" i="65"/>
  <c r="AB85" i="65"/>
  <c r="AH85" i="65" s="1"/>
  <c r="AE79" i="65"/>
  <c r="AF71" i="65"/>
  <c r="AC61" i="65"/>
  <c r="AB115" i="65"/>
  <c r="AH115" i="65" s="1"/>
  <c r="AN115" i="65" s="1"/>
  <c r="AF82" i="65"/>
  <c r="AB133" i="65"/>
  <c r="AH133" i="65" s="1"/>
  <c r="AC68" i="65"/>
  <c r="AD63" i="65"/>
  <c r="AD72" i="65"/>
  <c r="AE78" i="65"/>
  <c r="AE124" i="65"/>
  <c r="AC60" i="65"/>
  <c r="AD124" i="65"/>
  <c r="AD62" i="65"/>
  <c r="AD128" i="65"/>
  <c r="AF67" i="65"/>
  <c r="AF84" i="65"/>
  <c r="AD80" i="65"/>
  <c r="AB77" i="65"/>
  <c r="AH77" i="65" s="1"/>
  <c r="AN77" i="65" s="1"/>
  <c r="AE133" i="65"/>
  <c r="AF76" i="65"/>
  <c r="AE65" i="65"/>
  <c r="AE70" i="65"/>
  <c r="AB70" i="65"/>
  <c r="AH70" i="65" s="1"/>
  <c r="AF117" i="65"/>
  <c r="AD77" i="65"/>
  <c r="AC79" i="65"/>
  <c r="AD70" i="65"/>
  <c r="AD117" i="65"/>
  <c r="AC81" i="65"/>
  <c r="AE72" i="65"/>
  <c r="AB67" i="65"/>
  <c r="AH67" i="65" s="1"/>
  <c r="AC76" i="65"/>
  <c r="AF118" i="65"/>
  <c r="AC65" i="65"/>
  <c r="AC131" i="65"/>
  <c r="AE97" i="65"/>
  <c r="AF106" i="65"/>
  <c r="AF57" i="65"/>
  <c r="AE123" i="65"/>
  <c r="AF102" i="65"/>
  <c r="AF88" i="65"/>
  <c r="AR88" i="65" s="1"/>
  <c r="AB100" i="65"/>
  <c r="AF69" i="65"/>
  <c r="AB141" i="65"/>
  <c r="AC72" i="65"/>
  <c r="AC141" i="65"/>
  <c r="AB83" i="65"/>
  <c r="AC70" i="65"/>
  <c r="AE139" i="65"/>
  <c r="AE108" i="65"/>
  <c r="AC110" i="65"/>
  <c r="AB104" i="65"/>
  <c r="AN104" i="65" s="1"/>
  <c r="AF55" i="65"/>
  <c r="AD98" i="65"/>
  <c r="AE120" i="65"/>
  <c r="AQ120" i="65" s="1"/>
  <c r="AB123" i="65"/>
  <c r="AE98" i="65"/>
  <c r="AB135" i="65"/>
  <c r="AE87" i="65"/>
  <c r="AQ87" i="65" s="1"/>
  <c r="AF135" i="65"/>
  <c r="AR135" i="65" s="1"/>
  <c r="AE73" i="65"/>
  <c r="AF64" i="65"/>
  <c r="AF142" i="65"/>
  <c r="AF114" i="65"/>
  <c r="AE131" i="65"/>
  <c r="AB72" i="65"/>
  <c r="AC125" i="65"/>
  <c r="AD78" i="65"/>
  <c r="AC85" i="65"/>
  <c r="AE137" i="65"/>
  <c r="AB56" i="65"/>
  <c r="AB92" i="65"/>
  <c r="AF59" i="65"/>
  <c r="AB99" i="65"/>
  <c r="AD60" i="65"/>
  <c r="AF92" i="65"/>
  <c r="AC54" i="65"/>
  <c r="AF126" i="65"/>
  <c r="AD116" i="65"/>
  <c r="AB114" i="65"/>
  <c r="AE57" i="65"/>
  <c r="AF103" i="65"/>
  <c r="AC120" i="65"/>
  <c r="AO120" i="65" s="1"/>
  <c r="AC89" i="65"/>
  <c r="AF122" i="65"/>
  <c r="AR122" i="65" s="1"/>
  <c r="AC93" i="65"/>
  <c r="AC122" i="65"/>
  <c r="AD121" i="65"/>
  <c r="AP121" i="65" s="1"/>
  <c r="AF137" i="65"/>
  <c r="AC91" i="65"/>
  <c r="AB122" i="65"/>
  <c r="AE135" i="65"/>
  <c r="AQ135" i="65" s="1"/>
  <c r="AB106" i="65"/>
  <c r="AE88" i="65"/>
  <c r="AQ88" i="65" s="1"/>
  <c r="AE60" i="65"/>
  <c r="AF143" i="65"/>
  <c r="AF61" i="65"/>
  <c r="AE130" i="65"/>
  <c r="AD69" i="65"/>
  <c r="AD81" i="65"/>
  <c r="AE83" i="65"/>
  <c r="AB80" i="65"/>
  <c r="AE119" i="65"/>
  <c r="AE112" i="65"/>
  <c r="AC90" i="65"/>
  <c r="AC56" i="65"/>
  <c r="AC136" i="65"/>
  <c r="AE134" i="65"/>
  <c r="AQ134" i="65" s="1"/>
  <c r="AD92" i="65"/>
  <c r="AD59" i="65"/>
  <c r="AF138" i="65"/>
  <c r="AC105" i="65"/>
  <c r="AF134" i="65"/>
  <c r="AR134" i="65" s="1"/>
  <c r="AF72" i="65"/>
  <c r="AE95" i="65"/>
  <c r="AF121" i="65"/>
  <c r="AR121" i="65" s="1"/>
  <c r="AB89" i="65"/>
  <c r="AF96" i="65"/>
  <c r="AF91" i="65"/>
  <c r="AD122" i="65"/>
  <c r="AB96" i="65"/>
  <c r="AE129" i="65"/>
  <c r="AQ129" i="65" s="1"/>
  <c r="AB64" i="65"/>
  <c r="AF128" i="65"/>
  <c r="AC75" i="65"/>
  <c r="AE85" i="65"/>
  <c r="AE118" i="65"/>
  <c r="AB117" i="65"/>
  <c r="AC66" i="65"/>
  <c r="AE113" i="65"/>
  <c r="AE125" i="65"/>
  <c r="AB71" i="65"/>
  <c r="AD76" i="65"/>
  <c r="AB109" i="65"/>
  <c r="AB111" i="65"/>
  <c r="AB63" i="65"/>
  <c r="AD134" i="65"/>
  <c r="AP134" i="65" s="1"/>
  <c r="AD86" i="65"/>
  <c r="AP86" i="65" s="1"/>
  <c r="AD140" i="65"/>
  <c r="AB118" i="65"/>
  <c r="AH118" i="65" s="1"/>
  <c r="AN118" i="65" s="1"/>
  <c r="AC139" i="65"/>
  <c r="AC53" i="65"/>
  <c r="AC102" i="65"/>
  <c r="AE138" i="65"/>
  <c r="AE136" i="65"/>
  <c r="AE90" i="65"/>
  <c r="AD94" i="65"/>
  <c r="AE74" i="65"/>
  <c r="AC109" i="65"/>
  <c r="AD101" i="65"/>
  <c r="AB94" i="65"/>
  <c r="AD74" i="65"/>
  <c r="AE103" i="65"/>
  <c r="AD90" i="65"/>
  <c r="AC88" i="65"/>
  <c r="AC134" i="65"/>
  <c r="AC86" i="65"/>
  <c r="AO86" i="65" s="1"/>
  <c r="AF99" i="65"/>
  <c r="AE56" i="65"/>
  <c r="AB54" i="65"/>
  <c r="AC94" i="65"/>
  <c r="AE107" i="65"/>
  <c r="AQ107" i="65" s="1"/>
  <c r="AF136" i="65"/>
  <c r="AR136" i="65" s="1"/>
  <c r="AC101" i="65"/>
  <c r="AC59" i="65"/>
  <c r="AD104" i="65"/>
  <c r="AP104" i="65" s="1"/>
  <c r="AB102" i="65"/>
  <c r="AD87" i="65"/>
  <c r="AP87" i="65" s="1"/>
  <c r="AD100" i="65"/>
  <c r="AF120" i="65"/>
  <c r="AR120" i="65" s="1"/>
  <c r="AC132" i="65"/>
  <c r="AB132" i="65"/>
  <c r="AE75" i="65"/>
  <c r="AF75" i="65"/>
  <c r="AD73" i="65"/>
  <c r="AE128" i="65"/>
  <c r="AC128" i="65"/>
  <c r="AE142" i="65"/>
  <c r="AD130" i="65"/>
  <c r="AE64" i="65"/>
  <c r="AC64" i="65"/>
  <c r="AD61" i="65"/>
  <c r="AC112" i="65"/>
  <c r="AB66" i="65"/>
  <c r="AD83" i="65"/>
  <c r="AD111" i="65"/>
  <c r="AD131" i="65"/>
  <c r="AE116" i="65"/>
  <c r="AE67" i="65"/>
  <c r="AD79" i="65"/>
  <c r="AC84" i="65"/>
  <c r="AE81" i="65"/>
  <c r="AB127" i="65"/>
  <c r="AF65" i="65"/>
  <c r="AD112" i="65"/>
  <c r="AF70" i="65"/>
  <c r="AF112" i="65"/>
  <c r="AC119" i="65"/>
  <c r="AF115" i="65"/>
  <c r="AC77" i="65"/>
  <c r="AE77" i="65"/>
  <c r="AF80" i="65"/>
  <c r="AD113" i="65"/>
  <c r="AF68" i="65"/>
  <c r="AD68" i="65"/>
  <c r="AF119" i="65"/>
  <c r="AF81" i="65"/>
  <c r="AC71" i="65"/>
  <c r="AF63" i="65"/>
  <c r="AC82" i="65"/>
  <c r="AC63" i="65"/>
  <c r="AB76" i="65"/>
  <c r="AC115" i="65"/>
  <c r="AE127" i="65"/>
  <c r="AE76" i="65"/>
  <c r="AE117" i="65"/>
  <c r="AB131" i="65"/>
  <c r="AC74" i="65"/>
  <c r="AF107" i="65"/>
  <c r="AR107" i="65" s="1"/>
  <c r="AD138" i="65"/>
  <c r="AD67" i="65"/>
  <c r="AF105" i="65"/>
  <c r="AC92" i="65"/>
  <c r="AE94" i="65"/>
  <c r="AD58" i="65"/>
  <c r="AD139" i="65"/>
  <c r="AD85" i="65"/>
  <c r="AB53" i="65"/>
  <c r="AE53" i="65"/>
  <c r="AF56" i="65"/>
  <c r="AF54" i="65"/>
  <c r="AF101" i="65"/>
  <c r="AF140" i="65"/>
  <c r="AD108" i="65"/>
  <c r="AE99" i="65"/>
  <c r="AB103" i="65"/>
  <c r="AC103" i="65"/>
  <c r="AC121" i="65"/>
  <c r="AO121" i="65" s="1"/>
  <c r="AC135" i="65"/>
  <c r="AC57" i="65"/>
  <c r="AE93" i="65"/>
  <c r="AB143" i="65"/>
  <c r="AB95" i="65"/>
  <c r="AB87" i="65"/>
  <c r="AD123" i="65"/>
  <c r="AD120" i="65"/>
  <c r="AP120" i="65" s="1"/>
  <c r="AD55" i="65"/>
  <c r="AF98" i="65"/>
  <c r="AC55" i="65"/>
  <c r="AB121" i="65"/>
  <c r="AN121" i="65" s="1"/>
  <c r="AE122" i="65"/>
  <c r="AQ122" i="65" s="1"/>
  <c r="AC129" i="65"/>
  <c r="AO129" i="65" s="1"/>
  <c r="AD75" i="65"/>
  <c r="AB130" i="65"/>
  <c r="AB128" i="65"/>
  <c r="AH128" i="65" s="1"/>
  <c r="AB73" i="65"/>
  <c r="AB62" i="65"/>
  <c r="AC62" i="65"/>
  <c r="AC73" i="65"/>
  <c r="AE62" i="65"/>
  <c r="AD109" i="65"/>
  <c r="AC69" i="65"/>
  <c r="AB69" i="65"/>
  <c r="AD132" i="65"/>
  <c r="AF116" i="65"/>
  <c r="AE114" i="65"/>
  <c r="AC108" i="65"/>
  <c r="AE115" i="65"/>
  <c r="AC83" i="65"/>
  <c r="AD127" i="65"/>
  <c r="AC114" i="65"/>
  <c r="AD114" i="65"/>
  <c r="AF85" i="65"/>
  <c r="AB110" i="65"/>
  <c r="AB84" i="65"/>
  <c r="AF131" i="65"/>
  <c r="AF113" i="65"/>
  <c r="AC113" i="65"/>
  <c r="AC133" i="65"/>
  <c r="AC117" i="65"/>
  <c r="AB116" i="65"/>
  <c r="AD110" i="65"/>
  <c r="AB113" i="65"/>
  <c r="AE71" i="65"/>
  <c r="AF127" i="65"/>
  <c r="AF77" i="65"/>
  <c r="AC118" i="65"/>
  <c r="AD133" i="65"/>
  <c r="AD82" i="65"/>
  <c r="AF111" i="65"/>
  <c r="AD141" i="65"/>
  <c r="AE63" i="65"/>
  <c r="AF74" i="65"/>
  <c r="AC67" i="65"/>
  <c r="AD66" i="65"/>
  <c r="AD118" i="65"/>
  <c r="AE68" i="65"/>
  <c r="AE141" i="65"/>
  <c r="AF66" i="65"/>
  <c r="AC78" i="65"/>
  <c r="AE80" i="65"/>
  <c r="AB78" i="65"/>
  <c r="AB74" i="65"/>
  <c r="L42" i="50"/>
  <c r="P40" i="24"/>
  <c r="O42" i="66"/>
  <c r="L40" i="42"/>
  <c r="O20" i="25"/>
  <c r="J42" i="65"/>
  <c r="L39" i="42"/>
  <c r="O41" i="66"/>
  <c r="Q155" i="50"/>
  <c r="Q145" i="50"/>
  <c r="Q139" i="50"/>
  <c r="Q152" i="50"/>
  <c r="Q157" i="50"/>
  <c r="Q148" i="50"/>
  <c r="Q153" i="50"/>
  <c r="Q149" i="50"/>
  <c r="Q156" i="50"/>
  <c r="Q138" i="50"/>
  <c r="Q140" i="50"/>
  <c r="Q151" i="50"/>
  <c r="Q150" i="50"/>
  <c r="Q154" i="50"/>
  <c r="Q158" i="50"/>
  <c r="Q146" i="50"/>
  <c r="Q144" i="50"/>
  <c r="Q147" i="50"/>
  <c r="P52" i="65"/>
  <c r="Z52" i="65"/>
  <c r="S52" i="65"/>
  <c r="R52" i="65"/>
  <c r="V52" i="65"/>
  <c r="T52" i="65"/>
  <c r="Q52" i="65"/>
  <c r="Y52" i="65"/>
  <c r="X52" i="65"/>
  <c r="P39" i="24"/>
  <c r="L41" i="50"/>
  <c r="N31" i="25"/>
  <c r="O19" i="25"/>
  <c r="N55" i="24"/>
  <c r="J47" i="42"/>
  <c r="P57" i="24"/>
  <c r="L49" i="42"/>
  <c r="O54" i="24"/>
  <c r="Q41" i="24"/>
  <c r="K43" i="65"/>
  <c r="M43" i="50"/>
  <c r="P21" i="25"/>
  <c r="M41" i="42"/>
  <c r="Q58" i="24"/>
  <c r="M52" i="50"/>
  <c r="P33" i="25"/>
  <c r="K40" i="50"/>
  <c r="N18" i="25"/>
  <c r="K38" i="42"/>
  <c r="L44" i="65"/>
  <c r="N44" i="50"/>
  <c r="Q22" i="25"/>
  <c r="N42" i="42"/>
  <c r="AN486" i="65" l="1"/>
  <c r="AI460" i="65"/>
  <c r="AJ411" i="65"/>
  <c r="AK411" i="65" s="1"/>
  <c r="AL411" i="65" s="1"/>
  <c r="AR411" i="65" s="1"/>
  <c r="AN90" i="65"/>
  <c r="AQ454" i="65"/>
  <c r="AI504" i="65"/>
  <c r="AJ504" i="65" s="1"/>
  <c r="AK504" i="65" s="1"/>
  <c r="AL504" i="65" s="1"/>
  <c r="AI452" i="65"/>
  <c r="AJ452" i="65" s="1"/>
  <c r="AP452" i="65" s="1"/>
  <c r="AN454" i="65"/>
  <c r="AN411" i="65"/>
  <c r="AI491" i="65"/>
  <c r="AJ491" i="65" s="1"/>
  <c r="AP491" i="65" s="1"/>
  <c r="AO454" i="65"/>
  <c r="AP454" i="65"/>
  <c r="AI416" i="65"/>
  <c r="AH418" i="65"/>
  <c r="AI418" i="65" s="1"/>
  <c r="AJ418" i="65" s="1"/>
  <c r="AK418" i="65" s="1"/>
  <c r="AL418" i="65" s="1"/>
  <c r="AR418" i="65" s="1"/>
  <c r="AK492" i="65"/>
  <c r="AI446" i="65"/>
  <c r="AJ446" i="65" s="1"/>
  <c r="AK446" i="65" s="1"/>
  <c r="AQ446" i="65" s="1"/>
  <c r="AJ451" i="65"/>
  <c r="AK451" i="65" s="1"/>
  <c r="AL451" i="65" s="1"/>
  <c r="AR451" i="65" s="1"/>
  <c r="AO451" i="65"/>
  <c r="AJ402" i="65"/>
  <c r="AK402" i="65" s="1"/>
  <c r="AL402" i="65" s="1"/>
  <c r="AR402" i="65" s="1"/>
  <c r="AO411" i="65"/>
  <c r="AO487" i="65"/>
  <c r="AN490" i="65"/>
  <c r="AN404" i="65"/>
  <c r="AI470" i="65"/>
  <c r="AJ470" i="65" s="1"/>
  <c r="AP470" i="65" s="1"/>
  <c r="AN451" i="65"/>
  <c r="AP484" i="65"/>
  <c r="AN412" i="65"/>
  <c r="AI497" i="65"/>
  <c r="AL446" i="65"/>
  <c r="AR484" i="65"/>
  <c r="AO484" i="65"/>
  <c r="AK487" i="65"/>
  <c r="AH471" i="65"/>
  <c r="AI471" i="65" s="1"/>
  <c r="AH394" i="65"/>
  <c r="AI394" i="65" s="1"/>
  <c r="AJ394" i="65" s="1"/>
  <c r="AH414" i="65"/>
  <c r="AI414" i="65" s="1"/>
  <c r="AJ497" i="65"/>
  <c r="AK497" i="65" s="1"/>
  <c r="AL497" i="65" s="1"/>
  <c r="AR497" i="65" s="1"/>
  <c r="AI477" i="65"/>
  <c r="AJ477" i="65" s="1"/>
  <c r="AK477" i="65" s="1"/>
  <c r="AH469" i="65"/>
  <c r="AI469" i="65" s="1"/>
  <c r="AJ469" i="65" s="1"/>
  <c r="AN416" i="65"/>
  <c r="AH441" i="65"/>
  <c r="AI441" i="65" s="1"/>
  <c r="AI404" i="65"/>
  <c r="AJ404" i="65" s="1"/>
  <c r="AK404" i="65" s="1"/>
  <c r="AN504" i="65"/>
  <c r="AH493" i="65"/>
  <c r="AI493" i="65" s="1"/>
  <c r="AR446" i="65"/>
  <c r="AN492" i="65"/>
  <c r="AH449" i="65"/>
  <c r="AI449" i="65" s="1"/>
  <c r="AJ449" i="65" s="1"/>
  <c r="AH501" i="65"/>
  <c r="AI501" i="65" s="1"/>
  <c r="AJ501" i="65" s="1"/>
  <c r="AH408" i="65"/>
  <c r="AI408" i="65" s="1"/>
  <c r="AJ408" i="65" s="1"/>
  <c r="AK408" i="65" s="1"/>
  <c r="AN408" i="65"/>
  <c r="AH448" i="65"/>
  <c r="AI448" i="65" s="1"/>
  <c r="AH459" i="65"/>
  <c r="AI459" i="65" s="1"/>
  <c r="AH500" i="65"/>
  <c r="AI500" i="65" s="1"/>
  <c r="AJ500" i="65" s="1"/>
  <c r="AK500" i="65" s="1"/>
  <c r="AL500" i="65" s="1"/>
  <c r="AR500" i="65" s="1"/>
  <c r="AN500" i="65"/>
  <c r="AH457" i="65"/>
  <c r="AI457" i="65" s="1"/>
  <c r="AI445" i="65"/>
  <c r="AJ445" i="65" s="1"/>
  <c r="AK445" i="65" s="1"/>
  <c r="AH406" i="65"/>
  <c r="AI406" i="65" s="1"/>
  <c r="AN406" i="65"/>
  <c r="AH455" i="65"/>
  <c r="AI455" i="65" s="1"/>
  <c r="AJ455" i="65" s="1"/>
  <c r="AK455" i="65" s="1"/>
  <c r="AL455" i="65" s="1"/>
  <c r="AR455" i="65" s="1"/>
  <c r="AH496" i="65"/>
  <c r="AI496" i="65" s="1"/>
  <c r="AH478" i="65"/>
  <c r="AI478" i="65" s="1"/>
  <c r="AJ478" i="65" s="1"/>
  <c r="AK478" i="65" s="1"/>
  <c r="AN460" i="65"/>
  <c r="AP451" i="65"/>
  <c r="AP499" i="65"/>
  <c r="AI419" i="65"/>
  <c r="AJ419" i="65" s="1"/>
  <c r="AK419" i="65" s="1"/>
  <c r="AN470" i="65"/>
  <c r="AH481" i="65"/>
  <c r="AI481" i="65" s="1"/>
  <c r="AJ481" i="65" s="1"/>
  <c r="AK481" i="65" s="1"/>
  <c r="AL481" i="65" s="1"/>
  <c r="AR481" i="65" s="1"/>
  <c r="AH400" i="65"/>
  <c r="AI400" i="65" s="1"/>
  <c r="AJ400" i="65" s="1"/>
  <c r="AN499" i="65"/>
  <c r="AN484" i="65"/>
  <c r="AI417" i="65"/>
  <c r="AJ417" i="65" s="1"/>
  <c r="AK417" i="65" s="1"/>
  <c r="AJ460" i="65"/>
  <c r="AK460" i="65" s="1"/>
  <c r="AN452" i="65"/>
  <c r="AH410" i="65"/>
  <c r="AI410" i="65" s="1"/>
  <c r="AH443" i="65"/>
  <c r="AI443" i="65" s="1"/>
  <c r="AJ443" i="65" s="1"/>
  <c r="AK443" i="65" s="1"/>
  <c r="AL443" i="65" s="1"/>
  <c r="AR443" i="65" s="1"/>
  <c r="AO460" i="65"/>
  <c r="AH415" i="65"/>
  <c r="AI415" i="65" s="1"/>
  <c r="AJ415" i="65" s="1"/>
  <c r="AH405" i="65"/>
  <c r="AI405" i="65" s="1"/>
  <c r="AL492" i="65"/>
  <c r="AR492" i="65" s="1"/>
  <c r="AO415" i="65"/>
  <c r="AH395" i="65"/>
  <c r="AI395" i="65" s="1"/>
  <c r="AN395" i="65"/>
  <c r="AH488" i="65"/>
  <c r="AI488" i="65" s="1"/>
  <c r="AJ488" i="65" s="1"/>
  <c r="AK488" i="65" s="1"/>
  <c r="AL488" i="65" s="1"/>
  <c r="AR488" i="65" s="1"/>
  <c r="AQ504" i="65"/>
  <c r="AQ481" i="65"/>
  <c r="AH442" i="65"/>
  <c r="AI442" i="65" s="1"/>
  <c r="AJ442" i="65" s="1"/>
  <c r="AH409" i="65"/>
  <c r="AI409" i="65" s="1"/>
  <c r="AK499" i="65"/>
  <c r="AL499" i="65" s="1"/>
  <c r="AR499" i="65" s="1"/>
  <c r="AH407" i="65"/>
  <c r="AI407" i="65" s="1"/>
  <c r="AJ407" i="65" s="1"/>
  <c r="AK407" i="65" s="1"/>
  <c r="AL407" i="65" s="1"/>
  <c r="AR407" i="65" s="1"/>
  <c r="AH494" i="65"/>
  <c r="AI494" i="65" s="1"/>
  <c r="AH397" i="65"/>
  <c r="AI397" i="65" s="1"/>
  <c r="AN397" i="65"/>
  <c r="AQ484" i="65"/>
  <c r="AI456" i="65"/>
  <c r="AJ456" i="65" s="1"/>
  <c r="AO402" i="65"/>
  <c r="AH495" i="65"/>
  <c r="AI495" i="65" s="1"/>
  <c r="AJ495" i="65" s="1"/>
  <c r="AK495" i="65" s="1"/>
  <c r="AL495" i="65" s="1"/>
  <c r="AR495" i="65" s="1"/>
  <c r="AH480" i="65"/>
  <c r="AI480" i="65" s="1"/>
  <c r="AJ480" i="65" s="1"/>
  <c r="AK480" i="65" s="1"/>
  <c r="AL480" i="65" s="1"/>
  <c r="AR480" i="65" s="1"/>
  <c r="AH399" i="65"/>
  <c r="AI399" i="65" s="1"/>
  <c r="AJ399" i="65" s="1"/>
  <c r="AK399" i="65" s="1"/>
  <c r="AH468" i="65"/>
  <c r="AI468" i="65" s="1"/>
  <c r="AI485" i="65"/>
  <c r="AJ485" i="65" s="1"/>
  <c r="AK485" i="65" s="1"/>
  <c r="AH450" i="65"/>
  <c r="AI450" i="65" s="1"/>
  <c r="AH401" i="65"/>
  <c r="AI401" i="65" s="1"/>
  <c r="AJ401" i="65" s="1"/>
  <c r="AI403" i="65"/>
  <c r="AJ403" i="65" s="1"/>
  <c r="AK403" i="65" s="1"/>
  <c r="AL403" i="65" s="1"/>
  <c r="AR403" i="65" s="1"/>
  <c r="AH444" i="65"/>
  <c r="AI444" i="65" s="1"/>
  <c r="AO492" i="65"/>
  <c r="AI413" i="65"/>
  <c r="AJ413" i="65" s="1"/>
  <c r="AK413" i="65" s="1"/>
  <c r="AP504" i="65"/>
  <c r="AH398" i="65"/>
  <c r="AI398" i="65" s="1"/>
  <c r="AJ398" i="65" s="1"/>
  <c r="AK398" i="65" s="1"/>
  <c r="AL398" i="65" s="1"/>
  <c r="AR398" i="65" s="1"/>
  <c r="AN398" i="65"/>
  <c r="AR504" i="65"/>
  <c r="AH479" i="65"/>
  <c r="AI479" i="65" s="1"/>
  <c r="AJ479" i="65" s="1"/>
  <c r="AN479" i="65"/>
  <c r="AH498" i="65"/>
  <c r="AI498" i="65" s="1"/>
  <c r="AJ498" i="65" s="1"/>
  <c r="AO499" i="65"/>
  <c r="AQ451" i="65"/>
  <c r="AO446" i="65"/>
  <c r="AH453" i="65"/>
  <c r="AI453" i="65" s="1"/>
  <c r="AO497" i="65"/>
  <c r="AI486" i="65"/>
  <c r="AJ486" i="65" s="1"/>
  <c r="AK486" i="65" s="1"/>
  <c r="AL486" i="65" s="1"/>
  <c r="AR486" i="65" s="1"/>
  <c r="AJ412" i="65"/>
  <c r="AK412" i="65" s="1"/>
  <c r="AL412" i="65" s="1"/>
  <c r="AR412" i="65" s="1"/>
  <c r="AO412" i="65"/>
  <c r="AH489" i="65"/>
  <c r="AI489" i="65" s="1"/>
  <c r="AJ489" i="65" s="1"/>
  <c r="AK489" i="65" s="1"/>
  <c r="AN489" i="65"/>
  <c r="AI490" i="65"/>
  <c r="AJ490" i="65" s="1"/>
  <c r="AK490" i="65" s="1"/>
  <c r="AL490" i="65" s="1"/>
  <c r="AR490" i="65" s="1"/>
  <c r="AQ398" i="65"/>
  <c r="AN402" i="65"/>
  <c r="AP492" i="65"/>
  <c r="AH447" i="65"/>
  <c r="AI447" i="65" s="1"/>
  <c r="AN446" i="65"/>
  <c r="AQ492" i="65"/>
  <c r="AI396" i="65"/>
  <c r="AJ396" i="65" s="1"/>
  <c r="AK396" i="65" s="1"/>
  <c r="AL396" i="65" s="1"/>
  <c r="AR396" i="65" s="1"/>
  <c r="AI325" i="65"/>
  <c r="AJ325" i="65" s="1"/>
  <c r="AI344" i="65"/>
  <c r="AJ344" i="65" s="1"/>
  <c r="AK344" i="65" s="1"/>
  <c r="AL344" i="65" s="1"/>
  <c r="AR344" i="65" s="1"/>
  <c r="AI369" i="65"/>
  <c r="AO369" i="65" s="1"/>
  <c r="AI288" i="65"/>
  <c r="AJ288" i="65" s="1"/>
  <c r="AK288" i="65" s="1"/>
  <c r="AL288" i="65" s="1"/>
  <c r="AR288" i="65" s="1"/>
  <c r="AI347" i="65"/>
  <c r="AJ347" i="65" s="1"/>
  <c r="AK347" i="65" s="1"/>
  <c r="AQ347" i="65" s="1"/>
  <c r="AI323" i="65"/>
  <c r="AO323" i="65" s="1"/>
  <c r="AI284" i="65"/>
  <c r="AJ284" i="65" s="1"/>
  <c r="AP284" i="65" s="1"/>
  <c r="AI375" i="65"/>
  <c r="AO375" i="65" s="1"/>
  <c r="AI384" i="65"/>
  <c r="AJ384" i="65" s="1"/>
  <c r="AK384" i="65" s="1"/>
  <c r="AL384" i="65" s="1"/>
  <c r="AR384" i="65" s="1"/>
  <c r="AI379" i="65"/>
  <c r="AJ379" i="65" s="1"/>
  <c r="AK379" i="65" s="1"/>
  <c r="AL379" i="65" s="1"/>
  <c r="AR379" i="65" s="1"/>
  <c r="AI283" i="65"/>
  <c r="AO283" i="65" s="1"/>
  <c r="M52" i="37"/>
  <c r="AI342" i="65"/>
  <c r="AJ342" i="65" s="1"/>
  <c r="AK342" i="65" s="1"/>
  <c r="AL342" i="65" s="1"/>
  <c r="AR342" i="65" s="1"/>
  <c r="AI290" i="65"/>
  <c r="AJ290" i="65" s="1"/>
  <c r="AK290" i="65" s="1"/>
  <c r="AL290" i="65" s="1"/>
  <c r="AR290" i="65" s="1"/>
  <c r="U93" i="42"/>
  <c r="U98" i="42"/>
  <c r="U95" i="42"/>
  <c r="AP95" i="42" s="1"/>
  <c r="U96" i="42"/>
  <c r="AI354" i="65"/>
  <c r="AO354" i="65" s="1"/>
  <c r="U97" i="42"/>
  <c r="U91" i="42"/>
  <c r="U94" i="42"/>
  <c r="AI340" i="65"/>
  <c r="AO340" i="65" s="1"/>
  <c r="AI287" i="65"/>
  <c r="AO287" i="65" s="1"/>
  <c r="AI339" i="65"/>
  <c r="AJ339" i="65" s="1"/>
  <c r="AK339" i="65" s="1"/>
  <c r="AL339" i="65" s="1"/>
  <c r="AR339" i="65" s="1"/>
  <c r="AI292" i="65"/>
  <c r="AJ292" i="65" s="1"/>
  <c r="AK292" i="65" s="1"/>
  <c r="AL292" i="65" s="1"/>
  <c r="AR292" i="65" s="1"/>
  <c r="AI309" i="65"/>
  <c r="AJ309" i="65" s="1"/>
  <c r="AK309" i="65" s="1"/>
  <c r="AL309" i="65" s="1"/>
  <c r="AR309" i="65" s="1"/>
  <c r="AI315" i="65"/>
  <c r="AJ315" i="65" s="1"/>
  <c r="AK315" i="65" s="1"/>
  <c r="AL315" i="65" s="1"/>
  <c r="AR315" i="65" s="1"/>
  <c r="AI281" i="65"/>
  <c r="AJ281" i="65" s="1"/>
  <c r="AK281" i="65" s="1"/>
  <c r="AL281" i="65" s="1"/>
  <c r="AR281" i="65" s="1"/>
  <c r="AI277" i="65"/>
  <c r="AJ277" i="65" s="1"/>
  <c r="AK277" i="65" s="1"/>
  <c r="AL277" i="65" s="1"/>
  <c r="AR277" i="65" s="1"/>
  <c r="AI289" i="65"/>
  <c r="AJ289" i="65" s="1"/>
  <c r="AP289" i="65" s="1"/>
  <c r="AI366" i="65"/>
  <c r="AJ366" i="65" s="1"/>
  <c r="AK366" i="65" s="1"/>
  <c r="AQ366" i="65" s="1"/>
  <c r="AI314" i="65"/>
  <c r="AJ314" i="65" s="1"/>
  <c r="AK314" i="65" s="1"/>
  <c r="AL314" i="65" s="1"/>
  <c r="AR314" i="65" s="1"/>
  <c r="AJ298" i="65"/>
  <c r="AK298" i="65" s="1"/>
  <c r="AL298" i="65" s="1"/>
  <c r="AR298" i="65" s="1"/>
  <c r="AI278" i="65"/>
  <c r="AJ278" i="65" s="1"/>
  <c r="AK278" i="65" s="1"/>
  <c r="AQ278" i="65" s="1"/>
  <c r="AI359" i="65"/>
  <c r="AJ359" i="65" s="1"/>
  <c r="AK359" i="65" s="1"/>
  <c r="AL359" i="65" s="1"/>
  <c r="AR359" i="65" s="1"/>
  <c r="AI313" i="65"/>
  <c r="AJ313" i="65" s="1"/>
  <c r="AK313" i="65" s="1"/>
  <c r="AL313" i="65" s="1"/>
  <c r="AR313" i="65" s="1"/>
  <c r="AI294" i="65"/>
  <c r="AJ294" i="65" s="1"/>
  <c r="AK294" i="65" s="1"/>
  <c r="AI367" i="65"/>
  <c r="AO367" i="65" s="1"/>
  <c r="AI361" i="65"/>
  <c r="AO361" i="65" s="1"/>
  <c r="AR364" i="65"/>
  <c r="AJ368" i="65"/>
  <c r="AK368" i="65" s="1"/>
  <c r="AL368" i="65" s="1"/>
  <c r="AR368" i="65" s="1"/>
  <c r="AI297" i="65"/>
  <c r="AJ297" i="65" s="1"/>
  <c r="AK297" i="65" s="1"/>
  <c r="AQ297" i="65" s="1"/>
  <c r="AN373" i="65"/>
  <c r="AI343" i="65"/>
  <c r="AJ343" i="65" s="1"/>
  <c r="AQ364" i="65"/>
  <c r="AI286" i="65"/>
  <c r="AJ286" i="65" s="1"/>
  <c r="AK286" i="65" s="1"/>
  <c r="AL286" i="65" s="1"/>
  <c r="AR286" i="65" s="1"/>
  <c r="AI360" i="65"/>
  <c r="AJ360" i="65" s="1"/>
  <c r="AK360" i="65" s="1"/>
  <c r="AI296" i="65"/>
  <c r="AJ296" i="65" s="1"/>
  <c r="AK296" i="65" s="1"/>
  <c r="AL296" i="65" s="1"/>
  <c r="AR296" i="65" s="1"/>
  <c r="AI350" i="65"/>
  <c r="AJ350" i="65" s="1"/>
  <c r="AK350" i="65" s="1"/>
  <c r="AL350" i="65" s="1"/>
  <c r="AR350" i="65" s="1"/>
  <c r="AI319" i="65"/>
  <c r="AJ319" i="65" s="1"/>
  <c r="AK319" i="65" s="1"/>
  <c r="AL347" i="65"/>
  <c r="AR347" i="65" s="1"/>
  <c r="AN365" i="65"/>
  <c r="AI356" i="65"/>
  <c r="AJ356" i="65" s="1"/>
  <c r="AK356" i="65" s="1"/>
  <c r="AL356" i="65" s="1"/>
  <c r="AR356" i="65" s="1"/>
  <c r="AI348" i="65"/>
  <c r="AJ348" i="65" s="1"/>
  <c r="AK348" i="65" s="1"/>
  <c r="AL348" i="65" s="1"/>
  <c r="AR348" i="65" s="1"/>
  <c r="AJ295" i="65"/>
  <c r="AK295" i="65" s="1"/>
  <c r="AL295" i="65" s="1"/>
  <c r="AR295" i="65" s="1"/>
  <c r="AI291" i="65"/>
  <c r="AJ291" i="65" s="1"/>
  <c r="AK291" i="65" s="1"/>
  <c r="AL291" i="65" s="1"/>
  <c r="AR291" i="65" s="1"/>
  <c r="AN321" i="65"/>
  <c r="AO368" i="65"/>
  <c r="AO295" i="65"/>
  <c r="AN275" i="65"/>
  <c r="AN354" i="65"/>
  <c r="AL278" i="65"/>
  <c r="AR278" i="65" s="1"/>
  <c r="AN375" i="65"/>
  <c r="AN344" i="65"/>
  <c r="AN284" i="65"/>
  <c r="AN313" i="65"/>
  <c r="AN384" i="65"/>
  <c r="AN351" i="65"/>
  <c r="AN295" i="65"/>
  <c r="AN281" i="65"/>
  <c r="AI376" i="65"/>
  <c r="AJ376" i="65" s="1"/>
  <c r="AI324" i="65"/>
  <c r="AJ324" i="65" s="1"/>
  <c r="AK324" i="65" s="1"/>
  <c r="AL324" i="65" s="1"/>
  <c r="AR324" i="65" s="1"/>
  <c r="AI310" i="65"/>
  <c r="AJ310" i="65" s="1"/>
  <c r="AK310" i="65" s="1"/>
  <c r="AL310" i="65" s="1"/>
  <c r="AR310" i="65" s="1"/>
  <c r="AI373" i="65"/>
  <c r="AJ373" i="65" s="1"/>
  <c r="AK373" i="65" s="1"/>
  <c r="AL373" i="65" s="1"/>
  <c r="AR373" i="65" s="1"/>
  <c r="AN350" i="65"/>
  <c r="AN291" i="65"/>
  <c r="AN296" i="65"/>
  <c r="AN349" i="65"/>
  <c r="AN379" i="65"/>
  <c r="AN340" i="65"/>
  <c r="AN367" i="65"/>
  <c r="AP275" i="65"/>
  <c r="AI311" i="65"/>
  <c r="AJ311" i="65" s="1"/>
  <c r="AP311" i="65" s="1"/>
  <c r="AN360" i="65"/>
  <c r="AN283" i="65"/>
  <c r="AN369" i="65"/>
  <c r="AO275" i="65"/>
  <c r="AN361" i="65"/>
  <c r="AN309" i="65"/>
  <c r="AO325" i="65"/>
  <c r="AJ351" i="65"/>
  <c r="AK351" i="65" s="1"/>
  <c r="AO351" i="65"/>
  <c r="AH346" i="65"/>
  <c r="AI346" i="65" s="1"/>
  <c r="AI352" i="65"/>
  <c r="AJ352" i="65" s="1"/>
  <c r="AK352" i="65" s="1"/>
  <c r="AH383" i="65"/>
  <c r="AI383" i="65" s="1"/>
  <c r="AH312" i="65"/>
  <c r="AI312" i="65" s="1"/>
  <c r="AI322" i="65"/>
  <c r="AJ322" i="65" s="1"/>
  <c r="AH374" i="65"/>
  <c r="AI374" i="65" s="1"/>
  <c r="AO364" i="65"/>
  <c r="AN323" i="65"/>
  <c r="AH357" i="65"/>
  <c r="AI357" i="65" s="1"/>
  <c r="AH353" i="65"/>
  <c r="AI353" i="65" s="1"/>
  <c r="AH279" i="65"/>
  <c r="AI279" i="65" s="1"/>
  <c r="AJ279" i="65" s="1"/>
  <c r="AK279" i="65" s="1"/>
  <c r="AI285" i="65"/>
  <c r="AJ285" i="65" s="1"/>
  <c r="AN286" i="65"/>
  <c r="AN311" i="65"/>
  <c r="AN294" i="65"/>
  <c r="AN310" i="65"/>
  <c r="AH293" i="65"/>
  <c r="AI293" i="65" s="1"/>
  <c r="AN278" i="65"/>
  <c r="AN324" i="65"/>
  <c r="AN366" i="65"/>
  <c r="AN298" i="65"/>
  <c r="AN364" i="65"/>
  <c r="AH378" i="65"/>
  <c r="AI378" i="65" s="1"/>
  <c r="AI365" i="65"/>
  <c r="AJ365" i="65" s="1"/>
  <c r="AN347" i="65"/>
  <c r="AN289" i="65"/>
  <c r="AH358" i="65"/>
  <c r="AI358" i="65" s="1"/>
  <c r="AO298" i="65"/>
  <c r="AP364" i="65"/>
  <c r="AI341" i="65"/>
  <c r="AJ341" i="65" s="1"/>
  <c r="AH282" i="65"/>
  <c r="AI282" i="65" s="1"/>
  <c r="AH377" i="65"/>
  <c r="AI377" i="65" s="1"/>
  <c r="AJ377" i="65" s="1"/>
  <c r="AH316" i="65"/>
  <c r="AI316" i="65" s="1"/>
  <c r="AH317" i="65"/>
  <c r="AI317" i="65" s="1"/>
  <c r="AN325" i="65"/>
  <c r="AK275" i="65"/>
  <c r="AL275" i="65" s="1"/>
  <c r="AR275" i="65" s="1"/>
  <c r="AJ349" i="65"/>
  <c r="AK349" i="65" s="1"/>
  <c r="AN288" i="65"/>
  <c r="AN292" i="65"/>
  <c r="AH355" i="65"/>
  <c r="AI355" i="65" s="1"/>
  <c r="AN352" i="65"/>
  <c r="AH320" i="65"/>
  <c r="AI320" i="65" s="1"/>
  <c r="AH372" i="65"/>
  <c r="AI372" i="65" s="1"/>
  <c r="AH345" i="65"/>
  <c r="AI345" i="65" s="1"/>
  <c r="AN356" i="65"/>
  <c r="AN339" i="65"/>
  <c r="AN343" i="65"/>
  <c r="AN277" i="65"/>
  <c r="AN368" i="65"/>
  <c r="AN287" i="65"/>
  <c r="AN315" i="65"/>
  <c r="AN359" i="65"/>
  <c r="AO349" i="65"/>
  <c r="AQ344" i="65"/>
  <c r="AI321" i="65"/>
  <c r="AJ321" i="65" s="1"/>
  <c r="AN322" i="65"/>
  <c r="AN297" i="65"/>
  <c r="AN319" i="65"/>
  <c r="AI276" i="65"/>
  <c r="AJ276" i="65" s="1"/>
  <c r="AN314" i="65"/>
  <c r="AN348" i="65"/>
  <c r="AN342" i="65"/>
  <c r="AN290" i="65"/>
  <c r="AI280" i="65"/>
  <c r="AJ280" i="65" s="1"/>
  <c r="AI250" i="65"/>
  <c r="AO250" i="65" s="1"/>
  <c r="AN60" i="65"/>
  <c r="AI167" i="65"/>
  <c r="AO167" i="65" s="1"/>
  <c r="AI213" i="65"/>
  <c r="AO213" i="65" s="1"/>
  <c r="AH246" i="65"/>
  <c r="AI246" i="65" s="1"/>
  <c r="AN250" i="65"/>
  <c r="AN213" i="65"/>
  <c r="AI189" i="65"/>
  <c r="AO189" i="65" s="1"/>
  <c r="AN258" i="65"/>
  <c r="AN220" i="65"/>
  <c r="S60" i="42"/>
  <c r="U60" i="42" s="1"/>
  <c r="AH210" i="65"/>
  <c r="AI210" i="65" s="1"/>
  <c r="AO210" i="65" s="1"/>
  <c r="AI169" i="65"/>
  <c r="AJ169" i="65" s="1"/>
  <c r="AK169" i="65" s="1"/>
  <c r="B483" i="40"/>
  <c r="B202" i="65"/>
  <c r="AI216" i="65"/>
  <c r="AJ216" i="65" s="1"/>
  <c r="AK216" i="65" s="1"/>
  <c r="AI190" i="65"/>
  <c r="AJ190" i="65" s="1"/>
  <c r="AK190" i="65" s="1"/>
  <c r="AL190" i="65" s="1"/>
  <c r="AR190" i="65" s="1"/>
  <c r="AN189" i="65"/>
  <c r="AN216" i="65"/>
  <c r="AH230" i="65"/>
  <c r="AI230" i="65" s="1"/>
  <c r="AJ230" i="65" s="1"/>
  <c r="AK230" i="65" s="1"/>
  <c r="AL230" i="65" s="1"/>
  <c r="AR230" i="65" s="1"/>
  <c r="AH254" i="65"/>
  <c r="AI254" i="65" s="1"/>
  <c r="AJ254" i="65" s="1"/>
  <c r="AH170" i="65"/>
  <c r="AI170" i="65" s="1"/>
  <c r="AH247" i="65"/>
  <c r="AI247" i="65" s="1"/>
  <c r="AJ247" i="65" s="1"/>
  <c r="AI237" i="65"/>
  <c r="AJ237" i="65" s="1"/>
  <c r="AK237" i="65" s="1"/>
  <c r="AH215" i="65"/>
  <c r="AI215" i="65" s="1"/>
  <c r="AJ215" i="65" s="1"/>
  <c r="AK215" i="65" s="1"/>
  <c r="AH232" i="65"/>
  <c r="AI232" i="65" s="1"/>
  <c r="AJ232" i="65" s="1"/>
  <c r="AK232" i="65" s="1"/>
  <c r="AL232" i="65" s="1"/>
  <c r="AR232" i="65" s="1"/>
  <c r="AH229" i="65"/>
  <c r="AI229" i="65" s="1"/>
  <c r="AH255" i="65"/>
  <c r="AI255" i="65" s="1"/>
  <c r="AJ255" i="65" s="1"/>
  <c r="AK255" i="65" s="1"/>
  <c r="AL255" i="65" s="1"/>
  <c r="AR255" i="65" s="1"/>
  <c r="AN190" i="65"/>
  <c r="AH154" i="65"/>
  <c r="AI154" i="65" s="1"/>
  <c r="AJ154" i="65" s="1"/>
  <c r="AK154" i="65" s="1"/>
  <c r="AQ154" i="65" s="1"/>
  <c r="AH253" i="65"/>
  <c r="AI253" i="65" s="1"/>
  <c r="AJ253" i="65" s="1"/>
  <c r="AK253" i="65" s="1"/>
  <c r="AL253" i="65" s="1"/>
  <c r="AR253" i="65" s="1"/>
  <c r="AH214" i="65"/>
  <c r="AI214" i="65" s="1"/>
  <c r="AH163" i="65"/>
  <c r="AI163" i="65" s="1"/>
  <c r="AJ163" i="65" s="1"/>
  <c r="AK163" i="65" s="1"/>
  <c r="AH157" i="65"/>
  <c r="AI157" i="65" s="1"/>
  <c r="AJ157" i="65" s="1"/>
  <c r="AH159" i="65"/>
  <c r="AI159" i="65" s="1"/>
  <c r="AJ159" i="65" s="1"/>
  <c r="AK159" i="65" s="1"/>
  <c r="AL159" i="65" s="1"/>
  <c r="AR159" i="65" s="1"/>
  <c r="AN237" i="65"/>
  <c r="AI168" i="65"/>
  <c r="AJ168" i="65" s="1"/>
  <c r="AK168" i="65" s="1"/>
  <c r="AL168" i="65" s="1"/>
  <c r="AR168" i="65" s="1"/>
  <c r="AN167" i="65"/>
  <c r="AH161" i="65"/>
  <c r="AI161" i="65" s="1"/>
  <c r="AJ161" i="65" s="1"/>
  <c r="AH156" i="65"/>
  <c r="AI156" i="65" s="1"/>
  <c r="AJ156" i="65" s="1"/>
  <c r="AK156" i="65" s="1"/>
  <c r="AH267" i="65"/>
  <c r="AI267" i="65" s="1"/>
  <c r="AJ267" i="65" s="1"/>
  <c r="AK267" i="65" s="1"/>
  <c r="AH228" i="65"/>
  <c r="AI228" i="65" s="1"/>
  <c r="AJ228" i="65" s="1"/>
  <c r="AH241" i="65"/>
  <c r="AI241" i="65" s="1"/>
  <c r="AH231" i="65"/>
  <c r="AI231" i="65" s="1"/>
  <c r="AJ231" i="65" s="1"/>
  <c r="AH155" i="65"/>
  <c r="AI155" i="65" s="1"/>
  <c r="AJ155" i="65" s="1"/>
  <c r="AK155" i="65" s="1"/>
  <c r="AL155" i="65" s="1"/>
  <c r="AR155" i="65" s="1"/>
  <c r="AH212" i="65"/>
  <c r="AI212" i="65" s="1"/>
  <c r="AJ212" i="65" s="1"/>
  <c r="AK212" i="65" s="1"/>
  <c r="AL212" i="65" s="1"/>
  <c r="AR212" i="65" s="1"/>
  <c r="AH158" i="65"/>
  <c r="AI158" i="65" s="1"/>
  <c r="AH240" i="65"/>
  <c r="AI240" i="65" s="1"/>
  <c r="AJ240" i="65" s="1"/>
  <c r="AK240" i="65" s="1"/>
  <c r="AH195" i="65"/>
  <c r="AI195" i="65" s="1"/>
  <c r="AJ195" i="65" s="1"/>
  <c r="AK195" i="65" s="1"/>
  <c r="AL195" i="65" s="1"/>
  <c r="AR195" i="65" s="1"/>
  <c r="AH256" i="65"/>
  <c r="AI256" i="65" s="1"/>
  <c r="AH166" i="65"/>
  <c r="AI166" i="65" s="1"/>
  <c r="AH243" i="65"/>
  <c r="AI243" i="65" s="1"/>
  <c r="AH227" i="65"/>
  <c r="AI227" i="65" s="1"/>
  <c r="AH193" i="65"/>
  <c r="AI193" i="65" s="1"/>
  <c r="AJ193" i="65" s="1"/>
  <c r="AK193" i="65" s="1"/>
  <c r="AL193" i="65" s="1"/>
  <c r="AR193" i="65" s="1"/>
  <c r="AH248" i="65"/>
  <c r="AI248" i="65" s="1"/>
  <c r="AJ248" i="65" s="1"/>
  <c r="AK248" i="65" s="1"/>
  <c r="AH257" i="65"/>
  <c r="AI257" i="65" s="1"/>
  <c r="AJ257" i="65" s="1"/>
  <c r="AI236" i="65"/>
  <c r="AJ236" i="65" s="1"/>
  <c r="AK236" i="65" s="1"/>
  <c r="AI251" i="65"/>
  <c r="AJ251" i="65" s="1"/>
  <c r="AK251" i="65" s="1"/>
  <c r="AL251" i="65" s="1"/>
  <c r="AR251" i="65" s="1"/>
  <c r="AI162" i="65"/>
  <c r="AJ162" i="65" s="1"/>
  <c r="AI252" i="65"/>
  <c r="AJ252" i="65" s="1"/>
  <c r="AK252" i="65" s="1"/>
  <c r="AL252" i="65" s="1"/>
  <c r="AR252" i="65" s="1"/>
  <c r="AH217" i="65"/>
  <c r="AI217" i="65" s="1"/>
  <c r="AJ217" i="65" s="1"/>
  <c r="AK217" i="65" s="1"/>
  <c r="AL217" i="65" s="1"/>
  <c r="AR217" i="65" s="1"/>
  <c r="AH259" i="65"/>
  <c r="AI259" i="65" s="1"/>
  <c r="AH192" i="65"/>
  <c r="AI192" i="65" s="1"/>
  <c r="AJ192" i="65" s="1"/>
  <c r="AK192" i="65" s="1"/>
  <c r="AL192" i="65" s="1"/>
  <c r="AR192" i="65" s="1"/>
  <c r="AH234" i="65"/>
  <c r="AI234" i="65" s="1"/>
  <c r="AH233" i="65"/>
  <c r="AI233" i="65" s="1"/>
  <c r="AH242" i="65"/>
  <c r="AI242" i="65" s="1"/>
  <c r="AJ242" i="65" s="1"/>
  <c r="AK242" i="65" s="1"/>
  <c r="AL242" i="65" s="1"/>
  <c r="AR242" i="65" s="1"/>
  <c r="AH218" i="65"/>
  <c r="AI218" i="65" s="1"/>
  <c r="AH211" i="65"/>
  <c r="AI211" i="65" s="1"/>
  <c r="AJ211" i="65" s="1"/>
  <c r="AK211" i="65" s="1"/>
  <c r="AH165" i="65"/>
  <c r="AI165" i="65" s="1"/>
  <c r="AH239" i="65"/>
  <c r="AI239" i="65" s="1"/>
  <c r="AH221" i="65"/>
  <c r="AI221" i="65" s="1"/>
  <c r="AJ221" i="65" s="1"/>
  <c r="AK221" i="65" s="1"/>
  <c r="AL221" i="65" s="1"/>
  <c r="AR221" i="65" s="1"/>
  <c r="AH194" i="65"/>
  <c r="AI194" i="65" s="1"/>
  <c r="AJ194" i="65" s="1"/>
  <c r="AK194" i="65" s="1"/>
  <c r="AL194" i="65" s="1"/>
  <c r="AR194" i="65" s="1"/>
  <c r="AI164" i="65"/>
  <c r="AJ164" i="65" s="1"/>
  <c r="AK164" i="65" s="1"/>
  <c r="AL164" i="65" s="1"/>
  <c r="AR164" i="65" s="1"/>
  <c r="AI220" i="65"/>
  <c r="AJ220" i="65" s="1"/>
  <c r="AK220" i="65" s="1"/>
  <c r="AL220" i="65" s="1"/>
  <c r="AR220" i="65" s="1"/>
  <c r="AH153" i="65"/>
  <c r="AI153" i="65" s="1"/>
  <c r="AJ153" i="65" s="1"/>
  <c r="AP153" i="65" s="1"/>
  <c r="AH219" i="65"/>
  <c r="AI219" i="65" s="1"/>
  <c r="AJ219" i="65" s="1"/>
  <c r="AK219" i="65" s="1"/>
  <c r="AL219" i="65" s="1"/>
  <c r="AR219" i="65" s="1"/>
  <c r="AH160" i="65"/>
  <c r="AI160" i="65" s="1"/>
  <c r="AJ160" i="65" s="1"/>
  <c r="AH152" i="65"/>
  <c r="AI152" i="65" s="1"/>
  <c r="AH238" i="65"/>
  <c r="AI238" i="65" s="1"/>
  <c r="AJ238" i="65" s="1"/>
  <c r="AH249" i="65"/>
  <c r="AI249" i="65" s="1"/>
  <c r="AO249" i="65" s="1"/>
  <c r="AH209" i="65"/>
  <c r="AI209" i="65" s="1"/>
  <c r="AJ209" i="65" s="1"/>
  <c r="AK209" i="65" s="1"/>
  <c r="AL209" i="65" s="1"/>
  <c r="AR209" i="65" s="1"/>
  <c r="AH235" i="65"/>
  <c r="AI235" i="65" s="1"/>
  <c r="AI258" i="65"/>
  <c r="AJ258" i="65" s="1"/>
  <c r="AK258" i="65" s="1"/>
  <c r="AL258" i="65" s="1"/>
  <c r="AR258" i="65" s="1"/>
  <c r="AI191" i="65"/>
  <c r="AJ191" i="65" s="1"/>
  <c r="AK191" i="65" s="1"/>
  <c r="AN108" i="65"/>
  <c r="AI65" i="65"/>
  <c r="AJ65" i="65" s="1"/>
  <c r="AK65" i="65" s="1"/>
  <c r="AQ65" i="65" s="1"/>
  <c r="P54" i="66"/>
  <c r="L51" i="37"/>
  <c r="P42" i="66"/>
  <c r="L42" i="37"/>
  <c r="L50" i="50"/>
  <c r="K50" i="37"/>
  <c r="Q43" i="66"/>
  <c r="M43" i="37"/>
  <c r="N52" i="66"/>
  <c r="J49" i="37"/>
  <c r="P41" i="66"/>
  <c r="L41" i="37"/>
  <c r="AH122" i="65"/>
  <c r="AI122" i="65" s="1"/>
  <c r="AJ122" i="65" s="1"/>
  <c r="AP122" i="65" s="1"/>
  <c r="AH123" i="65"/>
  <c r="AI123" i="65" s="1"/>
  <c r="AJ123" i="65" s="1"/>
  <c r="AK123" i="65" s="1"/>
  <c r="AL123" i="65" s="1"/>
  <c r="AR123" i="65" s="1"/>
  <c r="AH134" i="65"/>
  <c r="AI134" i="65" s="1"/>
  <c r="AO134" i="65" s="1"/>
  <c r="AI105" i="65"/>
  <c r="AJ105" i="65" s="1"/>
  <c r="AK105" i="65" s="1"/>
  <c r="AL105" i="65" s="1"/>
  <c r="AR105" i="65" s="1"/>
  <c r="AN105" i="65"/>
  <c r="AH106" i="65"/>
  <c r="AI106" i="65" s="1"/>
  <c r="AJ106" i="65" s="1"/>
  <c r="AK106" i="65" s="1"/>
  <c r="AL106" i="65" s="1"/>
  <c r="AR106" i="65" s="1"/>
  <c r="AH135" i="65"/>
  <c r="AI135" i="65" s="1"/>
  <c r="AJ135" i="65" s="1"/>
  <c r="AP135" i="65" s="1"/>
  <c r="AH103" i="65"/>
  <c r="AI103" i="65" s="1"/>
  <c r="AJ103" i="65" s="1"/>
  <c r="AK103" i="65" s="1"/>
  <c r="AL103" i="65" s="1"/>
  <c r="AR103" i="65" s="1"/>
  <c r="AH53" i="65"/>
  <c r="AI53" i="65" s="1"/>
  <c r="AJ53" i="65" s="1"/>
  <c r="AK53" i="65" s="1"/>
  <c r="AL53" i="65" s="1"/>
  <c r="AR53" i="65" s="1"/>
  <c r="AH143" i="65"/>
  <c r="AI143" i="65" s="1"/>
  <c r="AJ143" i="65" s="1"/>
  <c r="AK143" i="65" s="1"/>
  <c r="AL143" i="65" s="1"/>
  <c r="AR143" i="65" s="1"/>
  <c r="AH92" i="65"/>
  <c r="AI92" i="65" s="1"/>
  <c r="AJ92" i="65" s="1"/>
  <c r="AK92" i="65" s="1"/>
  <c r="AL92" i="65" s="1"/>
  <c r="AR92" i="65" s="1"/>
  <c r="AH126" i="65"/>
  <c r="AH137" i="65"/>
  <c r="AI137" i="65" s="1"/>
  <c r="AJ137" i="65" s="1"/>
  <c r="AK137" i="65" s="1"/>
  <c r="AL137" i="65" s="1"/>
  <c r="AR137" i="65" s="1"/>
  <c r="AI93" i="65"/>
  <c r="AJ93" i="65" s="1"/>
  <c r="AH87" i="65"/>
  <c r="AI87" i="65" s="1"/>
  <c r="AO87" i="65" s="1"/>
  <c r="AH99" i="65"/>
  <c r="AI99" i="65" s="1"/>
  <c r="AJ99" i="65" s="1"/>
  <c r="AH56" i="65"/>
  <c r="AI56" i="65" s="1"/>
  <c r="AJ56" i="65" s="1"/>
  <c r="AK56" i="65" s="1"/>
  <c r="AL56" i="65" s="1"/>
  <c r="AR56" i="65" s="1"/>
  <c r="AH98" i="65"/>
  <c r="AI98" i="65" s="1"/>
  <c r="AJ98" i="65" s="1"/>
  <c r="AK98" i="65" s="1"/>
  <c r="AL98" i="65" s="1"/>
  <c r="AR98" i="65" s="1"/>
  <c r="AH57" i="65"/>
  <c r="AI57" i="65" s="1"/>
  <c r="AJ57" i="65" s="1"/>
  <c r="AK57" i="65" s="1"/>
  <c r="AL57" i="65" s="1"/>
  <c r="AR57" i="65" s="1"/>
  <c r="AH97" i="65"/>
  <c r="AI97" i="65" s="1"/>
  <c r="AH55" i="65"/>
  <c r="AI55" i="65" s="1"/>
  <c r="AJ55" i="65" s="1"/>
  <c r="AK55" i="65" s="1"/>
  <c r="AL55" i="65" s="1"/>
  <c r="AR55" i="65" s="1"/>
  <c r="AH138" i="65"/>
  <c r="AI138" i="65" s="1"/>
  <c r="AJ138" i="65" s="1"/>
  <c r="AH86" i="65"/>
  <c r="AN86" i="65" s="1"/>
  <c r="AH136" i="65"/>
  <c r="AN93" i="65"/>
  <c r="AH96" i="65"/>
  <c r="AI96" i="65" s="1"/>
  <c r="AJ96" i="65" s="1"/>
  <c r="AK96" i="65" s="1"/>
  <c r="AL96" i="65" s="1"/>
  <c r="AR96" i="65" s="1"/>
  <c r="AH89" i="65"/>
  <c r="AI89" i="65" s="1"/>
  <c r="AJ89" i="65" s="1"/>
  <c r="AK89" i="65" s="1"/>
  <c r="AH139" i="65"/>
  <c r="AI139" i="65" s="1"/>
  <c r="AJ139" i="65" s="1"/>
  <c r="AK139" i="65" s="1"/>
  <c r="AL139" i="65" s="1"/>
  <c r="AR139" i="65" s="1"/>
  <c r="AH101" i="65"/>
  <c r="AI101" i="65" s="1"/>
  <c r="AJ101" i="65" s="1"/>
  <c r="AK101" i="65" s="1"/>
  <c r="AL101" i="65" s="1"/>
  <c r="AR101" i="65" s="1"/>
  <c r="AH88" i="65"/>
  <c r="AI88" i="65" s="1"/>
  <c r="AJ88" i="65" s="1"/>
  <c r="AP88" i="65" s="1"/>
  <c r="AH59" i="65"/>
  <c r="AI59" i="65" s="1"/>
  <c r="AJ59" i="65" s="1"/>
  <c r="AK59" i="65" s="1"/>
  <c r="AL59" i="65" s="1"/>
  <c r="AR59" i="65" s="1"/>
  <c r="AH54" i="65"/>
  <c r="AI54" i="65" s="1"/>
  <c r="AJ54" i="65" s="1"/>
  <c r="AK54" i="65" s="1"/>
  <c r="AL54" i="65" s="1"/>
  <c r="AR54" i="65" s="1"/>
  <c r="AH95" i="65"/>
  <c r="AI95" i="65" s="1"/>
  <c r="AJ95" i="65" s="1"/>
  <c r="AK95" i="65" s="1"/>
  <c r="AH102" i="65"/>
  <c r="AI102" i="65" s="1"/>
  <c r="AJ102" i="65" s="1"/>
  <c r="AK102" i="65" s="1"/>
  <c r="AL102" i="65" s="1"/>
  <c r="AR102" i="65" s="1"/>
  <c r="AH94" i="65"/>
  <c r="AI94" i="65" s="1"/>
  <c r="AJ94" i="65" s="1"/>
  <c r="AK94" i="65" s="1"/>
  <c r="AL94" i="65" s="1"/>
  <c r="AR94" i="65" s="1"/>
  <c r="AH100" i="65"/>
  <c r="AI100" i="65" s="1"/>
  <c r="AJ100" i="65" s="1"/>
  <c r="AK100" i="65" s="1"/>
  <c r="AL100" i="65" s="1"/>
  <c r="AR100" i="65" s="1"/>
  <c r="AH58" i="65"/>
  <c r="AI58" i="65" s="1"/>
  <c r="AJ58" i="65" s="1"/>
  <c r="AK58" i="65" s="1"/>
  <c r="AL58" i="65" s="1"/>
  <c r="AR58" i="65" s="1"/>
  <c r="AH140" i="65"/>
  <c r="AI140" i="65" s="1"/>
  <c r="AJ140" i="65" s="1"/>
  <c r="AK140" i="65" s="1"/>
  <c r="AL140" i="65" s="1"/>
  <c r="AR140" i="65" s="1"/>
  <c r="AI108" i="65"/>
  <c r="AJ108" i="65" s="1"/>
  <c r="AK108" i="65" s="1"/>
  <c r="AL108" i="65" s="1"/>
  <c r="AR108" i="65" s="1"/>
  <c r="AI60" i="65"/>
  <c r="AJ60" i="65" s="1"/>
  <c r="AK60" i="65" s="1"/>
  <c r="AL60" i="65" s="1"/>
  <c r="AR60" i="65" s="1"/>
  <c r="AI91" i="65"/>
  <c r="AJ91" i="65" s="1"/>
  <c r="AI90" i="65"/>
  <c r="AJ90" i="65" s="1"/>
  <c r="AK90" i="65" s="1"/>
  <c r="AL90" i="65" s="1"/>
  <c r="AR90" i="65" s="1"/>
  <c r="AI142" i="65"/>
  <c r="AO142" i="65" s="1"/>
  <c r="AI124" i="65"/>
  <c r="AJ124" i="65" s="1"/>
  <c r="AP124" i="65" s="1"/>
  <c r="K49" i="66"/>
  <c r="K27" i="25"/>
  <c r="O51" i="66"/>
  <c r="O86" i="66" s="1"/>
  <c r="Q88" i="66" s="1"/>
  <c r="O29" i="25"/>
  <c r="L50" i="66"/>
  <c r="L28" i="25"/>
  <c r="AZ140" i="50"/>
  <c r="M42" i="50"/>
  <c r="P56" i="24"/>
  <c r="O31" i="25"/>
  <c r="M53" i="24"/>
  <c r="N50" i="42"/>
  <c r="Q55" i="66"/>
  <c r="M40" i="42"/>
  <c r="K42" i="65"/>
  <c r="L48" i="42"/>
  <c r="O53" i="66"/>
  <c r="P20" i="25"/>
  <c r="Q40" i="24"/>
  <c r="M39" i="42"/>
  <c r="AI61" i="65"/>
  <c r="AI85" i="65"/>
  <c r="AJ85" i="65" s="1"/>
  <c r="AI79" i="65"/>
  <c r="AO79" i="65" s="1"/>
  <c r="AI68" i="65"/>
  <c r="AO68" i="65" s="1"/>
  <c r="AI70" i="65"/>
  <c r="AJ70" i="65" s="1"/>
  <c r="AI81" i="65"/>
  <c r="AO81" i="65" s="1"/>
  <c r="AI67" i="65"/>
  <c r="AO67" i="65" s="1"/>
  <c r="AN142" i="65"/>
  <c r="AN70" i="65"/>
  <c r="AI112" i="65"/>
  <c r="AJ112" i="65" s="1"/>
  <c r="AK112" i="65" s="1"/>
  <c r="AL112" i="65" s="1"/>
  <c r="AR112" i="65" s="1"/>
  <c r="AI133" i="65"/>
  <c r="AJ133" i="65" s="1"/>
  <c r="AK133" i="65" s="1"/>
  <c r="AN65" i="65"/>
  <c r="AH116" i="65"/>
  <c r="AI116" i="65" s="1"/>
  <c r="AH62" i="65"/>
  <c r="AI62" i="65" s="1"/>
  <c r="AJ62" i="65" s="1"/>
  <c r="AH131" i="65"/>
  <c r="AI131" i="65" s="1"/>
  <c r="AH127" i="65"/>
  <c r="AH63" i="65"/>
  <c r="AI63" i="65" s="1"/>
  <c r="AJ63" i="65" s="1"/>
  <c r="AH109" i="65"/>
  <c r="AI109" i="65" s="1"/>
  <c r="AH114" i="65"/>
  <c r="AI114" i="65" s="1"/>
  <c r="AJ114" i="65" s="1"/>
  <c r="AK114" i="65" s="1"/>
  <c r="AL114" i="65" s="1"/>
  <c r="AR114" i="65" s="1"/>
  <c r="AH73" i="65"/>
  <c r="AI73" i="65" s="1"/>
  <c r="AH76" i="65"/>
  <c r="AI76" i="65" s="1"/>
  <c r="AH66" i="65"/>
  <c r="AI66" i="65" s="1"/>
  <c r="AJ66" i="65" s="1"/>
  <c r="AK66" i="65" s="1"/>
  <c r="AH132" i="65"/>
  <c r="AI132" i="65" s="1"/>
  <c r="AJ132" i="65" s="1"/>
  <c r="AK132" i="65" s="1"/>
  <c r="AH117" i="65"/>
  <c r="AI117" i="65" s="1"/>
  <c r="AJ117" i="65" s="1"/>
  <c r="AH64" i="65"/>
  <c r="AI64" i="65" s="1"/>
  <c r="AJ64" i="65" s="1"/>
  <c r="AH80" i="65"/>
  <c r="AI80" i="65" s="1"/>
  <c r="AI77" i="65"/>
  <c r="AJ77" i="65" s="1"/>
  <c r="AH74" i="65"/>
  <c r="AI74" i="65" s="1"/>
  <c r="AJ74" i="65" s="1"/>
  <c r="AK74" i="65" s="1"/>
  <c r="AL74" i="65" s="1"/>
  <c r="AR74" i="65" s="1"/>
  <c r="AI118" i="65"/>
  <c r="AJ118" i="65" s="1"/>
  <c r="AK118" i="65" s="1"/>
  <c r="AL118" i="65" s="1"/>
  <c r="AR118" i="65" s="1"/>
  <c r="AH113" i="65"/>
  <c r="AI113" i="65" s="1"/>
  <c r="AJ113" i="65" s="1"/>
  <c r="AK113" i="65" s="1"/>
  <c r="AL113" i="65" s="1"/>
  <c r="AR113" i="65" s="1"/>
  <c r="AH84" i="65"/>
  <c r="AI84" i="65" s="1"/>
  <c r="AJ84" i="65" s="1"/>
  <c r="AH69" i="65"/>
  <c r="AI69" i="65" s="1"/>
  <c r="AJ69" i="65" s="1"/>
  <c r="AK69" i="65" s="1"/>
  <c r="AN128" i="65"/>
  <c r="AI128" i="65"/>
  <c r="AJ128" i="65" s="1"/>
  <c r="AI125" i="65"/>
  <c r="AJ125" i="65" s="1"/>
  <c r="AH71" i="65"/>
  <c r="AI71" i="65" s="1"/>
  <c r="AJ71" i="65" s="1"/>
  <c r="AN68" i="65"/>
  <c r="AI75" i="65"/>
  <c r="AJ75" i="65" s="1"/>
  <c r="AK75" i="65" s="1"/>
  <c r="AL75" i="65" s="1"/>
  <c r="AR75" i="65" s="1"/>
  <c r="AH72" i="65"/>
  <c r="AI72" i="65" s="1"/>
  <c r="AJ72" i="65" s="1"/>
  <c r="AI115" i="65"/>
  <c r="AJ115" i="65" s="1"/>
  <c r="AH141" i="65"/>
  <c r="AI141" i="65" s="1"/>
  <c r="AJ141" i="65" s="1"/>
  <c r="AN124" i="65"/>
  <c r="AH78" i="65"/>
  <c r="AI78" i="65" s="1"/>
  <c r="AJ78" i="65" s="1"/>
  <c r="AK78" i="65" s="1"/>
  <c r="AH110" i="65"/>
  <c r="AI110" i="65" s="1"/>
  <c r="AJ110" i="65" s="1"/>
  <c r="AP110" i="65" s="1"/>
  <c r="AH130" i="65"/>
  <c r="AI130" i="65" s="1"/>
  <c r="AH111" i="65"/>
  <c r="AI111" i="65" s="1"/>
  <c r="AN67" i="65"/>
  <c r="AN85" i="65"/>
  <c r="AI119" i="65"/>
  <c r="AJ119" i="65" s="1"/>
  <c r="AI82" i="65"/>
  <c r="AJ82" i="65" s="1"/>
  <c r="AK82" i="65" s="1"/>
  <c r="AN133" i="65"/>
  <c r="AH83" i="65"/>
  <c r="AI83" i="65" s="1"/>
  <c r="AJ83" i="65" s="1"/>
  <c r="AK83" i="65" s="1"/>
  <c r="AL83" i="65" s="1"/>
  <c r="AR83" i="65" s="1"/>
  <c r="AN79" i="65"/>
  <c r="P19" i="25"/>
  <c r="Q39" i="24"/>
  <c r="M41" i="50"/>
  <c r="AZ139" i="50"/>
  <c r="AB52" i="65"/>
  <c r="AH52" i="65" s="1"/>
  <c r="O55" i="24"/>
  <c r="K47" i="42"/>
  <c r="N30" i="25"/>
  <c r="N104" i="25" s="1"/>
  <c r="K49" i="50"/>
  <c r="M49" i="42"/>
  <c r="P32" i="25"/>
  <c r="Q57" i="24"/>
  <c r="M51" i="50"/>
  <c r="L40" i="50"/>
  <c r="O18" i="25"/>
  <c r="L38" i="42"/>
  <c r="N52" i="50"/>
  <c r="Q33" i="25"/>
  <c r="P54" i="24"/>
  <c r="Q56" i="24"/>
  <c r="L52" i="24"/>
  <c r="N53" i="24"/>
  <c r="L43" i="65"/>
  <c r="N41" i="42"/>
  <c r="N43" i="50"/>
  <c r="Q21" i="25"/>
  <c r="AR502" i="65" l="1"/>
  <c r="K527" i="65"/>
  <c r="AN502" i="65"/>
  <c r="AO456" i="65"/>
  <c r="AK452" i="65"/>
  <c r="AL452" i="65" s="1"/>
  <c r="AR452" i="65" s="1"/>
  <c r="AO469" i="65"/>
  <c r="AO481" i="65"/>
  <c r="AP411" i="65"/>
  <c r="AP446" i="65"/>
  <c r="AO452" i="65"/>
  <c r="AN468" i="65"/>
  <c r="AN459" i="65"/>
  <c r="AQ288" i="65"/>
  <c r="AP402" i="65"/>
  <c r="AJ416" i="65"/>
  <c r="AO416" i="65"/>
  <c r="AN401" i="65"/>
  <c r="AN495" i="65"/>
  <c r="AO398" i="65"/>
  <c r="AN453" i="65"/>
  <c r="AN493" i="65"/>
  <c r="AK491" i="65"/>
  <c r="AO418" i="65"/>
  <c r="AO379" i="65"/>
  <c r="AQ402" i="65"/>
  <c r="AN496" i="65"/>
  <c r="AN441" i="65"/>
  <c r="AP418" i="65"/>
  <c r="AO479" i="65"/>
  <c r="AQ418" i="65"/>
  <c r="AJ369" i="65"/>
  <c r="AK369" i="65" s="1"/>
  <c r="AL369" i="65" s="1"/>
  <c r="AR369" i="65" s="1"/>
  <c r="AO491" i="65"/>
  <c r="AN494" i="65"/>
  <c r="AN481" i="65"/>
  <c r="AN455" i="65"/>
  <c r="AN469" i="65"/>
  <c r="AP344" i="65"/>
  <c r="AN399" i="65"/>
  <c r="AO442" i="65"/>
  <c r="AO403" i="65"/>
  <c r="AK470" i="65"/>
  <c r="AL470" i="65" s="1"/>
  <c r="AR470" i="65" s="1"/>
  <c r="AQ411" i="65"/>
  <c r="AO504" i="65"/>
  <c r="AN418" i="65"/>
  <c r="AO419" i="65"/>
  <c r="AN498" i="65"/>
  <c r="AN444" i="65"/>
  <c r="AO417" i="65"/>
  <c r="AN471" i="65"/>
  <c r="AO480" i="65"/>
  <c r="AL487" i="65"/>
  <c r="AR487" i="65" s="1"/>
  <c r="AQ487" i="65"/>
  <c r="AO455" i="65"/>
  <c r="AO404" i="65"/>
  <c r="AP443" i="65"/>
  <c r="AO500" i="65"/>
  <c r="AO443" i="65"/>
  <c r="AP481" i="65"/>
  <c r="AP480" i="65"/>
  <c r="AQ480" i="65"/>
  <c r="AP497" i="65"/>
  <c r="AN407" i="65"/>
  <c r="AP404" i="65"/>
  <c r="AN457" i="65"/>
  <c r="AP455" i="65"/>
  <c r="AO498" i="65"/>
  <c r="AN480" i="65"/>
  <c r="AN400" i="65"/>
  <c r="AQ455" i="65"/>
  <c r="AQ470" i="65"/>
  <c r="AO470" i="65"/>
  <c r="AQ490" i="65"/>
  <c r="AJ395" i="65"/>
  <c r="AO395" i="65"/>
  <c r="AJ496" i="65"/>
  <c r="AO496" i="65"/>
  <c r="AP486" i="65"/>
  <c r="AP502" i="65"/>
  <c r="AL445" i="65"/>
  <c r="AR445" i="65" s="1"/>
  <c r="AQ445" i="65"/>
  <c r="AK284" i="65"/>
  <c r="AL284" i="65" s="1"/>
  <c r="AR284" i="65" s="1"/>
  <c r="AN447" i="65"/>
  <c r="AP477" i="65"/>
  <c r="AL399" i="65"/>
  <c r="AR399" i="65" s="1"/>
  <c r="AQ399" i="65"/>
  <c r="AN443" i="65"/>
  <c r="AP488" i="65"/>
  <c r="AQ488" i="65"/>
  <c r="AN501" i="65"/>
  <c r="AO477" i="65"/>
  <c r="AL404" i="65"/>
  <c r="AR404" i="65" s="1"/>
  <c r="AQ404" i="65"/>
  <c r="AN414" i="65"/>
  <c r="AJ468" i="65"/>
  <c r="AO468" i="65"/>
  <c r="AO449" i="65"/>
  <c r="AK479" i="65"/>
  <c r="AP479" i="65"/>
  <c r="AL413" i="65"/>
  <c r="AR413" i="65" s="1"/>
  <c r="AQ413" i="65"/>
  <c r="AK456" i="65"/>
  <c r="AP456" i="65"/>
  <c r="AN409" i="65"/>
  <c r="AN405" i="65"/>
  <c r="AN410" i="65"/>
  <c r="AP408" i="65"/>
  <c r="AN478" i="65"/>
  <c r="AP495" i="65"/>
  <c r="AN394" i="65"/>
  <c r="AK449" i="65"/>
  <c r="AP449" i="65"/>
  <c r="AP407" i="65"/>
  <c r="AP347" i="65"/>
  <c r="AO490" i="65"/>
  <c r="AJ409" i="65"/>
  <c r="AO409" i="65"/>
  <c r="AJ405" i="65"/>
  <c r="AO405" i="65"/>
  <c r="AJ410" i="65"/>
  <c r="AO410" i="65"/>
  <c r="AL478" i="65"/>
  <c r="AR478" i="65" s="1"/>
  <c r="AQ478" i="65"/>
  <c r="AK394" i="65"/>
  <c r="AP394" i="65"/>
  <c r="AQ499" i="65"/>
  <c r="AL408" i="65"/>
  <c r="AR408" i="65" s="1"/>
  <c r="AQ408" i="65"/>
  <c r="AK501" i="65"/>
  <c r="AP501" i="65"/>
  <c r="AL489" i="65"/>
  <c r="AR489" i="65" s="1"/>
  <c r="AQ489" i="65"/>
  <c r="AN442" i="65"/>
  <c r="AN415" i="65"/>
  <c r="AP413" i="65"/>
  <c r="AQ452" i="65"/>
  <c r="AJ457" i="65"/>
  <c r="AO457" i="65"/>
  <c r="AJ493" i="65"/>
  <c r="AO493" i="65"/>
  <c r="AJ441" i="65"/>
  <c r="AO441" i="65"/>
  <c r="AP398" i="65"/>
  <c r="AJ471" i="65"/>
  <c r="AO471" i="65"/>
  <c r="AO396" i="65"/>
  <c r="AO399" i="65"/>
  <c r="AO495" i="65"/>
  <c r="AQ403" i="65"/>
  <c r="AN450" i="65"/>
  <c r="AP489" i="65"/>
  <c r="AP412" i="65"/>
  <c r="AK442" i="65"/>
  <c r="AP442" i="65"/>
  <c r="AK415" i="65"/>
  <c r="AP415" i="65"/>
  <c r="AL460" i="65"/>
  <c r="AR460" i="65" s="1"/>
  <c r="AQ460" i="65"/>
  <c r="AL419" i="65"/>
  <c r="AR419" i="65" s="1"/>
  <c r="AQ419" i="65"/>
  <c r="AP500" i="65"/>
  <c r="AQ502" i="65"/>
  <c r="AP460" i="65"/>
  <c r="AJ448" i="65"/>
  <c r="AO448" i="65"/>
  <c r="AJ450" i="65"/>
  <c r="AO450" i="65"/>
  <c r="AL417" i="65"/>
  <c r="AR417" i="65" s="1"/>
  <c r="AQ417" i="65"/>
  <c r="AP417" i="65"/>
  <c r="AJ444" i="65"/>
  <c r="AO444" i="65"/>
  <c r="AK401" i="65"/>
  <c r="AP401" i="65"/>
  <c r="AQ443" i="65"/>
  <c r="AO394" i="65"/>
  <c r="AQ407" i="65"/>
  <c r="AK469" i="65"/>
  <c r="AP469" i="65"/>
  <c r="AQ495" i="65"/>
  <c r="AQ500" i="65"/>
  <c r="AJ453" i="65"/>
  <c r="AO453" i="65"/>
  <c r="AP399" i="65"/>
  <c r="AL485" i="65"/>
  <c r="AR485" i="65" s="1"/>
  <c r="AQ485" i="65"/>
  <c r="AP478" i="65"/>
  <c r="AJ397" i="65"/>
  <c r="AO397" i="65"/>
  <c r="AO485" i="65"/>
  <c r="AK400" i="65"/>
  <c r="AP400" i="65"/>
  <c r="AO501" i="65"/>
  <c r="AO401" i="65"/>
  <c r="AJ406" i="65"/>
  <c r="AO406" i="65"/>
  <c r="AP490" i="65"/>
  <c r="AJ414" i="65"/>
  <c r="AO414" i="65"/>
  <c r="AO488" i="65"/>
  <c r="AP419" i="65"/>
  <c r="AP485" i="65"/>
  <c r="AQ497" i="65"/>
  <c r="AO407" i="65"/>
  <c r="AO478" i="65"/>
  <c r="AQ486" i="65"/>
  <c r="AO400" i="65"/>
  <c r="AJ459" i="65"/>
  <c r="AO459" i="65"/>
  <c r="AO413" i="65"/>
  <c r="AO489" i="65"/>
  <c r="AO486" i="65"/>
  <c r="AL477" i="65"/>
  <c r="AR477" i="65" s="1"/>
  <c r="AQ477" i="65"/>
  <c r="AJ447" i="65"/>
  <c r="AO447" i="65"/>
  <c r="AO344" i="65"/>
  <c r="AP403" i="65"/>
  <c r="AQ412" i="65"/>
  <c r="AK498" i="65"/>
  <c r="AP498" i="65"/>
  <c r="AO502" i="65"/>
  <c r="AJ494" i="65"/>
  <c r="AO494" i="65"/>
  <c r="AN488" i="65"/>
  <c r="AO408" i="65"/>
  <c r="AO445" i="65"/>
  <c r="AN448" i="65"/>
  <c r="AN449" i="65"/>
  <c r="AP445" i="65"/>
  <c r="AQ396" i="65"/>
  <c r="AP396" i="65"/>
  <c r="AO347" i="65"/>
  <c r="AO384" i="65"/>
  <c r="AJ323" i="65"/>
  <c r="AK323" i="65" s="1"/>
  <c r="AL323" i="65" s="1"/>
  <c r="AR323" i="65" s="1"/>
  <c r="AP288" i="65"/>
  <c r="AO288" i="65"/>
  <c r="AP96" i="42"/>
  <c r="AP93" i="42"/>
  <c r="AP94" i="42"/>
  <c r="AP98" i="42"/>
  <c r="AP91" i="42"/>
  <c r="AP97" i="42"/>
  <c r="AJ375" i="65"/>
  <c r="AK375" i="65" s="1"/>
  <c r="AL375" i="65" s="1"/>
  <c r="AR375" i="65" s="1"/>
  <c r="AO284" i="65"/>
  <c r="AP315" i="65"/>
  <c r="AO290" i="65"/>
  <c r="AJ283" i="65"/>
  <c r="AK283" i="65" s="1"/>
  <c r="AL283" i="65" s="1"/>
  <c r="AR283" i="65" s="1"/>
  <c r="H527" i="65"/>
  <c r="AO313" i="65"/>
  <c r="AO309" i="65"/>
  <c r="I527" i="65"/>
  <c r="AP366" i="65"/>
  <c r="AO339" i="65"/>
  <c r="AO342" i="65"/>
  <c r="AJ354" i="65"/>
  <c r="AK354" i="65" s="1"/>
  <c r="AL354" i="65" s="1"/>
  <c r="AR354" i="65" s="1"/>
  <c r="AO292" i="65"/>
  <c r="AQ292" i="65"/>
  <c r="AO281" i="65"/>
  <c r="M50" i="37"/>
  <c r="AQ96" i="42"/>
  <c r="AQ95" i="42"/>
  <c r="AX95" i="42"/>
  <c r="BN95" i="42" s="1"/>
  <c r="BV95" i="42" s="1"/>
  <c r="AQ94" i="42"/>
  <c r="AQ97" i="42"/>
  <c r="AQ93" i="42"/>
  <c r="AJ287" i="65"/>
  <c r="AK287" i="65" s="1"/>
  <c r="AL287" i="65" s="1"/>
  <c r="AR287" i="65" s="1"/>
  <c r="AJ340" i="65"/>
  <c r="AP340" i="65" s="1"/>
  <c r="AQ91" i="42"/>
  <c r="AQ98" i="42"/>
  <c r="AO315" i="65"/>
  <c r="AP292" i="65"/>
  <c r="AQ339" i="65"/>
  <c r="AQ284" i="65"/>
  <c r="AO359" i="65"/>
  <c r="AP339" i="65"/>
  <c r="AP286" i="65"/>
  <c r="AP342" i="65"/>
  <c r="AQ342" i="65"/>
  <c r="AQ286" i="65"/>
  <c r="AL366" i="65"/>
  <c r="AR366" i="65" s="1"/>
  <c r="AQ369" i="65"/>
  <c r="AP369" i="65"/>
  <c r="AO366" i="65"/>
  <c r="AO278" i="65"/>
  <c r="AO277" i="65"/>
  <c r="AP278" i="65"/>
  <c r="AP314" i="65"/>
  <c r="AO294" i="65"/>
  <c r="AO289" i="65"/>
  <c r="AO356" i="65"/>
  <c r="AQ356" i="65"/>
  <c r="AQ281" i="65"/>
  <c r="AO103" i="65"/>
  <c r="AK289" i="65"/>
  <c r="AL289" i="65" s="1"/>
  <c r="AR289" i="65" s="1"/>
  <c r="AP356" i="65"/>
  <c r="AP281" i="65"/>
  <c r="AL294" i="65"/>
  <c r="AR294" i="65" s="1"/>
  <c r="AQ294" i="65"/>
  <c r="AO314" i="65"/>
  <c r="AQ314" i="65"/>
  <c r="AJ367" i="65"/>
  <c r="AK367" i="65" s="1"/>
  <c r="AL367" i="65" s="1"/>
  <c r="AR367" i="65" s="1"/>
  <c r="AP368" i="65"/>
  <c r="AO319" i="65"/>
  <c r="AQ296" i="65"/>
  <c r="AP309" i="65"/>
  <c r="AQ298" i="65"/>
  <c r="AQ309" i="65"/>
  <c r="AP298" i="65"/>
  <c r="AP343" i="65"/>
  <c r="AK343" i="65"/>
  <c r="AL343" i="65" s="1"/>
  <c r="AR343" i="65" s="1"/>
  <c r="AO297" i="65"/>
  <c r="AJ361" i="65"/>
  <c r="AO286" i="65"/>
  <c r="AO343" i="65"/>
  <c r="AQ384" i="65"/>
  <c r="AQ313" i="65"/>
  <c r="AP348" i="65"/>
  <c r="AQ348" i="65"/>
  <c r="AQ350" i="65"/>
  <c r="AP313" i="65"/>
  <c r="AP350" i="65"/>
  <c r="AO324" i="65"/>
  <c r="AP290" i="65"/>
  <c r="AO350" i="65"/>
  <c r="AQ291" i="65"/>
  <c r="AQ295" i="65"/>
  <c r="AO348" i="65"/>
  <c r="AO360" i="65"/>
  <c r="AQ290" i="65"/>
  <c r="AP384" i="65"/>
  <c r="AP359" i="65"/>
  <c r="AP297" i="65"/>
  <c r="AL297" i="65"/>
  <c r="AR297" i="65" s="1"/>
  <c r="AO291" i="65"/>
  <c r="AQ359" i="65"/>
  <c r="AO296" i="65"/>
  <c r="AP296" i="65"/>
  <c r="AP291" i="65"/>
  <c r="AP295" i="65"/>
  <c r="AP294" i="65"/>
  <c r="AP360" i="65"/>
  <c r="AP319" i="65"/>
  <c r="AP277" i="65"/>
  <c r="AQ277" i="65"/>
  <c r="AQ310" i="65"/>
  <c r="AO310" i="65"/>
  <c r="AP379" i="65"/>
  <c r="AO341" i="65"/>
  <c r="AP310" i="65"/>
  <c r="AP352" i="65"/>
  <c r="AN355" i="65"/>
  <c r="AO373" i="65"/>
  <c r="AQ315" i="65"/>
  <c r="AO279" i="65"/>
  <c r="AP373" i="65"/>
  <c r="AQ373" i="65"/>
  <c r="AQ379" i="65"/>
  <c r="AN317" i="65"/>
  <c r="AN357" i="65"/>
  <c r="AP279" i="65"/>
  <c r="AN374" i="65"/>
  <c r="AN312" i="65"/>
  <c r="AQ324" i="65"/>
  <c r="AK311" i="65"/>
  <c r="AL311" i="65" s="1"/>
  <c r="AR311" i="65" s="1"/>
  <c r="AO352" i="65"/>
  <c r="AP324" i="65"/>
  <c r="AN293" i="65"/>
  <c r="AO322" i="65"/>
  <c r="AL319" i="65"/>
  <c r="AR319" i="65" s="1"/>
  <c r="AQ319" i="65"/>
  <c r="AK376" i="65"/>
  <c r="AP376" i="65"/>
  <c r="AQ368" i="65"/>
  <c r="AP351" i="65"/>
  <c r="AO365" i="65"/>
  <c r="AO311" i="65"/>
  <c r="AO376" i="65"/>
  <c r="AO321" i="65"/>
  <c r="AN279" i="65"/>
  <c r="AK280" i="65"/>
  <c r="AP280" i="65"/>
  <c r="AJ372" i="65"/>
  <c r="AO372" i="65"/>
  <c r="AJ320" i="65"/>
  <c r="AO320" i="65"/>
  <c r="AN316" i="65"/>
  <c r="AN282" i="65"/>
  <c r="AJ358" i="65"/>
  <c r="AO358" i="65"/>
  <c r="AK365" i="65"/>
  <c r="AP365" i="65"/>
  <c r="AJ378" i="65"/>
  <c r="AO378" i="65"/>
  <c r="AO276" i="65"/>
  <c r="AK285" i="65"/>
  <c r="AP285" i="65"/>
  <c r="AN353" i="65"/>
  <c r="AO377" i="65"/>
  <c r="AN383" i="65"/>
  <c r="AO280" i="65"/>
  <c r="AJ346" i="65"/>
  <c r="AO346" i="65"/>
  <c r="AK276" i="65"/>
  <c r="AP276" i="65"/>
  <c r="AN345" i="65"/>
  <c r="AL349" i="65"/>
  <c r="AR349" i="65" s="1"/>
  <c r="AQ349" i="65"/>
  <c r="AJ316" i="65"/>
  <c r="AO316" i="65"/>
  <c r="AJ282" i="65"/>
  <c r="AO282" i="65"/>
  <c r="AJ353" i="65"/>
  <c r="AO353" i="65"/>
  <c r="AJ383" i="65"/>
  <c r="AO383" i="65"/>
  <c r="AL351" i="65"/>
  <c r="AR351" i="65" s="1"/>
  <c r="AQ351" i="65"/>
  <c r="AJ345" i="65"/>
  <c r="AO345" i="65"/>
  <c r="AJ317" i="65"/>
  <c r="AO317" i="65"/>
  <c r="AN377" i="65"/>
  <c r="AK341" i="65"/>
  <c r="AP341" i="65"/>
  <c r="AJ293" i="65"/>
  <c r="AO293" i="65"/>
  <c r="AP349" i="65"/>
  <c r="AO285" i="65"/>
  <c r="AL352" i="65"/>
  <c r="AR352" i="65" s="1"/>
  <c r="AQ352" i="65"/>
  <c r="M123" i="66"/>
  <c r="O125" i="66" s="1"/>
  <c r="AK321" i="65"/>
  <c r="AP321" i="65"/>
  <c r="AN372" i="65"/>
  <c r="AN320" i="65"/>
  <c r="AJ355" i="65"/>
  <c r="AO355" i="65"/>
  <c r="AQ275" i="65"/>
  <c r="AK377" i="65"/>
  <c r="AP377" i="65"/>
  <c r="AN358" i="65"/>
  <c r="AN378" i="65"/>
  <c r="AL279" i="65"/>
  <c r="AR279" i="65" s="1"/>
  <c r="AQ279" i="65"/>
  <c r="AJ357" i="65"/>
  <c r="AO357" i="65"/>
  <c r="AJ374" i="65"/>
  <c r="AO374" i="65"/>
  <c r="AK322" i="65"/>
  <c r="AP322" i="65"/>
  <c r="AJ312" i="65"/>
  <c r="AO312" i="65"/>
  <c r="AN346" i="65"/>
  <c r="AL360" i="65"/>
  <c r="AR360" i="65" s="1"/>
  <c r="AQ360" i="65"/>
  <c r="AK325" i="65"/>
  <c r="AP325" i="65"/>
  <c r="AO231" i="65"/>
  <c r="AO156" i="65"/>
  <c r="AP232" i="65"/>
  <c r="AO254" i="65"/>
  <c r="AJ250" i="65"/>
  <c r="AK250" i="65" s="1"/>
  <c r="AL250" i="65" s="1"/>
  <c r="AR250" i="65" s="1"/>
  <c r="AO190" i="65"/>
  <c r="AO157" i="65"/>
  <c r="AJ167" i="65"/>
  <c r="AK167" i="65" s="1"/>
  <c r="AL167" i="65" s="1"/>
  <c r="AR167" i="65" s="1"/>
  <c r="AJ213" i="65"/>
  <c r="AK213" i="65" s="1"/>
  <c r="AQ213" i="65" s="1"/>
  <c r="AO215" i="65"/>
  <c r="AO257" i="65"/>
  <c r="AP215" i="65"/>
  <c r="AJ189" i="65"/>
  <c r="AP189" i="65" s="1"/>
  <c r="AQ255" i="65"/>
  <c r="AO255" i="65"/>
  <c r="AO247" i="65"/>
  <c r="AO216" i="65"/>
  <c r="AP255" i="65"/>
  <c r="AO232" i="65"/>
  <c r="AO154" i="65"/>
  <c r="AO163" i="65"/>
  <c r="AQ155" i="65"/>
  <c r="AQ232" i="65"/>
  <c r="AP253" i="65"/>
  <c r="AQ164" i="65"/>
  <c r="AP248" i="65"/>
  <c r="AQ219" i="65"/>
  <c r="AJ246" i="65"/>
  <c r="AP246" i="65" s="1"/>
  <c r="AO246" i="65"/>
  <c r="AQ248" i="65"/>
  <c r="AL248" i="65"/>
  <c r="AR248" i="65" s="1"/>
  <c r="AN232" i="65"/>
  <c r="AN246" i="65"/>
  <c r="AP247" i="65"/>
  <c r="AK247" i="65"/>
  <c r="AQ247" i="65" s="1"/>
  <c r="AO194" i="65"/>
  <c r="AN209" i="65"/>
  <c r="AO169" i="65"/>
  <c r="AO152" i="65"/>
  <c r="AP195" i="65"/>
  <c r="AN214" i="65"/>
  <c r="AN229" i="65"/>
  <c r="AN254" i="65"/>
  <c r="AP190" i="65"/>
  <c r="AN228" i="65"/>
  <c r="AJ210" i="65"/>
  <c r="AK210" i="65" s="1"/>
  <c r="AL210" i="65" s="1"/>
  <c r="AR210" i="65" s="1"/>
  <c r="AP163" i="65"/>
  <c r="AN219" i="65"/>
  <c r="AN165" i="65"/>
  <c r="AN163" i="65"/>
  <c r="B484" i="40"/>
  <c r="B203" i="65"/>
  <c r="AN210" i="65"/>
  <c r="AQ251" i="65"/>
  <c r="AO155" i="65"/>
  <c r="AN160" i="65"/>
  <c r="AN221" i="65"/>
  <c r="AN243" i="65"/>
  <c r="AP221" i="65"/>
  <c r="AN255" i="65"/>
  <c r="AP169" i="65"/>
  <c r="AN170" i="65"/>
  <c r="AQ212" i="65"/>
  <c r="AN235" i="65"/>
  <c r="AJ249" i="65"/>
  <c r="AK249" i="65" s="1"/>
  <c r="AL249" i="65" s="1"/>
  <c r="AR249" i="65" s="1"/>
  <c r="AP209" i="65"/>
  <c r="AQ209" i="65"/>
  <c r="AO153" i="65"/>
  <c r="AN233" i="65"/>
  <c r="AN259" i="65"/>
  <c r="AN212" i="65"/>
  <c r="AO220" i="65"/>
  <c r="AN241" i="65"/>
  <c r="AN267" i="65"/>
  <c r="AO240" i="65"/>
  <c r="AO267" i="65"/>
  <c r="AP219" i="65"/>
  <c r="AN249" i="65"/>
  <c r="AN152" i="65"/>
  <c r="AN153" i="65"/>
  <c r="AN194" i="65"/>
  <c r="AP192" i="65"/>
  <c r="AQ192" i="65"/>
  <c r="AP216" i="65"/>
  <c r="AP251" i="65"/>
  <c r="AN192" i="65"/>
  <c r="AN257" i="65"/>
  <c r="AO212" i="65"/>
  <c r="AN166" i="65"/>
  <c r="AO168" i="65"/>
  <c r="AN156" i="65"/>
  <c r="AP220" i="65"/>
  <c r="AP217" i="65"/>
  <c r="AO160" i="65"/>
  <c r="AL191" i="65"/>
  <c r="AR191" i="65" s="1"/>
  <c r="AQ191" i="65"/>
  <c r="AL211" i="65"/>
  <c r="AR211" i="65" s="1"/>
  <c r="AQ211" i="65"/>
  <c r="AP191" i="65"/>
  <c r="AL216" i="65"/>
  <c r="AR216" i="65" s="1"/>
  <c r="AQ216" i="65"/>
  <c r="AL237" i="65"/>
  <c r="AR237" i="65" s="1"/>
  <c r="AQ237" i="65"/>
  <c r="AJ235" i="65"/>
  <c r="AO235" i="65"/>
  <c r="AN238" i="65"/>
  <c r="AK160" i="65"/>
  <c r="AP160" i="65"/>
  <c r="AO258" i="65"/>
  <c r="AO211" i="65"/>
  <c r="AN211" i="65"/>
  <c r="AN242" i="65"/>
  <c r="AJ259" i="65"/>
  <c r="AO259" i="65"/>
  <c r="AO253" i="65"/>
  <c r="AK257" i="65"/>
  <c r="AP257" i="65"/>
  <c r="AN248" i="65"/>
  <c r="AP230" i="65"/>
  <c r="AJ243" i="65"/>
  <c r="AO243" i="65"/>
  <c r="AO162" i="65"/>
  <c r="AJ166" i="65"/>
  <c r="AO166" i="65"/>
  <c r="AN256" i="65"/>
  <c r="AN195" i="65"/>
  <c r="AN158" i="65"/>
  <c r="AP194" i="65"/>
  <c r="AO217" i="65"/>
  <c r="AJ241" i="65"/>
  <c r="AO241" i="65"/>
  <c r="AL267" i="65"/>
  <c r="AR267" i="65" s="1"/>
  <c r="AQ267" i="65"/>
  <c r="AO251" i="65"/>
  <c r="AL156" i="65"/>
  <c r="AR156" i="65" s="1"/>
  <c r="AQ156" i="65"/>
  <c r="AP168" i="65"/>
  <c r="AO221" i="65"/>
  <c r="AN159" i="65"/>
  <c r="AO238" i="65"/>
  <c r="AJ214" i="65"/>
  <c r="AO214" i="65"/>
  <c r="AN253" i="65"/>
  <c r="AQ221" i="65"/>
  <c r="AP155" i="65"/>
  <c r="AJ229" i="65"/>
  <c r="AO229" i="65"/>
  <c r="AO161" i="65"/>
  <c r="AJ170" i="65"/>
  <c r="AO170" i="65"/>
  <c r="AK254" i="65"/>
  <c r="AP254" i="65"/>
  <c r="AP156" i="65"/>
  <c r="AN230" i="65"/>
  <c r="AK238" i="65"/>
  <c r="AP238" i="65"/>
  <c r="AL236" i="65"/>
  <c r="AR236" i="65" s="1"/>
  <c r="AQ236" i="65"/>
  <c r="AO248" i="65"/>
  <c r="AJ158" i="65"/>
  <c r="AO158" i="65"/>
  <c r="AO191" i="65"/>
  <c r="AJ239" i="65"/>
  <c r="AO239" i="65"/>
  <c r="AJ218" i="65"/>
  <c r="AO218" i="65"/>
  <c r="AO234" i="65"/>
  <c r="AJ234" i="65"/>
  <c r="AP236" i="65"/>
  <c r="AO237" i="65"/>
  <c r="AK162" i="65"/>
  <c r="AP162" i="65"/>
  <c r="AJ227" i="65"/>
  <c r="AP227" i="65" s="1"/>
  <c r="AO227" i="65"/>
  <c r="AL240" i="65"/>
  <c r="AR240" i="65" s="1"/>
  <c r="AQ240" i="65"/>
  <c r="AQ253" i="65"/>
  <c r="AP242" i="65"/>
  <c r="AQ194" i="65"/>
  <c r="AK231" i="65"/>
  <c r="AP231" i="65"/>
  <c r="AK161" i="65"/>
  <c r="AP161" i="65"/>
  <c r="AO242" i="65"/>
  <c r="AK157" i="65"/>
  <c r="AP157" i="65"/>
  <c r="AP240" i="65"/>
  <c r="AQ190" i="65"/>
  <c r="AQ159" i="65"/>
  <c r="AL169" i="65"/>
  <c r="AR169" i="65" s="1"/>
  <c r="AQ169" i="65"/>
  <c r="AO209" i="65"/>
  <c r="AL215" i="65"/>
  <c r="AR215" i="65" s="1"/>
  <c r="AQ215" i="65"/>
  <c r="AP211" i="65"/>
  <c r="AP258" i="65"/>
  <c r="AN247" i="65"/>
  <c r="AO236" i="65"/>
  <c r="AJ256" i="65"/>
  <c r="AO256" i="65"/>
  <c r="AQ242" i="65"/>
  <c r="AQ217" i="65"/>
  <c r="AO164" i="65"/>
  <c r="AN239" i="65"/>
  <c r="AJ165" i="65"/>
  <c r="AO165" i="65"/>
  <c r="AN218" i="65"/>
  <c r="AO159" i="65"/>
  <c r="AJ233" i="65"/>
  <c r="AO233" i="65"/>
  <c r="AN234" i="65"/>
  <c r="AQ220" i="65"/>
  <c r="AN217" i="65"/>
  <c r="AO193" i="65"/>
  <c r="AN193" i="65"/>
  <c r="AN227" i="65"/>
  <c r="AP237" i="65"/>
  <c r="AO252" i="65"/>
  <c r="AP159" i="65"/>
  <c r="AN240" i="65"/>
  <c r="AQ230" i="65"/>
  <c r="AO230" i="65"/>
  <c r="AN155" i="65"/>
  <c r="AQ252" i="65"/>
  <c r="AN231" i="65"/>
  <c r="AQ193" i="65"/>
  <c r="AK228" i="65"/>
  <c r="AQ228" i="65" s="1"/>
  <c r="AP228" i="65"/>
  <c r="AP212" i="65"/>
  <c r="AN161" i="65"/>
  <c r="AN157" i="65"/>
  <c r="AL163" i="65"/>
  <c r="AR163" i="65" s="1"/>
  <c r="AQ163" i="65"/>
  <c r="AQ195" i="65"/>
  <c r="AN154" i="65"/>
  <c r="AP193" i="65"/>
  <c r="AP164" i="65"/>
  <c r="AO228" i="65"/>
  <c r="AP154" i="65"/>
  <c r="AO219" i="65"/>
  <c r="AN215" i="65"/>
  <c r="AO195" i="65"/>
  <c r="AQ168" i="65"/>
  <c r="AP252" i="65"/>
  <c r="AQ258" i="65"/>
  <c r="AP267" i="65"/>
  <c r="AO192" i="65"/>
  <c r="AP65" i="65"/>
  <c r="AO65" i="65"/>
  <c r="AO89" i="65"/>
  <c r="Q41" i="66"/>
  <c r="M41" i="37"/>
  <c r="O52" i="66"/>
  <c r="K49" i="37"/>
  <c r="Q54" i="66"/>
  <c r="M51" i="37"/>
  <c r="Q42" i="66"/>
  <c r="M42" i="37"/>
  <c r="P53" i="66"/>
  <c r="L50" i="37"/>
  <c r="AI126" i="65"/>
  <c r="AO126" i="65" s="1"/>
  <c r="AQ103" i="65"/>
  <c r="AQ56" i="65"/>
  <c r="AP103" i="65"/>
  <c r="AO137" i="65"/>
  <c r="AQ92" i="65"/>
  <c r="AP92" i="65"/>
  <c r="AO92" i="65"/>
  <c r="AQ143" i="65"/>
  <c r="AN137" i="65"/>
  <c r="AP143" i="65"/>
  <c r="AO143" i="65"/>
  <c r="AP98" i="65"/>
  <c r="AQ105" i="65"/>
  <c r="AN122" i="65"/>
  <c r="AQ106" i="65"/>
  <c r="AQ123" i="65"/>
  <c r="AQ139" i="65"/>
  <c r="AQ95" i="65"/>
  <c r="AL95" i="65"/>
  <c r="AR95" i="65" s="1"/>
  <c r="AN55" i="65"/>
  <c r="AN126" i="65"/>
  <c r="AN123" i="65"/>
  <c r="AO105" i="65"/>
  <c r="AO102" i="65"/>
  <c r="AN102" i="65"/>
  <c r="AP55" i="65"/>
  <c r="AQ57" i="65"/>
  <c r="AQ53" i="65"/>
  <c r="AP137" i="65"/>
  <c r="AN135" i="65"/>
  <c r="AN106" i="65"/>
  <c r="AP123" i="65"/>
  <c r="AN134" i="65"/>
  <c r="AO122" i="65"/>
  <c r="AO123" i="65"/>
  <c r="AQ55" i="65"/>
  <c r="AN136" i="65"/>
  <c r="AI136" i="65"/>
  <c r="AP138" i="65"/>
  <c r="AK138" i="65"/>
  <c r="AP106" i="65"/>
  <c r="AQ137" i="65"/>
  <c r="AO106" i="65"/>
  <c r="AP105" i="65"/>
  <c r="AO135" i="65"/>
  <c r="AN140" i="65"/>
  <c r="AP94" i="65"/>
  <c r="AO98" i="65"/>
  <c r="AP53" i="65"/>
  <c r="AN143" i="65"/>
  <c r="AO96" i="65"/>
  <c r="AQ98" i="65"/>
  <c r="AP140" i="65"/>
  <c r="AN94" i="65"/>
  <c r="AP57" i="65"/>
  <c r="AO90" i="65"/>
  <c r="AN97" i="65"/>
  <c r="AN98" i="65"/>
  <c r="AO93" i="65"/>
  <c r="AO53" i="65"/>
  <c r="AN53" i="65"/>
  <c r="AN58" i="65"/>
  <c r="AO60" i="65"/>
  <c r="AO108" i="65"/>
  <c r="AN88" i="65"/>
  <c r="AQ54" i="65"/>
  <c r="AO54" i="65"/>
  <c r="AN96" i="65"/>
  <c r="AN138" i="65"/>
  <c r="AO99" i="65"/>
  <c r="AJ97" i="65"/>
  <c r="AO97" i="65"/>
  <c r="AN57" i="65"/>
  <c r="AN99" i="65"/>
  <c r="AO91" i="65"/>
  <c r="AO139" i="65"/>
  <c r="AP100" i="65"/>
  <c r="AN87" i="65"/>
  <c r="AO140" i="65"/>
  <c r="AQ60" i="65"/>
  <c r="AQ90" i="65"/>
  <c r="AP141" i="65"/>
  <c r="AK141" i="65"/>
  <c r="AP62" i="65"/>
  <c r="AK62" i="65"/>
  <c r="AJ142" i="65"/>
  <c r="AK142" i="65" s="1"/>
  <c r="AQ142" i="65" s="1"/>
  <c r="AK91" i="65"/>
  <c r="AP91" i="65"/>
  <c r="AQ58" i="65"/>
  <c r="AO58" i="65"/>
  <c r="AQ108" i="65"/>
  <c r="AL89" i="65"/>
  <c r="AR89" i="65" s="1"/>
  <c r="AQ89" i="65"/>
  <c r="AO101" i="65"/>
  <c r="AO138" i="65"/>
  <c r="AO56" i="65"/>
  <c r="AO95" i="65"/>
  <c r="AP95" i="65"/>
  <c r="AP101" i="65"/>
  <c r="AP139" i="65"/>
  <c r="AO109" i="65"/>
  <c r="AJ109" i="65"/>
  <c r="AO61" i="65"/>
  <c r="AJ61" i="65"/>
  <c r="AQ100" i="65"/>
  <c r="AQ59" i="65"/>
  <c r="AN100" i="65"/>
  <c r="AO88" i="65"/>
  <c r="AN95" i="65"/>
  <c r="AN54" i="65"/>
  <c r="AN59" i="65"/>
  <c r="AQ102" i="65"/>
  <c r="AN101" i="65"/>
  <c r="AP54" i="65"/>
  <c r="AN139" i="65"/>
  <c r="AN89" i="65"/>
  <c r="AO57" i="65"/>
  <c r="AP102" i="65"/>
  <c r="AQ101" i="65"/>
  <c r="AN56" i="65"/>
  <c r="AP59" i="65"/>
  <c r="AO94" i="65"/>
  <c r="AP58" i="65"/>
  <c r="AQ94" i="65"/>
  <c r="AK93" i="65"/>
  <c r="AP93" i="65"/>
  <c r="AP96" i="65"/>
  <c r="AQ140" i="65"/>
  <c r="AP89" i="65"/>
  <c r="AN92" i="65"/>
  <c r="AP90" i="65"/>
  <c r="AN103" i="65"/>
  <c r="AK99" i="65"/>
  <c r="AP99" i="65"/>
  <c r="AO59" i="65"/>
  <c r="AO55" i="65"/>
  <c r="AP56" i="65"/>
  <c r="AJ126" i="65"/>
  <c r="AO100" i="65"/>
  <c r="AQ96" i="65"/>
  <c r="AP60" i="65"/>
  <c r="AP108" i="65"/>
  <c r="AO124" i="65"/>
  <c r="L42" i="65"/>
  <c r="P51" i="66"/>
  <c r="P86" i="66" s="1"/>
  <c r="R88" i="66" s="1"/>
  <c r="P29" i="25"/>
  <c r="N50" i="66"/>
  <c r="N28" i="25"/>
  <c r="L49" i="66"/>
  <c r="L27" i="25"/>
  <c r="M50" i="66"/>
  <c r="M28" i="25"/>
  <c r="M48" i="42"/>
  <c r="P31" i="25"/>
  <c r="M50" i="50"/>
  <c r="Q19" i="25"/>
  <c r="Q20" i="25"/>
  <c r="N48" i="42"/>
  <c r="Q53" i="66"/>
  <c r="N42" i="50"/>
  <c r="N39" i="42"/>
  <c r="N40" i="42"/>
  <c r="AJ68" i="65"/>
  <c r="AK68" i="65" s="1"/>
  <c r="AL68" i="65" s="1"/>
  <c r="AR68" i="65" s="1"/>
  <c r="AO112" i="65"/>
  <c r="AO85" i="65"/>
  <c r="AP112" i="65"/>
  <c r="AO63" i="65"/>
  <c r="AL65" i="65"/>
  <c r="AR65" i="65" s="1"/>
  <c r="AJ79" i="65"/>
  <c r="AK79" i="65" s="1"/>
  <c r="AL79" i="65" s="1"/>
  <c r="AR79" i="65" s="1"/>
  <c r="AO62" i="65"/>
  <c r="AO74" i="65"/>
  <c r="AN72" i="65"/>
  <c r="AO84" i="65"/>
  <c r="AP66" i="65"/>
  <c r="AQ75" i="65"/>
  <c r="AN141" i="65"/>
  <c r="AK85" i="65"/>
  <c r="AQ85" i="65" s="1"/>
  <c r="AP85" i="65"/>
  <c r="AO125" i="65"/>
  <c r="AO69" i="65"/>
  <c r="AJ67" i="65"/>
  <c r="AK67" i="65" s="1"/>
  <c r="AL67" i="65" s="1"/>
  <c r="AR67" i="65" s="1"/>
  <c r="AO133" i="65"/>
  <c r="AN111" i="65"/>
  <c r="AO70" i="65"/>
  <c r="AO114" i="65"/>
  <c r="AK124" i="65"/>
  <c r="AQ124" i="65" s="1"/>
  <c r="AQ114" i="65"/>
  <c r="AO77" i="65"/>
  <c r="AN84" i="65"/>
  <c r="AK70" i="65"/>
  <c r="AP70" i="65"/>
  <c r="AO113" i="65"/>
  <c r="AJ81" i="65"/>
  <c r="AP113" i="65"/>
  <c r="AP133" i="65"/>
  <c r="AO117" i="65"/>
  <c r="AN109" i="65"/>
  <c r="AO75" i="65"/>
  <c r="AN130" i="65"/>
  <c r="AN71" i="65"/>
  <c r="AO72" i="65"/>
  <c r="AN80" i="65"/>
  <c r="AN73" i="65"/>
  <c r="AP69" i="65"/>
  <c r="AN62" i="65"/>
  <c r="AQ74" i="65"/>
  <c r="AO71" i="65"/>
  <c r="AL133" i="65"/>
  <c r="AR133" i="65" s="1"/>
  <c r="AQ133" i="65"/>
  <c r="AQ83" i="65"/>
  <c r="AN83" i="65"/>
  <c r="AN113" i="65"/>
  <c r="AN74" i="65"/>
  <c r="AN64" i="65"/>
  <c r="AN76" i="65"/>
  <c r="AP114" i="65"/>
  <c r="AL78" i="65"/>
  <c r="AR78" i="65" s="1"/>
  <c r="AQ78" i="65"/>
  <c r="AK128" i="65"/>
  <c r="AP128" i="65"/>
  <c r="AL132" i="65"/>
  <c r="AR132" i="65" s="1"/>
  <c r="AQ132" i="65"/>
  <c r="AO128" i="65"/>
  <c r="AI127" i="65"/>
  <c r="AO131" i="65"/>
  <c r="AJ131" i="65"/>
  <c r="AK119" i="65"/>
  <c r="AP119" i="65"/>
  <c r="AO119" i="65"/>
  <c r="AO110" i="65"/>
  <c r="AK64" i="65"/>
  <c r="AP64" i="65"/>
  <c r="AO73" i="65"/>
  <c r="AJ73" i="65"/>
  <c r="AO141" i="65"/>
  <c r="AO64" i="65"/>
  <c r="AN131" i="65"/>
  <c r="AP82" i="65"/>
  <c r="AQ113" i="65"/>
  <c r="AO82" i="65"/>
  <c r="AJ130" i="65"/>
  <c r="AO130" i="65"/>
  <c r="AO78" i="65"/>
  <c r="AP83" i="65"/>
  <c r="AK115" i="65"/>
  <c r="AP115" i="65"/>
  <c r="AK72" i="65"/>
  <c r="AP72" i="65"/>
  <c r="AQ118" i="65"/>
  <c r="AK125" i="65"/>
  <c r="AP125" i="65"/>
  <c r="AN69" i="65"/>
  <c r="AK84" i="65"/>
  <c r="AP84" i="65"/>
  <c r="AO118" i="65"/>
  <c r="AK77" i="65"/>
  <c r="AP77" i="65"/>
  <c r="AJ80" i="65"/>
  <c r="AO80" i="65"/>
  <c r="AN117" i="65"/>
  <c r="AP74" i="65"/>
  <c r="AJ76" i="65"/>
  <c r="AO76" i="65"/>
  <c r="AP132" i="65"/>
  <c r="AP118" i="65"/>
  <c r="AN114" i="65"/>
  <c r="AN63" i="65"/>
  <c r="AO83" i="65"/>
  <c r="AL66" i="65"/>
  <c r="AR66" i="65" s="1"/>
  <c r="AQ66" i="65"/>
  <c r="AJ116" i="65"/>
  <c r="AO116" i="65"/>
  <c r="AJ111" i="65"/>
  <c r="AO111" i="65"/>
  <c r="AP71" i="65"/>
  <c r="AK71" i="65"/>
  <c r="AL82" i="65"/>
  <c r="AR82" i="65" s="1"/>
  <c r="AQ82" i="65"/>
  <c r="AN110" i="65"/>
  <c r="AN78" i="65"/>
  <c r="AP78" i="65"/>
  <c r="AO132" i="65"/>
  <c r="AL69" i="65"/>
  <c r="AR69" i="65" s="1"/>
  <c r="AQ69" i="65"/>
  <c r="AQ112" i="65"/>
  <c r="AK117" i="65"/>
  <c r="AP117" i="65"/>
  <c r="AN132" i="65"/>
  <c r="AN66" i="65"/>
  <c r="AO66" i="65"/>
  <c r="AK63" i="65"/>
  <c r="AP63" i="65"/>
  <c r="AN127" i="65"/>
  <c r="AO115" i="65"/>
  <c r="AP75" i="65"/>
  <c r="AN116" i="65"/>
  <c r="N41" i="50"/>
  <c r="N49" i="42"/>
  <c r="N51" i="50"/>
  <c r="Q32" i="25"/>
  <c r="L47" i="42"/>
  <c r="P55" i="24"/>
  <c r="L49" i="50"/>
  <c r="O30" i="25"/>
  <c r="O104" i="25" s="1"/>
  <c r="M52" i="24"/>
  <c r="Q54" i="24"/>
  <c r="O53" i="24"/>
  <c r="N50" i="50"/>
  <c r="Q31" i="25"/>
  <c r="M40" i="50"/>
  <c r="P18" i="25"/>
  <c r="M38" i="42"/>
  <c r="AD52" i="65"/>
  <c r="AE52" i="65"/>
  <c r="AC52" i="65"/>
  <c r="AI52" i="65" s="1"/>
  <c r="AF52" i="65"/>
  <c r="AL491" i="65" l="1"/>
  <c r="AR491" i="65" s="1"/>
  <c r="AQ491" i="65"/>
  <c r="AP416" i="65"/>
  <c r="AK416" i="65"/>
  <c r="AL400" i="65"/>
  <c r="AR400" i="65" s="1"/>
  <c r="AQ400" i="65"/>
  <c r="AL498" i="65"/>
  <c r="AR498" i="65" s="1"/>
  <c r="AQ498" i="65"/>
  <c r="AK410" i="65"/>
  <c r="AP410" i="65"/>
  <c r="AQ323" i="65"/>
  <c r="AP468" i="65"/>
  <c r="AK468" i="65"/>
  <c r="AL394" i="65"/>
  <c r="AR394" i="65" s="1"/>
  <c r="AQ394" i="65"/>
  <c r="AL469" i="65"/>
  <c r="AR469" i="65" s="1"/>
  <c r="AQ469" i="65"/>
  <c r="AK397" i="65"/>
  <c r="AP397" i="65"/>
  <c r="AK405" i="65"/>
  <c r="AP405" i="65"/>
  <c r="AL449" i="65"/>
  <c r="AR449" i="65" s="1"/>
  <c r="AQ449" i="65"/>
  <c r="AK447" i="65"/>
  <c r="AP447" i="65"/>
  <c r="AL401" i="65"/>
  <c r="AR401" i="65" s="1"/>
  <c r="AQ401" i="65"/>
  <c r="AL479" i="65"/>
  <c r="AR479" i="65" s="1"/>
  <c r="AQ479" i="65"/>
  <c r="AK471" i="65"/>
  <c r="AP471" i="65"/>
  <c r="AK409" i="65"/>
  <c r="AP409" i="65"/>
  <c r="AK450" i="65"/>
  <c r="AP450" i="65"/>
  <c r="AK444" i="65"/>
  <c r="AP444" i="65"/>
  <c r="AL501" i="65"/>
  <c r="AR501" i="65" s="1"/>
  <c r="AQ501" i="65"/>
  <c r="AK448" i="65"/>
  <c r="AP448" i="65"/>
  <c r="AK414" i="65"/>
  <c r="AP414" i="65"/>
  <c r="AL456" i="65"/>
  <c r="AR456" i="65" s="1"/>
  <c r="AQ456" i="65"/>
  <c r="AK496" i="65"/>
  <c r="AP496" i="65"/>
  <c r="AK459" i="65"/>
  <c r="AP459" i="65"/>
  <c r="AL415" i="65"/>
  <c r="AR415" i="65" s="1"/>
  <c r="AQ415" i="65"/>
  <c r="AK441" i="65"/>
  <c r="AP441" i="65"/>
  <c r="AK457" i="65"/>
  <c r="AP457" i="65"/>
  <c r="AK453" i="65"/>
  <c r="AP453" i="65"/>
  <c r="AK395" i="65"/>
  <c r="AP395" i="65"/>
  <c r="AP323" i="65"/>
  <c r="AK494" i="65"/>
  <c r="AP494" i="65"/>
  <c r="AK406" i="65"/>
  <c r="AP406" i="65"/>
  <c r="AL442" i="65"/>
  <c r="AR442" i="65" s="1"/>
  <c r="AQ442" i="65"/>
  <c r="AK493" i="65"/>
  <c r="AP493" i="65"/>
  <c r="AQ283" i="65"/>
  <c r="AQ375" i="65"/>
  <c r="AP375" i="65"/>
  <c r="N136" i="25"/>
  <c r="AK340" i="65"/>
  <c r="AL340" i="65" s="1"/>
  <c r="AR340" i="65" s="1"/>
  <c r="AP283" i="65"/>
  <c r="J527" i="65"/>
  <c r="AP354" i="65"/>
  <c r="AQ354" i="65"/>
  <c r="AP287" i="65"/>
  <c r="AQ287" i="65"/>
  <c r="AQ367" i="65"/>
  <c r="Q29" i="25"/>
  <c r="AR91" i="42"/>
  <c r="AR93" i="42"/>
  <c r="AR94" i="42"/>
  <c r="AR96" i="42"/>
  <c r="AR98" i="42"/>
  <c r="AR97" i="42"/>
  <c r="AR95" i="42"/>
  <c r="AY95" i="42"/>
  <c r="BO95" i="42" s="1"/>
  <c r="BW95" i="42" s="1"/>
  <c r="AQ289" i="65"/>
  <c r="AP367" i="65"/>
  <c r="AQ343" i="65"/>
  <c r="AK361" i="65"/>
  <c r="AP361" i="65"/>
  <c r="AQ311" i="65"/>
  <c r="AL376" i="65"/>
  <c r="AR376" i="65" s="1"/>
  <c r="AQ376" i="65"/>
  <c r="AL213" i="65"/>
  <c r="AR213" i="65" s="1"/>
  <c r="AK312" i="65"/>
  <c r="AP312" i="65"/>
  <c r="AK374" i="65"/>
  <c r="AP374" i="65"/>
  <c r="AL377" i="65"/>
  <c r="AR377" i="65" s="1"/>
  <c r="AQ377" i="65"/>
  <c r="AK293" i="65"/>
  <c r="AP293" i="65"/>
  <c r="AK383" i="65"/>
  <c r="AP383" i="65"/>
  <c r="AK316" i="65"/>
  <c r="AP316" i="65"/>
  <c r="AK378" i="65"/>
  <c r="AP378" i="65"/>
  <c r="AK358" i="65"/>
  <c r="AP358" i="65"/>
  <c r="AK320" i="65"/>
  <c r="AP320" i="65"/>
  <c r="AL280" i="65"/>
  <c r="AR280" i="65" s="1"/>
  <c r="AQ280" i="65"/>
  <c r="AK345" i="65"/>
  <c r="AP345" i="65"/>
  <c r="AL276" i="65"/>
  <c r="AR276" i="65" s="1"/>
  <c r="AQ276" i="65"/>
  <c r="AL285" i="65"/>
  <c r="AR285" i="65" s="1"/>
  <c r="AQ285" i="65"/>
  <c r="AL325" i="65"/>
  <c r="AR325" i="65" s="1"/>
  <c r="AQ325" i="65"/>
  <c r="AL322" i="65"/>
  <c r="AR322" i="65" s="1"/>
  <c r="AQ322" i="65"/>
  <c r="AK357" i="65"/>
  <c r="AP357" i="65"/>
  <c r="AK317" i="65"/>
  <c r="AP317" i="65"/>
  <c r="AK353" i="65"/>
  <c r="AP353" i="65"/>
  <c r="AK282" i="65"/>
  <c r="AP282" i="65"/>
  <c r="AL365" i="65"/>
  <c r="AR365" i="65" s="1"/>
  <c r="AQ365" i="65"/>
  <c r="AK372" i="65"/>
  <c r="AP372" i="65"/>
  <c r="AK355" i="65"/>
  <c r="AP355" i="65"/>
  <c r="AL321" i="65"/>
  <c r="AR321" i="65" s="1"/>
  <c r="AQ321" i="65"/>
  <c r="AL341" i="65"/>
  <c r="AR341" i="65" s="1"/>
  <c r="AQ341" i="65"/>
  <c r="AK346" i="65"/>
  <c r="AP346" i="65"/>
  <c r="AP250" i="65"/>
  <c r="AQ250" i="65"/>
  <c r="AQ167" i="65"/>
  <c r="AP167" i="65"/>
  <c r="AP213" i="65"/>
  <c r="AQ249" i="65"/>
  <c r="AP210" i="65"/>
  <c r="AQ210" i="65"/>
  <c r="AP249" i="65"/>
  <c r="B485" i="40"/>
  <c r="B204" i="65"/>
  <c r="AL161" i="65"/>
  <c r="AR161" i="65" s="1"/>
  <c r="AQ161" i="65"/>
  <c r="AK229" i="65"/>
  <c r="AP229" i="65"/>
  <c r="AK241" i="65"/>
  <c r="AP241" i="65"/>
  <c r="AK233" i="65"/>
  <c r="AP233" i="65"/>
  <c r="AK165" i="65"/>
  <c r="AP165" i="65"/>
  <c r="AK256" i="65"/>
  <c r="AP256" i="65"/>
  <c r="AL157" i="65"/>
  <c r="AR157" i="65" s="1"/>
  <c r="AQ157" i="65"/>
  <c r="AK218" i="65"/>
  <c r="AP218" i="65"/>
  <c r="AK170" i="65"/>
  <c r="AP170" i="65"/>
  <c r="AK214" i="65"/>
  <c r="AP214" i="65"/>
  <c r="AK259" i="65"/>
  <c r="AP259" i="65"/>
  <c r="AL231" i="65"/>
  <c r="AR231" i="65" s="1"/>
  <c r="AQ231" i="65"/>
  <c r="AK234" i="65"/>
  <c r="AP234" i="65"/>
  <c r="AK158" i="65"/>
  <c r="AP158" i="65"/>
  <c r="AK243" i="65"/>
  <c r="AP243" i="65"/>
  <c r="AL257" i="65"/>
  <c r="AR257" i="65" s="1"/>
  <c r="AQ257" i="65"/>
  <c r="AK235" i="65"/>
  <c r="AP235" i="65"/>
  <c r="AL162" i="65"/>
  <c r="AR162" i="65" s="1"/>
  <c r="AQ162" i="65"/>
  <c r="AK239" i="65"/>
  <c r="AP239" i="65"/>
  <c r="AL238" i="65"/>
  <c r="AR238" i="65" s="1"/>
  <c r="AQ238" i="65"/>
  <c r="AL254" i="65"/>
  <c r="AR254" i="65" s="1"/>
  <c r="AQ254" i="65"/>
  <c r="AK166" i="65"/>
  <c r="AP166" i="65"/>
  <c r="AL160" i="65"/>
  <c r="AR160" i="65" s="1"/>
  <c r="AQ160" i="65"/>
  <c r="AL85" i="65"/>
  <c r="AR85" i="65" s="1"/>
  <c r="P52" i="66"/>
  <c r="L49" i="37"/>
  <c r="AL142" i="65"/>
  <c r="AR142" i="65" s="1"/>
  <c r="AP142" i="65"/>
  <c r="AJ136" i="65"/>
  <c r="AO136" i="65"/>
  <c r="AL138" i="65"/>
  <c r="AR138" i="65" s="1"/>
  <c r="AQ138" i="65"/>
  <c r="AL99" i="65"/>
  <c r="AR99" i="65" s="1"/>
  <c r="AQ99" i="65"/>
  <c r="AL93" i="65"/>
  <c r="AR93" i="65" s="1"/>
  <c r="AQ93" i="65"/>
  <c r="AL62" i="65"/>
  <c r="AR62" i="65" s="1"/>
  <c r="AQ62" i="65"/>
  <c r="AK61" i="65"/>
  <c r="AP61" i="65"/>
  <c r="AQ63" i="65"/>
  <c r="AL63" i="65"/>
  <c r="AR63" i="65" s="1"/>
  <c r="AL91" i="65"/>
  <c r="AR91" i="65" s="1"/>
  <c r="AQ91" i="65"/>
  <c r="AL141" i="65"/>
  <c r="AR141" i="65" s="1"/>
  <c r="AQ141" i="65"/>
  <c r="AK97" i="65"/>
  <c r="AP97" i="65"/>
  <c r="AK126" i="65"/>
  <c r="AP126" i="65"/>
  <c r="AK109" i="65"/>
  <c r="AP109" i="65"/>
  <c r="M49" i="66"/>
  <c r="M92" i="66" s="1"/>
  <c r="O94" i="66" s="1"/>
  <c r="M27" i="25"/>
  <c r="O50" i="66"/>
  <c r="O28" i="25"/>
  <c r="AL124" i="65"/>
  <c r="AR124" i="65" s="1"/>
  <c r="AP67" i="65"/>
  <c r="AP68" i="65"/>
  <c r="Q51" i="66"/>
  <c r="AQ68" i="65"/>
  <c r="AQ67" i="65"/>
  <c r="AQ79" i="65"/>
  <c r="AP79" i="65"/>
  <c r="AL70" i="65"/>
  <c r="AR70" i="65" s="1"/>
  <c r="AQ70" i="65"/>
  <c r="AK81" i="65"/>
  <c r="AP81" i="65"/>
  <c r="AK116" i="65"/>
  <c r="AP116" i="65"/>
  <c r="AK80" i="65"/>
  <c r="AP80" i="65"/>
  <c r="AL125" i="65"/>
  <c r="AR125" i="65" s="1"/>
  <c r="AQ125" i="65"/>
  <c r="AL117" i="65"/>
  <c r="AR117" i="65" s="1"/>
  <c r="AQ117" i="65"/>
  <c r="AL84" i="65"/>
  <c r="AR84" i="65" s="1"/>
  <c r="AQ84" i="65"/>
  <c r="AQ115" i="65"/>
  <c r="AL115" i="65"/>
  <c r="AR115" i="65" s="1"/>
  <c r="AK130" i="65"/>
  <c r="AP130" i="65"/>
  <c r="AL64" i="65"/>
  <c r="AR64" i="65" s="1"/>
  <c r="AQ64" i="65"/>
  <c r="AQ119" i="65"/>
  <c r="AL119" i="65"/>
  <c r="AR119" i="65" s="1"/>
  <c r="AJ127" i="65"/>
  <c r="AO127" i="65"/>
  <c r="AK111" i="65"/>
  <c r="AP111" i="65"/>
  <c r="AL77" i="65"/>
  <c r="AR77" i="65" s="1"/>
  <c r="AQ77" i="65"/>
  <c r="AK73" i="65"/>
  <c r="AP73" i="65"/>
  <c r="AK131" i="65"/>
  <c r="AP131" i="65"/>
  <c r="AL128" i="65"/>
  <c r="AR128" i="65" s="1"/>
  <c r="AQ128" i="65"/>
  <c r="AL71" i="65"/>
  <c r="AR71" i="65" s="1"/>
  <c r="AQ71" i="65"/>
  <c r="AK76" i="65"/>
  <c r="AP76" i="65"/>
  <c r="AL72" i="65"/>
  <c r="AR72" i="65" s="1"/>
  <c r="AQ72" i="65"/>
  <c r="AJ52" i="65"/>
  <c r="M49" i="50"/>
  <c r="M47" i="42"/>
  <c r="P30" i="25"/>
  <c r="P104" i="25" s="1"/>
  <c r="R106" i="25" s="1"/>
  <c r="N28" i="32" s="1"/>
  <c r="Q55" i="24"/>
  <c r="N40" i="50"/>
  <c r="Q18" i="25"/>
  <c r="N38" i="42"/>
  <c r="P53" i="24"/>
  <c r="N52" i="24"/>
  <c r="AL416" i="65" l="1"/>
  <c r="AR416" i="65" s="1"/>
  <c r="AQ416" i="65"/>
  <c r="AL457" i="65"/>
  <c r="AR457" i="65" s="1"/>
  <c r="AQ457" i="65"/>
  <c r="AL414" i="65"/>
  <c r="AR414" i="65" s="1"/>
  <c r="AQ414" i="65"/>
  <c r="AL493" i="65"/>
  <c r="AR493" i="65" s="1"/>
  <c r="AQ493" i="65"/>
  <c r="AL441" i="65"/>
  <c r="AR441" i="65" s="1"/>
  <c r="AQ441" i="65"/>
  <c r="AL447" i="65"/>
  <c r="AR447" i="65" s="1"/>
  <c r="AQ447" i="65"/>
  <c r="AL406" i="65"/>
  <c r="AR406" i="65" s="1"/>
  <c r="AQ406" i="65"/>
  <c r="AL453" i="65"/>
  <c r="AR453" i="65" s="1"/>
  <c r="AQ453" i="65"/>
  <c r="O136" i="25"/>
  <c r="AL494" i="65"/>
  <c r="AR494" i="65" s="1"/>
  <c r="AQ494" i="65"/>
  <c r="AL471" i="65"/>
  <c r="AR471" i="65" s="1"/>
  <c r="AQ471" i="65"/>
  <c r="AL448" i="65"/>
  <c r="AR448" i="65" s="1"/>
  <c r="AQ448" i="65"/>
  <c r="AL459" i="65"/>
  <c r="AR459" i="65" s="1"/>
  <c r="AQ459" i="65"/>
  <c r="AL450" i="65"/>
  <c r="AR450" i="65" s="1"/>
  <c r="AQ450" i="65"/>
  <c r="AL405" i="65"/>
  <c r="AR405" i="65" s="1"/>
  <c r="AQ405" i="65"/>
  <c r="AL468" i="65"/>
  <c r="AR468" i="65" s="1"/>
  <c r="AQ468" i="65"/>
  <c r="AL444" i="65"/>
  <c r="AR444" i="65" s="1"/>
  <c r="AQ444" i="65"/>
  <c r="AL410" i="65"/>
  <c r="AR410" i="65" s="1"/>
  <c r="AQ410" i="65"/>
  <c r="AL395" i="65"/>
  <c r="AR395" i="65" s="1"/>
  <c r="AQ395" i="65"/>
  <c r="AL496" i="65"/>
  <c r="AR496" i="65" s="1"/>
  <c r="AQ496" i="65"/>
  <c r="AL409" i="65"/>
  <c r="AR409" i="65" s="1"/>
  <c r="AQ409" i="65"/>
  <c r="AL397" i="65"/>
  <c r="AR397" i="65" s="1"/>
  <c r="AQ397" i="65"/>
  <c r="AQ340" i="65"/>
  <c r="J524" i="65"/>
  <c r="AS95" i="42"/>
  <c r="AZ95" i="42"/>
  <c r="BP95" i="42" s="1"/>
  <c r="BX95" i="42" s="1"/>
  <c r="AQ361" i="65"/>
  <c r="AL361" i="65"/>
  <c r="AR361" i="65" s="1"/>
  <c r="AL355" i="65"/>
  <c r="AR355" i="65" s="1"/>
  <c r="AQ355" i="65"/>
  <c r="AL353" i="65"/>
  <c r="AR353" i="65" s="1"/>
  <c r="AQ353" i="65"/>
  <c r="AL357" i="65"/>
  <c r="AR357" i="65" s="1"/>
  <c r="AQ357" i="65"/>
  <c r="AL346" i="65"/>
  <c r="AR346" i="65" s="1"/>
  <c r="AQ346" i="65"/>
  <c r="AL358" i="65"/>
  <c r="AR358" i="65" s="1"/>
  <c r="AQ358" i="65"/>
  <c r="AL316" i="65"/>
  <c r="AR316" i="65" s="1"/>
  <c r="AQ316" i="65"/>
  <c r="AL293" i="65"/>
  <c r="AR293" i="65" s="1"/>
  <c r="AQ293" i="65"/>
  <c r="AL374" i="65"/>
  <c r="AR374" i="65" s="1"/>
  <c r="AQ374" i="65"/>
  <c r="AL372" i="65"/>
  <c r="AR372" i="65" s="1"/>
  <c r="AQ372" i="65"/>
  <c r="AL282" i="65"/>
  <c r="AR282" i="65" s="1"/>
  <c r="AQ282" i="65"/>
  <c r="AL317" i="65"/>
  <c r="AR317" i="65" s="1"/>
  <c r="AQ317" i="65"/>
  <c r="AL345" i="65"/>
  <c r="AR345" i="65" s="1"/>
  <c r="AQ345" i="65"/>
  <c r="AL320" i="65"/>
  <c r="AR320" i="65" s="1"/>
  <c r="AQ320" i="65"/>
  <c r="AL378" i="65"/>
  <c r="AR378" i="65" s="1"/>
  <c r="AQ378" i="65"/>
  <c r="AL383" i="65"/>
  <c r="AR383" i="65" s="1"/>
  <c r="AQ383" i="65"/>
  <c r="AL312" i="65"/>
  <c r="AR312" i="65" s="1"/>
  <c r="AQ312" i="65"/>
  <c r="B486" i="40"/>
  <c r="B205" i="65"/>
  <c r="AL233" i="65"/>
  <c r="AR233" i="65" s="1"/>
  <c r="AQ233" i="65"/>
  <c r="AL239" i="65"/>
  <c r="AR239" i="65" s="1"/>
  <c r="AQ239" i="65"/>
  <c r="AL166" i="65"/>
  <c r="AR166" i="65" s="1"/>
  <c r="AQ166" i="65"/>
  <c r="AL158" i="65"/>
  <c r="AR158" i="65" s="1"/>
  <c r="AQ158" i="65"/>
  <c r="AL214" i="65"/>
  <c r="AR214" i="65" s="1"/>
  <c r="AQ214" i="65"/>
  <c r="AL218" i="65"/>
  <c r="AR218" i="65" s="1"/>
  <c r="AQ218" i="65"/>
  <c r="AL256" i="65"/>
  <c r="AR256" i="65" s="1"/>
  <c r="AQ256" i="65"/>
  <c r="AL229" i="65"/>
  <c r="AR229" i="65" s="1"/>
  <c r="AQ229" i="65"/>
  <c r="AL235" i="65"/>
  <c r="AR235" i="65" s="1"/>
  <c r="AQ235" i="65"/>
  <c r="AL243" i="65"/>
  <c r="AR243" i="65" s="1"/>
  <c r="AQ243" i="65"/>
  <c r="AL234" i="65"/>
  <c r="AR234" i="65" s="1"/>
  <c r="AQ234" i="65"/>
  <c r="AL259" i="65"/>
  <c r="AR259" i="65" s="1"/>
  <c r="AQ259" i="65"/>
  <c r="AL170" i="65"/>
  <c r="AR170" i="65" s="1"/>
  <c r="AQ170" i="65"/>
  <c r="AL165" i="65"/>
  <c r="AR165" i="65" s="1"/>
  <c r="AQ165" i="65"/>
  <c r="AL241" i="65"/>
  <c r="AR241" i="65" s="1"/>
  <c r="AQ241" i="65"/>
  <c r="Q52" i="66"/>
  <c r="M49" i="37"/>
  <c r="AK52" i="65"/>
  <c r="AK136" i="65"/>
  <c r="AQ136" i="65" s="1"/>
  <c r="AP136" i="65"/>
  <c r="AQ111" i="65"/>
  <c r="AL111" i="65"/>
  <c r="AR111" i="65" s="1"/>
  <c r="AL109" i="65"/>
  <c r="AR109" i="65" s="1"/>
  <c r="AQ109" i="65"/>
  <c r="AL97" i="65"/>
  <c r="AR97" i="65" s="1"/>
  <c r="AQ97" i="65"/>
  <c r="AL61" i="65"/>
  <c r="AR61" i="65" s="1"/>
  <c r="AQ61" i="65"/>
  <c r="AL126" i="65"/>
  <c r="AR126" i="65" s="1"/>
  <c r="AQ126" i="65"/>
  <c r="N49" i="66"/>
  <c r="N92" i="66" s="1"/>
  <c r="P94" i="66" s="1"/>
  <c r="N27" i="25"/>
  <c r="P50" i="66"/>
  <c r="P28" i="25"/>
  <c r="AL81" i="65"/>
  <c r="AR81" i="65" s="1"/>
  <c r="AQ81" i="65"/>
  <c r="AL131" i="65"/>
  <c r="AR131" i="65" s="1"/>
  <c r="AQ131" i="65"/>
  <c r="AL80" i="65"/>
  <c r="AR80" i="65" s="1"/>
  <c r="AQ80" i="65"/>
  <c r="AK127" i="65"/>
  <c r="AP127" i="65"/>
  <c r="AL76" i="65"/>
  <c r="AR76" i="65" s="1"/>
  <c r="AQ76" i="65"/>
  <c r="AL73" i="65"/>
  <c r="AR73" i="65" s="1"/>
  <c r="AQ73" i="65"/>
  <c r="AL130" i="65"/>
  <c r="AR130" i="65" s="1"/>
  <c r="AQ130" i="65"/>
  <c r="AL116" i="65"/>
  <c r="AR116" i="65" s="1"/>
  <c r="AQ116" i="65"/>
  <c r="AN52" i="65"/>
  <c r="N47" i="42"/>
  <c r="Q30" i="25"/>
  <c r="Q104" i="25" s="1"/>
  <c r="N49" i="50"/>
  <c r="O52" i="24"/>
  <c r="Q53" i="24"/>
  <c r="F13" i="40"/>
  <c r="G13" i="40"/>
  <c r="H13" i="40"/>
  <c r="I13" i="40"/>
  <c r="J13" i="40"/>
  <c r="K13" i="40"/>
  <c r="L13" i="40"/>
  <c r="M13" i="40"/>
  <c r="N13" i="40"/>
  <c r="O13" i="40"/>
  <c r="P13" i="40"/>
  <c r="Q13" i="40"/>
  <c r="R13" i="40"/>
  <c r="S13" i="40"/>
  <c r="T13" i="40"/>
  <c r="U13" i="40"/>
  <c r="V13" i="40"/>
  <c r="W13" i="40"/>
  <c r="X13" i="40"/>
  <c r="Y13" i="40"/>
  <c r="Z13" i="40"/>
  <c r="AA13" i="40"/>
  <c r="AB13" i="40"/>
  <c r="AC13" i="40"/>
  <c r="AD13" i="40"/>
  <c r="AE13" i="40"/>
  <c r="AF13" i="40"/>
  <c r="AG13" i="40"/>
  <c r="AH13" i="40"/>
  <c r="AI13" i="40"/>
  <c r="AJ13" i="40"/>
  <c r="AK13" i="40"/>
  <c r="AL13" i="40"/>
  <c r="AM13" i="40"/>
  <c r="AN13" i="40"/>
  <c r="AO13" i="40"/>
  <c r="AP13" i="40"/>
  <c r="AQ13" i="40"/>
  <c r="AR13" i="40"/>
  <c r="AS13" i="40"/>
  <c r="AT13" i="40"/>
  <c r="AU13" i="40"/>
  <c r="AV13" i="40"/>
  <c r="AW13" i="40"/>
  <c r="AX13" i="40"/>
  <c r="AY13" i="40"/>
  <c r="AZ13" i="40"/>
  <c r="BA13" i="40"/>
  <c r="BB13" i="40"/>
  <c r="BC13" i="40"/>
  <c r="BD13" i="40"/>
  <c r="BE13" i="40"/>
  <c r="BF13" i="40"/>
  <c r="BG13" i="40"/>
  <c r="BH13" i="40"/>
  <c r="BI13" i="40"/>
  <c r="BJ13" i="40"/>
  <c r="BK13" i="40"/>
  <c r="BL13" i="40"/>
  <c r="BM13" i="40"/>
  <c r="BN13" i="40"/>
  <c r="BO13" i="40"/>
  <c r="BP13" i="40"/>
  <c r="BQ13" i="40"/>
  <c r="BR13" i="40"/>
  <c r="BS13" i="40"/>
  <c r="BT13" i="40"/>
  <c r="BU13" i="40"/>
  <c r="BV13" i="40"/>
  <c r="BW13" i="40"/>
  <c r="BX13" i="40"/>
  <c r="BY13" i="40"/>
  <c r="BZ13" i="40"/>
  <c r="CA13" i="40"/>
  <c r="CB13" i="40"/>
  <c r="E13" i="40"/>
  <c r="F893" i="40"/>
  <c r="F894" i="40"/>
  <c r="F895" i="40"/>
  <c r="F896" i="40"/>
  <c r="F897" i="40"/>
  <c r="F898" i="40"/>
  <c r="F899" i="40"/>
  <c r="F900" i="40"/>
  <c r="F901" i="40"/>
  <c r="F902" i="40"/>
  <c r="F903" i="40"/>
  <c r="F904" i="40"/>
  <c r="F905" i="40"/>
  <c r="F906" i="40"/>
  <c r="F907" i="40"/>
  <c r="F908" i="40"/>
  <c r="F909" i="40"/>
  <c r="F910" i="40"/>
  <c r="F911" i="40"/>
  <c r="F912" i="40"/>
  <c r="F913" i="40"/>
  <c r="F914" i="40"/>
  <c r="F915" i="40"/>
  <c r="F916" i="40"/>
  <c r="F917" i="40"/>
  <c r="F918" i="40"/>
  <c r="F919" i="40"/>
  <c r="F920" i="40"/>
  <c r="F921" i="40"/>
  <c r="F922" i="40"/>
  <c r="F923" i="40"/>
  <c r="F924" i="40"/>
  <c r="F925" i="40"/>
  <c r="F926" i="40"/>
  <c r="F927" i="40"/>
  <c r="F928" i="40"/>
  <c r="F929" i="40"/>
  <c r="F930" i="40"/>
  <c r="F931" i="40"/>
  <c r="F932" i="40"/>
  <c r="F933" i="40"/>
  <c r="F934" i="40"/>
  <c r="F935" i="40"/>
  <c r="F936" i="40"/>
  <c r="F937" i="40"/>
  <c r="F938" i="40"/>
  <c r="F939" i="40"/>
  <c r="F940" i="40"/>
  <c r="F941" i="40"/>
  <c r="F942" i="40"/>
  <c r="F943" i="40"/>
  <c r="F944" i="40"/>
  <c r="F945" i="40"/>
  <c r="F946" i="40"/>
  <c r="F947" i="40"/>
  <c r="F948" i="40"/>
  <c r="F949" i="40"/>
  <c r="F950" i="40"/>
  <c r="F951" i="40"/>
  <c r="F952" i="40"/>
  <c r="F953" i="40"/>
  <c r="F954" i="40"/>
  <c r="F955" i="40"/>
  <c r="F956" i="40"/>
  <c r="F957" i="40"/>
  <c r="F958" i="40"/>
  <c r="F959" i="40"/>
  <c r="F960" i="40"/>
  <c r="F961" i="40"/>
  <c r="F962" i="40"/>
  <c r="F963" i="40"/>
  <c r="F964" i="40"/>
  <c r="F965" i="40"/>
  <c r="F966" i="40"/>
  <c r="F967" i="40"/>
  <c r="F968" i="40"/>
  <c r="F969" i="40"/>
  <c r="F970" i="40"/>
  <c r="F971" i="40"/>
  <c r="F972" i="40"/>
  <c r="F973" i="40"/>
  <c r="F974" i="40"/>
  <c r="F975" i="40"/>
  <c r="F976" i="40"/>
  <c r="F977" i="40"/>
  <c r="F978" i="40"/>
  <c r="F979" i="40"/>
  <c r="F980" i="40"/>
  <c r="F981" i="40"/>
  <c r="F982" i="40"/>
  <c r="F983" i="40"/>
  <c r="F984" i="40"/>
  <c r="F985" i="40"/>
  <c r="F986" i="40"/>
  <c r="F987" i="40"/>
  <c r="F988" i="40"/>
  <c r="F989" i="40"/>
  <c r="F990" i="40"/>
  <c r="F991" i="40"/>
  <c r="F992" i="40"/>
  <c r="F993" i="40"/>
  <c r="F994" i="40"/>
  <c r="F995" i="40"/>
  <c r="F996" i="40"/>
  <c r="F997" i="40"/>
  <c r="F998" i="40"/>
  <c r="F999" i="40"/>
  <c r="F1000" i="40"/>
  <c r="F1001" i="40"/>
  <c r="F1002" i="40"/>
  <c r="F1003" i="40"/>
  <c r="F1004" i="40"/>
  <c r="F1005" i="40"/>
  <c r="F1006" i="40"/>
  <c r="F1007" i="40"/>
  <c r="F1008" i="40"/>
  <c r="F1009" i="40"/>
  <c r="F1010" i="40"/>
  <c r="F1011" i="40"/>
  <c r="F1012" i="40"/>
  <c r="F1013" i="40"/>
  <c r="F1014" i="40"/>
  <c r="F1015" i="40"/>
  <c r="F1016" i="40"/>
  <c r="F1017" i="40"/>
  <c r="F1018" i="40"/>
  <c r="F1019" i="40"/>
  <c r="F1020" i="40"/>
  <c r="F1021" i="40"/>
  <c r="F1022" i="40"/>
  <c r="F1023" i="40"/>
  <c r="F1024" i="40"/>
  <c r="F1025" i="40"/>
  <c r="F1026" i="40"/>
  <c r="F1027" i="40"/>
  <c r="F1028" i="40"/>
  <c r="F1029" i="40"/>
  <c r="F1030" i="40"/>
  <c r="F1031" i="40"/>
  <c r="F1032" i="40"/>
  <c r="F1033" i="40"/>
  <c r="F1034" i="40"/>
  <c r="F1035" i="40"/>
  <c r="F1036" i="40"/>
  <c r="F1037" i="40"/>
  <c r="F1038" i="40"/>
  <c r="F1039" i="40"/>
  <c r="F1040" i="40"/>
  <c r="F1041" i="40"/>
  <c r="F1042" i="40"/>
  <c r="F1043" i="40"/>
  <c r="F1044" i="40"/>
  <c r="F1045" i="40"/>
  <c r="F1046" i="40"/>
  <c r="F1047" i="40"/>
  <c r="F1048" i="40"/>
  <c r="F1049" i="40"/>
  <c r="F1050" i="40"/>
  <c r="F1051" i="40"/>
  <c r="F1052" i="40"/>
  <c r="F1053" i="40"/>
  <c r="F1054" i="40"/>
  <c r="F1055" i="40"/>
  <c r="F1056" i="40"/>
  <c r="F1057" i="40"/>
  <c r="F1058" i="40"/>
  <c r="F1059" i="40"/>
  <c r="F1060" i="40"/>
  <c r="F1061" i="40"/>
  <c r="F1062" i="40"/>
  <c r="F1063" i="40"/>
  <c r="F1064" i="40"/>
  <c r="F1065" i="40"/>
  <c r="F1066" i="40"/>
  <c r="F1067" i="40"/>
  <c r="F1068" i="40"/>
  <c r="F1069" i="40"/>
  <c r="F1070" i="40"/>
  <c r="F1071" i="40"/>
  <c r="F1072" i="40"/>
  <c r="F1073" i="40"/>
  <c r="F1074" i="40"/>
  <c r="F1075" i="40"/>
  <c r="F1076" i="40"/>
  <c r="F1077" i="40"/>
  <c r="F1078" i="40"/>
  <c r="F1079" i="40"/>
  <c r="F1080" i="40"/>
  <c r="F1081" i="40"/>
  <c r="F1082" i="40"/>
  <c r="F1083" i="40"/>
  <c r="F1084" i="40"/>
  <c r="F1085" i="40"/>
  <c r="F1086" i="40"/>
  <c r="F1087" i="40"/>
  <c r="F1088" i="40"/>
  <c r="F1089" i="40"/>
  <c r="F1090" i="40"/>
  <c r="F1091" i="40"/>
  <c r="F1092" i="40"/>
  <c r="F1093" i="40"/>
  <c r="F1094" i="40"/>
  <c r="F1095" i="40"/>
  <c r="F1096" i="40"/>
  <c r="F1097" i="40"/>
  <c r="F1098" i="40"/>
  <c r="F1099" i="40"/>
  <c r="F1100" i="40"/>
  <c r="F1101" i="40"/>
  <c r="F1102" i="40"/>
  <c r="F1103" i="40"/>
  <c r="F1104" i="40"/>
  <c r="F1105" i="40"/>
  <c r="F1106" i="40"/>
  <c r="F1107" i="40"/>
  <c r="F1108" i="40"/>
  <c r="F1109" i="40"/>
  <c r="F1110" i="40"/>
  <c r="F1111" i="40"/>
  <c r="F1112" i="40"/>
  <c r="F1113" i="40"/>
  <c r="F1114" i="40"/>
  <c r="F1115" i="40"/>
  <c r="F1116" i="40"/>
  <c r="F1117" i="40"/>
  <c r="F1118" i="40"/>
  <c r="F1119" i="40"/>
  <c r="F1120" i="40"/>
  <c r="F1121" i="40"/>
  <c r="F1122" i="40"/>
  <c r="F1123" i="40"/>
  <c r="F1124" i="40"/>
  <c r="F1125" i="40"/>
  <c r="F1126" i="40"/>
  <c r="F1127" i="40"/>
  <c r="F1128" i="40"/>
  <c r="F1129" i="40"/>
  <c r="F1130" i="40"/>
  <c r="F1131" i="40"/>
  <c r="F1132" i="40"/>
  <c r="F1133" i="40"/>
  <c r="F1134" i="40"/>
  <c r="F1135" i="40"/>
  <c r="F1136" i="40"/>
  <c r="F1137" i="40"/>
  <c r="F1138" i="40"/>
  <c r="F1139" i="40"/>
  <c r="F1140" i="40"/>
  <c r="F1141" i="40"/>
  <c r="F1142" i="40"/>
  <c r="F1143" i="40"/>
  <c r="F1144" i="40"/>
  <c r="F1145" i="40"/>
  <c r="F1146" i="40"/>
  <c r="F1147" i="40"/>
  <c r="F1148" i="40"/>
  <c r="F1149" i="40"/>
  <c r="F1150" i="40"/>
  <c r="F1151" i="40"/>
  <c r="F1152" i="40"/>
  <c r="F1153" i="40"/>
  <c r="F1154" i="40"/>
  <c r="F1155" i="40"/>
  <c r="F1156" i="40"/>
  <c r="F1157" i="40"/>
  <c r="F1158" i="40"/>
  <c r="F1159" i="40"/>
  <c r="F1160" i="40"/>
  <c r="F1161" i="40"/>
  <c r="F1162" i="40"/>
  <c r="F1163" i="40"/>
  <c r="F1164" i="40"/>
  <c r="F1165" i="40"/>
  <c r="F1166" i="40"/>
  <c r="F1167" i="40"/>
  <c r="F1168" i="40"/>
  <c r="F1169" i="40"/>
  <c r="F1170" i="40"/>
  <c r="F1171" i="40"/>
  <c r="F1172" i="40"/>
  <c r="F1173" i="40"/>
  <c r="F1174" i="40"/>
  <c r="F1175" i="40"/>
  <c r="F1176" i="40"/>
  <c r="F1177" i="40"/>
  <c r="F1178" i="40"/>
  <c r="F1179" i="40"/>
  <c r="F1180" i="40"/>
  <c r="F1181" i="40"/>
  <c r="F1182" i="40"/>
  <c r="F1183" i="40"/>
  <c r="F1184" i="40"/>
  <c r="F1185" i="40"/>
  <c r="F1186" i="40"/>
  <c r="F1187" i="40"/>
  <c r="F1188" i="40"/>
  <c r="F1189" i="40"/>
  <c r="F1190" i="40"/>
  <c r="F1191" i="40"/>
  <c r="F1192" i="40"/>
  <c r="F1193" i="40"/>
  <c r="F1194" i="40"/>
  <c r="F1195" i="40"/>
  <c r="F1196" i="40"/>
  <c r="F1197" i="40"/>
  <c r="F1198" i="40"/>
  <c r="F1199" i="40"/>
  <c r="F1200" i="40"/>
  <c r="F1201" i="40"/>
  <c r="F1202" i="40"/>
  <c r="F1203" i="40"/>
  <c r="F1204" i="40"/>
  <c r="F1205" i="40"/>
  <c r="F1206" i="40"/>
  <c r="F892" i="40"/>
  <c r="B62" i="50"/>
  <c r="F62" i="50"/>
  <c r="H62" i="50"/>
  <c r="I62" i="50"/>
  <c r="J62" i="50"/>
  <c r="K62" i="50"/>
  <c r="B63" i="50"/>
  <c r="F63" i="50"/>
  <c r="H63" i="50"/>
  <c r="I63" i="50"/>
  <c r="J63" i="50"/>
  <c r="K63" i="50"/>
  <c r="B64" i="50"/>
  <c r="F64" i="50"/>
  <c r="H64" i="50"/>
  <c r="I64" i="50"/>
  <c r="J64" i="50"/>
  <c r="K64" i="50"/>
  <c r="B65" i="50"/>
  <c r="F65" i="50"/>
  <c r="H65" i="50"/>
  <c r="I65" i="50"/>
  <c r="J65" i="50"/>
  <c r="K65" i="50"/>
  <c r="B66" i="50"/>
  <c r="F66" i="50"/>
  <c r="H66" i="50"/>
  <c r="I66" i="50"/>
  <c r="J66" i="50"/>
  <c r="K66" i="50"/>
  <c r="B67" i="50"/>
  <c r="F67" i="50"/>
  <c r="H67" i="50"/>
  <c r="I67" i="50"/>
  <c r="J67" i="50"/>
  <c r="K67" i="50"/>
  <c r="B68" i="50"/>
  <c r="F68" i="50"/>
  <c r="H68" i="50"/>
  <c r="I68" i="50"/>
  <c r="J68" i="50"/>
  <c r="K68" i="50"/>
  <c r="B69" i="50"/>
  <c r="F69" i="50"/>
  <c r="H69" i="50"/>
  <c r="I69" i="50"/>
  <c r="J69" i="50"/>
  <c r="K69" i="50"/>
  <c r="B70" i="50"/>
  <c r="F70" i="50"/>
  <c r="H70" i="50"/>
  <c r="I70" i="50"/>
  <c r="J70" i="50"/>
  <c r="K70" i="50"/>
  <c r="B71" i="50"/>
  <c r="F71" i="50"/>
  <c r="H71" i="50"/>
  <c r="I71" i="50"/>
  <c r="J71" i="50"/>
  <c r="K71" i="50"/>
  <c r="B72" i="50"/>
  <c r="F72" i="50"/>
  <c r="H72" i="50"/>
  <c r="I72" i="50"/>
  <c r="J72" i="50"/>
  <c r="K72" i="50"/>
  <c r="B73" i="50"/>
  <c r="F73" i="50"/>
  <c r="H73" i="50"/>
  <c r="I73" i="50"/>
  <c r="J73" i="50"/>
  <c r="K73" i="50"/>
  <c r="B74" i="50"/>
  <c r="F74" i="50"/>
  <c r="H74" i="50"/>
  <c r="I74" i="50"/>
  <c r="J74" i="50"/>
  <c r="K74" i="50"/>
  <c r="B75" i="50"/>
  <c r="F75" i="50"/>
  <c r="H75" i="50"/>
  <c r="I75" i="50"/>
  <c r="J75" i="50"/>
  <c r="K75" i="50"/>
  <c r="B76" i="50"/>
  <c r="F76" i="50"/>
  <c r="H76" i="50"/>
  <c r="I76" i="50"/>
  <c r="J76" i="50"/>
  <c r="K76" i="50"/>
  <c r="B77" i="50"/>
  <c r="F77" i="50"/>
  <c r="H77" i="50"/>
  <c r="I77" i="50"/>
  <c r="J77" i="50"/>
  <c r="K77" i="50"/>
  <c r="B78" i="50"/>
  <c r="F78" i="50"/>
  <c r="H78" i="50"/>
  <c r="I78" i="50"/>
  <c r="J78" i="50"/>
  <c r="K78" i="50"/>
  <c r="B79" i="50"/>
  <c r="F79" i="50"/>
  <c r="H79" i="50"/>
  <c r="I79" i="50"/>
  <c r="J79" i="50"/>
  <c r="K79" i="50"/>
  <c r="B80" i="50"/>
  <c r="F80" i="50"/>
  <c r="H80" i="50"/>
  <c r="I80" i="50"/>
  <c r="J80" i="50"/>
  <c r="K80" i="50"/>
  <c r="B81" i="50"/>
  <c r="F81" i="50"/>
  <c r="H81" i="50"/>
  <c r="I81" i="50"/>
  <c r="J81" i="50"/>
  <c r="K81" i="50"/>
  <c r="B82" i="50"/>
  <c r="F82" i="50"/>
  <c r="H82" i="50"/>
  <c r="I82" i="50"/>
  <c r="J82" i="50"/>
  <c r="K82" i="50"/>
  <c r="B83" i="50"/>
  <c r="F83" i="50"/>
  <c r="H83" i="50"/>
  <c r="I83" i="50"/>
  <c r="J83" i="50"/>
  <c r="K83" i="50"/>
  <c r="B84" i="50"/>
  <c r="F84" i="50"/>
  <c r="H84" i="50"/>
  <c r="I84" i="50"/>
  <c r="J84" i="50"/>
  <c r="K84" i="50"/>
  <c r="B85" i="50"/>
  <c r="F85" i="50"/>
  <c r="H85" i="50"/>
  <c r="I85" i="50"/>
  <c r="J85" i="50"/>
  <c r="K85" i="50"/>
  <c r="B86" i="50"/>
  <c r="F86" i="50"/>
  <c r="H86" i="50"/>
  <c r="I86" i="50"/>
  <c r="J86" i="50"/>
  <c r="K86" i="50"/>
  <c r="B87" i="50"/>
  <c r="F87" i="50"/>
  <c r="H87" i="50"/>
  <c r="I87" i="50"/>
  <c r="J87" i="50"/>
  <c r="K87" i="50"/>
  <c r="B88" i="50"/>
  <c r="F88" i="50"/>
  <c r="H88" i="50"/>
  <c r="I88" i="50"/>
  <c r="J88" i="50"/>
  <c r="K88" i="50"/>
  <c r="B89" i="50"/>
  <c r="F89" i="50"/>
  <c r="H89" i="50"/>
  <c r="I89" i="50"/>
  <c r="J89" i="50"/>
  <c r="K89" i="50"/>
  <c r="B90" i="50"/>
  <c r="F90" i="50"/>
  <c r="H90" i="50"/>
  <c r="I90" i="50"/>
  <c r="J90" i="50"/>
  <c r="K90" i="50"/>
  <c r="B91" i="50"/>
  <c r="F91" i="50"/>
  <c r="H91" i="50"/>
  <c r="I91" i="50"/>
  <c r="J91" i="50"/>
  <c r="K91" i="50"/>
  <c r="B92" i="50"/>
  <c r="F92" i="50"/>
  <c r="H92" i="50"/>
  <c r="I92" i="50"/>
  <c r="J92" i="50"/>
  <c r="K92" i="50"/>
  <c r="B93" i="50"/>
  <c r="F93" i="50"/>
  <c r="H93" i="50"/>
  <c r="I93" i="50"/>
  <c r="J93" i="50"/>
  <c r="K93" i="50"/>
  <c r="B94" i="50"/>
  <c r="F94" i="50"/>
  <c r="H94" i="50"/>
  <c r="I94" i="50"/>
  <c r="J94" i="50"/>
  <c r="K94" i="50"/>
  <c r="B95" i="50"/>
  <c r="F95" i="50"/>
  <c r="H95" i="50"/>
  <c r="I95" i="50"/>
  <c r="J95" i="50"/>
  <c r="K95" i="50"/>
  <c r="B96" i="50"/>
  <c r="F96" i="50"/>
  <c r="H96" i="50"/>
  <c r="I96" i="50"/>
  <c r="J96" i="50"/>
  <c r="K96" i="50"/>
  <c r="B97" i="50"/>
  <c r="F97" i="50"/>
  <c r="H97" i="50"/>
  <c r="I97" i="50"/>
  <c r="J97" i="50"/>
  <c r="K97" i="50"/>
  <c r="B98" i="50"/>
  <c r="F98" i="50"/>
  <c r="H98" i="50"/>
  <c r="I98" i="50"/>
  <c r="J98" i="50"/>
  <c r="K98" i="50"/>
  <c r="B99" i="50"/>
  <c r="F99" i="50"/>
  <c r="H99" i="50"/>
  <c r="I99" i="50"/>
  <c r="J99" i="50"/>
  <c r="K99" i="50"/>
  <c r="B100" i="50"/>
  <c r="F100" i="50"/>
  <c r="H100" i="50"/>
  <c r="I100" i="50"/>
  <c r="J100" i="50"/>
  <c r="K100" i="50"/>
  <c r="B101" i="50"/>
  <c r="F101" i="50"/>
  <c r="H101" i="50"/>
  <c r="I101" i="50"/>
  <c r="J101" i="50"/>
  <c r="K101" i="50"/>
  <c r="B102" i="50"/>
  <c r="F102" i="50"/>
  <c r="H102" i="50"/>
  <c r="I102" i="50"/>
  <c r="J102" i="50"/>
  <c r="K102" i="50"/>
  <c r="B103" i="50"/>
  <c r="F103" i="50"/>
  <c r="H103" i="50"/>
  <c r="I103" i="50"/>
  <c r="J103" i="50"/>
  <c r="K103" i="50"/>
  <c r="B104" i="50"/>
  <c r="F104" i="50"/>
  <c r="H104" i="50"/>
  <c r="I104" i="50"/>
  <c r="J104" i="50"/>
  <c r="K104" i="50"/>
  <c r="B105" i="50"/>
  <c r="F105" i="50"/>
  <c r="H105" i="50"/>
  <c r="I105" i="50"/>
  <c r="J105" i="50"/>
  <c r="K105" i="50"/>
  <c r="B106" i="50"/>
  <c r="F106" i="50"/>
  <c r="H106" i="50"/>
  <c r="I106" i="50"/>
  <c r="J106" i="50"/>
  <c r="K106" i="50"/>
  <c r="B107" i="50"/>
  <c r="F107" i="50"/>
  <c r="H107" i="50"/>
  <c r="I107" i="50"/>
  <c r="J107" i="50"/>
  <c r="K107" i="50"/>
  <c r="B108" i="50"/>
  <c r="F108" i="50"/>
  <c r="H108" i="50"/>
  <c r="I108" i="50"/>
  <c r="J108" i="50"/>
  <c r="K108" i="50"/>
  <c r="B109" i="50"/>
  <c r="F109" i="50"/>
  <c r="H109" i="50"/>
  <c r="I109" i="50"/>
  <c r="J109" i="50"/>
  <c r="K109" i="50"/>
  <c r="B110" i="50"/>
  <c r="F110" i="50"/>
  <c r="H110" i="50"/>
  <c r="I110" i="50"/>
  <c r="J110" i="50"/>
  <c r="K110" i="50"/>
  <c r="B111" i="50"/>
  <c r="F111" i="50"/>
  <c r="H111" i="50"/>
  <c r="I111" i="50"/>
  <c r="J111" i="50"/>
  <c r="K111" i="50"/>
  <c r="B112" i="50"/>
  <c r="F112" i="50"/>
  <c r="H112" i="50"/>
  <c r="I112" i="50"/>
  <c r="J112" i="50"/>
  <c r="K112" i="50"/>
  <c r="B113" i="50"/>
  <c r="F113" i="50"/>
  <c r="H113" i="50"/>
  <c r="I113" i="50"/>
  <c r="J113" i="50"/>
  <c r="K113" i="50"/>
  <c r="B114" i="50"/>
  <c r="F114" i="50"/>
  <c r="H114" i="50"/>
  <c r="I114" i="50"/>
  <c r="J114" i="50"/>
  <c r="K114" i="50"/>
  <c r="B115" i="50"/>
  <c r="F115" i="50"/>
  <c r="H115" i="50"/>
  <c r="AT115" i="50" s="1"/>
  <c r="I115" i="50"/>
  <c r="J115" i="50"/>
  <c r="K115" i="50"/>
  <c r="B116" i="50"/>
  <c r="F116" i="50"/>
  <c r="H116" i="50"/>
  <c r="AT116" i="50" s="1"/>
  <c r="I116" i="50"/>
  <c r="J116" i="50"/>
  <c r="K116" i="50"/>
  <c r="B117" i="50"/>
  <c r="F117" i="50"/>
  <c r="H117" i="50"/>
  <c r="AT117" i="50" s="1"/>
  <c r="I117" i="50"/>
  <c r="J117" i="50"/>
  <c r="K117" i="50"/>
  <c r="B118" i="50"/>
  <c r="F118" i="50"/>
  <c r="H118" i="50"/>
  <c r="AT118" i="50" s="1"/>
  <c r="I118" i="50"/>
  <c r="J118" i="50"/>
  <c r="K118" i="50"/>
  <c r="B119" i="50"/>
  <c r="F119" i="50"/>
  <c r="H119" i="50"/>
  <c r="AT119" i="50" s="1"/>
  <c r="I119" i="50"/>
  <c r="J119" i="50"/>
  <c r="K119" i="50"/>
  <c r="B120" i="50"/>
  <c r="F120" i="50"/>
  <c r="H120" i="50"/>
  <c r="AT120" i="50" s="1"/>
  <c r="I120" i="50"/>
  <c r="J120" i="50"/>
  <c r="K120" i="50"/>
  <c r="B121" i="50"/>
  <c r="F121" i="50"/>
  <c r="H121" i="50"/>
  <c r="AT121" i="50" s="1"/>
  <c r="I121" i="50"/>
  <c r="J121" i="50"/>
  <c r="K121" i="50"/>
  <c r="B122" i="50"/>
  <c r="F122" i="50"/>
  <c r="H122" i="50"/>
  <c r="AT122" i="50" s="1"/>
  <c r="I122" i="50"/>
  <c r="J122" i="50"/>
  <c r="K122" i="50"/>
  <c r="B123" i="50"/>
  <c r="F123" i="50"/>
  <c r="H123" i="50"/>
  <c r="AT123" i="50" s="1"/>
  <c r="I123" i="50"/>
  <c r="J123" i="50"/>
  <c r="K123" i="50"/>
  <c r="B124" i="50"/>
  <c r="F124" i="50"/>
  <c r="H124" i="50"/>
  <c r="AT124" i="50" s="1"/>
  <c r="I124" i="50"/>
  <c r="J124" i="50"/>
  <c r="K124" i="50"/>
  <c r="B125" i="50"/>
  <c r="F125" i="50"/>
  <c r="H125" i="50"/>
  <c r="AT125" i="50" s="1"/>
  <c r="I125" i="50"/>
  <c r="J125" i="50"/>
  <c r="K125" i="50"/>
  <c r="B126" i="50"/>
  <c r="F126" i="50"/>
  <c r="H126" i="50"/>
  <c r="AT126" i="50" s="1"/>
  <c r="I126" i="50"/>
  <c r="J126" i="50"/>
  <c r="K126" i="50"/>
  <c r="B127" i="50"/>
  <c r="F127" i="50"/>
  <c r="H127" i="50"/>
  <c r="AT127" i="50" s="1"/>
  <c r="I127" i="50"/>
  <c r="J127" i="50"/>
  <c r="K127" i="50"/>
  <c r="B128" i="50"/>
  <c r="F128" i="50"/>
  <c r="H128" i="50"/>
  <c r="AT128" i="50" s="1"/>
  <c r="I128" i="50"/>
  <c r="J128" i="50"/>
  <c r="K128" i="50"/>
  <c r="B129" i="50"/>
  <c r="F129" i="50"/>
  <c r="H129" i="50"/>
  <c r="AT129" i="50" s="1"/>
  <c r="I129" i="50"/>
  <c r="J129" i="50"/>
  <c r="K129" i="50"/>
  <c r="B130" i="50"/>
  <c r="F130" i="50"/>
  <c r="H130" i="50"/>
  <c r="AT130" i="50" s="1"/>
  <c r="I130" i="50"/>
  <c r="J130" i="50"/>
  <c r="K130" i="50"/>
  <c r="B131" i="50"/>
  <c r="F131" i="50"/>
  <c r="H131" i="50"/>
  <c r="AT131" i="50" s="1"/>
  <c r="I131" i="50"/>
  <c r="J131" i="50"/>
  <c r="K131" i="50"/>
  <c r="B132" i="50"/>
  <c r="F132" i="50"/>
  <c r="H132" i="50"/>
  <c r="AT132" i="50" s="1"/>
  <c r="I132" i="50"/>
  <c r="J132" i="50"/>
  <c r="K132" i="50"/>
  <c r="B133" i="50"/>
  <c r="F133" i="50"/>
  <c r="H133" i="50"/>
  <c r="I133" i="50"/>
  <c r="J133" i="50"/>
  <c r="K133" i="50"/>
  <c r="B134" i="50"/>
  <c r="F134" i="50"/>
  <c r="H134" i="50"/>
  <c r="I134" i="50"/>
  <c r="J134" i="50"/>
  <c r="K134" i="50"/>
  <c r="B135" i="50"/>
  <c r="F135" i="50"/>
  <c r="H135" i="50"/>
  <c r="I135" i="50"/>
  <c r="J135" i="50"/>
  <c r="K135" i="50"/>
  <c r="B136" i="50"/>
  <c r="F136" i="50"/>
  <c r="H136" i="50"/>
  <c r="I136" i="50"/>
  <c r="J136" i="50"/>
  <c r="K136" i="50"/>
  <c r="B137" i="50"/>
  <c r="F137" i="50"/>
  <c r="H137" i="50"/>
  <c r="I137" i="50"/>
  <c r="J137" i="50"/>
  <c r="K137" i="50"/>
  <c r="H61" i="50"/>
  <c r="I61" i="50"/>
  <c r="J61" i="50"/>
  <c r="K61" i="50"/>
  <c r="F61" i="50"/>
  <c r="B61" i="50"/>
  <c r="J218" i="50"/>
  <c r="J219" i="50"/>
  <c r="J220" i="50"/>
  <c r="J221" i="50"/>
  <c r="J222" i="50"/>
  <c r="J223" i="50"/>
  <c r="J224" i="50"/>
  <c r="J225" i="50"/>
  <c r="J226" i="50"/>
  <c r="J227" i="50"/>
  <c r="J228" i="50"/>
  <c r="J229" i="50"/>
  <c r="J230" i="50"/>
  <c r="J231" i="50"/>
  <c r="J232" i="50"/>
  <c r="J233" i="50"/>
  <c r="J234" i="50"/>
  <c r="J235" i="50"/>
  <c r="J236" i="50"/>
  <c r="J237" i="50"/>
  <c r="J238" i="50"/>
  <c r="J239" i="50"/>
  <c r="J240" i="50"/>
  <c r="J241" i="50"/>
  <c r="J242" i="50"/>
  <c r="J243" i="50"/>
  <c r="J244" i="50"/>
  <c r="J245" i="50"/>
  <c r="J246" i="50"/>
  <c r="J247" i="50"/>
  <c r="J248" i="50"/>
  <c r="J249" i="50"/>
  <c r="J250" i="50"/>
  <c r="CG13" i="40"/>
  <c r="CF13" i="40"/>
  <c r="CE13" i="40"/>
  <c r="CD13" i="40"/>
  <c r="J217" i="50"/>
  <c r="M217" i="50" s="1"/>
  <c r="P217" i="50" s="1"/>
  <c r="L526" i="65" l="1"/>
  <c r="M528" i="65" s="1"/>
  <c r="N27" i="32" s="1"/>
  <c r="P136" i="25"/>
  <c r="K524" i="65"/>
  <c r="K525" i="65"/>
  <c r="L525" i="65"/>
  <c r="L524" i="65"/>
  <c r="Q28" i="25"/>
  <c r="AT95" i="42"/>
  <c r="BB95" i="42" s="1"/>
  <c r="BR95" i="42" s="1"/>
  <c r="BZ95" i="42" s="1"/>
  <c r="BA95" i="42"/>
  <c r="BQ95" i="42" s="1"/>
  <c r="AN132" i="50"/>
  <c r="AN130" i="50"/>
  <c r="AN128" i="50"/>
  <c r="AN126" i="50"/>
  <c r="AN124" i="50"/>
  <c r="AN122" i="50"/>
  <c r="AN120" i="50"/>
  <c r="AN118" i="50"/>
  <c r="AN116" i="50"/>
  <c r="T114" i="50"/>
  <c r="AR92" i="50"/>
  <c r="AR86" i="50"/>
  <c r="AR80" i="50"/>
  <c r="P61" i="50"/>
  <c r="Q61" i="50" s="1"/>
  <c r="B487" i="40"/>
  <c r="B206" i="65"/>
  <c r="AT137" i="50"/>
  <c r="AU137" i="50"/>
  <c r="AO136" i="50"/>
  <c r="AN136" i="50"/>
  <c r="AT135" i="50"/>
  <c r="AU135" i="50"/>
  <c r="AO134" i="50"/>
  <c r="AN134" i="50"/>
  <c r="AT133" i="50"/>
  <c r="AU133" i="50"/>
  <c r="AQ74" i="50"/>
  <c r="AR74" i="50"/>
  <c r="AQ68" i="50"/>
  <c r="AR68" i="50"/>
  <c r="AR62" i="50"/>
  <c r="AQ62" i="50"/>
  <c r="AN137" i="50"/>
  <c r="AO137" i="50"/>
  <c r="AT136" i="50"/>
  <c r="AU136" i="50"/>
  <c r="AN135" i="50"/>
  <c r="AO135" i="50"/>
  <c r="AT134" i="50"/>
  <c r="AU134" i="50"/>
  <c r="AN133" i="50"/>
  <c r="AO133" i="50"/>
  <c r="AP133" i="50"/>
  <c r="AQ133" i="50" s="1"/>
  <c r="AR133" i="50" s="1"/>
  <c r="AN131" i="50"/>
  <c r="AN129" i="50"/>
  <c r="AN127" i="50"/>
  <c r="AO127" i="50"/>
  <c r="AP127" i="50" s="1"/>
  <c r="AQ127" i="50" s="1"/>
  <c r="AR127" i="50" s="1"/>
  <c r="AN125" i="50"/>
  <c r="AN123" i="50"/>
  <c r="AO121" i="50"/>
  <c r="AP121" i="50" s="1"/>
  <c r="AQ121" i="50" s="1"/>
  <c r="AR121" i="50" s="1"/>
  <c r="AN121" i="50"/>
  <c r="AN119" i="50"/>
  <c r="AN117" i="50"/>
  <c r="AO115" i="50"/>
  <c r="AP115" i="50" s="1"/>
  <c r="AQ115" i="50" s="1"/>
  <c r="AR115" i="50" s="1"/>
  <c r="AN115" i="50"/>
  <c r="P67" i="50"/>
  <c r="AL52" i="65"/>
  <c r="T243" i="50"/>
  <c r="M243" i="50"/>
  <c r="P243" i="50" s="1"/>
  <c r="N243" i="50"/>
  <c r="T239" i="50"/>
  <c r="M239" i="50"/>
  <c r="P239" i="50" s="1"/>
  <c r="N239" i="50"/>
  <c r="N235" i="50"/>
  <c r="T235" i="50"/>
  <c r="M235" i="50"/>
  <c r="P235" i="50" s="1"/>
  <c r="T231" i="50"/>
  <c r="M231" i="50"/>
  <c r="P231" i="50" s="1"/>
  <c r="N231" i="50"/>
  <c r="T227" i="50"/>
  <c r="M227" i="50"/>
  <c r="P227" i="50" s="1"/>
  <c r="N227" i="50"/>
  <c r="M223" i="50"/>
  <c r="P223" i="50" s="1"/>
  <c r="N223" i="50"/>
  <c r="T223" i="50"/>
  <c r="X219" i="50"/>
  <c r="AC219" i="50"/>
  <c r="M219" i="50"/>
  <c r="T219" i="50"/>
  <c r="Y219" i="50"/>
  <c r="AD219" i="50"/>
  <c r="N219" i="50"/>
  <c r="V219" i="50"/>
  <c r="Z219" i="50"/>
  <c r="AE219" i="50"/>
  <c r="P219" i="50"/>
  <c r="Q219" i="50" s="1"/>
  <c r="S219" i="50" s="1"/>
  <c r="W219" i="50"/>
  <c r="AB219" i="50"/>
  <c r="AF219" i="50"/>
  <c r="N217" i="50"/>
  <c r="Q217" i="50" s="1"/>
  <c r="S217" i="50" s="1"/>
  <c r="T217" i="50"/>
  <c r="M246" i="50"/>
  <c r="T246" i="50"/>
  <c r="N246" i="50"/>
  <c r="Q246" i="50" s="1"/>
  <c r="S246" i="50" s="1"/>
  <c r="P246" i="50"/>
  <c r="M242" i="50"/>
  <c r="T242" i="50"/>
  <c r="Y242" i="50"/>
  <c r="AD242" i="50"/>
  <c r="N242" i="50"/>
  <c r="V242" i="50"/>
  <c r="Z242" i="50"/>
  <c r="AE242" i="50"/>
  <c r="P242" i="50"/>
  <c r="Q242" i="50" s="1"/>
  <c r="S242" i="50" s="1"/>
  <c r="W242" i="50"/>
  <c r="AB242" i="50"/>
  <c r="AF242" i="50"/>
  <c r="X242" i="50"/>
  <c r="AC242" i="50"/>
  <c r="AR238" i="50"/>
  <c r="M238" i="50"/>
  <c r="P238" i="50" s="1"/>
  <c r="Z238" i="50"/>
  <c r="N238" i="50"/>
  <c r="AF238" i="50"/>
  <c r="T238" i="50"/>
  <c r="AQ238" i="50"/>
  <c r="N234" i="50"/>
  <c r="T234" i="50"/>
  <c r="M234" i="50"/>
  <c r="P234" i="50" s="1"/>
  <c r="T230" i="50"/>
  <c r="M230" i="50"/>
  <c r="P230" i="50" s="1"/>
  <c r="N230" i="50"/>
  <c r="T226" i="50"/>
  <c r="M226" i="50"/>
  <c r="P226" i="50" s="1"/>
  <c r="N226" i="50"/>
  <c r="N222" i="50"/>
  <c r="T222" i="50"/>
  <c r="M222" i="50"/>
  <c r="P222" i="50" s="1"/>
  <c r="M218" i="50"/>
  <c r="P218" i="50" s="1"/>
  <c r="N218" i="50"/>
  <c r="T218" i="50"/>
  <c r="N247" i="50"/>
  <c r="V247" i="50"/>
  <c r="Z247" i="50"/>
  <c r="AE247" i="50"/>
  <c r="P247" i="50"/>
  <c r="W247" i="50"/>
  <c r="AB247" i="50"/>
  <c r="AF247" i="50"/>
  <c r="Q247" i="50"/>
  <c r="S247" i="50" s="1"/>
  <c r="X247" i="50"/>
  <c r="AC247" i="50"/>
  <c r="M247" i="50"/>
  <c r="T247" i="50"/>
  <c r="Y247" i="50"/>
  <c r="AD247" i="50"/>
  <c r="M249" i="50"/>
  <c r="T249" i="50"/>
  <c r="N249" i="50"/>
  <c r="Q249" i="50" s="1"/>
  <c r="S249" i="50" s="1"/>
  <c r="P249" i="50"/>
  <c r="P245" i="50"/>
  <c r="M245" i="50"/>
  <c r="T245" i="50"/>
  <c r="N245" i="50"/>
  <c r="Q245" i="50" s="1"/>
  <c r="S245" i="50" s="1"/>
  <c r="N241" i="50"/>
  <c r="T241" i="50"/>
  <c r="M241" i="50"/>
  <c r="P241" i="50" s="1"/>
  <c r="T237" i="50"/>
  <c r="M237" i="50"/>
  <c r="P237" i="50" s="1"/>
  <c r="N237" i="50"/>
  <c r="M233" i="50"/>
  <c r="P233" i="50" s="1"/>
  <c r="N233" i="50"/>
  <c r="T233" i="50"/>
  <c r="T229" i="50"/>
  <c r="M229" i="50"/>
  <c r="P229" i="50" s="1"/>
  <c r="N229" i="50"/>
  <c r="M225" i="50"/>
  <c r="P225" i="50" s="1"/>
  <c r="N225" i="50"/>
  <c r="T225" i="50"/>
  <c r="T221" i="50"/>
  <c r="M221" i="50"/>
  <c r="P221" i="50" s="1"/>
  <c r="N221" i="50"/>
  <c r="M250" i="50"/>
  <c r="T250" i="50"/>
  <c r="N250" i="50"/>
  <c r="Q250" i="50" s="1"/>
  <c r="S250" i="50" s="1"/>
  <c r="P250" i="50"/>
  <c r="M248" i="50"/>
  <c r="T248" i="50"/>
  <c r="N248" i="50"/>
  <c r="Q248" i="50" s="1"/>
  <c r="S248" i="50" s="1"/>
  <c r="P248" i="50"/>
  <c r="N244" i="50"/>
  <c r="Q244" i="50" s="1"/>
  <c r="S244" i="50" s="1"/>
  <c r="P244" i="50"/>
  <c r="M244" i="50"/>
  <c r="T244" i="50"/>
  <c r="N240" i="50"/>
  <c r="T240" i="50"/>
  <c r="M240" i="50"/>
  <c r="P240" i="50" s="1"/>
  <c r="T236" i="50"/>
  <c r="M236" i="50"/>
  <c r="P236" i="50" s="1"/>
  <c r="N236" i="50"/>
  <c r="M232" i="50"/>
  <c r="P232" i="50" s="1"/>
  <c r="N232" i="50"/>
  <c r="T232" i="50"/>
  <c r="T228" i="50"/>
  <c r="M228" i="50"/>
  <c r="P228" i="50" s="1"/>
  <c r="N228" i="50"/>
  <c r="M224" i="50"/>
  <c r="P224" i="50" s="1"/>
  <c r="N224" i="50"/>
  <c r="T224" i="50"/>
  <c r="T220" i="50"/>
  <c r="M220" i="50"/>
  <c r="P220" i="50" s="1"/>
  <c r="N220" i="50"/>
  <c r="O49" i="66"/>
  <c r="O92" i="66" s="1"/>
  <c r="Q94" i="66" s="1"/>
  <c r="O27" i="25"/>
  <c r="Q50" i="66"/>
  <c r="AL127" i="65"/>
  <c r="AR127" i="65" s="1"/>
  <c r="AQ127" i="65"/>
  <c r="P136" i="50"/>
  <c r="S136" i="50" s="1"/>
  <c r="Q136" i="50"/>
  <c r="Q134" i="50"/>
  <c r="P134" i="50"/>
  <c r="S134" i="50" s="1"/>
  <c r="P132" i="50"/>
  <c r="S132" i="50" s="1"/>
  <c r="Q130" i="50"/>
  <c r="P130" i="50"/>
  <c r="S130" i="50" s="1"/>
  <c r="Q128" i="50"/>
  <c r="P128" i="50"/>
  <c r="S128" i="50" s="1"/>
  <c r="Q126" i="50"/>
  <c r="P126" i="50"/>
  <c r="S126" i="50" s="1"/>
  <c r="Q122" i="50"/>
  <c r="P122" i="50"/>
  <c r="S122" i="50" s="1"/>
  <c r="Q120" i="50"/>
  <c r="P120" i="50"/>
  <c r="S120" i="50" s="1"/>
  <c r="Q118" i="50"/>
  <c r="P118" i="50"/>
  <c r="S118" i="50" s="1"/>
  <c r="Q116" i="50"/>
  <c r="P116" i="50"/>
  <c r="S116" i="50" s="1"/>
  <c r="Q114" i="50"/>
  <c r="P114" i="50"/>
  <c r="S114" i="50" s="1"/>
  <c r="Q112" i="50"/>
  <c r="P112" i="50"/>
  <c r="S112" i="50" s="1"/>
  <c r="Q110" i="50"/>
  <c r="P110" i="50"/>
  <c r="S110" i="50" s="1"/>
  <c r="Q108" i="50"/>
  <c r="P108" i="50"/>
  <c r="S108" i="50" s="1"/>
  <c r="Q106" i="50"/>
  <c r="P106" i="50"/>
  <c r="S106" i="50" s="1"/>
  <c r="Q104" i="50"/>
  <c r="P104" i="50"/>
  <c r="S104" i="50" s="1"/>
  <c r="Q102" i="50"/>
  <c r="P102" i="50"/>
  <c r="S102" i="50" s="1"/>
  <c r="Q100" i="50"/>
  <c r="P100" i="50"/>
  <c r="S100" i="50" s="1"/>
  <c r="Q98" i="50"/>
  <c r="P98" i="50"/>
  <c r="S98" i="50" s="1"/>
  <c r="P96" i="50"/>
  <c r="P94" i="50"/>
  <c r="P92" i="50"/>
  <c r="P90" i="50"/>
  <c r="P88" i="50"/>
  <c r="P86" i="50"/>
  <c r="P84" i="50"/>
  <c r="P82" i="50"/>
  <c r="P80" i="50"/>
  <c r="Q137" i="50"/>
  <c r="P137" i="50"/>
  <c r="S137" i="50" s="1"/>
  <c r="Q135" i="50"/>
  <c r="P135" i="50"/>
  <c r="S135" i="50" s="1"/>
  <c r="P133" i="50"/>
  <c r="S133" i="50" s="1"/>
  <c r="Q129" i="50"/>
  <c r="P129" i="50"/>
  <c r="S129" i="50" s="1"/>
  <c r="P127" i="50"/>
  <c r="P125" i="50"/>
  <c r="S125" i="50" s="1"/>
  <c r="Q123" i="50"/>
  <c r="P123" i="50"/>
  <c r="S123" i="50" s="1"/>
  <c r="P121" i="50"/>
  <c r="Q119" i="50"/>
  <c r="P119" i="50"/>
  <c r="S119" i="50" s="1"/>
  <c r="Q117" i="50"/>
  <c r="P117" i="50"/>
  <c r="S117" i="50" s="1"/>
  <c r="P115" i="50"/>
  <c r="Q113" i="50"/>
  <c r="P113" i="50"/>
  <c r="Q111" i="50"/>
  <c r="P111" i="50"/>
  <c r="S111" i="50" s="1"/>
  <c r="P109" i="50"/>
  <c r="S109" i="50" s="1"/>
  <c r="AN109" i="50" s="1"/>
  <c r="AO109" i="50" s="1"/>
  <c r="AP109" i="50" s="1"/>
  <c r="AQ109" i="50" s="1"/>
  <c r="AR109" i="50" s="1"/>
  <c r="Q107" i="50"/>
  <c r="P107" i="50"/>
  <c r="S107" i="50" s="1"/>
  <c r="Q105" i="50"/>
  <c r="P105" i="50"/>
  <c r="S105" i="50" s="1"/>
  <c r="P103" i="50"/>
  <c r="S103" i="50" s="1"/>
  <c r="AN103" i="50" s="1"/>
  <c r="AO103" i="50" s="1"/>
  <c r="AP103" i="50" s="1"/>
  <c r="AQ103" i="50" s="1"/>
  <c r="AR103" i="50" s="1"/>
  <c r="Q101" i="50"/>
  <c r="P101" i="50"/>
  <c r="S101" i="50" s="1"/>
  <c r="Q99" i="50"/>
  <c r="P99" i="50"/>
  <c r="S99" i="50" s="1"/>
  <c r="P97" i="50"/>
  <c r="S97" i="50" s="1"/>
  <c r="AN97" i="50" s="1"/>
  <c r="AO97" i="50" s="1"/>
  <c r="AP97" i="50" s="1"/>
  <c r="AQ97" i="50" s="1"/>
  <c r="AR97" i="50" s="1"/>
  <c r="P95" i="50"/>
  <c r="P93" i="50"/>
  <c r="P91" i="50"/>
  <c r="P89" i="50"/>
  <c r="P87" i="50"/>
  <c r="P85" i="50"/>
  <c r="P83" i="50"/>
  <c r="P81" i="50"/>
  <c r="P79" i="50"/>
  <c r="M61" i="50"/>
  <c r="N61" i="50"/>
  <c r="T61" i="50"/>
  <c r="W137" i="50"/>
  <c r="AB137" i="50"/>
  <c r="M137" i="50"/>
  <c r="AC137" i="50"/>
  <c r="N137" i="50"/>
  <c r="T137" i="50"/>
  <c r="V137" i="50"/>
  <c r="M135" i="50"/>
  <c r="N135" i="50"/>
  <c r="T135" i="50"/>
  <c r="AB135" i="50"/>
  <c r="V135" i="50"/>
  <c r="AC135" i="50"/>
  <c r="W135" i="50"/>
  <c r="M133" i="50"/>
  <c r="N133" i="50"/>
  <c r="T133" i="50"/>
  <c r="T131" i="50"/>
  <c r="M131" i="50"/>
  <c r="P131" i="50" s="1"/>
  <c r="S131" i="50" s="1"/>
  <c r="N131" i="50"/>
  <c r="V129" i="50"/>
  <c r="AB129" i="50"/>
  <c r="M129" i="50"/>
  <c r="N129" i="50"/>
  <c r="T129" i="50"/>
  <c r="V127" i="50"/>
  <c r="AB127" i="50"/>
  <c r="M127" i="50"/>
  <c r="N127" i="50"/>
  <c r="T127" i="50"/>
  <c r="M125" i="50"/>
  <c r="N125" i="50"/>
  <c r="Q125" i="50" s="1"/>
  <c r="T125" i="50"/>
  <c r="V123" i="50"/>
  <c r="AB123" i="50"/>
  <c r="M123" i="50"/>
  <c r="N123" i="50"/>
  <c r="T123" i="50"/>
  <c r="M121" i="50"/>
  <c r="AC121" i="50"/>
  <c r="N121" i="50"/>
  <c r="T121" i="50"/>
  <c r="X121" i="50" s="1"/>
  <c r="AD121" i="50"/>
  <c r="V121" i="50"/>
  <c r="AE121" i="50"/>
  <c r="AB121" i="50"/>
  <c r="W121" i="50"/>
  <c r="N119" i="50"/>
  <c r="T119" i="50"/>
  <c r="V119" i="50"/>
  <c r="AB119" i="50"/>
  <c r="M119" i="50"/>
  <c r="N117" i="50"/>
  <c r="T117" i="50"/>
  <c r="V117" i="50"/>
  <c r="AB117" i="50"/>
  <c r="M117" i="50"/>
  <c r="V115" i="50"/>
  <c r="AB115" i="50"/>
  <c r="M115" i="50"/>
  <c r="N115" i="50"/>
  <c r="T115" i="50"/>
  <c r="AE115" i="50" s="1"/>
  <c r="M113" i="50"/>
  <c r="T113" i="50"/>
  <c r="N113" i="50"/>
  <c r="M111" i="50"/>
  <c r="N111" i="50"/>
  <c r="T111" i="50"/>
  <c r="M109" i="50"/>
  <c r="N109" i="50"/>
  <c r="T109" i="50"/>
  <c r="W109" i="50" s="1"/>
  <c r="M107" i="50"/>
  <c r="N107" i="50"/>
  <c r="T107" i="50"/>
  <c r="M105" i="50"/>
  <c r="N105" i="50"/>
  <c r="T105" i="50"/>
  <c r="M103" i="50"/>
  <c r="N103" i="50"/>
  <c r="T103" i="50"/>
  <c r="V103" i="50" s="1"/>
  <c r="N101" i="50"/>
  <c r="T101" i="50"/>
  <c r="M101" i="50"/>
  <c r="M99" i="50"/>
  <c r="N99" i="50"/>
  <c r="T99" i="50"/>
  <c r="AC97" i="50"/>
  <c r="M97" i="50"/>
  <c r="N97" i="50"/>
  <c r="T97" i="50"/>
  <c r="W97" i="50" s="1"/>
  <c r="AB97" i="50"/>
  <c r="V97" i="50"/>
  <c r="M95" i="50"/>
  <c r="N95" i="50"/>
  <c r="Q95" i="50" s="1"/>
  <c r="T95" i="50"/>
  <c r="M93" i="50"/>
  <c r="N93" i="50"/>
  <c r="Q93" i="50" s="1"/>
  <c r="T93" i="50"/>
  <c r="N91" i="50"/>
  <c r="Q91" i="50" s="1"/>
  <c r="T91" i="50"/>
  <c r="M91" i="50"/>
  <c r="N89" i="50"/>
  <c r="Q89" i="50" s="1"/>
  <c r="T89" i="50"/>
  <c r="M89" i="50"/>
  <c r="M87" i="50"/>
  <c r="N87" i="50"/>
  <c r="Q87" i="50" s="1"/>
  <c r="T87" i="50"/>
  <c r="N85" i="50"/>
  <c r="Q85" i="50" s="1"/>
  <c r="T85" i="50"/>
  <c r="M85" i="50"/>
  <c r="N83" i="50"/>
  <c r="Q83" i="50" s="1"/>
  <c r="T83" i="50"/>
  <c r="M83" i="50"/>
  <c r="N81" i="50"/>
  <c r="Q81" i="50" s="1"/>
  <c r="M81" i="50"/>
  <c r="T81" i="50"/>
  <c r="M79" i="50"/>
  <c r="N79" i="50"/>
  <c r="Q79" i="50" s="1"/>
  <c r="T79" i="50"/>
  <c r="M77" i="50"/>
  <c r="P77" i="50" s="1"/>
  <c r="T77" i="50"/>
  <c r="N77" i="50"/>
  <c r="M75" i="50"/>
  <c r="P75" i="50" s="1"/>
  <c r="T75" i="50"/>
  <c r="N75" i="50"/>
  <c r="M73" i="50"/>
  <c r="P73" i="50" s="1"/>
  <c r="N73" i="50"/>
  <c r="T73" i="50"/>
  <c r="M71" i="50"/>
  <c r="P71" i="50" s="1"/>
  <c r="T71" i="50"/>
  <c r="N71" i="50"/>
  <c r="T69" i="50"/>
  <c r="M69" i="50"/>
  <c r="P69" i="50" s="1"/>
  <c r="N69" i="50"/>
  <c r="M67" i="50"/>
  <c r="T67" i="50"/>
  <c r="N67" i="50"/>
  <c r="T65" i="50"/>
  <c r="M65" i="50"/>
  <c r="P65" i="50" s="1"/>
  <c r="N65" i="50"/>
  <c r="N63" i="50"/>
  <c r="T63" i="50"/>
  <c r="M63" i="50"/>
  <c r="P63" i="50" s="1"/>
  <c r="N136" i="50"/>
  <c r="T136" i="50"/>
  <c r="V136" i="50"/>
  <c r="AB136" i="50"/>
  <c r="W136" i="50"/>
  <c r="AC136" i="50"/>
  <c r="M136" i="50"/>
  <c r="M134" i="50"/>
  <c r="AB134" i="50"/>
  <c r="N134" i="50"/>
  <c r="T134" i="50"/>
  <c r="V134" i="50"/>
  <c r="N132" i="50"/>
  <c r="Q132" i="50" s="1"/>
  <c r="T132" i="50"/>
  <c r="M132" i="50"/>
  <c r="M130" i="50"/>
  <c r="N130" i="50"/>
  <c r="T130" i="50"/>
  <c r="V130" i="50"/>
  <c r="AB130" i="50"/>
  <c r="N128" i="50"/>
  <c r="T128" i="50"/>
  <c r="AB128" i="50"/>
  <c r="V128" i="50"/>
  <c r="M128" i="50"/>
  <c r="M126" i="50"/>
  <c r="N126" i="50"/>
  <c r="T126" i="50"/>
  <c r="T124" i="50"/>
  <c r="M124" i="50"/>
  <c r="P124" i="50" s="1"/>
  <c r="S124" i="50" s="1"/>
  <c r="N124" i="50"/>
  <c r="V122" i="50"/>
  <c r="AB122" i="50"/>
  <c r="M122" i="50"/>
  <c r="T122" i="50"/>
  <c r="N122" i="50"/>
  <c r="V120" i="50"/>
  <c r="AB120" i="50"/>
  <c r="M120" i="50"/>
  <c r="N120" i="50"/>
  <c r="T120" i="50"/>
  <c r="V118" i="50"/>
  <c r="AB118" i="50"/>
  <c r="T118" i="50"/>
  <c r="M118" i="50"/>
  <c r="N118" i="50"/>
  <c r="AB116" i="50"/>
  <c r="M116" i="50"/>
  <c r="N116" i="50"/>
  <c r="T116" i="50"/>
  <c r="V116" i="50"/>
  <c r="M114" i="50"/>
  <c r="N114" i="50"/>
  <c r="M112" i="50"/>
  <c r="N112" i="50"/>
  <c r="T112" i="50"/>
  <c r="M110" i="50"/>
  <c r="N110" i="50"/>
  <c r="T110" i="50"/>
  <c r="N108" i="50"/>
  <c r="T108" i="50"/>
  <c r="M108" i="50"/>
  <c r="M106" i="50"/>
  <c r="T106" i="50"/>
  <c r="N106" i="50"/>
  <c r="M104" i="50"/>
  <c r="N104" i="50"/>
  <c r="T104" i="50"/>
  <c r="N102" i="50"/>
  <c r="T102" i="50"/>
  <c r="M102" i="50"/>
  <c r="M100" i="50"/>
  <c r="N100" i="50"/>
  <c r="T100" i="50"/>
  <c r="M98" i="50"/>
  <c r="N98" i="50"/>
  <c r="T98" i="50"/>
  <c r="M96" i="50"/>
  <c r="N96" i="50"/>
  <c r="Q96" i="50" s="1"/>
  <c r="T96" i="50"/>
  <c r="N94" i="50"/>
  <c r="Q94" i="50" s="1"/>
  <c r="T94" i="50"/>
  <c r="M94" i="50"/>
  <c r="N92" i="50"/>
  <c r="Q92" i="50" s="1"/>
  <c r="T92" i="50"/>
  <c r="M92" i="50"/>
  <c r="M90" i="50"/>
  <c r="N90" i="50"/>
  <c r="Q90" i="50" s="1"/>
  <c r="T90" i="50"/>
  <c r="M88" i="50"/>
  <c r="T88" i="50"/>
  <c r="N88" i="50"/>
  <c r="Q88" i="50" s="1"/>
  <c r="M86" i="50"/>
  <c r="N86" i="50"/>
  <c r="Q86" i="50" s="1"/>
  <c r="T86" i="50"/>
  <c r="M84" i="50"/>
  <c r="N84" i="50"/>
  <c r="Q84" i="50" s="1"/>
  <c r="T84" i="50"/>
  <c r="M82" i="50"/>
  <c r="N82" i="50"/>
  <c r="Q82" i="50" s="1"/>
  <c r="T82" i="50"/>
  <c r="M80" i="50"/>
  <c r="N80" i="50"/>
  <c r="Q80" i="50" s="1"/>
  <c r="T80" i="50"/>
  <c r="N78" i="50"/>
  <c r="M78" i="50"/>
  <c r="P78" i="50" s="1"/>
  <c r="T78" i="50"/>
  <c r="M76" i="50"/>
  <c r="P76" i="50" s="1"/>
  <c r="T76" i="50"/>
  <c r="N76" i="50"/>
  <c r="M74" i="50"/>
  <c r="P74" i="50" s="1"/>
  <c r="N74" i="50"/>
  <c r="T74" i="50"/>
  <c r="N72" i="50"/>
  <c r="M72" i="50"/>
  <c r="P72" i="50" s="1"/>
  <c r="T72" i="50"/>
  <c r="M70" i="50"/>
  <c r="P70" i="50" s="1"/>
  <c r="T70" i="50"/>
  <c r="N70" i="50"/>
  <c r="M68" i="50"/>
  <c r="P68" i="50" s="1"/>
  <c r="N68" i="50"/>
  <c r="T68" i="50"/>
  <c r="M66" i="50"/>
  <c r="P66" i="50" s="1"/>
  <c r="T66" i="50"/>
  <c r="N66" i="50"/>
  <c r="T64" i="50"/>
  <c r="M64" i="50"/>
  <c r="P64" i="50" s="1"/>
  <c r="N64" i="50"/>
  <c r="M62" i="50"/>
  <c r="P62" i="50" s="1"/>
  <c r="T62" i="50"/>
  <c r="N62" i="50"/>
  <c r="AO52" i="65"/>
  <c r="I523" i="65" s="1"/>
  <c r="P52" i="24"/>
  <c r="BY95" i="42" l="1"/>
  <c r="CA95" i="42"/>
  <c r="BY96" i="42"/>
  <c r="BY93" i="42"/>
  <c r="BY94" i="42"/>
  <c r="BY98" i="42"/>
  <c r="BY97" i="42"/>
  <c r="BY91" i="42"/>
  <c r="Q136" i="25"/>
  <c r="Q224" i="50"/>
  <c r="S224" i="50" s="1"/>
  <c r="B488" i="40"/>
  <c r="B207" i="65"/>
  <c r="AL247" i="50"/>
  <c r="AN242" i="50"/>
  <c r="AO242" i="50" s="1"/>
  <c r="AP242" i="50" s="1"/>
  <c r="AQ242" i="50" s="1"/>
  <c r="AR242" i="50" s="1"/>
  <c r="AN219" i="50"/>
  <c r="AO219" i="50" s="1"/>
  <c r="AP219" i="50" s="1"/>
  <c r="AQ219" i="50" s="1"/>
  <c r="AR219" i="50" s="1"/>
  <c r="AN247" i="50"/>
  <c r="AO247" i="50" s="1"/>
  <c r="AP247" i="50" s="1"/>
  <c r="AQ247" i="50" s="1"/>
  <c r="AR247" i="50" s="1"/>
  <c r="Q226" i="50"/>
  <c r="S226" i="50" s="1"/>
  <c r="Q237" i="50"/>
  <c r="S237" i="50" s="1"/>
  <c r="Q239" i="50"/>
  <c r="S239" i="50" s="1"/>
  <c r="Q241" i="50"/>
  <c r="S241" i="50" s="1"/>
  <c r="AH247" i="50"/>
  <c r="Q238" i="50"/>
  <c r="S238" i="50" s="1"/>
  <c r="Q240" i="50"/>
  <c r="S240" i="50" s="1"/>
  <c r="AL238" i="50"/>
  <c r="Q220" i="50"/>
  <c r="S220" i="50" s="1"/>
  <c r="Q225" i="50"/>
  <c r="S225" i="50" s="1"/>
  <c r="Q221" i="50"/>
  <c r="S221" i="50" s="1"/>
  <c r="Q218" i="50"/>
  <c r="S218" i="50" s="1"/>
  <c r="AL242" i="50"/>
  <c r="AK219" i="50"/>
  <c r="AJ219" i="50"/>
  <c r="Q223" i="50"/>
  <c r="S223" i="50" s="1"/>
  <c r="Q227" i="50"/>
  <c r="S227" i="50" s="1"/>
  <c r="Q243" i="50"/>
  <c r="S243" i="50" s="1"/>
  <c r="Q222" i="50"/>
  <c r="S222" i="50" s="1"/>
  <c r="AH242" i="50"/>
  <c r="AI219" i="50"/>
  <c r="Q235" i="50"/>
  <c r="S235" i="50" s="1"/>
  <c r="AH219" i="50"/>
  <c r="Q228" i="50"/>
  <c r="S228" i="50" s="1"/>
  <c r="Q229" i="50"/>
  <c r="S229" i="50" s="1"/>
  <c r="Q233" i="50"/>
  <c r="S233" i="50" s="1"/>
  <c r="Q236" i="50"/>
  <c r="S236" i="50" s="1"/>
  <c r="Q234" i="50"/>
  <c r="S234" i="50" s="1"/>
  <c r="AK242" i="50"/>
  <c r="Q232" i="50"/>
  <c r="S232" i="50" s="1"/>
  <c r="AK247" i="50"/>
  <c r="AJ247" i="50"/>
  <c r="AI247" i="50"/>
  <c r="Q230" i="50"/>
  <c r="S230" i="50" s="1"/>
  <c r="AJ242" i="50"/>
  <c r="AI242" i="50"/>
  <c r="AL219" i="50"/>
  <c r="Q231" i="50"/>
  <c r="S231" i="50" s="1"/>
  <c r="S79" i="50"/>
  <c r="AN79" i="50" s="1"/>
  <c r="AO79" i="50" s="1"/>
  <c r="AP79" i="50" s="1"/>
  <c r="AQ79" i="50" s="1"/>
  <c r="AR79" i="50" s="1"/>
  <c r="S87" i="50"/>
  <c r="S95" i="50"/>
  <c r="S115" i="50"/>
  <c r="S127" i="50"/>
  <c r="S86" i="50"/>
  <c r="S94" i="50"/>
  <c r="P49" i="66"/>
  <c r="P92" i="66" s="1"/>
  <c r="R94" i="66" s="1"/>
  <c r="P27" i="25"/>
  <c r="P143" i="25" s="1"/>
  <c r="P144" i="25" s="1"/>
  <c r="P146" i="25" s="1"/>
  <c r="S81" i="50"/>
  <c r="S89" i="50"/>
  <c r="S80" i="50"/>
  <c r="S88" i="50"/>
  <c r="S96" i="50"/>
  <c r="S83" i="50"/>
  <c r="S91" i="50"/>
  <c r="AN91" i="50" s="1"/>
  <c r="AO91" i="50" s="1"/>
  <c r="AP91" i="50" s="1"/>
  <c r="AQ91" i="50" s="1"/>
  <c r="AR91" i="50" s="1"/>
  <c r="S113" i="50"/>
  <c r="S82" i="50"/>
  <c r="S90" i="50"/>
  <c r="S85" i="50"/>
  <c r="AN85" i="50" s="1"/>
  <c r="AO85" i="50" s="1"/>
  <c r="AP85" i="50" s="1"/>
  <c r="AQ85" i="50" s="1"/>
  <c r="AR85" i="50" s="1"/>
  <c r="S93" i="50"/>
  <c r="S121" i="50"/>
  <c r="S84" i="50"/>
  <c r="S92" i="50"/>
  <c r="Q121" i="50"/>
  <c r="Q133" i="50"/>
  <c r="Q109" i="50"/>
  <c r="Q127" i="50"/>
  <c r="Q115" i="50"/>
  <c r="Q103" i="50"/>
  <c r="Q97" i="50"/>
  <c r="AC103" i="50"/>
  <c r="Y121" i="50"/>
  <c r="AK121" i="50" s="1"/>
  <c r="AB109" i="50"/>
  <c r="Q71" i="50"/>
  <c r="S71" i="50" s="1"/>
  <c r="Q72" i="50"/>
  <c r="S72" i="50" s="1"/>
  <c r="Q76" i="50"/>
  <c r="S76" i="50" s="1"/>
  <c r="Q77" i="50"/>
  <c r="S77" i="50" s="1"/>
  <c r="W103" i="50"/>
  <c r="V109" i="50"/>
  <c r="AC109" i="50"/>
  <c r="AI109" i="50" s="1"/>
  <c r="AD115" i="50"/>
  <c r="Q70" i="50"/>
  <c r="S70" i="50" s="1"/>
  <c r="Q78" i="50"/>
  <c r="S78" i="50" s="1"/>
  <c r="Q75" i="50"/>
  <c r="S75" i="50" s="1"/>
  <c r="AB103" i="50"/>
  <c r="AH103" i="50" s="1"/>
  <c r="AD109" i="50"/>
  <c r="X109" i="50"/>
  <c r="Y115" i="50"/>
  <c r="AK115" i="50" s="1"/>
  <c r="AC115" i="50"/>
  <c r="W115" i="50"/>
  <c r="Q74" i="50"/>
  <c r="S74" i="50" s="1"/>
  <c r="X115" i="50"/>
  <c r="Q73" i="50"/>
  <c r="S73" i="50" s="1"/>
  <c r="AN73" i="50" s="1"/>
  <c r="AO73" i="50" s="1"/>
  <c r="AP73" i="50" s="1"/>
  <c r="AQ73" i="50" s="1"/>
  <c r="AR73" i="50" s="1"/>
  <c r="Q68" i="50"/>
  <c r="S68" i="50" s="1"/>
  <c r="Q131" i="50"/>
  <c r="Q66" i="50"/>
  <c r="S66" i="50" s="1"/>
  <c r="Q63" i="50"/>
  <c r="S63" i="50" s="1"/>
  <c r="Q65" i="50"/>
  <c r="S65" i="50" s="1"/>
  <c r="Q67" i="50"/>
  <c r="S67" i="50" s="1"/>
  <c r="AN67" i="50" s="1"/>
  <c r="AO67" i="50" s="1"/>
  <c r="AP67" i="50" s="1"/>
  <c r="AQ67" i="50" s="1"/>
  <c r="AR67" i="50" s="1"/>
  <c r="S61" i="50"/>
  <c r="Q64" i="50"/>
  <c r="S64" i="50" s="1"/>
  <c r="Q62" i="50"/>
  <c r="S62" i="50" s="1"/>
  <c r="Q124" i="50"/>
  <c r="Q69" i="50"/>
  <c r="S69" i="50" s="1"/>
  <c r="AH134" i="50"/>
  <c r="AJ121" i="50"/>
  <c r="AH120" i="50"/>
  <c r="AI97" i="50"/>
  <c r="AI136" i="50"/>
  <c r="AH115" i="50"/>
  <c r="AH127" i="50"/>
  <c r="AI137" i="50"/>
  <c r="AH117" i="50"/>
  <c r="AH137" i="50"/>
  <c r="AH116" i="50"/>
  <c r="AH128" i="50"/>
  <c r="AH118" i="50"/>
  <c r="AH136" i="50"/>
  <c r="AH122" i="50"/>
  <c r="AH130" i="50"/>
  <c r="AI121" i="50"/>
  <c r="AH123" i="50"/>
  <c r="AI135" i="50"/>
  <c r="AH97" i="50"/>
  <c r="AH119" i="50"/>
  <c r="AH129" i="50"/>
  <c r="AH121" i="50"/>
  <c r="AH135" i="50"/>
  <c r="AP52" i="65"/>
  <c r="J523" i="65" s="1"/>
  <c r="Q52" i="24"/>
  <c r="E1192" i="40"/>
  <c r="E1193" i="40"/>
  <c r="E1194" i="40"/>
  <c r="E1195" i="40"/>
  <c r="E1196" i="40"/>
  <c r="E1197" i="40"/>
  <c r="E1198" i="40"/>
  <c r="E1199" i="40"/>
  <c r="E1200" i="40"/>
  <c r="E1201" i="40"/>
  <c r="E1202" i="40"/>
  <c r="E1203" i="40"/>
  <c r="E1204" i="40"/>
  <c r="E1205" i="40"/>
  <c r="G515" i="37"/>
  <c r="G516" i="37"/>
  <c r="H517" i="37"/>
  <c r="L517" i="37"/>
  <c r="B518" i="37"/>
  <c r="I518" i="37"/>
  <c r="B519" i="37"/>
  <c r="I519" i="37"/>
  <c r="B520" i="37"/>
  <c r="I520" i="37"/>
  <c r="G521" i="37"/>
  <c r="B523" i="37"/>
  <c r="I523" i="37"/>
  <c r="H525" i="37"/>
  <c r="L525" i="37"/>
  <c r="G526" i="37"/>
  <c r="B528" i="37"/>
  <c r="I528" i="37"/>
  <c r="H529" i="37"/>
  <c r="L529" i="37"/>
  <c r="H530" i="37"/>
  <c r="L530" i="37"/>
  <c r="H531" i="37"/>
  <c r="L531" i="37"/>
  <c r="H532" i="37"/>
  <c r="L532" i="37"/>
  <c r="F784" i="37"/>
  <c r="B539" i="37"/>
  <c r="I539" i="37"/>
  <c r="B540" i="37"/>
  <c r="I540" i="37"/>
  <c r="B541" i="37"/>
  <c r="I541" i="37"/>
  <c r="B542" i="37"/>
  <c r="I542" i="37"/>
  <c r="B543" i="37"/>
  <c r="I543" i="37"/>
  <c r="B544" i="37"/>
  <c r="I544" i="37"/>
  <c r="B545" i="37"/>
  <c r="I545" i="37"/>
  <c r="B546" i="37"/>
  <c r="I546" i="37"/>
  <c r="L547" i="37"/>
  <c r="B556" i="37"/>
  <c r="B309" i="37"/>
  <c r="G309" i="37"/>
  <c r="H309" i="37"/>
  <c r="I309" i="37"/>
  <c r="L309" i="37"/>
  <c r="G380" i="37"/>
  <c r="B381" i="37"/>
  <c r="B382" i="37"/>
  <c r="J137" i="37"/>
  <c r="L389" i="37"/>
  <c r="L390" i="37"/>
  <c r="I392" i="37"/>
  <c r="G393" i="37"/>
  <c r="G394" i="37"/>
  <c r="H398" i="37"/>
  <c r="H399" i="37"/>
  <c r="G400" i="37"/>
  <c r="B401" i="37"/>
  <c r="I408" i="37"/>
  <c r="G409" i="37"/>
  <c r="H411" i="37"/>
  <c r="L413" i="37"/>
  <c r="H415" i="37"/>
  <c r="H417" i="37"/>
  <c r="L419" i="37"/>
  <c r="H421" i="37"/>
  <c r="G422" i="37"/>
  <c r="I423" i="37"/>
  <c r="H425" i="37"/>
  <c r="L427" i="37"/>
  <c r="H428" i="37"/>
  <c r="H429" i="37"/>
  <c r="B430" i="37"/>
  <c r="L431" i="37"/>
  <c r="I432" i="37"/>
  <c r="B433" i="37"/>
  <c r="H434" i="37"/>
  <c r="I435" i="37"/>
  <c r="H436" i="37"/>
  <c r="L436" i="37"/>
  <c r="G437" i="37"/>
  <c r="B443" i="37"/>
  <c r="I443" i="37"/>
  <c r="G444" i="37"/>
  <c r="G445" i="37"/>
  <c r="G446" i="37"/>
  <c r="B451" i="37"/>
  <c r="I451" i="37"/>
  <c r="G452" i="37"/>
  <c r="G453" i="37"/>
  <c r="G454" i="37"/>
  <c r="H456" i="37"/>
  <c r="L456" i="37"/>
  <c r="H457" i="37"/>
  <c r="L457" i="37"/>
  <c r="H458" i="37"/>
  <c r="L458" i="37"/>
  <c r="G459" i="37"/>
  <c r="B460" i="37"/>
  <c r="I460" i="37"/>
  <c r="B461" i="37"/>
  <c r="I461" i="37"/>
  <c r="B462" i="37"/>
  <c r="I462" i="37"/>
  <c r="B463" i="37"/>
  <c r="I463" i="37"/>
  <c r="B464" i="37"/>
  <c r="I464" i="37"/>
  <c r="H465" i="37"/>
  <c r="L465" i="37"/>
  <c r="H466" i="37"/>
  <c r="L466" i="37"/>
  <c r="G467" i="37"/>
  <c r="G468" i="37"/>
  <c r="G469" i="37"/>
  <c r="G470" i="37"/>
  <c r="I470" i="37"/>
  <c r="B471" i="37"/>
  <c r="G471" i="37"/>
  <c r="H471" i="37"/>
  <c r="I471" i="37"/>
  <c r="L471" i="37"/>
  <c r="B472" i="37"/>
  <c r="G472" i="37"/>
  <c r="H472" i="37"/>
  <c r="I472" i="37"/>
  <c r="L472" i="37"/>
  <c r="B473" i="37"/>
  <c r="G473" i="37"/>
  <c r="H473" i="37"/>
  <c r="I473" i="37"/>
  <c r="L473" i="37"/>
  <c r="B474" i="37"/>
  <c r="G474" i="37"/>
  <c r="H474" i="37"/>
  <c r="I474" i="37"/>
  <c r="L474" i="37"/>
  <c r="B475" i="37"/>
  <c r="G475" i="37"/>
  <c r="H475" i="37"/>
  <c r="I475" i="37"/>
  <c r="L475" i="37"/>
  <c r="B476" i="37"/>
  <c r="G476" i="37"/>
  <c r="H476" i="37"/>
  <c r="I476" i="37"/>
  <c r="L476" i="37"/>
  <c r="B477" i="37"/>
  <c r="G477" i="37"/>
  <c r="H477" i="37"/>
  <c r="I477" i="37"/>
  <c r="L477" i="37"/>
  <c r="B478" i="37"/>
  <c r="G478" i="37"/>
  <c r="H478" i="37"/>
  <c r="I478" i="37"/>
  <c r="L478" i="37"/>
  <c r="B479" i="37"/>
  <c r="G479" i="37"/>
  <c r="H479" i="37"/>
  <c r="I479" i="37"/>
  <c r="L479" i="37"/>
  <c r="B480" i="37"/>
  <c r="G480" i="37"/>
  <c r="H480" i="37"/>
  <c r="I480" i="37"/>
  <c r="L480" i="37"/>
  <c r="B481" i="37"/>
  <c r="G481" i="37"/>
  <c r="H481" i="37"/>
  <c r="I481" i="37"/>
  <c r="L481" i="37"/>
  <c r="B482" i="37"/>
  <c r="G482" i="37"/>
  <c r="H482" i="37"/>
  <c r="I482" i="37"/>
  <c r="L482" i="37"/>
  <c r="B483" i="37"/>
  <c r="G483" i="37"/>
  <c r="H483" i="37"/>
  <c r="I483" i="37"/>
  <c r="L483" i="37"/>
  <c r="B484" i="37"/>
  <c r="G484" i="37"/>
  <c r="H484" i="37"/>
  <c r="I484" i="37"/>
  <c r="L484" i="37"/>
  <c r="B485" i="37"/>
  <c r="G485" i="37"/>
  <c r="H485" i="37"/>
  <c r="I485" i="37"/>
  <c r="L485" i="37"/>
  <c r="B486" i="37"/>
  <c r="G486" i="37"/>
  <c r="H486" i="37"/>
  <c r="I486" i="37"/>
  <c r="L486" i="37"/>
  <c r="B487" i="37"/>
  <c r="G487" i="37"/>
  <c r="H487" i="37"/>
  <c r="I487" i="37"/>
  <c r="L487" i="37"/>
  <c r="B488" i="37"/>
  <c r="G488" i="37"/>
  <c r="H488" i="37"/>
  <c r="I488" i="37"/>
  <c r="L488" i="37"/>
  <c r="B489" i="37"/>
  <c r="G489" i="37"/>
  <c r="H489" i="37"/>
  <c r="I489" i="37"/>
  <c r="L489" i="37"/>
  <c r="B490" i="37"/>
  <c r="G490" i="37"/>
  <c r="H490" i="37"/>
  <c r="I490" i="37"/>
  <c r="L490" i="37"/>
  <c r="B491" i="37"/>
  <c r="G491" i="37"/>
  <c r="H491" i="37"/>
  <c r="I491" i="37"/>
  <c r="L491" i="37"/>
  <c r="B492" i="37"/>
  <c r="G492" i="37"/>
  <c r="H492" i="37"/>
  <c r="I492" i="37"/>
  <c r="L492" i="37"/>
  <c r="B493" i="37"/>
  <c r="G493" i="37"/>
  <c r="H493" i="37"/>
  <c r="I493" i="37"/>
  <c r="L493" i="37"/>
  <c r="B494" i="37"/>
  <c r="G494" i="37"/>
  <c r="H494" i="37"/>
  <c r="I494" i="37"/>
  <c r="L494" i="37"/>
  <c r="B495" i="37"/>
  <c r="G495" i="37"/>
  <c r="H495" i="37"/>
  <c r="I495" i="37"/>
  <c r="L495" i="37"/>
  <c r="B496" i="37"/>
  <c r="G496" i="37"/>
  <c r="H496" i="37"/>
  <c r="I496" i="37"/>
  <c r="L496" i="37"/>
  <c r="B497" i="37"/>
  <c r="G497" i="37"/>
  <c r="H497" i="37"/>
  <c r="I497" i="37"/>
  <c r="L497" i="37"/>
  <c r="B498" i="37"/>
  <c r="G498" i="37"/>
  <c r="H498" i="37"/>
  <c r="I498" i="37"/>
  <c r="L498" i="37"/>
  <c r="B499" i="37"/>
  <c r="G499" i="37"/>
  <c r="H499" i="37"/>
  <c r="I499" i="37"/>
  <c r="L499" i="37"/>
  <c r="B500" i="37"/>
  <c r="G500" i="37"/>
  <c r="H500" i="37"/>
  <c r="I500" i="37"/>
  <c r="L500" i="37"/>
  <c r="B501" i="37"/>
  <c r="G501" i="37"/>
  <c r="H501" i="37"/>
  <c r="I501" i="37"/>
  <c r="L501" i="37"/>
  <c r="B502" i="37"/>
  <c r="G502" i="37"/>
  <c r="H502" i="37"/>
  <c r="I502" i="37"/>
  <c r="L502" i="37"/>
  <c r="B503" i="37"/>
  <c r="G503" i="37"/>
  <c r="H503" i="37"/>
  <c r="I503" i="37"/>
  <c r="L503" i="37"/>
  <c r="B504" i="37"/>
  <c r="G504" i="37"/>
  <c r="H504" i="37"/>
  <c r="I504" i="37"/>
  <c r="L504" i="37"/>
  <c r="B505" i="37"/>
  <c r="G505" i="37"/>
  <c r="H505" i="37"/>
  <c r="I505" i="37"/>
  <c r="L505" i="37"/>
  <c r="B506" i="37"/>
  <c r="G506" i="37"/>
  <c r="H506" i="37"/>
  <c r="I506" i="37"/>
  <c r="L506" i="37"/>
  <c r="B507" i="37"/>
  <c r="G507" i="37"/>
  <c r="H507" i="37"/>
  <c r="I507" i="37"/>
  <c r="L507" i="37"/>
  <c r="B508" i="37"/>
  <c r="G508" i="37"/>
  <c r="H508" i="37"/>
  <c r="I508" i="37"/>
  <c r="L508" i="37"/>
  <c r="B509" i="37"/>
  <c r="G509" i="37"/>
  <c r="H509" i="37"/>
  <c r="I509" i="37"/>
  <c r="L509" i="37"/>
  <c r="B510" i="37"/>
  <c r="G510" i="37"/>
  <c r="H510" i="37"/>
  <c r="I510" i="37"/>
  <c r="L510" i="37"/>
  <c r="H511" i="37"/>
  <c r="L511" i="37"/>
  <c r="G512" i="37"/>
  <c r="G513" i="37"/>
  <c r="G514" i="37"/>
  <c r="B555" i="37"/>
  <c r="P145" i="25" l="1"/>
  <c r="P147" i="25" s="1"/>
  <c r="Q27" i="25"/>
  <c r="AJ115" i="50"/>
  <c r="AN61" i="50"/>
  <c r="AO61" i="50" s="1"/>
  <c r="AP61" i="50" s="1"/>
  <c r="AQ61" i="50" s="1"/>
  <c r="AR61" i="50" s="1"/>
  <c r="B489" i="40"/>
  <c r="B208" i="65"/>
  <c r="H547" i="37"/>
  <c r="H795" i="37"/>
  <c r="AI103" i="50"/>
  <c r="AI115" i="50"/>
  <c r="AH109" i="50"/>
  <c r="AZ121" i="50"/>
  <c r="AJ109" i="50"/>
  <c r="V91" i="50"/>
  <c r="AB91" i="50"/>
  <c r="Q49" i="66"/>
  <c r="AR52" i="65"/>
  <c r="L523" i="65" s="1"/>
  <c r="AQ52" i="65"/>
  <c r="K523" i="65" s="1"/>
  <c r="K265" i="37"/>
  <c r="J265" i="37"/>
  <c r="J761" i="37" s="1"/>
  <c r="K263" i="37"/>
  <c r="J263" i="37"/>
  <c r="J759" i="37" s="1"/>
  <c r="K259" i="37"/>
  <c r="K507" i="37" s="1"/>
  <c r="N507" i="37" s="1"/>
  <c r="J259" i="37"/>
  <c r="K255" i="37"/>
  <c r="K503" i="37" s="1"/>
  <c r="J255" i="37"/>
  <c r="K253" i="37"/>
  <c r="J253" i="37"/>
  <c r="J501" i="37" s="1"/>
  <c r="P501" i="37" s="1"/>
  <c r="K251" i="37"/>
  <c r="K499" i="37" s="1"/>
  <c r="J251" i="37"/>
  <c r="F745" i="37"/>
  <c r="K249" i="37"/>
  <c r="J249" i="37"/>
  <c r="F495" i="37"/>
  <c r="K247" i="37"/>
  <c r="J247" i="37"/>
  <c r="F493" i="37"/>
  <c r="K245" i="37"/>
  <c r="J245" i="37"/>
  <c r="F491" i="37"/>
  <c r="K243" i="37"/>
  <c r="J243" i="37"/>
  <c r="F489" i="37"/>
  <c r="K241" i="37"/>
  <c r="J241" i="37"/>
  <c r="F487" i="37"/>
  <c r="K239" i="37"/>
  <c r="J239" i="37"/>
  <c r="F485" i="37"/>
  <c r="K237" i="37"/>
  <c r="J237" i="37"/>
  <c r="F483" i="37"/>
  <c r="K235" i="37"/>
  <c r="J235" i="37"/>
  <c r="F479" i="37"/>
  <c r="K231" i="37"/>
  <c r="J231" i="37"/>
  <c r="F477" i="37"/>
  <c r="K229" i="37"/>
  <c r="J229" i="37"/>
  <c r="K221" i="37"/>
  <c r="J221" i="37"/>
  <c r="K217" i="37"/>
  <c r="J217" i="37"/>
  <c r="K215" i="37"/>
  <c r="J215" i="37"/>
  <c r="K213" i="37"/>
  <c r="J213" i="37"/>
  <c r="K211" i="37"/>
  <c r="J211" i="37"/>
  <c r="K209" i="37"/>
  <c r="J209" i="37"/>
  <c r="F455" i="37"/>
  <c r="K207" i="37"/>
  <c r="J207" i="37"/>
  <c r="K205" i="37"/>
  <c r="J205" i="37"/>
  <c r="K266" i="37"/>
  <c r="J266" i="37"/>
  <c r="J762" i="37" s="1"/>
  <c r="K264" i="37"/>
  <c r="J264" i="37"/>
  <c r="J760" i="37" s="1"/>
  <c r="K262" i="37"/>
  <c r="K510" i="37" s="1"/>
  <c r="N510" i="37" s="1"/>
  <c r="J262" i="37"/>
  <c r="K260" i="37"/>
  <c r="K508" i="37" s="1"/>
  <c r="N508" i="37" s="1"/>
  <c r="J260" i="37"/>
  <c r="K258" i="37"/>
  <c r="K506" i="37" s="1"/>
  <c r="J258" i="37"/>
  <c r="K256" i="37"/>
  <c r="K504" i="37" s="1"/>
  <c r="N504" i="37" s="1"/>
  <c r="J256" i="37"/>
  <c r="K254" i="37"/>
  <c r="K502" i="37" s="1"/>
  <c r="N502" i="37" s="1"/>
  <c r="J254" i="37"/>
  <c r="K252" i="37"/>
  <c r="K500" i="37" s="1"/>
  <c r="J252" i="37"/>
  <c r="F746" i="37"/>
  <c r="K250" i="37"/>
  <c r="J250" i="37"/>
  <c r="F496" i="37"/>
  <c r="K248" i="37"/>
  <c r="J248" i="37"/>
  <c r="F494" i="37"/>
  <c r="K246" i="37"/>
  <c r="J246" i="37"/>
  <c r="F492" i="37"/>
  <c r="K244" i="37"/>
  <c r="J244" i="37"/>
  <c r="F490" i="37"/>
  <c r="K242" i="37"/>
  <c r="J242" i="37"/>
  <c r="F488" i="37"/>
  <c r="K240" i="37"/>
  <c r="J240" i="37"/>
  <c r="F486" i="37"/>
  <c r="K238" i="37"/>
  <c r="J238" i="37"/>
  <c r="F484" i="37"/>
  <c r="K236" i="37"/>
  <c r="J236" i="37"/>
  <c r="F482" i="37"/>
  <c r="K234" i="37"/>
  <c r="J234" i="37"/>
  <c r="F480" i="37"/>
  <c r="K232" i="37"/>
  <c r="J232" i="37"/>
  <c r="F478" i="37"/>
  <c r="K230" i="37"/>
  <c r="J230" i="37"/>
  <c r="F476" i="37"/>
  <c r="K228" i="37"/>
  <c r="J228" i="37"/>
  <c r="F474" i="37"/>
  <c r="K226" i="37"/>
  <c r="J226" i="37"/>
  <c r="F472" i="37"/>
  <c r="K224" i="37"/>
  <c r="J224" i="37"/>
  <c r="K222" i="37"/>
  <c r="J222" i="37"/>
  <c r="K220" i="37"/>
  <c r="J220" i="37"/>
  <c r="K218" i="37"/>
  <c r="J218" i="37"/>
  <c r="K216" i="37"/>
  <c r="J216" i="37"/>
  <c r="K214" i="37"/>
  <c r="J214" i="37"/>
  <c r="K212" i="37"/>
  <c r="J212" i="37"/>
  <c r="K210" i="37"/>
  <c r="J210" i="37"/>
  <c r="K208" i="37"/>
  <c r="J208" i="37"/>
  <c r="K206" i="37"/>
  <c r="J206" i="37"/>
  <c r="K204" i="37"/>
  <c r="J204" i="37"/>
  <c r="F450" i="37"/>
  <c r="K202" i="37"/>
  <c r="J202" i="37"/>
  <c r="F448" i="37"/>
  <c r="K200" i="37"/>
  <c r="J200" i="37"/>
  <c r="K198" i="37"/>
  <c r="J198" i="37"/>
  <c r="K196" i="37"/>
  <c r="J196" i="37"/>
  <c r="F442" i="37"/>
  <c r="K194" i="37"/>
  <c r="J194" i="37"/>
  <c r="F440" i="37"/>
  <c r="K192" i="37"/>
  <c r="J192" i="37"/>
  <c r="F438" i="37"/>
  <c r="K190" i="37"/>
  <c r="J190" i="37"/>
  <c r="F684" i="37"/>
  <c r="K188" i="37"/>
  <c r="J188" i="37"/>
  <c r="K186" i="37"/>
  <c r="J186" i="37"/>
  <c r="K184" i="37"/>
  <c r="J184" i="37"/>
  <c r="K182" i="37"/>
  <c r="J182" i="37"/>
  <c r="K180" i="37"/>
  <c r="J180" i="37"/>
  <c r="K178" i="37"/>
  <c r="J178" i="37"/>
  <c r="F424" i="37"/>
  <c r="K176" i="37"/>
  <c r="J176" i="37"/>
  <c r="K174" i="37"/>
  <c r="J174" i="37"/>
  <c r="F420" i="37"/>
  <c r="K172" i="37"/>
  <c r="J172" i="37"/>
  <c r="K170" i="37"/>
  <c r="J170" i="37"/>
  <c r="F416" i="37"/>
  <c r="K168" i="37"/>
  <c r="J168" i="37"/>
  <c r="F414" i="37"/>
  <c r="K166" i="37"/>
  <c r="J166" i="37"/>
  <c r="K164" i="37"/>
  <c r="J164" i="37"/>
  <c r="F410" i="37"/>
  <c r="K162" i="37"/>
  <c r="J162" i="37"/>
  <c r="K160" i="37"/>
  <c r="J160" i="37"/>
  <c r="K158" i="37"/>
  <c r="J158" i="37"/>
  <c r="K156" i="37"/>
  <c r="J156" i="37"/>
  <c r="K154" i="37"/>
  <c r="J154" i="37"/>
  <c r="K152" i="37"/>
  <c r="J152" i="37"/>
  <c r="K150" i="37"/>
  <c r="J150" i="37"/>
  <c r="K148" i="37"/>
  <c r="J148" i="37"/>
  <c r="K146" i="37"/>
  <c r="J146" i="37"/>
  <c r="K144" i="37"/>
  <c r="J144" i="37"/>
  <c r="K142" i="37"/>
  <c r="J142" i="37"/>
  <c r="J638" i="37" s="1"/>
  <c r="K140" i="37"/>
  <c r="J140" i="37"/>
  <c r="K138" i="37"/>
  <c r="J138" i="37"/>
  <c r="K136" i="37"/>
  <c r="J136" i="37"/>
  <c r="K134" i="37"/>
  <c r="J134" i="37"/>
  <c r="K132" i="37"/>
  <c r="J132" i="37"/>
  <c r="K130" i="37"/>
  <c r="J130" i="37"/>
  <c r="F376" i="37"/>
  <c r="K128" i="37"/>
  <c r="J128" i="37"/>
  <c r="K126" i="37"/>
  <c r="J126" i="37"/>
  <c r="K124" i="37"/>
  <c r="J124" i="37"/>
  <c r="K122" i="37"/>
  <c r="J122" i="37"/>
  <c r="K120" i="37"/>
  <c r="J120" i="37"/>
  <c r="K118" i="37"/>
  <c r="J118" i="37"/>
  <c r="K116" i="37"/>
  <c r="J116" i="37"/>
  <c r="K114" i="37"/>
  <c r="J114" i="37"/>
  <c r="K112" i="37"/>
  <c r="J112" i="37"/>
  <c r="K110" i="37"/>
  <c r="J110" i="37"/>
  <c r="K108" i="37"/>
  <c r="J108" i="37"/>
  <c r="K106" i="37"/>
  <c r="J106" i="37"/>
  <c r="K104" i="37"/>
  <c r="J104" i="37"/>
  <c r="F350" i="37"/>
  <c r="K102" i="37"/>
  <c r="J102" i="37"/>
  <c r="K100" i="37"/>
  <c r="J100" i="37"/>
  <c r="K98" i="37"/>
  <c r="J98" i="37"/>
  <c r="K96" i="37"/>
  <c r="J96" i="37"/>
  <c r="K94" i="37"/>
  <c r="J94" i="37"/>
  <c r="K92" i="37"/>
  <c r="J92" i="37"/>
  <c r="K90" i="37"/>
  <c r="J90" i="37"/>
  <c r="K88" i="37"/>
  <c r="J88" i="37"/>
  <c r="K86" i="37"/>
  <c r="J86" i="37"/>
  <c r="K84" i="37"/>
  <c r="J84" i="37"/>
  <c r="K82" i="37"/>
  <c r="J82" i="37"/>
  <c r="K80" i="37"/>
  <c r="J80" i="37"/>
  <c r="K78" i="37"/>
  <c r="J78" i="37"/>
  <c r="K76" i="37"/>
  <c r="J76" i="37"/>
  <c r="K74" i="37"/>
  <c r="J74" i="37"/>
  <c r="K72" i="37"/>
  <c r="J72" i="37"/>
  <c r="K70" i="37"/>
  <c r="J70" i="37"/>
  <c r="K68" i="37"/>
  <c r="J68" i="37"/>
  <c r="K66" i="37"/>
  <c r="J66" i="37"/>
  <c r="K64" i="37"/>
  <c r="J64" i="37"/>
  <c r="F558" i="37"/>
  <c r="K62" i="37"/>
  <c r="J62" i="37"/>
  <c r="K60" i="37"/>
  <c r="J60" i="37"/>
  <c r="K301" i="37"/>
  <c r="K549" i="37" s="1"/>
  <c r="J301" i="37"/>
  <c r="J549" i="37" s="1"/>
  <c r="K299" i="37"/>
  <c r="J299" i="37"/>
  <c r="K297" i="37"/>
  <c r="J297" i="37"/>
  <c r="K295" i="37"/>
  <c r="J295" i="37"/>
  <c r="K293" i="37"/>
  <c r="J293" i="37"/>
  <c r="K291" i="37"/>
  <c r="J291" i="37"/>
  <c r="J539" i="37" s="1"/>
  <c r="F537" i="37"/>
  <c r="K289" i="37"/>
  <c r="J289" i="37"/>
  <c r="F535" i="37"/>
  <c r="K287" i="37"/>
  <c r="J287" i="37"/>
  <c r="K284" i="37"/>
  <c r="K780" i="37" s="1"/>
  <c r="J284" i="37"/>
  <c r="J780" i="37" s="1"/>
  <c r="K282" i="37"/>
  <c r="K778" i="37" s="1"/>
  <c r="J282" i="37"/>
  <c r="J778" i="37" s="1"/>
  <c r="K280" i="37"/>
  <c r="J280" i="37"/>
  <c r="J776" i="37" s="1"/>
  <c r="K278" i="37"/>
  <c r="J278" i="37"/>
  <c r="J774" i="37" s="1"/>
  <c r="K275" i="37"/>
  <c r="J275" i="37"/>
  <c r="J771" i="37" s="1"/>
  <c r="K274" i="37"/>
  <c r="K770" i="37" s="1"/>
  <c r="J274" i="37"/>
  <c r="J522" i="37" s="1"/>
  <c r="K272" i="37"/>
  <c r="J272" i="37"/>
  <c r="J768" i="37" s="1"/>
  <c r="K270" i="37"/>
  <c r="J270" i="37"/>
  <c r="J766" i="37" s="1"/>
  <c r="K267" i="37"/>
  <c r="J267" i="37"/>
  <c r="J763" i="37" s="1"/>
  <c r="B758" i="37"/>
  <c r="B750" i="37"/>
  <c r="B742" i="37"/>
  <c r="B734" i="37"/>
  <c r="B726" i="37"/>
  <c r="B792" i="37"/>
  <c r="B788" i="37"/>
  <c r="H780" i="37"/>
  <c r="I771" i="37"/>
  <c r="B766" i="37"/>
  <c r="K59" i="37"/>
  <c r="J59" i="37"/>
  <c r="K261" i="37"/>
  <c r="K509" i="37" s="1"/>
  <c r="N509" i="37" s="1"/>
  <c r="J261" i="37"/>
  <c r="K257" i="37"/>
  <c r="K505" i="37" s="1"/>
  <c r="J257" i="37"/>
  <c r="F481" i="37"/>
  <c r="K233" i="37"/>
  <c r="J233" i="37"/>
  <c r="F475" i="37"/>
  <c r="K227" i="37"/>
  <c r="J227" i="37"/>
  <c r="F473" i="37"/>
  <c r="K225" i="37"/>
  <c r="J225" i="37"/>
  <c r="F471" i="37"/>
  <c r="K223" i="37"/>
  <c r="J223" i="37"/>
  <c r="K219" i="37"/>
  <c r="J219" i="37"/>
  <c r="K203" i="37"/>
  <c r="J203" i="37"/>
  <c r="F449" i="37"/>
  <c r="K201" i="37"/>
  <c r="J201" i="37"/>
  <c r="F447" i="37"/>
  <c r="K199" i="37"/>
  <c r="J199" i="37"/>
  <c r="K197" i="37"/>
  <c r="J197" i="37"/>
  <c r="K195" i="37"/>
  <c r="J195" i="37"/>
  <c r="F441" i="37"/>
  <c r="K193" i="37"/>
  <c r="J193" i="37"/>
  <c r="F439" i="37"/>
  <c r="K191" i="37"/>
  <c r="J191" i="37"/>
  <c r="K189" i="37"/>
  <c r="J189" i="37"/>
  <c r="K187" i="37"/>
  <c r="J187" i="37"/>
  <c r="K185" i="37"/>
  <c r="J185" i="37"/>
  <c r="F431" i="37"/>
  <c r="K183" i="37"/>
  <c r="J183" i="37"/>
  <c r="K181" i="37"/>
  <c r="J181" i="37"/>
  <c r="F427" i="37"/>
  <c r="K179" i="37"/>
  <c r="J179" i="37"/>
  <c r="K177" i="37"/>
  <c r="J177" i="37"/>
  <c r="K175" i="37"/>
  <c r="J175" i="37"/>
  <c r="K173" i="37"/>
  <c r="J173" i="37"/>
  <c r="K171" i="37"/>
  <c r="J171" i="37"/>
  <c r="K169" i="37"/>
  <c r="J169" i="37"/>
  <c r="K167" i="37"/>
  <c r="J167" i="37"/>
  <c r="K165" i="37"/>
  <c r="J165" i="37"/>
  <c r="K163" i="37"/>
  <c r="J163" i="37"/>
  <c r="K161" i="37"/>
  <c r="J161" i="37"/>
  <c r="K159" i="37"/>
  <c r="J159" i="37"/>
  <c r="K157" i="37"/>
  <c r="J157" i="37"/>
  <c r="K155" i="37"/>
  <c r="J155" i="37"/>
  <c r="K153" i="37"/>
  <c r="J153" i="37"/>
  <c r="K151" i="37"/>
  <c r="J151" i="37"/>
  <c r="K149" i="37"/>
  <c r="J149" i="37"/>
  <c r="F395" i="37"/>
  <c r="K147" i="37"/>
  <c r="J147" i="37"/>
  <c r="K145" i="37"/>
  <c r="J145" i="37"/>
  <c r="K143" i="37"/>
  <c r="J143" i="37"/>
  <c r="K141" i="37"/>
  <c r="J141" i="37"/>
  <c r="K139" i="37"/>
  <c r="J139" i="37"/>
  <c r="K137" i="37"/>
  <c r="K135" i="37"/>
  <c r="J135" i="37"/>
  <c r="K133" i="37"/>
  <c r="J133" i="37"/>
  <c r="K131" i="37"/>
  <c r="J131" i="37"/>
  <c r="K129" i="37"/>
  <c r="J129" i="37"/>
  <c r="K127" i="37"/>
  <c r="J127" i="37"/>
  <c r="K125" i="37"/>
  <c r="J125" i="37"/>
  <c r="K123" i="37"/>
  <c r="J123" i="37"/>
  <c r="K121" i="37"/>
  <c r="J121" i="37"/>
  <c r="K119" i="37"/>
  <c r="J119" i="37"/>
  <c r="K117" i="37"/>
  <c r="J117" i="37"/>
  <c r="K115" i="37"/>
  <c r="J115" i="37"/>
  <c r="K113" i="37"/>
  <c r="J113" i="37"/>
  <c r="K111" i="37"/>
  <c r="J111" i="37"/>
  <c r="K109" i="37"/>
  <c r="J109" i="37"/>
  <c r="K107" i="37"/>
  <c r="J107" i="37"/>
  <c r="F601" i="37"/>
  <c r="K105" i="37"/>
  <c r="J105" i="37"/>
  <c r="K103" i="37"/>
  <c r="J103" i="37"/>
  <c r="K101" i="37"/>
  <c r="J101" i="37"/>
  <c r="K99" i="37"/>
  <c r="J99" i="37"/>
  <c r="K97" i="37"/>
  <c r="J97" i="37"/>
  <c r="K95" i="37"/>
  <c r="J95" i="37"/>
  <c r="K93" i="37"/>
  <c r="J93" i="37"/>
  <c r="K91" i="37"/>
  <c r="J91" i="37"/>
  <c r="K89" i="37"/>
  <c r="J89" i="37"/>
  <c r="K87" i="37"/>
  <c r="J87" i="37"/>
  <c r="K85" i="37"/>
  <c r="J85" i="37"/>
  <c r="K83" i="37"/>
  <c r="J83" i="37"/>
  <c r="K81" i="37"/>
  <c r="J81" i="37"/>
  <c r="K79" i="37"/>
  <c r="J79" i="37"/>
  <c r="K77" i="37"/>
  <c r="J77" i="37"/>
  <c r="K75" i="37"/>
  <c r="J75" i="37"/>
  <c r="J571" i="37" s="1"/>
  <c r="K73" i="37"/>
  <c r="J73" i="37"/>
  <c r="K71" i="37"/>
  <c r="J71" i="37"/>
  <c r="K69" i="37"/>
  <c r="J69" i="37"/>
  <c r="K67" i="37"/>
  <c r="J67" i="37"/>
  <c r="K65" i="37"/>
  <c r="J65" i="37"/>
  <c r="K63" i="37"/>
  <c r="J63" i="37"/>
  <c r="K61" i="37"/>
  <c r="K309" i="37" s="1"/>
  <c r="N309" i="37" s="1"/>
  <c r="J61" i="37"/>
  <c r="J309" i="37" s="1"/>
  <c r="K300" i="37"/>
  <c r="K548" i="37" s="1"/>
  <c r="J300" i="37"/>
  <c r="K298" i="37"/>
  <c r="J298" i="37"/>
  <c r="K296" i="37"/>
  <c r="J296" i="37"/>
  <c r="J544" i="37" s="1"/>
  <c r="K294" i="37"/>
  <c r="J294" i="37"/>
  <c r="K292" i="37"/>
  <c r="J292" i="37"/>
  <c r="F538" i="37"/>
  <c r="K290" i="37"/>
  <c r="J290" i="37"/>
  <c r="F536" i="37"/>
  <c r="K288" i="37"/>
  <c r="J288" i="37"/>
  <c r="F534" i="37"/>
  <c r="K286" i="37"/>
  <c r="J286" i="37"/>
  <c r="F533" i="37"/>
  <c r="K285" i="37"/>
  <c r="K781" i="37" s="1"/>
  <c r="J285" i="37"/>
  <c r="J533" i="37" s="1"/>
  <c r="K283" i="37"/>
  <c r="K779" i="37" s="1"/>
  <c r="J283" i="37"/>
  <c r="J779" i="37" s="1"/>
  <c r="K281" i="37"/>
  <c r="K777" i="37" s="1"/>
  <c r="J281" i="37"/>
  <c r="J777" i="37" s="1"/>
  <c r="K279" i="37"/>
  <c r="K527" i="37" s="1"/>
  <c r="J279" i="37"/>
  <c r="J775" i="37" s="1"/>
  <c r="K277" i="37"/>
  <c r="J277" i="37"/>
  <c r="J773" i="37" s="1"/>
  <c r="K276" i="37"/>
  <c r="K772" i="37" s="1"/>
  <c r="J276" i="37"/>
  <c r="J524" i="37" s="1"/>
  <c r="K273" i="37"/>
  <c r="J273" i="37"/>
  <c r="J521" i="37" s="1"/>
  <c r="P521" i="37" s="1"/>
  <c r="K271" i="37"/>
  <c r="J271" i="37"/>
  <c r="J767" i="37" s="1"/>
  <c r="K269" i="37"/>
  <c r="J269" i="37"/>
  <c r="J517" i="37" s="1"/>
  <c r="K268" i="37"/>
  <c r="K516" i="37" s="1"/>
  <c r="J268" i="37"/>
  <c r="B753" i="37"/>
  <c r="B745" i="37"/>
  <c r="B737" i="37"/>
  <c r="B729" i="37"/>
  <c r="B721" i="37"/>
  <c r="B790" i="37"/>
  <c r="F786" i="37"/>
  <c r="F782" i="37"/>
  <c r="I776" i="37"/>
  <c r="B768" i="37"/>
  <c r="F307" i="37"/>
  <c r="L537" i="37"/>
  <c r="L785" i="37"/>
  <c r="I536" i="37"/>
  <c r="I784" i="37"/>
  <c r="G361" i="37"/>
  <c r="G609" i="37"/>
  <c r="L549" i="37"/>
  <c r="L797" i="37"/>
  <c r="G549" i="37"/>
  <c r="G797" i="37"/>
  <c r="L548" i="37"/>
  <c r="L796" i="37"/>
  <c r="I547" i="37"/>
  <c r="I795" i="37"/>
  <c r="B547" i="37"/>
  <c r="B795" i="37"/>
  <c r="H546" i="37"/>
  <c r="H794" i="37"/>
  <c r="G545" i="37"/>
  <c r="G793" i="37"/>
  <c r="L544" i="37"/>
  <c r="L792" i="37"/>
  <c r="G544" i="37"/>
  <c r="G792" i="37"/>
  <c r="L543" i="37"/>
  <c r="L791" i="37"/>
  <c r="F543" i="37"/>
  <c r="F791" i="37"/>
  <c r="H541" i="37"/>
  <c r="H789" i="37"/>
  <c r="G540" i="37"/>
  <c r="G788" i="37"/>
  <c r="L539" i="37"/>
  <c r="L787" i="37"/>
  <c r="G539" i="37"/>
  <c r="G787" i="37"/>
  <c r="L538" i="37"/>
  <c r="L786" i="37"/>
  <c r="I537" i="37"/>
  <c r="I785" i="37"/>
  <c r="B537" i="37"/>
  <c r="B785" i="37"/>
  <c r="H536" i="37"/>
  <c r="H784" i="37"/>
  <c r="G535" i="37"/>
  <c r="G783" i="37"/>
  <c r="L534" i="37"/>
  <c r="L782" i="37"/>
  <c r="I532" i="37"/>
  <c r="I780" i="37"/>
  <c r="B532" i="37"/>
  <c r="B780" i="37"/>
  <c r="G530" i="37"/>
  <c r="G778" i="37"/>
  <c r="G529" i="37"/>
  <c r="G777" i="37"/>
  <c r="L528" i="37"/>
  <c r="L776" i="37"/>
  <c r="F776" i="37"/>
  <c r="I527" i="37"/>
  <c r="I775" i="37"/>
  <c r="B527" i="37"/>
  <c r="B775" i="37"/>
  <c r="H526" i="37"/>
  <c r="H774" i="37"/>
  <c r="G525" i="37"/>
  <c r="G773" i="37"/>
  <c r="L524" i="37"/>
  <c r="L772" i="37"/>
  <c r="G524" i="37"/>
  <c r="G772" i="37"/>
  <c r="L523" i="37"/>
  <c r="L771" i="37"/>
  <c r="G523" i="37"/>
  <c r="G771" i="37"/>
  <c r="L522" i="37"/>
  <c r="L770" i="37"/>
  <c r="G522" i="37"/>
  <c r="G770" i="37"/>
  <c r="L521" i="37"/>
  <c r="L769" i="37"/>
  <c r="L520" i="37"/>
  <c r="L768" i="37"/>
  <c r="G520" i="37"/>
  <c r="G768" i="37"/>
  <c r="L519" i="37"/>
  <c r="L767" i="37"/>
  <c r="G519" i="37"/>
  <c r="G767" i="37"/>
  <c r="L518" i="37"/>
  <c r="L766" i="37"/>
  <c r="G518" i="37"/>
  <c r="G766" i="37"/>
  <c r="G517" i="37"/>
  <c r="G765" i="37"/>
  <c r="L516" i="37"/>
  <c r="L764" i="37"/>
  <c r="L515" i="37"/>
  <c r="L763" i="37"/>
  <c r="F763" i="37"/>
  <c r="I757" i="37"/>
  <c r="I754" i="37"/>
  <c r="I751" i="37"/>
  <c r="I749" i="37"/>
  <c r="I746" i="37"/>
  <c r="I743" i="37"/>
  <c r="I741" i="37"/>
  <c r="I738" i="37"/>
  <c r="I735" i="37"/>
  <c r="I733" i="37"/>
  <c r="I730" i="37"/>
  <c r="I727" i="37"/>
  <c r="I725" i="37"/>
  <c r="I722" i="37"/>
  <c r="I719" i="37"/>
  <c r="H704" i="37"/>
  <c r="I691" i="37"/>
  <c r="F664" i="37"/>
  <c r="F797" i="37"/>
  <c r="I793" i="37"/>
  <c r="I791" i="37"/>
  <c r="I789" i="37"/>
  <c r="I787" i="37"/>
  <c r="L779" i="37"/>
  <c r="L777" i="37"/>
  <c r="B776" i="37"/>
  <c r="G774" i="37"/>
  <c r="B771" i="37"/>
  <c r="G769" i="37"/>
  <c r="I767" i="37"/>
  <c r="L765" i="37"/>
  <c r="G764" i="37"/>
  <c r="G762" i="37"/>
  <c r="G760" i="37"/>
  <c r="L512" i="37"/>
  <c r="L760" i="37"/>
  <c r="I511" i="37"/>
  <c r="I759" i="37"/>
  <c r="H549" i="37"/>
  <c r="H797" i="37"/>
  <c r="G548" i="37"/>
  <c r="G796" i="37"/>
  <c r="F795" i="37"/>
  <c r="H545" i="37"/>
  <c r="H793" i="37"/>
  <c r="H544" i="37"/>
  <c r="H792" i="37"/>
  <c r="G543" i="37"/>
  <c r="G791" i="37"/>
  <c r="L542" i="37"/>
  <c r="L790" i="37"/>
  <c r="F542" i="37"/>
  <c r="F790" i="37"/>
  <c r="H540" i="37"/>
  <c r="H788" i="37"/>
  <c r="H539" i="37"/>
  <c r="H787" i="37"/>
  <c r="G538" i="37"/>
  <c r="G786" i="37"/>
  <c r="B536" i="37"/>
  <c r="B784" i="37"/>
  <c r="H535" i="37"/>
  <c r="H783" i="37"/>
  <c r="G534" i="37"/>
  <c r="G782" i="37"/>
  <c r="L533" i="37"/>
  <c r="L781" i="37"/>
  <c r="G533" i="37"/>
  <c r="G781" i="37"/>
  <c r="F532" i="37"/>
  <c r="F780" i="37"/>
  <c r="I531" i="37"/>
  <c r="I779" i="37"/>
  <c r="B531" i="37"/>
  <c r="B779" i="37"/>
  <c r="G528" i="37"/>
  <c r="G776" i="37"/>
  <c r="L527" i="37"/>
  <c r="L775" i="37"/>
  <c r="I526" i="37"/>
  <c r="I774" i="37"/>
  <c r="H524" i="37"/>
  <c r="H772" i="37"/>
  <c r="H523" i="37"/>
  <c r="H771" i="37"/>
  <c r="H522" i="37"/>
  <c r="H770" i="37"/>
  <c r="H521" i="37"/>
  <c r="H769" i="37"/>
  <c r="H520" i="37"/>
  <c r="H768" i="37"/>
  <c r="H519" i="37"/>
  <c r="H767" i="37"/>
  <c r="H518" i="37"/>
  <c r="H766" i="37"/>
  <c r="B755" i="37"/>
  <c r="B747" i="37"/>
  <c r="B731" i="37"/>
  <c r="G693" i="37"/>
  <c r="L795" i="37"/>
  <c r="H778" i="37"/>
  <c r="I548" i="37"/>
  <c r="I796" i="37"/>
  <c r="B548" i="37"/>
  <c r="B796" i="37"/>
  <c r="G546" i="37"/>
  <c r="G794" i="37"/>
  <c r="L545" i="37"/>
  <c r="L793" i="37"/>
  <c r="F545" i="37"/>
  <c r="F793" i="37"/>
  <c r="F544" i="37"/>
  <c r="F792" i="37"/>
  <c r="H542" i="37"/>
  <c r="H790" i="37"/>
  <c r="G541" i="37"/>
  <c r="G789" i="37"/>
  <c r="L540" i="37"/>
  <c r="L788" i="37"/>
  <c r="F540" i="37"/>
  <c r="F788" i="37"/>
  <c r="F539" i="37"/>
  <c r="F787" i="37"/>
  <c r="I538" i="37"/>
  <c r="I786" i="37"/>
  <c r="B538" i="37"/>
  <c r="B786" i="37"/>
  <c r="H537" i="37"/>
  <c r="H785" i="37"/>
  <c r="G536" i="37"/>
  <c r="G784" i="37"/>
  <c r="L535" i="37"/>
  <c r="L783" i="37"/>
  <c r="I534" i="37"/>
  <c r="I782" i="37"/>
  <c r="B534" i="37"/>
  <c r="B782" i="37"/>
  <c r="I533" i="37"/>
  <c r="I781" i="37"/>
  <c r="B533" i="37"/>
  <c r="B781" i="37"/>
  <c r="G531" i="37"/>
  <c r="G779" i="37"/>
  <c r="F530" i="37"/>
  <c r="F778" i="37"/>
  <c r="F529" i="37"/>
  <c r="F777" i="37"/>
  <c r="H527" i="37"/>
  <c r="H775" i="37"/>
  <c r="F773" i="37"/>
  <c r="F771" i="37"/>
  <c r="F769" i="37"/>
  <c r="F768" i="37"/>
  <c r="F767" i="37"/>
  <c r="F766" i="37"/>
  <c r="F765" i="37"/>
  <c r="F764" i="37"/>
  <c r="I515" i="37"/>
  <c r="I763" i="37"/>
  <c r="B515" i="37"/>
  <c r="B763" i="37"/>
  <c r="B757" i="37"/>
  <c r="B754" i="37"/>
  <c r="B751" i="37"/>
  <c r="B749" i="37"/>
  <c r="B746" i="37"/>
  <c r="B743" i="37"/>
  <c r="B741" i="37"/>
  <c r="B738" i="37"/>
  <c r="B735" i="37"/>
  <c r="B733" i="37"/>
  <c r="B730" i="37"/>
  <c r="B727" i="37"/>
  <c r="B725" i="37"/>
  <c r="B722" i="37"/>
  <c r="B719" i="37"/>
  <c r="B699" i="37"/>
  <c r="F679" i="37"/>
  <c r="H646" i="37"/>
  <c r="B793" i="37"/>
  <c r="B791" i="37"/>
  <c r="B789" i="37"/>
  <c r="B787" i="37"/>
  <c r="F785" i="37"/>
  <c r="F783" i="37"/>
  <c r="F781" i="37"/>
  <c r="H779" i="37"/>
  <c r="H777" i="37"/>
  <c r="L773" i="37"/>
  <c r="F772" i="37"/>
  <c r="B767" i="37"/>
  <c r="H765" i="37"/>
  <c r="L759" i="37"/>
  <c r="H514" i="37"/>
  <c r="H762" i="37"/>
  <c r="F760" i="37"/>
  <c r="B511" i="37"/>
  <c r="B759" i="37"/>
  <c r="B526" i="37"/>
  <c r="B774" i="37"/>
  <c r="H516" i="37"/>
  <c r="H764" i="37"/>
  <c r="B739" i="37"/>
  <c r="B723" i="37"/>
  <c r="H706" i="37"/>
  <c r="F672" i="37"/>
  <c r="B794" i="37"/>
  <c r="L513" i="37"/>
  <c r="L761" i="37"/>
  <c r="F761" i="37"/>
  <c r="I512" i="37"/>
  <c r="I760" i="37"/>
  <c r="B512" i="37"/>
  <c r="B760" i="37"/>
  <c r="L514" i="37"/>
  <c r="L762" i="37"/>
  <c r="F762" i="37"/>
  <c r="I513" i="37"/>
  <c r="I761" i="37"/>
  <c r="B513" i="37"/>
  <c r="B761" i="37"/>
  <c r="H512" i="37"/>
  <c r="H760" i="37"/>
  <c r="G511" i="37"/>
  <c r="G759" i="37"/>
  <c r="I514" i="37"/>
  <c r="I762" i="37"/>
  <c r="B514" i="37"/>
  <c r="B762" i="37"/>
  <c r="H513" i="37"/>
  <c r="H761" i="37"/>
  <c r="F759" i="37"/>
  <c r="I549" i="37"/>
  <c r="I797" i="37"/>
  <c r="B549" i="37"/>
  <c r="B797" i="37"/>
  <c r="H548" i="37"/>
  <c r="H796" i="37"/>
  <c r="G547" i="37"/>
  <c r="G795" i="37"/>
  <c r="L546" i="37"/>
  <c r="L794" i="37"/>
  <c r="F794" i="37"/>
  <c r="H543" i="37"/>
  <c r="H791" i="37"/>
  <c r="G542" i="37"/>
  <c r="G790" i="37"/>
  <c r="L541" i="37"/>
  <c r="L789" i="37"/>
  <c r="F541" i="37"/>
  <c r="F789" i="37"/>
  <c r="H538" i="37"/>
  <c r="H786" i="37"/>
  <c r="G537" i="37"/>
  <c r="G785" i="37"/>
  <c r="L536" i="37"/>
  <c r="L784" i="37"/>
  <c r="I535" i="37"/>
  <c r="I783" i="37"/>
  <c r="B535" i="37"/>
  <c r="B783" i="37"/>
  <c r="H534" i="37"/>
  <c r="H782" i="37"/>
  <c r="H533" i="37"/>
  <c r="H781" i="37"/>
  <c r="G532" i="37"/>
  <c r="G780" i="37"/>
  <c r="F531" i="37"/>
  <c r="F779" i="37"/>
  <c r="I530" i="37"/>
  <c r="I778" i="37"/>
  <c r="B530" i="37"/>
  <c r="B778" i="37"/>
  <c r="I529" i="37"/>
  <c r="I777" i="37"/>
  <c r="B529" i="37"/>
  <c r="B777" i="37"/>
  <c r="H528" i="37"/>
  <c r="H776" i="37"/>
  <c r="G527" i="37"/>
  <c r="G775" i="37"/>
  <c r="L526" i="37"/>
  <c r="L774" i="37"/>
  <c r="F774" i="37"/>
  <c r="I525" i="37"/>
  <c r="I773" i="37"/>
  <c r="B525" i="37"/>
  <c r="B773" i="37"/>
  <c r="I524" i="37"/>
  <c r="I772" i="37"/>
  <c r="B524" i="37"/>
  <c r="B772" i="37"/>
  <c r="I522" i="37"/>
  <c r="I770" i="37"/>
  <c r="B522" i="37"/>
  <c r="B770" i="37"/>
  <c r="I521" i="37"/>
  <c r="I769" i="37"/>
  <c r="B521" i="37"/>
  <c r="B769" i="37"/>
  <c r="I517" i="37"/>
  <c r="I765" i="37"/>
  <c r="B517" i="37"/>
  <c r="B765" i="37"/>
  <c r="I516" i="37"/>
  <c r="I764" i="37"/>
  <c r="B516" i="37"/>
  <c r="B764" i="37"/>
  <c r="H515" i="37"/>
  <c r="H763" i="37"/>
  <c r="I758" i="37"/>
  <c r="I755" i="37"/>
  <c r="I753" i="37"/>
  <c r="I750" i="37"/>
  <c r="I747" i="37"/>
  <c r="I745" i="37"/>
  <c r="I742" i="37"/>
  <c r="I739" i="37"/>
  <c r="I737" i="37"/>
  <c r="I734" i="37"/>
  <c r="I731" i="37"/>
  <c r="I729" i="37"/>
  <c r="I726" i="37"/>
  <c r="I723" i="37"/>
  <c r="I721" i="37"/>
  <c r="B710" i="37"/>
  <c r="F695" i="37"/>
  <c r="L675" i="37"/>
  <c r="L638" i="37"/>
  <c r="F796" i="37"/>
  <c r="I794" i="37"/>
  <c r="I792" i="37"/>
  <c r="I790" i="37"/>
  <c r="I788" i="37"/>
  <c r="L780" i="37"/>
  <c r="L778" i="37"/>
  <c r="F775" i="37"/>
  <c r="H773" i="37"/>
  <c r="F770" i="37"/>
  <c r="I768" i="37"/>
  <c r="I766" i="37"/>
  <c r="G763" i="37"/>
  <c r="G761" i="37"/>
  <c r="H759" i="37"/>
  <c r="L401" i="37"/>
  <c r="L649" i="37"/>
  <c r="I400" i="37"/>
  <c r="I648" i="37"/>
  <c r="G398" i="37"/>
  <c r="G646" i="37"/>
  <c r="L397" i="37"/>
  <c r="L645" i="37"/>
  <c r="I396" i="37"/>
  <c r="I644" i="37"/>
  <c r="H395" i="37"/>
  <c r="H643" i="37"/>
  <c r="L393" i="37"/>
  <c r="L641" i="37"/>
  <c r="B392" i="37"/>
  <c r="B640" i="37"/>
  <c r="H390" i="37"/>
  <c r="H638" i="37"/>
  <c r="F388" i="37"/>
  <c r="F636" i="37"/>
  <c r="H386" i="37"/>
  <c r="H634" i="37"/>
  <c r="F384" i="37"/>
  <c r="F632" i="37"/>
  <c r="B383" i="37"/>
  <c r="B631" i="37"/>
  <c r="G381" i="37"/>
  <c r="G629" i="37"/>
  <c r="I379" i="37"/>
  <c r="I627" i="37"/>
  <c r="H378" i="37"/>
  <c r="H626" i="37"/>
  <c r="L376" i="37"/>
  <c r="L624" i="37"/>
  <c r="B375" i="37"/>
  <c r="B623" i="37"/>
  <c r="F372" i="37"/>
  <c r="F620" i="37"/>
  <c r="I371" i="37"/>
  <c r="I619" i="37"/>
  <c r="L368" i="37"/>
  <c r="L616" i="37"/>
  <c r="B367" i="37"/>
  <c r="B615" i="37"/>
  <c r="H366" i="37"/>
  <c r="H614" i="37"/>
  <c r="L364" i="37"/>
  <c r="L612" i="37"/>
  <c r="B363" i="37"/>
  <c r="B611" i="37"/>
  <c r="F360" i="37"/>
  <c r="F608" i="37"/>
  <c r="H358" i="37"/>
  <c r="H606" i="37"/>
  <c r="L356" i="37"/>
  <c r="L604" i="37"/>
  <c r="B355" i="37"/>
  <c r="B603" i="37"/>
  <c r="G353" i="37"/>
  <c r="G601" i="37"/>
  <c r="F352" i="37"/>
  <c r="F600" i="37"/>
  <c r="B351" i="37"/>
  <c r="B599" i="37"/>
  <c r="F348" i="37"/>
  <c r="F596" i="37"/>
  <c r="B347" i="37"/>
  <c r="B595" i="37"/>
  <c r="F344" i="37"/>
  <c r="F592" i="37"/>
  <c r="I343" i="37"/>
  <c r="I591" i="37"/>
  <c r="L340" i="37"/>
  <c r="L588" i="37"/>
  <c r="I339" i="37"/>
  <c r="I587" i="37"/>
  <c r="H338" i="37"/>
  <c r="H586" i="37"/>
  <c r="G337" i="37"/>
  <c r="G585" i="37"/>
  <c r="L336" i="37"/>
  <c r="L584" i="37"/>
  <c r="I335" i="37"/>
  <c r="I583" i="37"/>
  <c r="H334" i="37"/>
  <c r="H582" i="37"/>
  <c r="G333" i="37"/>
  <c r="G581" i="37"/>
  <c r="F332" i="37"/>
  <c r="F580" i="37"/>
  <c r="I331" i="37"/>
  <c r="I579" i="37"/>
  <c r="F328" i="37"/>
  <c r="F576" i="37"/>
  <c r="B327" i="37"/>
  <c r="B575" i="37"/>
  <c r="L324" i="37"/>
  <c r="L572" i="37"/>
  <c r="F323" i="37"/>
  <c r="F571" i="37"/>
  <c r="H321" i="37"/>
  <c r="H569" i="37"/>
  <c r="F319" i="37"/>
  <c r="F567" i="37"/>
  <c r="H317" i="37"/>
  <c r="H565" i="37"/>
  <c r="G316" i="37"/>
  <c r="G564" i="37"/>
  <c r="L315" i="37"/>
  <c r="L563" i="37"/>
  <c r="I314" i="37"/>
  <c r="I562" i="37"/>
  <c r="F311" i="37"/>
  <c r="F559" i="37"/>
  <c r="I756" i="37"/>
  <c r="I752" i="37"/>
  <c r="I748" i="37"/>
  <c r="I740" i="37"/>
  <c r="I736" i="37"/>
  <c r="I732" i="37"/>
  <c r="I728" i="37"/>
  <c r="I720" i="37"/>
  <c r="L713" i="37"/>
  <c r="B712" i="37"/>
  <c r="F697" i="37"/>
  <c r="L470" i="37"/>
  <c r="L718" i="37"/>
  <c r="F470" i="37"/>
  <c r="F718" i="37"/>
  <c r="I469" i="37"/>
  <c r="I717" i="37"/>
  <c r="B469" i="37"/>
  <c r="B717" i="37"/>
  <c r="H468" i="37"/>
  <c r="H716" i="37"/>
  <c r="F466" i="37"/>
  <c r="F714" i="37"/>
  <c r="I465" i="37"/>
  <c r="I713" i="37"/>
  <c r="B465" i="37"/>
  <c r="B713" i="37"/>
  <c r="H464" i="37"/>
  <c r="H712" i="37"/>
  <c r="G463" i="37"/>
  <c r="G711" i="37"/>
  <c r="L462" i="37"/>
  <c r="L710" i="37"/>
  <c r="F462" i="37"/>
  <c r="F710" i="37"/>
  <c r="H460" i="37"/>
  <c r="H708" i="37"/>
  <c r="F458" i="37"/>
  <c r="F706" i="37"/>
  <c r="I457" i="37"/>
  <c r="I705" i="37"/>
  <c r="B457" i="37"/>
  <c r="B705" i="37"/>
  <c r="G455" i="37"/>
  <c r="G703" i="37"/>
  <c r="L454" i="37"/>
  <c r="L702" i="37"/>
  <c r="F454" i="37"/>
  <c r="F702" i="37"/>
  <c r="I453" i="37"/>
  <c r="I701" i="37"/>
  <c r="B453" i="37"/>
  <c r="B701" i="37"/>
  <c r="H452" i="37"/>
  <c r="H700" i="37"/>
  <c r="G451" i="37"/>
  <c r="G699" i="37"/>
  <c r="L450" i="37"/>
  <c r="L698" i="37"/>
  <c r="I449" i="37"/>
  <c r="I697" i="37"/>
  <c r="B449" i="37"/>
  <c r="B697" i="37"/>
  <c r="H448" i="37"/>
  <c r="H696" i="37"/>
  <c r="G447" i="37"/>
  <c r="G695" i="37"/>
  <c r="L446" i="37"/>
  <c r="L694" i="37"/>
  <c r="F446" i="37"/>
  <c r="F694" i="37"/>
  <c r="I445" i="37"/>
  <c r="I693" i="37"/>
  <c r="B445" i="37"/>
  <c r="B693" i="37"/>
  <c r="H444" i="37"/>
  <c r="H692" i="37"/>
  <c r="G443" i="37"/>
  <c r="G691" i="37"/>
  <c r="L442" i="37"/>
  <c r="L690" i="37"/>
  <c r="I441" i="37"/>
  <c r="I689" i="37"/>
  <c r="B441" i="37"/>
  <c r="B689" i="37"/>
  <c r="H440" i="37"/>
  <c r="H688" i="37"/>
  <c r="G439" i="37"/>
  <c r="G687" i="37"/>
  <c r="L438" i="37"/>
  <c r="L686" i="37"/>
  <c r="I437" i="37"/>
  <c r="I685" i="37"/>
  <c r="B437" i="37"/>
  <c r="B685" i="37"/>
  <c r="G435" i="37"/>
  <c r="G683" i="37"/>
  <c r="L434" i="37"/>
  <c r="L682" i="37"/>
  <c r="F434" i="37"/>
  <c r="F682" i="37"/>
  <c r="I433" i="37"/>
  <c r="I681" i="37"/>
  <c r="H432" i="37"/>
  <c r="H680" i="37"/>
  <c r="G431" i="37"/>
  <c r="G679" i="37"/>
  <c r="L430" i="37"/>
  <c r="L678" i="37"/>
  <c r="F430" i="37"/>
  <c r="F678" i="37"/>
  <c r="I429" i="37"/>
  <c r="I677" i="37"/>
  <c r="B429" i="37"/>
  <c r="B677" i="37"/>
  <c r="G427" i="37"/>
  <c r="G675" i="37"/>
  <c r="L426" i="37"/>
  <c r="L674" i="37"/>
  <c r="F426" i="37"/>
  <c r="F674" i="37"/>
  <c r="I425" i="37"/>
  <c r="I673" i="37"/>
  <c r="B425" i="37"/>
  <c r="B673" i="37"/>
  <c r="H424" i="37"/>
  <c r="H672" i="37"/>
  <c r="G423" i="37"/>
  <c r="G671" i="37"/>
  <c r="L422" i="37"/>
  <c r="L670" i="37"/>
  <c r="F422" i="37"/>
  <c r="F670" i="37"/>
  <c r="I421" i="37"/>
  <c r="I669" i="37"/>
  <c r="B421" i="37"/>
  <c r="B669" i="37"/>
  <c r="H420" i="37"/>
  <c r="H668" i="37"/>
  <c r="G419" i="37"/>
  <c r="G667" i="37"/>
  <c r="L418" i="37"/>
  <c r="L666" i="37"/>
  <c r="F418" i="37"/>
  <c r="F666" i="37"/>
  <c r="I417" i="37"/>
  <c r="I665" i="37"/>
  <c r="B417" i="37"/>
  <c r="B665" i="37"/>
  <c r="H416" i="37"/>
  <c r="H664" i="37"/>
  <c r="G415" i="37"/>
  <c r="G663" i="37"/>
  <c r="L414" i="37"/>
  <c r="L662" i="37"/>
  <c r="I413" i="37"/>
  <c r="I661" i="37"/>
  <c r="B413" i="37"/>
  <c r="B661" i="37"/>
  <c r="H412" i="37"/>
  <c r="H660" i="37"/>
  <c r="G411" i="37"/>
  <c r="G659" i="37"/>
  <c r="L410" i="37"/>
  <c r="L658" i="37"/>
  <c r="I409" i="37"/>
  <c r="I657" i="37"/>
  <c r="B409" i="37"/>
  <c r="B657" i="37"/>
  <c r="H408" i="37"/>
  <c r="H656" i="37"/>
  <c r="G407" i="37"/>
  <c r="G655" i="37"/>
  <c r="L406" i="37"/>
  <c r="L654" i="37"/>
  <c r="F406" i="37"/>
  <c r="F654" i="37"/>
  <c r="I405" i="37"/>
  <c r="I653" i="37"/>
  <c r="B405" i="37"/>
  <c r="B653" i="37"/>
  <c r="H404" i="37"/>
  <c r="H652" i="37"/>
  <c r="G403" i="37"/>
  <c r="G651" i="37"/>
  <c r="L402" i="37"/>
  <c r="L650" i="37"/>
  <c r="F402" i="37"/>
  <c r="F650" i="37"/>
  <c r="I401" i="37"/>
  <c r="I649" i="37"/>
  <c r="H400" i="37"/>
  <c r="H648" i="37"/>
  <c r="G399" i="37"/>
  <c r="G647" i="37"/>
  <c r="L398" i="37"/>
  <c r="L646" i="37"/>
  <c r="F398" i="37"/>
  <c r="F646" i="37"/>
  <c r="I397" i="37"/>
  <c r="I645" i="37"/>
  <c r="B397" i="37"/>
  <c r="B645" i="37"/>
  <c r="H396" i="37"/>
  <c r="H644" i="37"/>
  <c r="G395" i="37"/>
  <c r="G643" i="37"/>
  <c r="L394" i="37"/>
  <c r="L642" i="37"/>
  <c r="F394" i="37"/>
  <c r="F642" i="37"/>
  <c r="I393" i="37"/>
  <c r="I641" i="37"/>
  <c r="B393" i="37"/>
  <c r="B641" i="37"/>
  <c r="H392" i="37"/>
  <c r="H640" i="37"/>
  <c r="G391" i="37"/>
  <c r="G639" i="37"/>
  <c r="G390" i="37"/>
  <c r="G638" i="37"/>
  <c r="F389" i="37"/>
  <c r="F637" i="37"/>
  <c r="I388" i="37"/>
  <c r="I636" i="37"/>
  <c r="B388" i="37"/>
  <c r="B636" i="37"/>
  <c r="H387" i="37"/>
  <c r="H635" i="37"/>
  <c r="G386" i="37"/>
  <c r="G634" i="37"/>
  <c r="L385" i="37"/>
  <c r="L633" i="37"/>
  <c r="F385" i="37"/>
  <c r="F633" i="37"/>
  <c r="I384" i="37"/>
  <c r="I632" i="37"/>
  <c r="B384" i="37"/>
  <c r="B632" i="37"/>
  <c r="H383" i="37"/>
  <c r="H631" i="37"/>
  <c r="G382" i="37"/>
  <c r="G630" i="37"/>
  <c r="L381" i="37"/>
  <c r="L629" i="37"/>
  <c r="F381" i="37"/>
  <c r="F629" i="37"/>
  <c r="I380" i="37"/>
  <c r="I628" i="37"/>
  <c r="B380" i="37"/>
  <c r="B628" i="37"/>
  <c r="H379" i="37"/>
  <c r="H627" i="37"/>
  <c r="G378" i="37"/>
  <c r="G626" i="37"/>
  <c r="L377" i="37"/>
  <c r="L625" i="37"/>
  <c r="F377" i="37"/>
  <c r="F625" i="37"/>
  <c r="I376" i="37"/>
  <c r="I624" i="37"/>
  <c r="B376" i="37"/>
  <c r="B624" i="37"/>
  <c r="H375" i="37"/>
  <c r="H623" i="37"/>
  <c r="G374" i="37"/>
  <c r="G622" i="37"/>
  <c r="L373" i="37"/>
  <c r="L621" i="37"/>
  <c r="F373" i="37"/>
  <c r="F621" i="37"/>
  <c r="I372" i="37"/>
  <c r="I620" i="37"/>
  <c r="B372" i="37"/>
  <c r="B620" i="37"/>
  <c r="H371" i="37"/>
  <c r="H619" i="37"/>
  <c r="G370" i="37"/>
  <c r="G618" i="37"/>
  <c r="L369" i="37"/>
  <c r="L617" i="37"/>
  <c r="F369" i="37"/>
  <c r="F617" i="37"/>
  <c r="I368" i="37"/>
  <c r="I616" i="37"/>
  <c r="B368" i="37"/>
  <c r="B616" i="37"/>
  <c r="H367" i="37"/>
  <c r="H615" i="37"/>
  <c r="G366" i="37"/>
  <c r="G614" i="37"/>
  <c r="L365" i="37"/>
  <c r="L613" i="37"/>
  <c r="F365" i="37"/>
  <c r="F613" i="37"/>
  <c r="I364" i="37"/>
  <c r="I612" i="37"/>
  <c r="B364" i="37"/>
  <c r="B612" i="37"/>
  <c r="H363" i="37"/>
  <c r="H611" i="37"/>
  <c r="G362" i="37"/>
  <c r="G610" i="37"/>
  <c r="L361" i="37"/>
  <c r="L609" i="37"/>
  <c r="F361" i="37"/>
  <c r="F609" i="37"/>
  <c r="I360" i="37"/>
  <c r="I608" i="37"/>
  <c r="B360" i="37"/>
  <c r="B608" i="37"/>
  <c r="H359" i="37"/>
  <c r="H607" i="37"/>
  <c r="G358" i="37"/>
  <c r="G606" i="37"/>
  <c r="L357" i="37"/>
  <c r="L605" i="37"/>
  <c r="F357" i="37"/>
  <c r="F605" i="37"/>
  <c r="I356" i="37"/>
  <c r="I604" i="37"/>
  <c r="B356" i="37"/>
  <c r="B604" i="37"/>
  <c r="H355" i="37"/>
  <c r="H603" i="37"/>
  <c r="G354" i="37"/>
  <c r="G602" i="37"/>
  <c r="L353" i="37"/>
  <c r="L601" i="37"/>
  <c r="I352" i="37"/>
  <c r="I600" i="37"/>
  <c r="B352" i="37"/>
  <c r="B600" i="37"/>
  <c r="H351" i="37"/>
  <c r="H599" i="37"/>
  <c r="G350" i="37"/>
  <c r="G598" i="37"/>
  <c r="L349" i="37"/>
  <c r="L597" i="37"/>
  <c r="F349" i="37"/>
  <c r="F597" i="37"/>
  <c r="I348" i="37"/>
  <c r="I596" i="37"/>
  <c r="B348" i="37"/>
  <c r="B596" i="37"/>
  <c r="H347" i="37"/>
  <c r="H595" i="37"/>
  <c r="G346" i="37"/>
  <c r="G594" i="37"/>
  <c r="L345" i="37"/>
  <c r="L593" i="37"/>
  <c r="F345" i="37"/>
  <c r="F593" i="37"/>
  <c r="I344" i="37"/>
  <c r="I592" i="37"/>
  <c r="B344" i="37"/>
  <c r="B592" i="37"/>
  <c r="H343" i="37"/>
  <c r="H591" i="37"/>
  <c r="G342" i="37"/>
  <c r="G590" i="37"/>
  <c r="L341" i="37"/>
  <c r="L589" i="37"/>
  <c r="F341" i="37"/>
  <c r="F589" i="37"/>
  <c r="I340" i="37"/>
  <c r="I588" i="37"/>
  <c r="B340" i="37"/>
  <c r="B588" i="37"/>
  <c r="H339" i="37"/>
  <c r="H587" i="37"/>
  <c r="G338" i="37"/>
  <c r="G586" i="37"/>
  <c r="L337" i="37"/>
  <c r="L585" i="37"/>
  <c r="F337" i="37"/>
  <c r="F585" i="37"/>
  <c r="I336" i="37"/>
  <c r="I584" i="37"/>
  <c r="B336" i="37"/>
  <c r="B584" i="37"/>
  <c r="H335" i="37"/>
  <c r="H583" i="37"/>
  <c r="G334" i="37"/>
  <c r="G582" i="37"/>
  <c r="L333" i="37"/>
  <c r="L581" i="37"/>
  <c r="F333" i="37"/>
  <c r="F581" i="37"/>
  <c r="I332" i="37"/>
  <c r="I580" i="37"/>
  <c r="B332" i="37"/>
  <c r="B580" i="37"/>
  <c r="H331" i="37"/>
  <c r="H579" i="37"/>
  <c r="G330" i="37"/>
  <c r="G578" i="37"/>
  <c r="L329" i="37"/>
  <c r="L577" i="37"/>
  <c r="F329" i="37"/>
  <c r="F577" i="37"/>
  <c r="I328" i="37"/>
  <c r="I576" i="37"/>
  <c r="B328" i="37"/>
  <c r="B576" i="37"/>
  <c r="H327" i="37"/>
  <c r="H575" i="37"/>
  <c r="G326" i="37"/>
  <c r="G574" i="37"/>
  <c r="L325" i="37"/>
  <c r="L573" i="37"/>
  <c r="F325" i="37"/>
  <c r="F573" i="37"/>
  <c r="I324" i="37"/>
  <c r="I572" i="37"/>
  <c r="B324" i="37"/>
  <c r="B572" i="37"/>
  <c r="I323" i="37"/>
  <c r="I571" i="37"/>
  <c r="B323" i="37"/>
  <c r="B571" i="37"/>
  <c r="H322" i="37"/>
  <c r="H570" i="37"/>
  <c r="G321" i="37"/>
  <c r="G569" i="37"/>
  <c r="L320" i="37"/>
  <c r="L568" i="37"/>
  <c r="F320" i="37"/>
  <c r="F568" i="37"/>
  <c r="I319" i="37"/>
  <c r="I567" i="37"/>
  <c r="B319" i="37"/>
  <c r="B567" i="37"/>
  <c r="H318" i="37"/>
  <c r="H566" i="37"/>
  <c r="G317" i="37"/>
  <c r="G565" i="37"/>
  <c r="L316" i="37"/>
  <c r="L564" i="37"/>
  <c r="F316" i="37"/>
  <c r="F564" i="37"/>
  <c r="I315" i="37"/>
  <c r="I563" i="37"/>
  <c r="B315" i="37"/>
  <c r="B563" i="37"/>
  <c r="H314" i="37"/>
  <c r="H562" i="37"/>
  <c r="G313" i="37"/>
  <c r="G561" i="37"/>
  <c r="L312" i="37"/>
  <c r="L560" i="37"/>
  <c r="F312" i="37"/>
  <c r="F560" i="37"/>
  <c r="I311" i="37"/>
  <c r="I559" i="37"/>
  <c r="B311" i="37"/>
  <c r="B559" i="37"/>
  <c r="H310" i="37"/>
  <c r="H558" i="37"/>
  <c r="L758" i="37"/>
  <c r="H758" i="37"/>
  <c r="L757" i="37"/>
  <c r="H757" i="37"/>
  <c r="L756" i="37"/>
  <c r="H756" i="37"/>
  <c r="L755" i="37"/>
  <c r="H755" i="37"/>
  <c r="L754" i="37"/>
  <c r="H754" i="37"/>
  <c r="L753" i="37"/>
  <c r="H753" i="37"/>
  <c r="L752" i="37"/>
  <c r="H752" i="37"/>
  <c r="L751" i="37"/>
  <c r="H751" i="37"/>
  <c r="L750" i="37"/>
  <c r="H750" i="37"/>
  <c r="L749" i="37"/>
  <c r="H749" i="37"/>
  <c r="L748" i="37"/>
  <c r="H748" i="37"/>
  <c r="L747" i="37"/>
  <c r="H747" i="37"/>
  <c r="L746" i="37"/>
  <c r="H746" i="37"/>
  <c r="L745" i="37"/>
  <c r="H745" i="37"/>
  <c r="L744" i="37"/>
  <c r="H744" i="37"/>
  <c r="L743" i="37"/>
  <c r="H743" i="37"/>
  <c r="L742" i="37"/>
  <c r="H742" i="37"/>
  <c r="L741" i="37"/>
  <c r="H741" i="37"/>
  <c r="L740" i="37"/>
  <c r="H740" i="37"/>
  <c r="L739" i="37"/>
  <c r="H739" i="37"/>
  <c r="L738" i="37"/>
  <c r="H738" i="37"/>
  <c r="L737" i="37"/>
  <c r="H737" i="37"/>
  <c r="L736" i="37"/>
  <c r="H736" i="37"/>
  <c r="L735" i="37"/>
  <c r="H735" i="37"/>
  <c r="L734" i="37"/>
  <c r="H734" i="37"/>
  <c r="L733" i="37"/>
  <c r="H733" i="37"/>
  <c r="L732" i="37"/>
  <c r="H732" i="37"/>
  <c r="L731" i="37"/>
  <c r="H731" i="37"/>
  <c r="L730" i="37"/>
  <c r="H730" i="37"/>
  <c r="L729" i="37"/>
  <c r="H729" i="37"/>
  <c r="L728" i="37"/>
  <c r="H728" i="37"/>
  <c r="L727" i="37"/>
  <c r="H727" i="37"/>
  <c r="L726" i="37"/>
  <c r="H726" i="37"/>
  <c r="L725" i="37"/>
  <c r="H725" i="37"/>
  <c r="L724" i="37"/>
  <c r="H724" i="37"/>
  <c r="L723" i="37"/>
  <c r="H723" i="37"/>
  <c r="L722" i="37"/>
  <c r="H722" i="37"/>
  <c r="L721" i="37"/>
  <c r="H721" i="37"/>
  <c r="L720" i="37"/>
  <c r="H720" i="37"/>
  <c r="L719" i="37"/>
  <c r="H719" i="37"/>
  <c r="G717" i="37"/>
  <c r="G715" i="37"/>
  <c r="H713" i="37"/>
  <c r="I711" i="37"/>
  <c r="I709" i="37"/>
  <c r="L705" i="37"/>
  <c r="G702" i="37"/>
  <c r="G700" i="37"/>
  <c r="B691" i="37"/>
  <c r="F689" i="37"/>
  <c r="F687" i="37"/>
  <c r="G685" i="37"/>
  <c r="I683" i="37"/>
  <c r="B681" i="37"/>
  <c r="F675" i="37"/>
  <c r="H673" i="37"/>
  <c r="G670" i="37"/>
  <c r="F668" i="37"/>
  <c r="H663" i="37"/>
  <c r="I656" i="37"/>
  <c r="B649" i="37"/>
  <c r="G641" i="37"/>
  <c r="L637" i="37"/>
  <c r="B630" i="37"/>
  <c r="L469" i="37"/>
  <c r="L717" i="37"/>
  <c r="I468" i="37"/>
  <c r="I716" i="37"/>
  <c r="L461" i="37"/>
  <c r="L709" i="37"/>
  <c r="H459" i="37"/>
  <c r="H707" i="37"/>
  <c r="I456" i="37"/>
  <c r="I704" i="37"/>
  <c r="B452" i="37"/>
  <c r="B700" i="37"/>
  <c r="L449" i="37"/>
  <c r="L697" i="37"/>
  <c r="B448" i="37"/>
  <c r="B696" i="37"/>
  <c r="H447" i="37"/>
  <c r="H695" i="37"/>
  <c r="L445" i="37"/>
  <c r="L693" i="37"/>
  <c r="I444" i="37"/>
  <c r="I692" i="37"/>
  <c r="H443" i="37"/>
  <c r="H691" i="37"/>
  <c r="G442" i="37"/>
  <c r="G690" i="37"/>
  <c r="L441" i="37"/>
  <c r="L689" i="37"/>
  <c r="I440" i="37"/>
  <c r="I688" i="37"/>
  <c r="H439" i="37"/>
  <c r="H687" i="37"/>
  <c r="G438" i="37"/>
  <c r="G686" i="37"/>
  <c r="L437" i="37"/>
  <c r="L685" i="37"/>
  <c r="H435" i="37"/>
  <c r="H683" i="37"/>
  <c r="G434" i="37"/>
  <c r="G682" i="37"/>
  <c r="F433" i="37"/>
  <c r="F681" i="37"/>
  <c r="B432" i="37"/>
  <c r="B680" i="37"/>
  <c r="F429" i="37"/>
  <c r="F677" i="37"/>
  <c r="I428" i="37"/>
  <c r="I676" i="37"/>
  <c r="G426" i="37"/>
  <c r="G674" i="37"/>
  <c r="F421" i="37"/>
  <c r="F669" i="37"/>
  <c r="B408" i="37"/>
  <c r="B656" i="37"/>
  <c r="G406" i="37"/>
  <c r="G654" i="37"/>
  <c r="L405" i="37"/>
  <c r="L653" i="37"/>
  <c r="I404" i="37"/>
  <c r="I652" i="37"/>
  <c r="B396" i="37"/>
  <c r="B644" i="37"/>
  <c r="G389" i="37"/>
  <c r="G637" i="37"/>
  <c r="I387" i="37"/>
  <c r="I635" i="37"/>
  <c r="L384" i="37"/>
  <c r="L632" i="37"/>
  <c r="H382" i="37"/>
  <c r="H630" i="37"/>
  <c r="F380" i="37"/>
  <c r="F628" i="37"/>
  <c r="B379" i="37"/>
  <c r="B627" i="37"/>
  <c r="G377" i="37"/>
  <c r="G625" i="37"/>
  <c r="G373" i="37"/>
  <c r="G621" i="37"/>
  <c r="B371" i="37"/>
  <c r="B619" i="37"/>
  <c r="G369" i="37"/>
  <c r="G617" i="37"/>
  <c r="I367" i="37"/>
  <c r="I615" i="37"/>
  <c r="F364" i="37"/>
  <c r="F612" i="37"/>
  <c r="I363" i="37"/>
  <c r="I611" i="37"/>
  <c r="H362" i="37"/>
  <c r="H610" i="37"/>
  <c r="L360" i="37"/>
  <c r="L608" i="37"/>
  <c r="I359" i="37"/>
  <c r="I607" i="37"/>
  <c r="G357" i="37"/>
  <c r="G605" i="37"/>
  <c r="F356" i="37"/>
  <c r="F604" i="37"/>
  <c r="I355" i="37"/>
  <c r="I603" i="37"/>
  <c r="H354" i="37"/>
  <c r="H602" i="37"/>
  <c r="L352" i="37"/>
  <c r="L600" i="37"/>
  <c r="I351" i="37"/>
  <c r="I599" i="37"/>
  <c r="H350" i="37"/>
  <c r="H598" i="37"/>
  <c r="G349" i="37"/>
  <c r="G597" i="37"/>
  <c r="L348" i="37"/>
  <c r="L596" i="37"/>
  <c r="I347" i="37"/>
  <c r="I595" i="37"/>
  <c r="H346" i="37"/>
  <c r="H594" i="37"/>
  <c r="G345" i="37"/>
  <c r="G593" i="37"/>
  <c r="L344" i="37"/>
  <c r="L592" i="37"/>
  <c r="B343" i="37"/>
  <c r="B591" i="37"/>
  <c r="H342" i="37"/>
  <c r="H590" i="37"/>
  <c r="G341" i="37"/>
  <c r="G589" i="37"/>
  <c r="F340" i="37"/>
  <c r="F588" i="37"/>
  <c r="B339" i="37"/>
  <c r="B587" i="37"/>
  <c r="F336" i="37"/>
  <c r="F584" i="37"/>
  <c r="B335" i="37"/>
  <c r="B583" i="37"/>
  <c r="L332" i="37"/>
  <c r="L580" i="37"/>
  <c r="B331" i="37"/>
  <c r="B579" i="37"/>
  <c r="H330" i="37"/>
  <c r="H578" i="37"/>
  <c r="G329" i="37"/>
  <c r="G577" i="37"/>
  <c r="L328" i="37"/>
  <c r="L576" i="37"/>
  <c r="I327" i="37"/>
  <c r="I575" i="37"/>
  <c r="H326" i="37"/>
  <c r="H574" i="37"/>
  <c r="G325" i="37"/>
  <c r="G573" i="37"/>
  <c r="F324" i="37"/>
  <c r="F572" i="37"/>
  <c r="B322" i="37"/>
  <c r="B570" i="37"/>
  <c r="G320" i="37"/>
  <c r="G568" i="37"/>
  <c r="I318" i="37"/>
  <c r="I566" i="37"/>
  <c r="H313" i="37"/>
  <c r="H561" i="37"/>
  <c r="L311" i="37"/>
  <c r="L559" i="37"/>
  <c r="I310" i="37"/>
  <c r="I558" i="37"/>
  <c r="B756" i="37"/>
  <c r="B752" i="37"/>
  <c r="B748" i="37"/>
  <c r="I744" i="37"/>
  <c r="B736" i="37"/>
  <c r="B732" i="37"/>
  <c r="I724" i="37"/>
  <c r="B708" i="37"/>
  <c r="L661" i="37"/>
  <c r="H659" i="37"/>
  <c r="G642" i="37"/>
  <c r="B470" i="37"/>
  <c r="B718" i="37"/>
  <c r="H469" i="37"/>
  <c r="H717" i="37"/>
  <c r="L467" i="37"/>
  <c r="L715" i="37"/>
  <c r="F467" i="37"/>
  <c r="F715" i="37"/>
  <c r="I466" i="37"/>
  <c r="I714" i="37"/>
  <c r="B466" i="37"/>
  <c r="B714" i="37"/>
  <c r="G464" i="37"/>
  <c r="G712" i="37"/>
  <c r="L463" i="37"/>
  <c r="L711" i="37"/>
  <c r="F463" i="37"/>
  <c r="F711" i="37"/>
  <c r="H461" i="37"/>
  <c r="H709" i="37"/>
  <c r="G460" i="37"/>
  <c r="G708" i="37"/>
  <c r="L459" i="37"/>
  <c r="L707" i="37"/>
  <c r="F459" i="37"/>
  <c r="F707" i="37"/>
  <c r="I458" i="37"/>
  <c r="I706" i="37"/>
  <c r="B458" i="37"/>
  <c r="B706" i="37"/>
  <c r="G456" i="37"/>
  <c r="G704" i="37"/>
  <c r="L455" i="37"/>
  <c r="L703" i="37"/>
  <c r="I454" i="37"/>
  <c r="I702" i="37"/>
  <c r="B454" i="37"/>
  <c r="B702" i="37"/>
  <c r="H453" i="37"/>
  <c r="H701" i="37"/>
  <c r="L451" i="37"/>
  <c r="L699" i="37"/>
  <c r="F451" i="37"/>
  <c r="F699" i="37"/>
  <c r="I450" i="37"/>
  <c r="I698" i="37"/>
  <c r="B450" i="37"/>
  <c r="B698" i="37"/>
  <c r="H449" i="37"/>
  <c r="H697" i="37"/>
  <c r="G448" i="37"/>
  <c r="G696" i="37"/>
  <c r="L447" i="37"/>
  <c r="L695" i="37"/>
  <c r="I446" i="37"/>
  <c r="I694" i="37"/>
  <c r="B446" i="37"/>
  <c r="B694" i="37"/>
  <c r="H445" i="37"/>
  <c r="H693" i="37"/>
  <c r="L443" i="37"/>
  <c r="L691" i="37"/>
  <c r="F443" i="37"/>
  <c r="F691" i="37"/>
  <c r="I442" i="37"/>
  <c r="I690" i="37"/>
  <c r="B442" i="37"/>
  <c r="B690" i="37"/>
  <c r="H441" i="37"/>
  <c r="H689" i="37"/>
  <c r="G440" i="37"/>
  <c r="G688" i="37"/>
  <c r="L439" i="37"/>
  <c r="L687" i="37"/>
  <c r="I438" i="37"/>
  <c r="I686" i="37"/>
  <c r="B438" i="37"/>
  <c r="B686" i="37"/>
  <c r="H437" i="37"/>
  <c r="H685" i="37"/>
  <c r="G436" i="37"/>
  <c r="G684" i="37"/>
  <c r="L435" i="37"/>
  <c r="L683" i="37"/>
  <c r="F435" i="37"/>
  <c r="F683" i="37"/>
  <c r="I434" i="37"/>
  <c r="I682" i="37"/>
  <c r="B434" i="37"/>
  <c r="B682" i="37"/>
  <c r="H433" i="37"/>
  <c r="H681" i="37"/>
  <c r="G432" i="37"/>
  <c r="G680" i="37"/>
  <c r="I430" i="37"/>
  <c r="I678" i="37"/>
  <c r="G428" i="37"/>
  <c r="G676" i="37"/>
  <c r="I426" i="37"/>
  <c r="I674" i="37"/>
  <c r="B426" i="37"/>
  <c r="B674" i="37"/>
  <c r="G424" i="37"/>
  <c r="G672" i="37"/>
  <c r="L423" i="37"/>
  <c r="L671" i="37"/>
  <c r="F423" i="37"/>
  <c r="F671" i="37"/>
  <c r="I422" i="37"/>
  <c r="I670" i="37"/>
  <c r="B422" i="37"/>
  <c r="B670" i="37"/>
  <c r="G420" i="37"/>
  <c r="G668" i="37"/>
  <c r="F419" i="37"/>
  <c r="F667" i="37"/>
  <c r="I418" i="37"/>
  <c r="I666" i="37"/>
  <c r="B418" i="37"/>
  <c r="B666" i="37"/>
  <c r="G416" i="37"/>
  <c r="G664" i="37"/>
  <c r="L415" i="37"/>
  <c r="L663" i="37"/>
  <c r="F415" i="37"/>
  <c r="F663" i="37"/>
  <c r="I414" i="37"/>
  <c r="I662" i="37"/>
  <c r="B414" i="37"/>
  <c r="B662" i="37"/>
  <c r="H413" i="37"/>
  <c r="H661" i="37"/>
  <c r="G412" i="37"/>
  <c r="G660" i="37"/>
  <c r="L411" i="37"/>
  <c r="L659" i="37"/>
  <c r="F411" i="37"/>
  <c r="F659" i="37"/>
  <c r="I410" i="37"/>
  <c r="I658" i="37"/>
  <c r="B410" i="37"/>
  <c r="B658" i="37"/>
  <c r="H409" i="37"/>
  <c r="H657" i="37"/>
  <c r="G408" i="37"/>
  <c r="G656" i="37"/>
  <c r="L407" i="37"/>
  <c r="L655" i="37"/>
  <c r="F407" i="37"/>
  <c r="F655" i="37"/>
  <c r="I406" i="37"/>
  <c r="I654" i="37"/>
  <c r="B406" i="37"/>
  <c r="B654" i="37"/>
  <c r="H405" i="37"/>
  <c r="H653" i="37"/>
  <c r="G404" i="37"/>
  <c r="G652" i="37"/>
  <c r="L403" i="37"/>
  <c r="L651" i="37"/>
  <c r="F403" i="37"/>
  <c r="F651" i="37"/>
  <c r="I402" i="37"/>
  <c r="I650" i="37"/>
  <c r="B402" i="37"/>
  <c r="B650" i="37"/>
  <c r="H401" i="37"/>
  <c r="H649" i="37"/>
  <c r="L399" i="37"/>
  <c r="L647" i="37"/>
  <c r="F399" i="37"/>
  <c r="F647" i="37"/>
  <c r="I398" i="37"/>
  <c r="I646" i="37"/>
  <c r="B398" i="37"/>
  <c r="B646" i="37"/>
  <c r="H397" i="37"/>
  <c r="H645" i="37"/>
  <c r="G396" i="37"/>
  <c r="G644" i="37"/>
  <c r="L395" i="37"/>
  <c r="L643" i="37"/>
  <c r="I394" i="37"/>
  <c r="I642" i="37"/>
  <c r="B394" i="37"/>
  <c r="B642" i="37"/>
  <c r="H393" i="37"/>
  <c r="H641" i="37"/>
  <c r="G392" i="37"/>
  <c r="G640" i="37"/>
  <c r="L391" i="37"/>
  <c r="L639" i="37"/>
  <c r="F391" i="37"/>
  <c r="F639" i="37"/>
  <c r="F390" i="37"/>
  <c r="F638" i="37"/>
  <c r="I389" i="37"/>
  <c r="I637" i="37"/>
  <c r="B389" i="37"/>
  <c r="B637" i="37"/>
  <c r="H388" i="37"/>
  <c r="H636" i="37"/>
  <c r="G387" i="37"/>
  <c r="G635" i="37"/>
  <c r="L386" i="37"/>
  <c r="L634" i="37"/>
  <c r="F386" i="37"/>
  <c r="F634" i="37"/>
  <c r="I385" i="37"/>
  <c r="I633" i="37"/>
  <c r="B385" i="37"/>
  <c r="B633" i="37"/>
  <c r="H384" i="37"/>
  <c r="H632" i="37"/>
  <c r="G383" i="37"/>
  <c r="G631" i="37"/>
  <c r="L382" i="37"/>
  <c r="L630" i="37"/>
  <c r="F382" i="37"/>
  <c r="F630" i="37"/>
  <c r="I381" i="37"/>
  <c r="I629" i="37"/>
  <c r="H380" i="37"/>
  <c r="H628" i="37"/>
  <c r="G379" i="37"/>
  <c r="G627" i="37"/>
  <c r="L378" i="37"/>
  <c r="L626" i="37"/>
  <c r="F378" i="37"/>
  <c r="F626" i="37"/>
  <c r="I377" i="37"/>
  <c r="I625" i="37"/>
  <c r="B377" i="37"/>
  <c r="B625" i="37"/>
  <c r="H376" i="37"/>
  <c r="H624" i="37"/>
  <c r="G375" i="37"/>
  <c r="G623" i="37"/>
  <c r="L374" i="37"/>
  <c r="L622" i="37"/>
  <c r="F374" i="37"/>
  <c r="F622" i="37"/>
  <c r="I373" i="37"/>
  <c r="I621" i="37"/>
  <c r="B373" i="37"/>
  <c r="B621" i="37"/>
  <c r="H372" i="37"/>
  <c r="H620" i="37"/>
  <c r="G371" i="37"/>
  <c r="G619" i="37"/>
  <c r="L370" i="37"/>
  <c r="L618" i="37"/>
  <c r="F370" i="37"/>
  <c r="F618" i="37"/>
  <c r="I369" i="37"/>
  <c r="I617" i="37"/>
  <c r="B369" i="37"/>
  <c r="B617" i="37"/>
  <c r="H368" i="37"/>
  <c r="H616" i="37"/>
  <c r="G367" i="37"/>
  <c r="G615" i="37"/>
  <c r="L366" i="37"/>
  <c r="L614" i="37"/>
  <c r="F366" i="37"/>
  <c r="F614" i="37"/>
  <c r="I365" i="37"/>
  <c r="I613" i="37"/>
  <c r="B365" i="37"/>
  <c r="B613" i="37"/>
  <c r="H364" i="37"/>
  <c r="H612" i="37"/>
  <c r="G363" i="37"/>
  <c r="G611" i="37"/>
  <c r="L362" i="37"/>
  <c r="L610" i="37"/>
  <c r="F362" i="37"/>
  <c r="F610" i="37"/>
  <c r="I361" i="37"/>
  <c r="I609" i="37"/>
  <c r="B361" i="37"/>
  <c r="B609" i="37"/>
  <c r="H360" i="37"/>
  <c r="H608" i="37"/>
  <c r="G359" i="37"/>
  <c r="G607" i="37"/>
  <c r="L358" i="37"/>
  <c r="L606" i="37"/>
  <c r="F358" i="37"/>
  <c r="F606" i="37"/>
  <c r="I357" i="37"/>
  <c r="I605" i="37"/>
  <c r="B357" i="37"/>
  <c r="B605" i="37"/>
  <c r="H356" i="37"/>
  <c r="H604" i="37"/>
  <c r="G355" i="37"/>
  <c r="G603" i="37"/>
  <c r="L354" i="37"/>
  <c r="L602" i="37"/>
  <c r="F354" i="37"/>
  <c r="F602" i="37"/>
  <c r="I353" i="37"/>
  <c r="I601" i="37"/>
  <c r="B353" i="37"/>
  <c r="B601" i="37"/>
  <c r="H352" i="37"/>
  <c r="H600" i="37"/>
  <c r="G351" i="37"/>
  <c r="G599" i="37"/>
  <c r="L350" i="37"/>
  <c r="L598" i="37"/>
  <c r="I349" i="37"/>
  <c r="I597" i="37"/>
  <c r="B349" i="37"/>
  <c r="B597" i="37"/>
  <c r="H348" i="37"/>
  <c r="H596" i="37"/>
  <c r="G347" i="37"/>
  <c r="G595" i="37"/>
  <c r="L346" i="37"/>
  <c r="L594" i="37"/>
  <c r="F346" i="37"/>
  <c r="F594" i="37"/>
  <c r="I345" i="37"/>
  <c r="I593" i="37"/>
  <c r="B345" i="37"/>
  <c r="B593" i="37"/>
  <c r="H344" i="37"/>
  <c r="H592" i="37"/>
  <c r="G343" i="37"/>
  <c r="G591" i="37"/>
  <c r="L342" i="37"/>
  <c r="L590" i="37"/>
  <c r="F342" i="37"/>
  <c r="F590" i="37"/>
  <c r="I341" i="37"/>
  <c r="I589" i="37"/>
  <c r="B341" i="37"/>
  <c r="B589" i="37"/>
  <c r="H340" i="37"/>
  <c r="H588" i="37"/>
  <c r="G339" i="37"/>
  <c r="G587" i="37"/>
  <c r="L338" i="37"/>
  <c r="L586" i="37"/>
  <c r="F338" i="37"/>
  <c r="F586" i="37"/>
  <c r="I337" i="37"/>
  <c r="I585" i="37"/>
  <c r="B337" i="37"/>
  <c r="B585" i="37"/>
  <c r="H336" i="37"/>
  <c r="H584" i="37"/>
  <c r="G335" i="37"/>
  <c r="G583" i="37"/>
  <c r="L334" i="37"/>
  <c r="L582" i="37"/>
  <c r="F334" i="37"/>
  <c r="F582" i="37"/>
  <c r="I333" i="37"/>
  <c r="I581" i="37"/>
  <c r="B333" i="37"/>
  <c r="B581" i="37"/>
  <c r="H332" i="37"/>
  <c r="H580" i="37"/>
  <c r="G331" i="37"/>
  <c r="G579" i="37"/>
  <c r="L330" i="37"/>
  <c r="L578" i="37"/>
  <c r="F330" i="37"/>
  <c r="F578" i="37"/>
  <c r="I329" i="37"/>
  <c r="I577" i="37"/>
  <c r="B329" i="37"/>
  <c r="B577" i="37"/>
  <c r="H328" i="37"/>
  <c r="H576" i="37"/>
  <c r="G327" i="37"/>
  <c r="G575" i="37"/>
  <c r="L326" i="37"/>
  <c r="L574" i="37"/>
  <c r="F326" i="37"/>
  <c r="F574" i="37"/>
  <c r="I325" i="37"/>
  <c r="I573" i="37"/>
  <c r="B325" i="37"/>
  <c r="B573" i="37"/>
  <c r="H324" i="37"/>
  <c r="H572" i="37"/>
  <c r="H323" i="37"/>
  <c r="H571" i="37"/>
  <c r="G322" i="37"/>
  <c r="G570" i="37"/>
  <c r="L321" i="37"/>
  <c r="L569" i="37"/>
  <c r="F321" i="37"/>
  <c r="F569" i="37"/>
  <c r="I320" i="37"/>
  <c r="I568" i="37"/>
  <c r="B320" i="37"/>
  <c r="B568" i="37"/>
  <c r="H319" i="37"/>
  <c r="H567" i="37"/>
  <c r="G318" i="37"/>
  <c r="G566" i="37"/>
  <c r="L317" i="37"/>
  <c r="L565" i="37"/>
  <c r="F317" i="37"/>
  <c r="F565" i="37"/>
  <c r="I316" i="37"/>
  <c r="I564" i="37"/>
  <c r="B316" i="37"/>
  <c r="B564" i="37"/>
  <c r="H315" i="37"/>
  <c r="H563" i="37"/>
  <c r="G314" i="37"/>
  <c r="G562" i="37"/>
  <c r="L313" i="37"/>
  <c r="L561" i="37"/>
  <c r="F313" i="37"/>
  <c r="F561" i="37"/>
  <c r="I312" i="37"/>
  <c r="I560" i="37"/>
  <c r="B312" i="37"/>
  <c r="B560" i="37"/>
  <c r="H311" i="37"/>
  <c r="H559" i="37"/>
  <c r="G310" i="37"/>
  <c r="G558" i="37"/>
  <c r="G758" i="37"/>
  <c r="G757" i="37"/>
  <c r="G756" i="37"/>
  <c r="G755" i="37"/>
  <c r="G754" i="37"/>
  <c r="G753" i="37"/>
  <c r="G752" i="37"/>
  <c r="G751" i="37"/>
  <c r="G750" i="37"/>
  <c r="G749" i="37"/>
  <c r="G748" i="37"/>
  <c r="G747" i="37"/>
  <c r="G746" i="37"/>
  <c r="G745" i="37"/>
  <c r="G744" i="37"/>
  <c r="G743" i="37"/>
  <c r="G742" i="37"/>
  <c r="G741" i="37"/>
  <c r="G740" i="37"/>
  <c r="G739" i="37"/>
  <c r="G738" i="37"/>
  <c r="G737" i="37"/>
  <c r="G736" i="37"/>
  <c r="G735" i="37"/>
  <c r="G734" i="37"/>
  <c r="G733" i="37"/>
  <c r="G732" i="37"/>
  <c r="G731" i="37"/>
  <c r="G730" i="37"/>
  <c r="G729" i="37"/>
  <c r="G728" i="37"/>
  <c r="G727" i="37"/>
  <c r="G726" i="37"/>
  <c r="G725" i="37"/>
  <c r="G724" i="37"/>
  <c r="G723" i="37"/>
  <c r="G722" i="37"/>
  <c r="G721" i="37"/>
  <c r="G720" i="37"/>
  <c r="G719" i="37"/>
  <c r="I718" i="37"/>
  <c r="L714" i="37"/>
  <c r="B711" i="37"/>
  <c r="B709" i="37"/>
  <c r="G707" i="37"/>
  <c r="H705" i="37"/>
  <c r="F698" i="37"/>
  <c r="F696" i="37"/>
  <c r="G694" i="37"/>
  <c r="G692" i="37"/>
  <c r="L684" i="37"/>
  <c r="I680" i="37"/>
  <c r="B678" i="37"/>
  <c r="H676" i="37"/>
  <c r="I671" i="37"/>
  <c r="L667" i="37"/>
  <c r="H665" i="37"/>
  <c r="F658" i="37"/>
  <c r="G648" i="37"/>
  <c r="I640" i="37"/>
  <c r="B629" i="37"/>
  <c r="F624" i="37"/>
  <c r="F598" i="37"/>
  <c r="F469" i="37"/>
  <c r="F717" i="37"/>
  <c r="B468" i="37"/>
  <c r="B716" i="37"/>
  <c r="H467" i="37"/>
  <c r="H715" i="37"/>
  <c r="G466" i="37"/>
  <c r="G714" i="37"/>
  <c r="F465" i="37"/>
  <c r="F713" i="37"/>
  <c r="H463" i="37"/>
  <c r="H711" i="37"/>
  <c r="G462" i="37"/>
  <c r="G710" i="37"/>
  <c r="F461" i="37"/>
  <c r="F709" i="37"/>
  <c r="G458" i="37"/>
  <c r="G706" i="37"/>
  <c r="F457" i="37"/>
  <c r="F705" i="37"/>
  <c r="B456" i="37"/>
  <c r="B704" i="37"/>
  <c r="H455" i="37"/>
  <c r="H703" i="37"/>
  <c r="L453" i="37"/>
  <c r="L701" i="37"/>
  <c r="F453" i="37"/>
  <c r="F701" i="37"/>
  <c r="I452" i="37"/>
  <c r="I700" i="37"/>
  <c r="H451" i="37"/>
  <c r="H699" i="37"/>
  <c r="G450" i="37"/>
  <c r="G698" i="37"/>
  <c r="I448" i="37"/>
  <c r="I696" i="37"/>
  <c r="F445" i="37"/>
  <c r="F693" i="37"/>
  <c r="B444" i="37"/>
  <c r="B692" i="37"/>
  <c r="B440" i="37"/>
  <c r="B688" i="37"/>
  <c r="F437" i="37"/>
  <c r="F685" i="37"/>
  <c r="I436" i="37"/>
  <c r="I684" i="37"/>
  <c r="B436" i="37"/>
  <c r="B684" i="37"/>
  <c r="L433" i="37"/>
  <c r="L681" i="37"/>
  <c r="H431" i="37"/>
  <c r="H679" i="37"/>
  <c r="G430" i="37"/>
  <c r="G678" i="37"/>
  <c r="L429" i="37"/>
  <c r="L677" i="37"/>
  <c r="B428" i="37"/>
  <c r="B676" i="37"/>
  <c r="H427" i="37"/>
  <c r="H675" i="37"/>
  <c r="L425" i="37"/>
  <c r="L673" i="37"/>
  <c r="F425" i="37"/>
  <c r="F673" i="37"/>
  <c r="I424" i="37"/>
  <c r="I672" i="37"/>
  <c r="B424" i="37"/>
  <c r="B672" i="37"/>
  <c r="H423" i="37"/>
  <c r="H671" i="37"/>
  <c r="L421" i="37"/>
  <c r="L669" i="37"/>
  <c r="I420" i="37"/>
  <c r="I668" i="37"/>
  <c r="B420" i="37"/>
  <c r="B668" i="37"/>
  <c r="H419" i="37"/>
  <c r="H667" i="37"/>
  <c r="G418" i="37"/>
  <c r="G666" i="37"/>
  <c r="L417" i="37"/>
  <c r="L665" i="37"/>
  <c r="F417" i="37"/>
  <c r="F665" i="37"/>
  <c r="I416" i="37"/>
  <c r="I664" i="37"/>
  <c r="B416" i="37"/>
  <c r="B664" i="37"/>
  <c r="G414" i="37"/>
  <c r="G662" i="37"/>
  <c r="F413" i="37"/>
  <c r="F661" i="37"/>
  <c r="I412" i="37"/>
  <c r="I660" i="37"/>
  <c r="B412" i="37"/>
  <c r="B660" i="37"/>
  <c r="G410" i="37"/>
  <c r="G658" i="37"/>
  <c r="L409" i="37"/>
  <c r="L657" i="37"/>
  <c r="F409" i="37"/>
  <c r="F657" i="37"/>
  <c r="H407" i="37"/>
  <c r="H655" i="37"/>
  <c r="F405" i="37"/>
  <c r="F653" i="37"/>
  <c r="B404" i="37"/>
  <c r="B652" i="37"/>
  <c r="H403" i="37"/>
  <c r="H651" i="37"/>
  <c r="G402" i="37"/>
  <c r="G650" i="37"/>
  <c r="F401" i="37"/>
  <c r="F649" i="37"/>
  <c r="B400" i="37"/>
  <c r="B648" i="37"/>
  <c r="F397" i="37"/>
  <c r="F645" i="37"/>
  <c r="F393" i="37"/>
  <c r="F641" i="37"/>
  <c r="H391" i="37"/>
  <c r="H639" i="37"/>
  <c r="L388" i="37"/>
  <c r="L636" i="37"/>
  <c r="B387" i="37"/>
  <c r="B635" i="37"/>
  <c r="G385" i="37"/>
  <c r="G633" i="37"/>
  <c r="I383" i="37"/>
  <c r="I631" i="37"/>
  <c r="L380" i="37"/>
  <c r="L628" i="37"/>
  <c r="I375" i="37"/>
  <c r="I623" i="37"/>
  <c r="H374" i="37"/>
  <c r="H622" i="37"/>
  <c r="L372" i="37"/>
  <c r="L620" i="37"/>
  <c r="H370" i="37"/>
  <c r="H618" i="37"/>
  <c r="F368" i="37"/>
  <c r="F616" i="37"/>
  <c r="G365" i="37"/>
  <c r="G613" i="37"/>
  <c r="B359" i="37"/>
  <c r="B607" i="37"/>
  <c r="I322" i="37"/>
  <c r="I570" i="37"/>
  <c r="L319" i="37"/>
  <c r="L567" i="37"/>
  <c r="B318" i="37"/>
  <c r="B566" i="37"/>
  <c r="F315" i="37"/>
  <c r="F563" i="37"/>
  <c r="B314" i="37"/>
  <c r="B562" i="37"/>
  <c r="G312" i="37"/>
  <c r="G560" i="37"/>
  <c r="B310" i="37"/>
  <c r="B558" i="37"/>
  <c r="B744" i="37"/>
  <c r="B740" i="37"/>
  <c r="B728" i="37"/>
  <c r="B724" i="37"/>
  <c r="B720" i="37"/>
  <c r="H470" i="37"/>
  <c r="H718" i="37"/>
  <c r="L468" i="37"/>
  <c r="L716" i="37"/>
  <c r="F468" i="37"/>
  <c r="F716" i="37"/>
  <c r="I467" i="37"/>
  <c r="I715" i="37"/>
  <c r="B467" i="37"/>
  <c r="B715" i="37"/>
  <c r="G465" i="37"/>
  <c r="G713" i="37"/>
  <c r="L464" i="37"/>
  <c r="L712" i="37"/>
  <c r="F464" i="37"/>
  <c r="F712" i="37"/>
  <c r="H462" i="37"/>
  <c r="H710" i="37"/>
  <c r="G461" i="37"/>
  <c r="G709" i="37"/>
  <c r="L460" i="37"/>
  <c r="L708" i="37"/>
  <c r="F460" i="37"/>
  <c r="F708" i="37"/>
  <c r="I459" i="37"/>
  <c r="I707" i="37"/>
  <c r="B459" i="37"/>
  <c r="B707" i="37"/>
  <c r="G457" i="37"/>
  <c r="G705" i="37"/>
  <c r="F456" i="37"/>
  <c r="F704" i="37"/>
  <c r="I455" i="37"/>
  <c r="I703" i="37"/>
  <c r="B455" i="37"/>
  <c r="B703" i="37"/>
  <c r="H454" i="37"/>
  <c r="H702" i="37"/>
  <c r="L452" i="37"/>
  <c r="L700" i="37"/>
  <c r="F452" i="37"/>
  <c r="F700" i="37"/>
  <c r="H450" i="37"/>
  <c r="H698" i="37"/>
  <c r="G449" i="37"/>
  <c r="G697" i="37"/>
  <c r="L448" i="37"/>
  <c r="L696" i="37"/>
  <c r="I447" i="37"/>
  <c r="I695" i="37"/>
  <c r="B447" i="37"/>
  <c r="B695" i="37"/>
  <c r="H446" i="37"/>
  <c r="H694" i="37"/>
  <c r="L444" i="37"/>
  <c r="L692" i="37"/>
  <c r="F444" i="37"/>
  <c r="F692" i="37"/>
  <c r="H442" i="37"/>
  <c r="H690" i="37"/>
  <c r="G441" i="37"/>
  <c r="G689" i="37"/>
  <c r="L440" i="37"/>
  <c r="L688" i="37"/>
  <c r="I439" i="37"/>
  <c r="I687" i="37"/>
  <c r="B439" i="37"/>
  <c r="B687" i="37"/>
  <c r="H438" i="37"/>
  <c r="H686" i="37"/>
  <c r="B435" i="37"/>
  <c r="B683" i="37"/>
  <c r="G433" i="37"/>
  <c r="G681" i="37"/>
  <c r="L432" i="37"/>
  <c r="L680" i="37"/>
  <c r="F432" i="37"/>
  <c r="F680" i="37"/>
  <c r="I431" i="37"/>
  <c r="I679" i="37"/>
  <c r="B431" i="37"/>
  <c r="B679" i="37"/>
  <c r="H430" i="37"/>
  <c r="H678" i="37"/>
  <c r="G429" i="37"/>
  <c r="G677" i="37"/>
  <c r="L428" i="37"/>
  <c r="L676" i="37"/>
  <c r="F428" i="37"/>
  <c r="F676" i="37"/>
  <c r="I427" i="37"/>
  <c r="I675" i="37"/>
  <c r="B427" i="37"/>
  <c r="B675" i="37"/>
  <c r="H426" i="37"/>
  <c r="H674" i="37"/>
  <c r="G425" i="37"/>
  <c r="G673" i="37"/>
  <c r="L424" i="37"/>
  <c r="L672" i="37"/>
  <c r="B423" i="37"/>
  <c r="B671" i="37"/>
  <c r="H422" i="37"/>
  <c r="H670" i="37"/>
  <c r="G421" i="37"/>
  <c r="G669" i="37"/>
  <c r="L420" i="37"/>
  <c r="L668" i="37"/>
  <c r="I419" i="37"/>
  <c r="I667" i="37"/>
  <c r="B419" i="37"/>
  <c r="B667" i="37"/>
  <c r="H418" i="37"/>
  <c r="H666" i="37"/>
  <c r="G417" i="37"/>
  <c r="G665" i="37"/>
  <c r="L416" i="37"/>
  <c r="L664" i="37"/>
  <c r="I415" i="37"/>
  <c r="I663" i="37"/>
  <c r="B415" i="37"/>
  <c r="B663" i="37"/>
  <c r="H414" i="37"/>
  <c r="H662" i="37"/>
  <c r="G413" i="37"/>
  <c r="G661" i="37"/>
  <c r="L412" i="37"/>
  <c r="L660" i="37"/>
  <c r="F412" i="37"/>
  <c r="F660" i="37"/>
  <c r="I411" i="37"/>
  <c r="I659" i="37"/>
  <c r="B411" i="37"/>
  <c r="B659" i="37"/>
  <c r="H410" i="37"/>
  <c r="H658" i="37"/>
  <c r="L408" i="37"/>
  <c r="L656" i="37"/>
  <c r="F408" i="37"/>
  <c r="F656" i="37"/>
  <c r="I407" i="37"/>
  <c r="I655" i="37"/>
  <c r="B407" i="37"/>
  <c r="B655" i="37"/>
  <c r="H406" i="37"/>
  <c r="H654" i="37"/>
  <c r="G405" i="37"/>
  <c r="G653" i="37"/>
  <c r="L404" i="37"/>
  <c r="L652" i="37"/>
  <c r="F404" i="37"/>
  <c r="F652" i="37"/>
  <c r="I403" i="37"/>
  <c r="I651" i="37"/>
  <c r="B403" i="37"/>
  <c r="B651" i="37"/>
  <c r="H402" i="37"/>
  <c r="H650" i="37"/>
  <c r="G401" i="37"/>
  <c r="G649" i="37"/>
  <c r="L400" i="37"/>
  <c r="L648" i="37"/>
  <c r="F400" i="37"/>
  <c r="F648" i="37"/>
  <c r="I399" i="37"/>
  <c r="I647" i="37"/>
  <c r="B399" i="37"/>
  <c r="B647" i="37"/>
  <c r="G397" i="37"/>
  <c r="G645" i="37"/>
  <c r="L396" i="37"/>
  <c r="L644" i="37"/>
  <c r="F396" i="37"/>
  <c r="F644" i="37"/>
  <c r="I395" i="37"/>
  <c r="I643" i="37"/>
  <c r="B395" i="37"/>
  <c r="B643" i="37"/>
  <c r="H394" i="37"/>
  <c r="H642" i="37"/>
  <c r="L392" i="37"/>
  <c r="L640" i="37"/>
  <c r="F392" i="37"/>
  <c r="F640" i="37"/>
  <c r="I391" i="37"/>
  <c r="I639" i="37"/>
  <c r="B391" i="37"/>
  <c r="B639" i="37"/>
  <c r="I390" i="37"/>
  <c r="I638" i="37"/>
  <c r="B390" i="37"/>
  <c r="B638" i="37"/>
  <c r="H389" i="37"/>
  <c r="H637" i="37"/>
  <c r="G388" i="37"/>
  <c r="G636" i="37"/>
  <c r="L387" i="37"/>
  <c r="L635" i="37"/>
  <c r="F387" i="37"/>
  <c r="F635" i="37"/>
  <c r="I386" i="37"/>
  <c r="I634" i="37"/>
  <c r="B386" i="37"/>
  <c r="B634" i="37"/>
  <c r="H385" i="37"/>
  <c r="H633" i="37"/>
  <c r="G384" i="37"/>
  <c r="G632" i="37"/>
  <c r="L383" i="37"/>
  <c r="L631" i="37"/>
  <c r="F383" i="37"/>
  <c r="F631" i="37"/>
  <c r="I382" i="37"/>
  <c r="I630" i="37"/>
  <c r="H381" i="37"/>
  <c r="H629" i="37"/>
  <c r="L379" i="37"/>
  <c r="L627" i="37"/>
  <c r="F379" i="37"/>
  <c r="F627" i="37"/>
  <c r="I378" i="37"/>
  <c r="I626" i="37"/>
  <c r="B378" i="37"/>
  <c r="B626" i="37"/>
  <c r="H377" i="37"/>
  <c r="H625" i="37"/>
  <c r="G376" i="37"/>
  <c r="G624" i="37"/>
  <c r="L375" i="37"/>
  <c r="L623" i="37"/>
  <c r="F375" i="37"/>
  <c r="F623" i="37"/>
  <c r="I374" i="37"/>
  <c r="I622" i="37"/>
  <c r="B374" i="37"/>
  <c r="B622" i="37"/>
  <c r="H373" i="37"/>
  <c r="H621" i="37"/>
  <c r="G372" i="37"/>
  <c r="G620" i="37"/>
  <c r="L371" i="37"/>
  <c r="L619" i="37"/>
  <c r="F371" i="37"/>
  <c r="F619" i="37"/>
  <c r="I370" i="37"/>
  <c r="I618" i="37"/>
  <c r="B370" i="37"/>
  <c r="B618" i="37"/>
  <c r="H369" i="37"/>
  <c r="H617" i="37"/>
  <c r="G368" i="37"/>
  <c r="G616" i="37"/>
  <c r="L367" i="37"/>
  <c r="L615" i="37"/>
  <c r="F367" i="37"/>
  <c r="F615" i="37"/>
  <c r="I366" i="37"/>
  <c r="I614" i="37"/>
  <c r="B366" i="37"/>
  <c r="B614" i="37"/>
  <c r="H365" i="37"/>
  <c r="H613" i="37"/>
  <c r="G364" i="37"/>
  <c r="G612" i="37"/>
  <c r="L363" i="37"/>
  <c r="L611" i="37"/>
  <c r="F363" i="37"/>
  <c r="F611" i="37"/>
  <c r="I362" i="37"/>
  <c r="I610" i="37"/>
  <c r="B362" i="37"/>
  <c r="B610" i="37"/>
  <c r="H361" i="37"/>
  <c r="H609" i="37"/>
  <c r="G360" i="37"/>
  <c r="G608" i="37"/>
  <c r="L359" i="37"/>
  <c r="L607" i="37"/>
  <c r="F359" i="37"/>
  <c r="F607" i="37"/>
  <c r="I358" i="37"/>
  <c r="I606" i="37"/>
  <c r="B358" i="37"/>
  <c r="B606" i="37"/>
  <c r="H357" i="37"/>
  <c r="H605" i="37"/>
  <c r="G356" i="37"/>
  <c r="G604" i="37"/>
  <c r="L355" i="37"/>
  <c r="L603" i="37"/>
  <c r="F355" i="37"/>
  <c r="F603" i="37"/>
  <c r="I354" i="37"/>
  <c r="I602" i="37"/>
  <c r="B354" i="37"/>
  <c r="B602" i="37"/>
  <c r="H353" i="37"/>
  <c r="H601" i="37"/>
  <c r="G352" i="37"/>
  <c r="G600" i="37"/>
  <c r="L351" i="37"/>
  <c r="L599" i="37"/>
  <c r="F351" i="37"/>
  <c r="F599" i="37"/>
  <c r="I350" i="37"/>
  <c r="I598" i="37"/>
  <c r="B350" i="37"/>
  <c r="B598" i="37"/>
  <c r="H349" i="37"/>
  <c r="H597" i="37"/>
  <c r="G348" i="37"/>
  <c r="G596" i="37"/>
  <c r="L347" i="37"/>
  <c r="L595" i="37"/>
  <c r="F347" i="37"/>
  <c r="F595" i="37"/>
  <c r="I346" i="37"/>
  <c r="I594" i="37"/>
  <c r="B346" i="37"/>
  <c r="B594" i="37"/>
  <c r="H345" i="37"/>
  <c r="H593" i="37"/>
  <c r="G344" i="37"/>
  <c r="G592" i="37"/>
  <c r="L343" i="37"/>
  <c r="L591" i="37"/>
  <c r="F343" i="37"/>
  <c r="F591" i="37"/>
  <c r="I342" i="37"/>
  <c r="I590" i="37"/>
  <c r="B342" i="37"/>
  <c r="B590" i="37"/>
  <c r="H341" i="37"/>
  <c r="H589" i="37"/>
  <c r="G340" i="37"/>
  <c r="G588" i="37"/>
  <c r="L339" i="37"/>
  <c r="L587" i="37"/>
  <c r="F339" i="37"/>
  <c r="F587" i="37"/>
  <c r="I338" i="37"/>
  <c r="I586" i="37"/>
  <c r="B338" i="37"/>
  <c r="B586" i="37"/>
  <c r="H337" i="37"/>
  <c r="H585" i="37"/>
  <c r="G336" i="37"/>
  <c r="G584" i="37"/>
  <c r="L335" i="37"/>
  <c r="L583" i="37"/>
  <c r="F335" i="37"/>
  <c r="F583" i="37"/>
  <c r="I334" i="37"/>
  <c r="I582" i="37"/>
  <c r="B334" i="37"/>
  <c r="B582" i="37"/>
  <c r="H333" i="37"/>
  <c r="H581" i="37"/>
  <c r="G332" i="37"/>
  <c r="G580" i="37"/>
  <c r="L331" i="37"/>
  <c r="L579" i="37"/>
  <c r="F331" i="37"/>
  <c r="F579" i="37"/>
  <c r="I330" i="37"/>
  <c r="I578" i="37"/>
  <c r="B330" i="37"/>
  <c r="B578" i="37"/>
  <c r="H329" i="37"/>
  <c r="H577" i="37"/>
  <c r="G328" i="37"/>
  <c r="G576" i="37"/>
  <c r="L327" i="37"/>
  <c r="L575" i="37"/>
  <c r="F327" i="37"/>
  <c r="F575" i="37"/>
  <c r="I326" i="37"/>
  <c r="I574" i="37"/>
  <c r="B326" i="37"/>
  <c r="B574" i="37"/>
  <c r="H325" i="37"/>
  <c r="H573" i="37"/>
  <c r="G324" i="37"/>
  <c r="G572" i="37"/>
  <c r="L323" i="37"/>
  <c r="L571" i="37"/>
  <c r="G323" i="37"/>
  <c r="G571" i="37"/>
  <c r="L322" i="37"/>
  <c r="L570" i="37"/>
  <c r="F322" i="37"/>
  <c r="F570" i="37"/>
  <c r="I321" i="37"/>
  <c r="I569" i="37"/>
  <c r="B321" i="37"/>
  <c r="B569" i="37"/>
  <c r="H320" i="37"/>
  <c r="H568" i="37"/>
  <c r="G319" i="37"/>
  <c r="G567" i="37"/>
  <c r="L318" i="37"/>
  <c r="L566" i="37"/>
  <c r="F318" i="37"/>
  <c r="F566" i="37"/>
  <c r="I317" i="37"/>
  <c r="I565" i="37"/>
  <c r="B317" i="37"/>
  <c r="B565" i="37"/>
  <c r="H316" i="37"/>
  <c r="H564" i="37"/>
  <c r="G315" i="37"/>
  <c r="G563" i="37"/>
  <c r="L314" i="37"/>
  <c r="L562" i="37"/>
  <c r="F314" i="37"/>
  <c r="F562" i="37"/>
  <c r="I313" i="37"/>
  <c r="I561" i="37"/>
  <c r="B313" i="37"/>
  <c r="B561" i="37"/>
  <c r="H312" i="37"/>
  <c r="H560" i="37"/>
  <c r="G311" i="37"/>
  <c r="G559" i="37"/>
  <c r="L310" i="37"/>
  <c r="L558" i="37"/>
  <c r="F758" i="37"/>
  <c r="F757" i="37"/>
  <c r="F756" i="37"/>
  <c r="F755" i="37"/>
  <c r="F754" i="37"/>
  <c r="F753" i="37"/>
  <c r="F752" i="37"/>
  <c r="F751" i="37"/>
  <c r="F750" i="37"/>
  <c r="F749" i="37"/>
  <c r="F748" i="37"/>
  <c r="F747" i="37"/>
  <c r="F744" i="37"/>
  <c r="F743" i="37"/>
  <c r="F742" i="37"/>
  <c r="F741" i="37"/>
  <c r="F740" i="37"/>
  <c r="F739" i="37"/>
  <c r="F738" i="37"/>
  <c r="F737" i="37"/>
  <c r="F736" i="37"/>
  <c r="F735" i="37"/>
  <c r="F734" i="37"/>
  <c r="F733" i="37"/>
  <c r="F732" i="37"/>
  <c r="F731" i="37"/>
  <c r="F730" i="37"/>
  <c r="F729" i="37"/>
  <c r="F728" i="37"/>
  <c r="F727" i="37"/>
  <c r="F726" i="37"/>
  <c r="F725" i="37"/>
  <c r="F724" i="37"/>
  <c r="F723" i="37"/>
  <c r="F722" i="37"/>
  <c r="F721" i="37"/>
  <c r="F720" i="37"/>
  <c r="F719" i="37"/>
  <c r="G718" i="37"/>
  <c r="G716" i="37"/>
  <c r="H714" i="37"/>
  <c r="I712" i="37"/>
  <c r="I710" i="37"/>
  <c r="I708" i="37"/>
  <c r="L706" i="37"/>
  <c r="L704" i="37"/>
  <c r="F703" i="37"/>
  <c r="G701" i="37"/>
  <c r="I699" i="37"/>
  <c r="F690" i="37"/>
  <c r="F688" i="37"/>
  <c r="F686" i="37"/>
  <c r="H684" i="37"/>
  <c r="H682" i="37"/>
  <c r="L679" i="37"/>
  <c r="H677" i="37"/>
  <c r="H669" i="37"/>
  <c r="F662" i="37"/>
  <c r="G657" i="37"/>
  <c r="H647" i="37"/>
  <c r="F643" i="37"/>
  <c r="G628" i="37"/>
  <c r="F516" i="37"/>
  <c r="F518" i="37"/>
  <c r="F547" i="37"/>
  <c r="B307" i="37"/>
  <c r="F524" i="37"/>
  <c r="F515" i="37"/>
  <c r="F511" i="37"/>
  <c r="F505" i="37"/>
  <c r="F526" i="37"/>
  <c r="B557" i="37"/>
  <c r="B308" i="37"/>
  <c r="F525" i="37"/>
  <c r="F498" i="37"/>
  <c r="F353" i="37"/>
  <c r="F512" i="37"/>
  <c r="F506" i="37"/>
  <c r="F528" i="37"/>
  <c r="F527" i="37"/>
  <c r="F522" i="37"/>
  <c r="F521" i="37"/>
  <c r="F520" i="37"/>
  <c r="F519" i="37"/>
  <c r="F517" i="37"/>
  <c r="F514" i="37"/>
  <c r="F513" i="37"/>
  <c r="F508" i="37"/>
  <c r="F507" i="37"/>
  <c r="F499" i="37"/>
  <c r="F436" i="37"/>
  <c r="F548" i="37"/>
  <c r="F523" i="37"/>
  <c r="F502" i="37"/>
  <c r="F501" i="37"/>
  <c r="F497" i="37"/>
  <c r="F310" i="37"/>
  <c r="F549" i="37"/>
  <c r="F546" i="37"/>
  <c r="F510" i="37"/>
  <c r="F509" i="37"/>
  <c r="F504" i="37"/>
  <c r="F503" i="37"/>
  <c r="F500" i="37"/>
  <c r="F309" i="37"/>
  <c r="R148" i="25" l="1"/>
  <c r="B490" i="40"/>
  <c r="B209" i="65"/>
  <c r="K796" i="37"/>
  <c r="J797" i="37"/>
  <c r="N797" i="37" s="1"/>
  <c r="R797" i="37" s="1"/>
  <c r="J781" i="37"/>
  <c r="N781" i="37" s="1"/>
  <c r="T781" i="37" s="1"/>
  <c r="K758" i="37"/>
  <c r="K522" i="37"/>
  <c r="N522" i="37" s="1"/>
  <c r="J749" i="37"/>
  <c r="N749" i="37" s="1"/>
  <c r="T749" i="37" s="1"/>
  <c r="K756" i="37"/>
  <c r="K747" i="37"/>
  <c r="K751" i="37"/>
  <c r="AH91" i="50"/>
  <c r="K752" i="37"/>
  <c r="J390" i="37"/>
  <c r="T390" i="37" s="1"/>
  <c r="V571" i="37"/>
  <c r="J520" i="37"/>
  <c r="AH520" i="37" s="1"/>
  <c r="N761" i="37"/>
  <c r="T761" i="37" s="1"/>
  <c r="N780" i="37"/>
  <c r="S780" i="37" s="1"/>
  <c r="K754" i="37"/>
  <c r="K750" i="37"/>
  <c r="K757" i="37"/>
  <c r="K797" i="37"/>
  <c r="AB524" i="37"/>
  <c r="N778" i="37"/>
  <c r="P778" i="37" s="1"/>
  <c r="V778" i="37" s="1"/>
  <c r="N762" i="37"/>
  <c r="J787" i="37"/>
  <c r="N787" i="37" s="1"/>
  <c r="J323" i="37"/>
  <c r="Z323" i="37" s="1"/>
  <c r="K755" i="37"/>
  <c r="J518" i="37"/>
  <c r="P518" i="37" s="1"/>
  <c r="J523" i="37"/>
  <c r="N775" i="37"/>
  <c r="T775" i="37" s="1"/>
  <c r="K748" i="37"/>
  <c r="N759" i="37"/>
  <c r="T759" i="37" s="1"/>
  <c r="N760" i="37"/>
  <c r="K753" i="37"/>
  <c r="J770" i="37"/>
  <c r="N770" i="37" s="1"/>
  <c r="V524" i="37"/>
  <c r="K524" i="37"/>
  <c r="N524" i="37" s="1"/>
  <c r="N516" i="37"/>
  <c r="J529" i="37"/>
  <c r="V529" i="37" s="1"/>
  <c r="J792" i="37"/>
  <c r="N792" i="37" s="1"/>
  <c r="R792" i="37" s="1"/>
  <c r="K775" i="37"/>
  <c r="N773" i="37"/>
  <c r="R773" i="37" s="1"/>
  <c r="N776" i="37"/>
  <c r="N774" i="37"/>
  <c r="J765" i="37"/>
  <c r="J519" i="37"/>
  <c r="P519" i="37" s="1"/>
  <c r="J769" i="37"/>
  <c r="N769" i="37" s="1"/>
  <c r="Z777" i="37"/>
  <c r="P544" i="37"/>
  <c r="AA524" i="37"/>
  <c r="U524" i="37"/>
  <c r="AH517" i="37"/>
  <c r="N767" i="37"/>
  <c r="P767" i="37" s="1"/>
  <c r="J772" i="37"/>
  <c r="Z772" i="37" s="1"/>
  <c r="AH524" i="37"/>
  <c r="N527" i="37"/>
  <c r="N548" i="37"/>
  <c r="N766" i="37"/>
  <c r="T766" i="37" s="1"/>
  <c r="N768" i="37"/>
  <c r="P539" i="37"/>
  <c r="P549" i="37"/>
  <c r="P309" i="37"/>
  <c r="U309" i="37"/>
  <c r="AE309" i="37"/>
  <c r="AA309" i="37"/>
  <c r="AB309" i="37"/>
  <c r="R309" i="37"/>
  <c r="Z309" i="37"/>
  <c r="V309" i="37"/>
  <c r="AF309" i="37"/>
  <c r="X309" i="37"/>
  <c r="AG309" i="37"/>
  <c r="Y309" i="37"/>
  <c r="AH309" i="37"/>
  <c r="S309" i="37"/>
  <c r="T309" i="37"/>
  <c r="AD309" i="37"/>
  <c r="N571" i="37"/>
  <c r="S571" i="37"/>
  <c r="N771" i="37"/>
  <c r="N763" i="37"/>
  <c r="T763" i="37" s="1"/>
  <c r="AG524" i="37"/>
  <c r="N638" i="37"/>
  <c r="K764" i="37"/>
  <c r="P524" i="37"/>
  <c r="P533" i="37"/>
  <c r="P522" i="37"/>
  <c r="Q571" i="37"/>
  <c r="P571" i="37"/>
  <c r="Y638" i="37"/>
  <c r="X571" i="37"/>
  <c r="S771" i="37"/>
  <c r="Z771" i="37"/>
  <c r="N779" i="37"/>
  <c r="T777" i="37"/>
  <c r="N777" i="37"/>
  <c r="Q777" i="37" s="1"/>
  <c r="AA517" i="37"/>
  <c r="P517" i="37"/>
  <c r="K534" i="37"/>
  <c r="K782" i="37"/>
  <c r="K545" i="37"/>
  <c r="N545" i="37" s="1"/>
  <c r="K793" i="37"/>
  <c r="K537" i="37"/>
  <c r="N537" i="37" s="1"/>
  <c r="K785" i="37"/>
  <c r="K541" i="37"/>
  <c r="K789" i="37"/>
  <c r="K535" i="37"/>
  <c r="N535" i="37" s="1"/>
  <c r="K783" i="37"/>
  <c r="K526" i="37"/>
  <c r="K774" i="37"/>
  <c r="K523" i="37"/>
  <c r="N523" i="37" s="1"/>
  <c r="K771" i="37"/>
  <c r="J534" i="37"/>
  <c r="P534" i="37" s="1"/>
  <c r="J782" i="37"/>
  <c r="N782" i="37" s="1"/>
  <c r="J535" i="37"/>
  <c r="P535" i="37" s="1"/>
  <c r="J783" i="37"/>
  <c r="K538" i="37"/>
  <c r="N538" i="37" s="1"/>
  <c r="K786" i="37"/>
  <c r="K542" i="37"/>
  <c r="K790" i="37"/>
  <c r="K539" i="37"/>
  <c r="N539" i="37" s="1"/>
  <c r="K787" i="37"/>
  <c r="V517" i="37"/>
  <c r="AG517" i="37"/>
  <c r="J543" i="37"/>
  <c r="P543" i="37" s="1"/>
  <c r="J791" i="37"/>
  <c r="N791" i="37" s="1"/>
  <c r="W571" i="37"/>
  <c r="K515" i="37"/>
  <c r="N515" i="37" s="1"/>
  <c r="K763" i="37"/>
  <c r="Y768" i="37"/>
  <c r="T768" i="37"/>
  <c r="J538" i="37"/>
  <c r="Z538" i="37" s="1"/>
  <c r="J786" i="37"/>
  <c r="N786" i="37" s="1"/>
  <c r="J537" i="37"/>
  <c r="P537" i="37" s="1"/>
  <c r="J785" i="37"/>
  <c r="N785" i="37" s="1"/>
  <c r="J541" i="37"/>
  <c r="P541" i="37" s="1"/>
  <c r="J789" i="37"/>
  <c r="N789" i="37" s="1"/>
  <c r="K543" i="37"/>
  <c r="N543" i="37" s="1"/>
  <c r="K791" i="37"/>
  <c r="K540" i="37"/>
  <c r="K788" i="37"/>
  <c r="U517" i="37"/>
  <c r="AB517" i="37"/>
  <c r="J545" i="37"/>
  <c r="P545" i="37" s="1"/>
  <c r="J793" i="37"/>
  <c r="N793" i="37" s="1"/>
  <c r="J546" i="37"/>
  <c r="P546" i="37" s="1"/>
  <c r="J794" i="37"/>
  <c r="N794" i="37" s="1"/>
  <c r="J547" i="37"/>
  <c r="P547" i="37" s="1"/>
  <c r="J795" i="37"/>
  <c r="N795" i="37" s="1"/>
  <c r="K546" i="37"/>
  <c r="N546" i="37" s="1"/>
  <c r="K794" i="37"/>
  <c r="K511" i="37"/>
  <c r="N511" i="37" s="1"/>
  <c r="K759" i="37"/>
  <c r="K514" i="37"/>
  <c r="N514" i="37" s="1"/>
  <c r="K762" i="37"/>
  <c r="K513" i="37"/>
  <c r="K761" i="37"/>
  <c r="K517" i="37"/>
  <c r="K765" i="37"/>
  <c r="K518" i="37"/>
  <c r="K766" i="37"/>
  <c r="K519" i="37"/>
  <c r="N519" i="37" s="1"/>
  <c r="K767" i="37"/>
  <c r="K520" i="37"/>
  <c r="N520" i="37" s="1"/>
  <c r="K768" i="37"/>
  <c r="K521" i="37"/>
  <c r="K769" i="37"/>
  <c r="K525" i="37"/>
  <c r="K773" i="37"/>
  <c r="K547" i="37"/>
  <c r="K795" i="37"/>
  <c r="T771" i="37"/>
  <c r="Y771" i="37"/>
  <c r="J516" i="37"/>
  <c r="P516" i="37" s="1"/>
  <c r="J764" i="37"/>
  <c r="N764" i="37" s="1"/>
  <c r="J540" i="37"/>
  <c r="P540" i="37" s="1"/>
  <c r="J788" i="37"/>
  <c r="N788" i="37" s="1"/>
  <c r="J536" i="37"/>
  <c r="P536" i="37" s="1"/>
  <c r="J784" i="37"/>
  <c r="J542" i="37"/>
  <c r="P542" i="37" s="1"/>
  <c r="J790" i="37"/>
  <c r="N790" i="37" s="1"/>
  <c r="K544" i="37"/>
  <c r="N544" i="37" s="1"/>
  <c r="K792" i="37"/>
  <c r="K536" i="37"/>
  <c r="K784" i="37"/>
  <c r="J548" i="37"/>
  <c r="P548" i="37" s="1"/>
  <c r="J796" i="37"/>
  <c r="N796" i="37" s="1"/>
  <c r="S768" i="37"/>
  <c r="Z768" i="37"/>
  <c r="K512" i="37"/>
  <c r="N512" i="37" s="1"/>
  <c r="K760" i="37"/>
  <c r="K528" i="37"/>
  <c r="N528" i="37" s="1"/>
  <c r="K776" i="37"/>
  <c r="J314" i="37"/>
  <c r="Y314" i="37" s="1"/>
  <c r="J562" i="37"/>
  <c r="N562" i="37" s="1"/>
  <c r="J376" i="37"/>
  <c r="J624" i="37"/>
  <c r="J514" i="37"/>
  <c r="P514" i="37" s="1"/>
  <c r="K351" i="37"/>
  <c r="K599" i="37"/>
  <c r="K424" i="37"/>
  <c r="K672" i="37"/>
  <c r="J472" i="37"/>
  <c r="AG472" i="37" s="1"/>
  <c r="J720" i="37"/>
  <c r="N720" i="37" s="1"/>
  <c r="K427" i="37"/>
  <c r="N427" i="37" s="1"/>
  <c r="K675" i="37"/>
  <c r="K530" i="37"/>
  <c r="K372" i="37"/>
  <c r="N372" i="37" s="1"/>
  <c r="K620" i="37"/>
  <c r="J457" i="37"/>
  <c r="AA457" i="37" s="1"/>
  <c r="J705" i="37"/>
  <c r="K322" i="37"/>
  <c r="K570" i="37"/>
  <c r="K383" i="37"/>
  <c r="K631" i="37"/>
  <c r="K447" i="37"/>
  <c r="N447" i="37" s="1"/>
  <c r="K695" i="37"/>
  <c r="K475" i="37"/>
  <c r="N475" i="37" s="1"/>
  <c r="K723" i="37"/>
  <c r="K378" i="37"/>
  <c r="N378" i="37" s="1"/>
  <c r="K626" i="37"/>
  <c r="J496" i="37"/>
  <c r="P496" i="37" s="1"/>
  <c r="J744" i="37"/>
  <c r="N744" i="37" s="1"/>
  <c r="J357" i="37"/>
  <c r="U357" i="37" s="1"/>
  <c r="J605" i="37"/>
  <c r="N605" i="37" s="1"/>
  <c r="J465" i="37"/>
  <c r="P465" i="37" s="1"/>
  <c r="J713" i="37"/>
  <c r="N713" i="37" s="1"/>
  <c r="J446" i="37"/>
  <c r="Z446" i="37" s="1"/>
  <c r="J694" i="37"/>
  <c r="N694" i="37" s="1"/>
  <c r="K477" i="37"/>
  <c r="N477" i="37" s="1"/>
  <c r="K725" i="37"/>
  <c r="J458" i="37"/>
  <c r="AH458" i="37" s="1"/>
  <c r="J706" i="37"/>
  <c r="J358" i="37"/>
  <c r="P358" i="37" s="1"/>
  <c r="J606" i="37"/>
  <c r="K479" i="37"/>
  <c r="K727" i="37"/>
  <c r="J483" i="37"/>
  <c r="P483" i="37" s="1"/>
  <c r="J731" i="37"/>
  <c r="N731" i="37" s="1"/>
  <c r="J508" i="37"/>
  <c r="P508" i="37" s="1"/>
  <c r="J756" i="37"/>
  <c r="N756" i="37" s="1"/>
  <c r="J455" i="37"/>
  <c r="R455" i="37" s="1"/>
  <c r="J703" i="37"/>
  <c r="K336" i="37"/>
  <c r="K584" i="37"/>
  <c r="K409" i="37"/>
  <c r="N409" i="37" s="1"/>
  <c r="K657" i="37"/>
  <c r="J425" i="37"/>
  <c r="P425" i="37" s="1"/>
  <c r="J673" i="37"/>
  <c r="N673" i="37" s="1"/>
  <c r="K316" i="37"/>
  <c r="N316" i="37" s="1"/>
  <c r="K564" i="37"/>
  <c r="K339" i="37"/>
  <c r="K587" i="37"/>
  <c r="K376" i="37"/>
  <c r="N376" i="37" s="1"/>
  <c r="K624" i="37"/>
  <c r="K395" i="37"/>
  <c r="K643" i="37"/>
  <c r="K412" i="37"/>
  <c r="K660" i="37"/>
  <c r="K429" i="37"/>
  <c r="K677" i="37"/>
  <c r="K444" i="37"/>
  <c r="N444" i="37" s="1"/>
  <c r="K692" i="37"/>
  <c r="K461" i="37"/>
  <c r="K709" i="37"/>
  <c r="K476" i="37"/>
  <c r="N476" i="37" s="1"/>
  <c r="K724" i="37"/>
  <c r="K489" i="37"/>
  <c r="N489" i="37" s="1"/>
  <c r="K737" i="37"/>
  <c r="K332" i="37"/>
  <c r="N332" i="37" s="1"/>
  <c r="K580" i="37"/>
  <c r="K417" i="37"/>
  <c r="K665" i="37"/>
  <c r="K478" i="37"/>
  <c r="K726" i="37"/>
  <c r="K327" i="37"/>
  <c r="K575" i="37"/>
  <c r="K349" i="37"/>
  <c r="N349" i="37" s="1"/>
  <c r="K597" i="37"/>
  <c r="K371" i="37"/>
  <c r="N371" i="37" s="1"/>
  <c r="K619" i="37"/>
  <c r="K387" i="37"/>
  <c r="K635" i="37"/>
  <c r="K407" i="37"/>
  <c r="K655" i="37"/>
  <c r="K433" i="37"/>
  <c r="N433" i="37" s="1"/>
  <c r="K681" i="37"/>
  <c r="K452" i="37"/>
  <c r="K700" i="37"/>
  <c r="K469" i="37"/>
  <c r="K717" i="37"/>
  <c r="J479" i="37"/>
  <c r="AH479" i="37" s="1"/>
  <c r="J727" i="37"/>
  <c r="N727" i="37" s="1"/>
  <c r="K337" i="37"/>
  <c r="N337" i="37" s="1"/>
  <c r="K585" i="37"/>
  <c r="K361" i="37"/>
  <c r="N361" i="37" s="1"/>
  <c r="K609" i="37"/>
  <c r="K390" i="37"/>
  <c r="K638" i="37"/>
  <c r="K442" i="37"/>
  <c r="N442" i="37" s="1"/>
  <c r="K690" i="37"/>
  <c r="K473" i="37"/>
  <c r="K721" i="37"/>
  <c r="J436" i="37"/>
  <c r="AG436" i="37" s="1"/>
  <c r="J684" i="37"/>
  <c r="N684" i="37" s="1"/>
  <c r="J415" i="37"/>
  <c r="P415" i="37" s="1"/>
  <c r="J663" i="37"/>
  <c r="N663" i="37" s="1"/>
  <c r="J528" i="37"/>
  <c r="P528" i="37" s="1"/>
  <c r="J396" i="37"/>
  <c r="P396" i="37" s="1"/>
  <c r="J644" i="37"/>
  <c r="J474" i="37"/>
  <c r="V474" i="37" s="1"/>
  <c r="J722" i="37"/>
  <c r="S722" i="37" s="1"/>
  <c r="J461" i="37"/>
  <c r="AE461" i="37" s="1"/>
  <c r="J709" i="37"/>
  <c r="N709" i="37" s="1"/>
  <c r="J360" i="37"/>
  <c r="J608" i="37"/>
  <c r="R608" i="37" s="1"/>
  <c r="J532" i="37"/>
  <c r="P532" i="37" s="1"/>
  <c r="J318" i="37"/>
  <c r="AH318" i="37" s="1"/>
  <c r="J566" i="37"/>
  <c r="Z566" i="37" s="1"/>
  <c r="J439" i="37"/>
  <c r="P439" i="37" s="1"/>
  <c r="J687" i="37"/>
  <c r="N687" i="37" s="1"/>
  <c r="J531" i="37"/>
  <c r="P531" i="37" s="1"/>
  <c r="J340" i="37"/>
  <c r="P340" i="37" s="1"/>
  <c r="J588" i="37"/>
  <c r="Q588" i="37" s="1"/>
  <c r="J486" i="37"/>
  <c r="P486" i="37" s="1"/>
  <c r="J734" i="37"/>
  <c r="N734" i="37" s="1"/>
  <c r="J315" i="37"/>
  <c r="AD315" i="37" s="1"/>
  <c r="J563" i="37"/>
  <c r="J441" i="37"/>
  <c r="J689" i="37"/>
  <c r="N689" i="37" s="1"/>
  <c r="J380" i="37"/>
  <c r="AD380" i="37" s="1"/>
  <c r="J628" i="37"/>
  <c r="P628" i="37" s="1"/>
  <c r="J459" i="37"/>
  <c r="R459" i="37" s="1"/>
  <c r="J707" i="37"/>
  <c r="N707" i="37" s="1"/>
  <c r="J411" i="37"/>
  <c r="AA411" i="37" s="1"/>
  <c r="J659" i="37"/>
  <c r="Z659" i="37" s="1"/>
  <c r="J447" i="37"/>
  <c r="P447" i="37" s="1"/>
  <c r="J695" i="37"/>
  <c r="N695" i="37" s="1"/>
  <c r="J384" i="37"/>
  <c r="AE384" i="37" s="1"/>
  <c r="J632" i="37"/>
  <c r="P632" i="37" s="1"/>
  <c r="J330" i="37"/>
  <c r="P330" i="37" s="1"/>
  <c r="J578" i="37"/>
  <c r="N578" i="37" s="1"/>
  <c r="K533" i="37"/>
  <c r="K331" i="37"/>
  <c r="K579" i="37"/>
  <c r="K389" i="37"/>
  <c r="K637" i="37"/>
  <c r="K420" i="37"/>
  <c r="K668" i="37"/>
  <c r="K454" i="37"/>
  <c r="K702" i="37"/>
  <c r="K311" i="37"/>
  <c r="K559" i="37"/>
  <c r="K348" i="37"/>
  <c r="K596" i="37"/>
  <c r="K451" i="37"/>
  <c r="K699" i="37"/>
  <c r="K328" i="37"/>
  <c r="N328" i="37" s="1"/>
  <c r="K576" i="37"/>
  <c r="K342" i="37"/>
  <c r="N342" i="37" s="1"/>
  <c r="K590" i="37"/>
  <c r="K388" i="37"/>
  <c r="N388" i="37" s="1"/>
  <c r="K636" i="37"/>
  <c r="K419" i="37"/>
  <c r="K667" i="37"/>
  <c r="J471" i="37"/>
  <c r="U471" i="37" s="1"/>
  <c r="J719" i="37"/>
  <c r="N719" i="37" s="1"/>
  <c r="J485" i="37"/>
  <c r="AH485" i="37" s="1"/>
  <c r="J733" i="37"/>
  <c r="N733" i="37" s="1"/>
  <c r="K410" i="37"/>
  <c r="K658" i="37"/>
  <c r="K468" i="37"/>
  <c r="N468" i="37" s="1"/>
  <c r="K716" i="37"/>
  <c r="K403" i="37"/>
  <c r="N403" i="37" s="1"/>
  <c r="K651" i="37"/>
  <c r="K465" i="37"/>
  <c r="K713" i="37"/>
  <c r="K492" i="37"/>
  <c r="N492" i="37" s="1"/>
  <c r="K740" i="37"/>
  <c r="K360" i="37"/>
  <c r="N360" i="37" s="1"/>
  <c r="K608" i="37"/>
  <c r="K431" i="37"/>
  <c r="N431" i="37" s="1"/>
  <c r="K679" i="37"/>
  <c r="J469" i="37"/>
  <c r="AF469" i="37" s="1"/>
  <c r="J717" i="37"/>
  <c r="N717" i="37" s="1"/>
  <c r="J510" i="37"/>
  <c r="J758" i="37"/>
  <c r="J352" i="37"/>
  <c r="Y352" i="37" s="1"/>
  <c r="J600" i="37"/>
  <c r="N600" i="37" s="1"/>
  <c r="K425" i="37"/>
  <c r="N425" i="37" s="1"/>
  <c r="K673" i="37"/>
  <c r="P638" i="37"/>
  <c r="V638" i="37"/>
  <c r="Q638" i="37"/>
  <c r="W638" i="37"/>
  <c r="R638" i="37"/>
  <c r="S638" i="37"/>
  <c r="X638" i="37"/>
  <c r="Z638" i="37"/>
  <c r="J445" i="37"/>
  <c r="U445" i="37" s="1"/>
  <c r="J693" i="37"/>
  <c r="N693" i="37" s="1"/>
  <c r="J373" i="37"/>
  <c r="AD373" i="37" s="1"/>
  <c r="J621" i="37"/>
  <c r="J398" i="37"/>
  <c r="AF398" i="37" s="1"/>
  <c r="J646" i="37"/>
  <c r="N646" i="37" s="1"/>
  <c r="J466" i="37"/>
  <c r="U466" i="37" s="1"/>
  <c r="J714" i="37"/>
  <c r="N714" i="37" s="1"/>
  <c r="J383" i="37"/>
  <c r="J631" i="37"/>
  <c r="N631" i="37" s="1"/>
  <c r="J476" i="37"/>
  <c r="AB476" i="37" s="1"/>
  <c r="J724" i="37"/>
  <c r="N724" i="37" s="1"/>
  <c r="J349" i="37"/>
  <c r="U349" i="37" s="1"/>
  <c r="J597" i="37"/>
  <c r="J416" i="37"/>
  <c r="AD416" i="37" s="1"/>
  <c r="J664" i="37"/>
  <c r="S664" i="37" s="1"/>
  <c r="J467" i="37"/>
  <c r="AA467" i="37" s="1"/>
  <c r="J715" i="37"/>
  <c r="N715" i="37" s="1"/>
  <c r="J490" i="37"/>
  <c r="P490" i="37" s="1"/>
  <c r="J738" i="37"/>
  <c r="N738" i="37" s="1"/>
  <c r="J440" i="37"/>
  <c r="J688" i="37"/>
  <c r="J327" i="37"/>
  <c r="AG327" i="37" s="1"/>
  <c r="J575" i="37"/>
  <c r="N575" i="37" s="1"/>
  <c r="J427" i="37"/>
  <c r="AD427" i="37" s="1"/>
  <c r="J675" i="37"/>
  <c r="N675" i="37" s="1"/>
  <c r="J418" i="37"/>
  <c r="AD418" i="37" s="1"/>
  <c r="J666" i="37"/>
  <c r="J452" i="37"/>
  <c r="AF452" i="37" s="1"/>
  <c r="J700" i="37"/>
  <c r="J319" i="37"/>
  <c r="P319" i="37" s="1"/>
  <c r="J567" i="37"/>
  <c r="N567" i="37" s="1"/>
  <c r="J331" i="37"/>
  <c r="AH331" i="37" s="1"/>
  <c r="J579" i="37"/>
  <c r="N579" i="37" s="1"/>
  <c r="J316" i="37"/>
  <c r="T316" i="37" s="1"/>
  <c r="J564" i="37"/>
  <c r="N564" i="37" s="1"/>
  <c r="K443" i="37"/>
  <c r="K691" i="37"/>
  <c r="K315" i="37"/>
  <c r="N315" i="37" s="1"/>
  <c r="K563" i="37"/>
  <c r="K359" i="37"/>
  <c r="N359" i="37" s="1"/>
  <c r="K607" i="37"/>
  <c r="K421" i="37"/>
  <c r="K669" i="37"/>
  <c r="K458" i="37"/>
  <c r="K706" i="37"/>
  <c r="K494" i="37"/>
  <c r="K742" i="37"/>
  <c r="K391" i="37"/>
  <c r="K639" i="37"/>
  <c r="K464" i="37"/>
  <c r="K712" i="37"/>
  <c r="K319" i="37"/>
  <c r="N319" i="37" s="1"/>
  <c r="K567" i="37"/>
  <c r="K346" i="37"/>
  <c r="N346" i="37" s="1"/>
  <c r="K594" i="37"/>
  <c r="J402" i="37"/>
  <c r="S402" i="37" s="1"/>
  <c r="J650" i="37"/>
  <c r="N650" i="37" s="1"/>
  <c r="K485" i="37"/>
  <c r="N485" i="37" s="1"/>
  <c r="K733" i="37"/>
  <c r="J498" i="37"/>
  <c r="P498" i="37" s="1"/>
  <c r="J746" i="37"/>
  <c r="N746" i="37" s="1"/>
  <c r="J394" i="37"/>
  <c r="AA394" i="37" s="1"/>
  <c r="J642" i="37"/>
  <c r="W642" i="37" s="1"/>
  <c r="J497" i="37"/>
  <c r="P497" i="37" s="1"/>
  <c r="J745" i="37"/>
  <c r="N745" i="37" s="1"/>
  <c r="J410" i="37"/>
  <c r="R410" i="37" s="1"/>
  <c r="J658" i="37"/>
  <c r="N658" i="37" s="1"/>
  <c r="J342" i="37"/>
  <c r="J590" i="37"/>
  <c r="N590" i="37" s="1"/>
  <c r="J500" i="37"/>
  <c r="P500" i="37" s="1"/>
  <c r="J748" i="37"/>
  <c r="N748" i="37" s="1"/>
  <c r="J333" i="37"/>
  <c r="J581" i="37"/>
  <c r="N581" i="37" s="1"/>
  <c r="J489" i="37"/>
  <c r="P489" i="37" s="1"/>
  <c r="J737" i="37"/>
  <c r="N737" i="37" s="1"/>
  <c r="J487" i="37"/>
  <c r="P487" i="37" s="1"/>
  <c r="J735" i="37"/>
  <c r="N735" i="37" s="1"/>
  <c r="J456" i="37"/>
  <c r="AH456" i="37" s="1"/>
  <c r="J704" i="37"/>
  <c r="N704" i="37" s="1"/>
  <c r="J354" i="37"/>
  <c r="AB354" i="37" s="1"/>
  <c r="J602" i="37"/>
  <c r="N602" i="37" s="1"/>
  <c r="J312" i="37"/>
  <c r="AE312" i="37" s="1"/>
  <c r="J560" i="37"/>
  <c r="N560" i="37" s="1"/>
  <c r="J478" i="37"/>
  <c r="J726" i="37"/>
  <c r="J387" i="37"/>
  <c r="Z387" i="37" s="1"/>
  <c r="J635" i="37"/>
  <c r="K471" i="37"/>
  <c r="K719" i="37"/>
  <c r="J348" i="37"/>
  <c r="AB348" i="37" s="1"/>
  <c r="J596" i="37"/>
  <c r="N596" i="37" s="1"/>
  <c r="J407" i="37"/>
  <c r="AB407" i="37" s="1"/>
  <c r="J655" i="37"/>
  <c r="N655" i="37" s="1"/>
  <c r="J506" i="37"/>
  <c r="P506" i="37" s="1"/>
  <c r="J754" i="37"/>
  <c r="N754" i="37" s="1"/>
  <c r="J337" i="37"/>
  <c r="P337" i="37" s="1"/>
  <c r="J585" i="37"/>
  <c r="N585" i="37" s="1"/>
  <c r="J473" i="37"/>
  <c r="AA473" i="37" s="1"/>
  <c r="J721" i="37"/>
  <c r="N721" i="37" s="1"/>
  <c r="J448" i="37"/>
  <c r="AA448" i="37" s="1"/>
  <c r="J696" i="37"/>
  <c r="N696" i="37" s="1"/>
  <c r="J409" i="37"/>
  <c r="P409" i="37" s="1"/>
  <c r="J657" i="37"/>
  <c r="N657" i="37" s="1"/>
  <c r="J482" i="37"/>
  <c r="AB482" i="37" s="1"/>
  <c r="J730" i="37"/>
  <c r="N730" i="37" s="1"/>
  <c r="J382" i="37"/>
  <c r="V382" i="37" s="1"/>
  <c r="J630" i="37"/>
  <c r="J434" i="37"/>
  <c r="J682" i="37"/>
  <c r="J338" i="37"/>
  <c r="T338" i="37" s="1"/>
  <c r="J586" i="37"/>
  <c r="J449" i="37"/>
  <c r="P449" i="37" s="1"/>
  <c r="J697" i="37"/>
  <c r="N697" i="37" s="1"/>
  <c r="J374" i="37"/>
  <c r="X374" i="37" s="1"/>
  <c r="J622" i="37"/>
  <c r="R622" i="37" s="1"/>
  <c r="J430" i="37"/>
  <c r="AH430" i="37" s="1"/>
  <c r="J678" i="37"/>
  <c r="N678" i="37" s="1"/>
  <c r="J493" i="37"/>
  <c r="P493" i="37" s="1"/>
  <c r="J741" i="37"/>
  <c r="N741" i="37" s="1"/>
  <c r="J419" i="37"/>
  <c r="AB419" i="37" s="1"/>
  <c r="J667" i="37"/>
  <c r="N667" i="37" s="1"/>
  <c r="K463" i="37"/>
  <c r="K711" i="37"/>
  <c r="J468" i="37"/>
  <c r="P468" i="37" s="1"/>
  <c r="J716" i="37"/>
  <c r="N716" i="37" s="1"/>
  <c r="J359" i="37"/>
  <c r="J607" i="37"/>
  <c r="N607" i="37" s="1"/>
  <c r="J429" i="37"/>
  <c r="AF429" i="37" s="1"/>
  <c r="J677" i="37"/>
  <c r="N677" i="37" s="1"/>
  <c r="J379" i="37"/>
  <c r="P379" i="37" s="1"/>
  <c r="J627" i="37"/>
  <c r="N627" i="37" s="1"/>
  <c r="K405" i="37"/>
  <c r="K653" i="37"/>
  <c r="J395" i="37"/>
  <c r="AE395" i="37" s="1"/>
  <c r="J643" i="37"/>
  <c r="R643" i="37" s="1"/>
  <c r="J480" i="37"/>
  <c r="P480" i="37" s="1"/>
  <c r="J728" i="37"/>
  <c r="N728" i="37" s="1"/>
  <c r="J464" i="37"/>
  <c r="Y464" i="37" s="1"/>
  <c r="J712" i="37"/>
  <c r="N712" i="37" s="1"/>
  <c r="K531" i="37"/>
  <c r="K320" i="37"/>
  <c r="K568" i="37"/>
  <c r="K343" i="37"/>
  <c r="K591" i="37"/>
  <c r="K365" i="37"/>
  <c r="N365" i="37" s="1"/>
  <c r="K613" i="37"/>
  <c r="K381" i="37"/>
  <c r="K629" i="37"/>
  <c r="K397" i="37"/>
  <c r="K645" i="37"/>
  <c r="K415" i="37"/>
  <c r="N415" i="37" s="1"/>
  <c r="K663" i="37"/>
  <c r="K422" i="37"/>
  <c r="K670" i="37"/>
  <c r="K426" i="37"/>
  <c r="K674" i="37"/>
  <c r="K445" i="37"/>
  <c r="N445" i="37" s="1"/>
  <c r="K693" i="37"/>
  <c r="J463" i="37"/>
  <c r="AA463" i="37" s="1"/>
  <c r="J711" i="37"/>
  <c r="N711" i="37" s="1"/>
  <c r="K481" i="37"/>
  <c r="K729" i="37"/>
  <c r="K326" i="37"/>
  <c r="K574" i="37"/>
  <c r="K366" i="37"/>
  <c r="N366" i="37" s="1"/>
  <c r="K614" i="37"/>
  <c r="K392" i="37"/>
  <c r="K640" i="37"/>
  <c r="K432" i="37"/>
  <c r="K680" i="37"/>
  <c r="K495" i="37"/>
  <c r="N495" i="37" s="1"/>
  <c r="K743" i="37"/>
  <c r="K323" i="37"/>
  <c r="K571" i="37"/>
  <c r="K330" i="37"/>
  <c r="K578" i="37"/>
  <c r="K340" i="37"/>
  <c r="K588" i="37"/>
  <c r="K350" i="37"/>
  <c r="N350" i="37" s="1"/>
  <c r="K598" i="37"/>
  <c r="K364" i="37"/>
  <c r="N364" i="37" s="1"/>
  <c r="K612" i="37"/>
  <c r="K380" i="37"/>
  <c r="K628" i="37"/>
  <c r="K400" i="37"/>
  <c r="K648" i="37"/>
  <c r="K413" i="37"/>
  <c r="N413" i="37" s="1"/>
  <c r="K661" i="37"/>
  <c r="K434" i="37"/>
  <c r="K682" i="37"/>
  <c r="K448" i="37"/>
  <c r="K696" i="37"/>
  <c r="K462" i="37"/>
  <c r="N462" i="37" s="1"/>
  <c r="K710" i="37"/>
  <c r="K480" i="37"/>
  <c r="K728" i="37"/>
  <c r="K493" i="37"/>
  <c r="K741" i="37"/>
  <c r="K386" i="37"/>
  <c r="N386" i="37" s="1"/>
  <c r="K634" i="37"/>
  <c r="K436" i="37"/>
  <c r="K684" i="37"/>
  <c r="K491" i="37"/>
  <c r="N491" i="37" s="1"/>
  <c r="K739" i="37"/>
  <c r="K313" i="37"/>
  <c r="K561" i="37"/>
  <c r="K333" i="37"/>
  <c r="K581" i="37"/>
  <c r="K355" i="37"/>
  <c r="N355" i="37" s="1"/>
  <c r="K603" i="37"/>
  <c r="K375" i="37"/>
  <c r="N375" i="37" s="1"/>
  <c r="K623" i="37"/>
  <c r="K394" i="37"/>
  <c r="N394" i="37" s="1"/>
  <c r="K642" i="37"/>
  <c r="K411" i="37"/>
  <c r="K659" i="37"/>
  <c r="K438" i="37"/>
  <c r="N438" i="37" s="1"/>
  <c r="K686" i="37"/>
  <c r="K456" i="37"/>
  <c r="K704" i="37"/>
  <c r="K470" i="37"/>
  <c r="N470" i="37" s="1"/>
  <c r="K718" i="37"/>
  <c r="K483" i="37"/>
  <c r="N483" i="37" s="1"/>
  <c r="K731" i="37"/>
  <c r="K352" i="37"/>
  <c r="K600" i="37"/>
  <c r="K362" i="37"/>
  <c r="N362" i="37" s="1"/>
  <c r="K610" i="37"/>
  <c r="K393" i="37"/>
  <c r="K641" i="37"/>
  <c r="K446" i="37"/>
  <c r="K694" i="37"/>
  <c r="K482" i="37"/>
  <c r="K730" i="37"/>
  <c r="K497" i="37"/>
  <c r="K745" i="37"/>
  <c r="J422" i="37"/>
  <c r="P422" i="37" s="1"/>
  <c r="J670" i="37"/>
  <c r="Z670" i="37" s="1"/>
  <c r="K498" i="37"/>
  <c r="N498" i="37" s="1"/>
  <c r="K746" i="37"/>
  <c r="K335" i="37"/>
  <c r="K583" i="37"/>
  <c r="J438" i="37"/>
  <c r="P438" i="37" s="1"/>
  <c r="J686" i="37"/>
  <c r="N686" i="37" s="1"/>
  <c r="J381" i="37"/>
  <c r="Z381" i="37" s="1"/>
  <c r="J629" i="37"/>
  <c r="J322" i="37"/>
  <c r="J570" i="37"/>
  <c r="N570" i="37" s="1"/>
  <c r="J386" i="37"/>
  <c r="S386" i="37" s="1"/>
  <c r="J634" i="37"/>
  <c r="X634" i="37" s="1"/>
  <c r="J444" i="37"/>
  <c r="S444" i="37" s="1"/>
  <c r="J692" i="37"/>
  <c r="N692" i="37" s="1"/>
  <c r="J470" i="37"/>
  <c r="P470" i="37" s="1"/>
  <c r="J718" i="37"/>
  <c r="N718" i="37" s="1"/>
  <c r="J503" i="37"/>
  <c r="P503" i="37" s="1"/>
  <c r="J751" i="37"/>
  <c r="N751" i="37" s="1"/>
  <c r="J437" i="37"/>
  <c r="S437" i="37" s="1"/>
  <c r="J685" i="37"/>
  <c r="J504" i="37"/>
  <c r="P504" i="37" s="1"/>
  <c r="J752" i="37"/>
  <c r="N752" i="37" s="1"/>
  <c r="J325" i="37"/>
  <c r="J573" i="37"/>
  <c r="N573" i="37" s="1"/>
  <c r="J488" i="37"/>
  <c r="P488" i="37" s="1"/>
  <c r="J736" i="37"/>
  <c r="N736" i="37" s="1"/>
  <c r="J364" i="37"/>
  <c r="AH364" i="37" s="1"/>
  <c r="J612" i="37"/>
  <c r="S612" i="37" s="1"/>
  <c r="J343" i="37"/>
  <c r="Y343" i="37" s="1"/>
  <c r="J591" i="37"/>
  <c r="N591" i="37" s="1"/>
  <c r="J475" i="37"/>
  <c r="J723" i="37"/>
  <c r="N723" i="37" s="1"/>
  <c r="J388" i="37"/>
  <c r="J636" i="37"/>
  <c r="J362" i="37"/>
  <c r="J610" i="37"/>
  <c r="J502" i="37"/>
  <c r="P502" i="37" s="1"/>
  <c r="J750" i="37"/>
  <c r="N750" i="37" s="1"/>
  <c r="J408" i="37"/>
  <c r="AF408" i="37" s="1"/>
  <c r="J656" i="37"/>
  <c r="X656" i="37" s="1"/>
  <c r="J492" i="37"/>
  <c r="P492" i="37" s="1"/>
  <c r="J740" i="37"/>
  <c r="N740" i="37" s="1"/>
  <c r="J321" i="37"/>
  <c r="P321" i="37" s="1"/>
  <c r="J569" i="37"/>
  <c r="J363" i="37"/>
  <c r="U363" i="37" s="1"/>
  <c r="J611" i="37"/>
  <c r="J385" i="37"/>
  <c r="AG385" i="37" s="1"/>
  <c r="J633" i="37"/>
  <c r="Z633" i="37" s="1"/>
  <c r="J367" i="37"/>
  <c r="AA367" i="37" s="1"/>
  <c r="J615" i="37"/>
  <c r="K501" i="37"/>
  <c r="K749" i="37"/>
  <c r="J368" i="37"/>
  <c r="J616" i="37"/>
  <c r="P616" i="37" s="1"/>
  <c r="J370" i="37"/>
  <c r="J618" i="37"/>
  <c r="N618" i="37" s="1"/>
  <c r="J403" i="37"/>
  <c r="AA403" i="37" s="1"/>
  <c r="J651" i="37"/>
  <c r="P651" i="37" s="1"/>
  <c r="K373" i="37"/>
  <c r="N373" i="37" s="1"/>
  <c r="K621" i="37"/>
  <c r="J405" i="37"/>
  <c r="AG405" i="37" s="1"/>
  <c r="J653" i="37"/>
  <c r="K435" i="37"/>
  <c r="K683" i="37"/>
  <c r="K490" i="37"/>
  <c r="K738" i="37"/>
  <c r="K382" i="37"/>
  <c r="K630" i="37"/>
  <c r="K318" i="37"/>
  <c r="K566" i="37"/>
  <c r="J335" i="37"/>
  <c r="P335" i="37" s="1"/>
  <c r="J583" i="37"/>
  <c r="N583" i="37" s="1"/>
  <c r="K357" i="37"/>
  <c r="K605" i="37"/>
  <c r="K408" i="37"/>
  <c r="K656" i="37"/>
  <c r="K440" i="37"/>
  <c r="K688" i="37"/>
  <c r="K321" i="37"/>
  <c r="K569" i="37"/>
  <c r="K345" i="37"/>
  <c r="N345" i="37" s="1"/>
  <c r="K593" i="37"/>
  <c r="K367" i="37"/>
  <c r="N367" i="37" s="1"/>
  <c r="K615" i="37"/>
  <c r="J428" i="37"/>
  <c r="AE428" i="37" s="1"/>
  <c r="J676" i="37"/>
  <c r="K312" i="37"/>
  <c r="K560" i="37"/>
  <c r="K455" i="37"/>
  <c r="N455" i="37" s="1"/>
  <c r="K703" i="37"/>
  <c r="J339" i="37"/>
  <c r="P339" i="37" s="1"/>
  <c r="J587" i="37"/>
  <c r="J361" i="37"/>
  <c r="J609" i="37"/>
  <c r="N609" i="37" s="1"/>
  <c r="Y667" i="37"/>
  <c r="J336" i="37"/>
  <c r="V336" i="37" s="1"/>
  <c r="J584" i="37"/>
  <c r="J365" i="37"/>
  <c r="AE365" i="37" s="1"/>
  <c r="J613" i="37"/>
  <c r="N613" i="37" s="1"/>
  <c r="J400" i="37"/>
  <c r="V400" i="37" s="1"/>
  <c r="J648" i="37"/>
  <c r="X648" i="37" s="1"/>
  <c r="J347" i="37"/>
  <c r="V347" i="37" s="1"/>
  <c r="J595" i="37"/>
  <c r="N595" i="37" s="1"/>
  <c r="J401" i="37"/>
  <c r="S401" i="37" s="1"/>
  <c r="J649" i="37"/>
  <c r="Z649" i="37" s="1"/>
  <c r="J351" i="37"/>
  <c r="U351" i="37" s="1"/>
  <c r="J599" i="37"/>
  <c r="N599" i="37" s="1"/>
  <c r="J505" i="37"/>
  <c r="P505" i="37" s="1"/>
  <c r="J753" i="37"/>
  <c r="N753" i="37" s="1"/>
  <c r="J460" i="37"/>
  <c r="P460" i="37" s="1"/>
  <c r="J708" i="37"/>
  <c r="N708" i="37" s="1"/>
  <c r="J366" i="37"/>
  <c r="R366" i="37" s="1"/>
  <c r="J614" i="37"/>
  <c r="S614" i="37" s="1"/>
  <c r="J513" i="37"/>
  <c r="P513" i="37" s="1"/>
  <c r="J375" i="37"/>
  <c r="P375" i="37" s="1"/>
  <c r="J623" i="37"/>
  <c r="N623" i="37" s="1"/>
  <c r="J433" i="37"/>
  <c r="P433" i="37" s="1"/>
  <c r="J681" i="37"/>
  <c r="N681" i="37" s="1"/>
  <c r="J332" i="37"/>
  <c r="P332" i="37" s="1"/>
  <c r="J580" i="37"/>
  <c r="N580" i="37" s="1"/>
  <c r="J397" i="37"/>
  <c r="AF397" i="37" s="1"/>
  <c r="J645" i="37"/>
  <c r="K428" i="37"/>
  <c r="K676" i="37"/>
  <c r="J435" i="37"/>
  <c r="AG435" i="37" s="1"/>
  <c r="J683" i="37"/>
  <c r="J324" i="37"/>
  <c r="P324" i="37" s="1"/>
  <c r="J572" i="37"/>
  <c r="N572" i="37" s="1"/>
  <c r="K377" i="37"/>
  <c r="K625" i="37"/>
  <c r="K396" i="37"/>
  <c r="N396" i="37" s="1"/>
  <c r="K644" i="37"/>
  <c r="K441" i="37"/>
  <c r="K689" i="37"/>
  <c r="J477" i="37"/>
  <c r="P477" i="37" s="1"/>
  <c r="J725" i="37"/>
  <c r="N725" i="37" s="1"/>
  <c r="K353" i="37"/>
  <c r="K601" i="37"/>
  <c r="J431" i="37"/>
  <c r="P431" i="37" s="1"/>
  <c r="J679" i="37"/>
  <c r="N679" i="37" s="1"/>
  <c r="K329" i="37"/>
  <c r="K577" i="37"/>
  <c r="K358" i="37"/>
  <c r="N358" i="37" s="1"/>
  <c r="K606" i="37"/>
  <c r="J406" i="37"/>
  <c r="AD406" i="37" s="1"/>
  <c r="J654" i="37"/>
  <c r="P654" i="37" s="1"/>
  <c r="J320" i="37"/>
  <c r="P320" i="37" s="1"/>
  <c r="J568" i="37"/>
  <c r="N568" i="37" s="1"/>
  <c r="J512" i="37"/>
  <c r="P512" i="37" s="1"/>
  <c r="J432" i="37"/>
  <c r="J680" i="37"/>
  <c r="J499" i="37"/>
  <c r="P499" i="37" s="1"/>
  <c r="J747" i="37"/>
  <c r="N747" i="37" s="1"/>
  <c r="J525" i="37"/>
  <c r="P525" i="37" s="1"/>
  <c r="J417" i="37"/>
  <c r="U417" i="37" s="1"/>
  <c r="J665" i="37"/>
  <c r="J462" i="37"/>
  <c r="P462" i="37" s="1"/>
  <c r="J710" i="37"/>
  <c r="N710" i="37" s="1"/>
  <c r="J350" i="37"/>
  <c r="P350" i="37" s="1"/>
  <c r="J598" i="37"/>
  <c r="N598" i="37" s="1"/>
  <c r="J372" i="37"/>
  <c r="U372" i="37" s="1"/>
  <c r="J620" i="37"/>
  <c r="Z620" i="37" s="1"/>
  <c r="J414" i="37"/>
  <c r="P414" i="37" s="1"/>
  <c r="J662" i="37"/>
  <c r="N662" i="37" s="1"/>
  <c r="K457" i="37"/>
  <c r="K705" i="37"/>
  <c r="J491" i="37"/>
  <c r="P491" i="37" s="1"/>
  <c r="J739" i="37"/>
  <c r="N739" i="37" s="1"/>
  <c r="K399" i="37"/>
  <c r="K647" i="37"/>
  <c r="J377" i="37"/>
  <c r="P377" i="37" s="1"/>
  <c r="J625" i="37"/>
  <c r="N625" i="37" s="1"/>
  <c r="J378" i="37"/>
  <c r="AB378" i="37" s="1"/>
  <c r="J626" i="37"/>
  <c r="Q626" i="37" s="1"/>
  <c r="J371" i="37"/>
  <c r="P371" i="37" s="1"/>
  <c r="J619" i="37"/>
  <c r="N619" i="37" s="1"/>
  <c r="J355" i="37"/>
  <c r="J603" i="37"/>
  <c r="R603" i="37" s="1"/>
  <c r="J317" i="37"/>
  <c r="J565" i="37"/>
  <c r="N565" i="37" s="1"/>
  <c r="J511" i="37"/>
  <c r="P511" i="37" s="1"/>
  <c r="J326" i="37"/>
  <c r="R326" i="37" s="1"/>
  <c r="J574" i="37"/>
  <c r="N574" i="37" s="1"/>
  <c r="J346" i="37"/>
  <c r="P346" i="37" s="1"/>
  <c r="J594" i="37"/>
  <c r="N594" i="37" s="1"/>
  <c r="J453" i="37"/>
  <c r="AA453" i="37" s="1"/>
  <c r="J701" i="37"/>
  <c r="J313" i="37"/>
  <c r="P313" i="37" s="1"/>
  <c r="J561" i="37"/>
  <c r="N561" i="37" s="1"/>
  <c r="K472" i="37"/>
  <c r="K720" i="37"/>
  <c r="J442" i="37"/>
  <c r="Z442" i="37" s="1"/>
  <c r="J690" i="37"/>
  <c r="N690" i="37" s="1"/>
  <c r="J454" i="37"/>
  <c r="X454" i="37" s="1"/>
  <c r="J702" i="37"/>
  <c r="N702" i="37" s="1"/>
  <c r="J426" i="37"/>
  <c r="J674" i="37"/>
  <c r="J451" i="37"/>
  <c r="J699" i="37"/>
  <c r="N699" i="37" s="1"/>
  <c r="J344" i="37"/>
  <c r="J592" i="37"/>
  <c r="N592" i="37" s="1"/>
  <c r="J389" i="37"/>
  <c r="Z389" i="37" s="1"/>
  <c r="J637" i="37"/>
  <c r="N637" i="37" s="1"/>
  <c r="J515" i="37"/>
  <c r="P515" i="37" s="1"/>
  <c r="J507" i="37"/>
  <c r="P507" i="37" s="1"/>
  <c r="J755" i="37"/>
  <c r="J393" i="37"/>
  <c r="P393" i="37" s="1"/>
  <c r="J641" i="37"/>
  <c r="N641" i="37" s="1"/>
  <c r="J530" i="37"/>
  <c r="P530" i="37" s="1"/>
  <c r="J404" i="37"/>
  <c r="J652" i="37"/>
  <c r="N652" i="37" s="1"/>
  <c r="J527" i="37"/>
  <c r="P527" i="37" s="1"/>
  <c r="J494" i="37"/>
  <c r="P494" i="37" s="1"/>
  <c r="J742" i="37"/>
  <c r="N742" i="37" s="1"/>
  <c r="J369" i="37"/>
  <c r="P369" i="37" s="1"/>
  <c r="J617" i="37"/>
  <c r="N617" i="37" s="1"/>
  <c r="J481" i="37"/>
  <c r="J729" i="37"/>
  <c r="N729" i="37" s="1"/>
  <c r="J345" i="37"/>
  <c r="P345" i="37" s="1"/>
  <c r="J593" i="37"/>
  <c r="N593" i="37" s="1"/>
  <c r="K532" i="37"/>
  <c r="K325" i="37"/>
  <c r="K573" i="37"/>
  <c r="K347" i="37"/>
  <c r="K595" i="37"/>
  <c r="K369" i="37"/>
  <c r="K617" i="37"/>
  <c r="K385" i="37"/>
  <c r="K633" i="37"/>
  <c r="K401" i="37"/>
  <c r="K649" i="37"/>
  <c r="K416" i="37"/>
  <c r="K664" i="37"/>
  <c r="K423" i="37"/>
  <c r="N423" i="37" s="1"/>
  <c r="K671" i="37"/>
  <c r="K430" i="37"/>
  <c r="K678" i="37"/>
  <c r="K449" i="37"/>
  <c r="N449" i="37" s="1"/>
  <c r="K697" i="37"/>
  <c r="K467" i="37"/>
  <c r="K715" i="37"/>
  <c r="K486" i="37"/>
  <c r="N486" i="37" s="1"/>
  <c r="K734" i="37"/>
  <c r="K344" i="37"/>
  <c r="K592" i="37"/>
  <c r="K370" i="37"/>
  <c r="N370" i="37" s="1"/>
  <c r="K618" i="37"/>
  <c r="K402" i="37"/>
  <c r="N402" i="37" s="1"/>
  <c r="K650" i="37"/>
  <c r="K437" i="37"/>
  <c r="N437" i="37" s="1"/>
  <c r="K685" i="37"/>
  <c r="K529" i="37"/>
  <c r="K314" i="37"/>
  <c r="K562" i="37"/>
  <c r="K324" i="37"/>
  <c r="K572" i="37"/>
  <c r="K334" i="37"/>
  <c r="K582" i="37"/>
  <c r="K341" i="37"/>
  <c r="K589" i="37"/>
  <c r="K356" i="37"/>
  <c r="K604" i="37"/>
  <c r="K368" i="37"/>
  <c r="N368" i="37" s="1"/>
  <c r="K616" i="37"/>
  <c r="K384" i="37"/>
  <c r="N384" i="37" s="1"/>
  <c r="K632" i="37"/>
  <c r="K404" i="37"/>
  <c r="K652" i="37"/>
  <c r="K414" i="37"/>
  <c r="K662" i="37"/>
  <c r="K439" i="37"/>
  <c r="N439" i="37" s="1"/>
  <c r="K687" i="37"/>
  <c r="K453" i="37"/>
  <c r="K701" i="37"/>
  <c r="K466" i="37"/>
  <c r="N466" i="37" s="1"/>
  <c r="K714" i="37"/>
  <c r="K484" i="37"/>
  <c r="N484" i="37" s="1"/>
  <c r="K732" i="37"/>
  <c r="K310" i="37"/>
  <c r="N310" i="37" s="1"/>
  <c r="K558" i="37"/>
  <c r="K406" i="37"/>
  <c r="N406" i="37" s="1"/>
  <c r="K654" i="37"/>
  <c r="K459" i="37"/>
  <c r="N459" i="37" s="1"/>
  <c r="K707" i="37"/>
  <c r="K496" i="37"/>
  <c r="K744" i="37"/>
  <c r="K317" i="37"/>
  <c r="N317" i="37" s="1"/>
  <c r="K565" i="37"/>
  <c r="K338" i="37"/>
  <c r="K586" i="37"/>
  <c r="K363" i="37"/>
  <c r="N363" i="37" s="1"/>
  <c r="K611" i="37"/>
  <c r="K379" i="37"/>
  <c r="N379" i="37" s="1"/>
  <c r="K627" i="37"/>
  <c r="J399" i="37"/>
  <c r="P399" i="37" s="1"/>
  <c r="J647" i="37"/>
  <c r="K418" i="37"/>
  <c r="N418" i="37" s="1"/>
  <c r="K666" i="37"/>
  <c r="J443" i="37"/>
  <c r="J691" i="37"/>
  <c r="K460" i="37"/>
  <c r="K708" i="37"/>
  <c r="K474" i="37"/>
  <c r="K722" i="37"/>
  <c r="K488" i="37"/>
  <c r="K736" i="37"/>
  <c r="K354" i="37"/>
  <c r="K602" i="37"/>
  <c r="K374" i="37"/>
  <c r="N374" i="37" s="1"/>
  <c r="K622" i="37"/>
  <c r="K398" i="37"/>
  <c r="K646" i="37"/>
  <c r="K450" i="37"/>
  <c r="N450" i="37" s="1"/>
  <c r="K698" i="37"/>
  <c r="K487" i="37"/>
  <c r="K735" i="37"/>
  <c r="J421" i="37"/>
  <c r="AB421" i="37" s="1"/>
  <c r="J669" i="37"/>
  <c r="N669" i="37" s="1"/>
  <c r="T638" i="37"/>
  <c r="J310" i="37"/>
  <c r="AE310" i="37" s="1"/>
  <c r="J558" i="37"/>
  <c r="N558" i="37" s="1"/>
  <c r="J311" i="37"/>
  <c r="J559" i="37"/>
  <c r="N559" i="37" s="1"/>
  <c r="J420" i="37"/>
  <c r="J668" i="37"/>
  <c r="N668" i="37" s="1"/>
  <c r="J353" i="37"/>
  <c r="U353" i="37" s="1"/>
  <c r="J601" i="37"/>
  <c r="N601" i="37" s="1"/>
  <c r="J423" i="37"/>
  <c r="P423" i="37" s="1"/>
  <c r="J671" i="37"/>
  <c r="N671" i="37" s="1"/>
  <c r="J391" i="37"/>
  <c r="AD391" i="37" s="1"/>
  <c r="J639" i="37"/>
  <c r="S639" i="37" s="1"/>
  <c r="J328" i="37"/>
  <c r="J576" i="37"/>
  <c r="N576" i="37" s="1"/>
  <c r="J526" i="37"/>
  <c r="P526" i="37" s="1"/>
  <c r="J413" i="37"/>
  <c r="AF413" i="37" s="1"/>
  <c r="J661" i="37"/>
  <c r="N661" i="37" s="1"/>
  <c r="J356" i="37"/>
  <c r="AE356" i="37" s="1"/>
  <c r="J604" i="37"/>
  <c r="N604" i="37" s="1"/>
  <c r="J484" i="37"/>
  <c r="P484" i="37" s="1"/>
  <c r="J732" i="37"/>
  <c r="N732" i="37" s="1"/>
  <c r="J424" i="37"/>
  <c r="P424" i="37" s="1"/>
  <c r="J672" i="37"/>
  <c r="N672" i="37" s="1"/>
  <c r="J334" i="37"/>
  <c r="P334" i="37" s="1"/>
  <c r="J582" i="37"/>
  <c r="J341" i="37"/>
  <c r="T341" i="37" s="1"/>
  <c r="J589" i="37"/>
  <c r="N589" i="37" s="1"/>
  <c r="J392" i="37"/>
  <c r="P392" i="37" s="1"/>
  <c r="J640" i="37"/>
  <c r="J509" i="37"/>
  <c r="P509" i="37" s="1"/>
  <c r="J757" i="37"/>
  <c r="N757" i="37" s="1"/>
  <c r="J329" i="37"/>
  <c r="P329" i="37" s="1"/>
  <c r="J577" i="37"/>
  <c r="N577" i="37" s="1"/>
  <c r="J412" i="37"/>
  <c r="P412" i="37" s="1"/>
  <c r="J660" i="37"/>
  <c r="N660" i="37" s="1"/>
  <c r="J495" i="37"/>
  <c r="P495" i="37" s="1"/>
  <c r="J743" i="37"/>
  <c r="N743" i="37" s="1"/>
  <c r="J450" i="37"/>
  <c r="AG450" i="37" s="1"/>
  <c r="J698" i="37"/>
  <c r="N698" i="37" s="1"/>
  <c r="Y571" i="37"/>
  <c r="Z571" i="37"/>
  <c r="R571" i="37"/>
  <c r="T571" i="37"/>
  <c r="B491" i="40" l="1"/>
  <c r="B210" i="65"/>
  <c r="Q797" i="37"/>
  <c r="S797" i="37"/>
  <c r="T797" i="37"/>
  <c r="S390" i="37"/>
  <c r="AB390" i="37"/>
  <c r="Z390" i="37"/>
  <c r="AA390" i="37"/>
  <c r="P390" i="37"/>
  <c r="AE390" i="37"/>
  <c r="X390" i="37"/>
  <c r="V390" i="37"/>
  <c r="AD390" i="37"/>
  <c r="AH390" i="37"/>
  <c r="AG390" i="37"/>
  <c r="Y390" i="37"/>
  <c r="R390" i="37"/>
  <c r="AF390" i="37"/>
  <c r="U390" i="37"/>
  <c r="R761" i="37"/>
  <c r="U520" i="37"/>
  <c r="AB520" i="37"/>
  <c r="T446" i="37"/>
  <c r="AG520" i="37"/>
  <c r="X373" i="37"/>
  <c r="AA520" i="37"/>
  <c r="V520" i="37"/>
  <c r="P520" i="37"/>
  <c r="AF323" i="37"/>
  <c r="V485" i="37"/>
  <c r="AA458" i="37"/>
  <c r="AB316" i="37"/>
  <c r="Z418" i="37"/>
  <c r="P780" i="37"/>
  <c r="V780" i="37" s="1"/>
  <c r="V479" i="37"/>
  <c r="T780" i="37"/>
  <c r="AB352" i="37"/>
  <c r="AF446" i="37"/>
  <c r="AH405" i="37"/>
  <c r="V538" i="37"/>
  <c r="X659" i="37"/>
  <c r="AA323" i="37"/>
  <c r="AF465" i="37"/>
  <c r="AE323" i="37"/>
  <c r="S323" i="37"/>
  <c r="AF455" i="37"/>
  <c r="Y323" i="37"/>
  <c r="AG455" i="37"/>
  <c r="R749" i="37"/>
  <c r="Y358" i="37"/>
  <c r="T455" i="37"/>
  <c r="Z465" i="37"/>
  <c r="U455" i="37"/>
  <c r="P749" i="37"/>
  <c r="V749" i="37" s="1"/>
  <c r="S749" i="37"/>
  <c r="T421" i="37"/>
  <c r="AD323" i="37"/>
  <c r="AD310" i="37"/>
  <c r="U411" i="37"/>
  <c r="X316" i="37"/>
  <c r="X418" i="37"/>
  <c r="AF466" i="37"/>
  <c r="AE380" i="37"/>
  <c r="V670" i="37"/>
  <c r="R310" i="37"/>
  <c r="S315" i="37"/>
  <c r="AE418" i="37"/>
  <c r="Y416" i="37"/>
  <c r="R384" i="37"/>
  <c r="AE348" i="37"/>
  <c r="AB323" i="37"/>
  <c r="P323" i="37"/>
  <c r="AH423" i="37"/>
  <c r="AD348" i="37"/>
  <c r="AH316" i="37"/>
  <c r="V411" i="37"/>
  <c r="X395" i="37"/>
  <c r="T348" i="37"/>
  <c r="R323" i="37"/>
  <c r="AH323" i="37"/>
  <c r="X323" i="37"/>
  <c r="U323" i="37"/>
  <c r="T323" i="37"/>
  <c r="V323" i="37"/>
  <c r="AG323" i="37"/>
  <c r="S792" i="37"/>
  <c r="S455" i="37"/>
  <c r="Z324" i="37"/>
  <c r="Y465" i="37"/>
  <c r="AB538" i="37"/>
  <c r="AH457" i="37"/>
  <c r="AE455" i="37"/>
  <c r="AD455" i="37"/>
  <c r="R538" i="37"/>
  <c r="X455" i="37"/>
  <c r="Z455" i="37"/>
  <c r="Z364" i="37"/>
  <c r="AF457" i="37"/>
  <c r="AH455" i="37"/>
  <c r="AB455" i="37"/>
  <c r="AE369" i="37"/>
  <c r="V631" i="37"/>
  <c r="T778" i="37"/>
  <c r="R398" i="37"/>
  <c r="R778" i="37"/>
  <c r="Q778" i="37"/>
  <c r="W778" i="37" s="1"/>
  <c r="R349" i="37"/>
  <c r="S778" i="37"/>
  <c r="T354" i="37"/>
  <c r="S310" i="37"/>
  <c r="X423" i="37"/>
  <c r="S435" i="37"/>
  <c r="X596" i="37"/>
  <c r="S423" i="37"/>
  <c r="AD343" i="37"/>
  <c r="AA310" i="37"/>
  <c r="AA405" i="37"/>
  <c r="Z463" i="37"/>
  <c r="AH310" i="37"/>
  <c r="U310" i="37"/>
  <c r="R423" i="37"/>
  <c r="R421" i="37"/>
  <c r="T428" i="37"/>
  <c r="X405" i="37"/>
  <c r="V343" i="37"/>
  <c r="AF310" i="37"/>
  <c r="V310" i="37"/>
  <c r="AG423" i="37"/>
  <c r="AH401" i="37"/>
  <c r="Z378" i="37"/>
  <c r="AB386" i="37"/>
  <c r="AH371" i="37"/>
  <c r="AB432" i="37"/>
  <c r="R432" i="37"/>
  <c r="AE434" i="37"/>
  <c r="AB434" i="37"/>
  <c r="AA333" i="37"/>
  <c r="AD333" i="37"/>
  <c r="S333" i="37"/>
  <c r="AG342" i="37"/>
  <c r="Z342" i="37"/>
  <c r="X452" i="37"/>
  <c r="Z452" i="37"/>
  <c r="T427" i="37"/>
  <c r="R427" i="37"/>
  <c r="Z440" i="37"/>
  <c r="T440" i="37"/>
  <c r="AD349" i="37"/>
  <c r="AA349" i="37"/>
  <c r="Y383" i="37"/>
  <c r="R383" i="37"/>
  <c r="AG383" i="37"/>
  <c r="P441" i="37"/>
  <c r="X441" i="37"/>
  <c r="Q773" i="37"/>
  <c r="S773" i="37"/>
  <c r="P773" i="37"/>
  <c r="V773" i="37" s="1"/>
  <c r="AG523" i="37"/>
  <c r="AB523" i="37"/>
  <c r="S354" i="37"/>
  <c r="AH330" i="37"/>
  <c r="V452" i="37"/>
  <c r="AG427" i="37"/>
  <c r="AB467" i="37"/>
  <c r="AG349" i="37"/>
  <c r="U421" i="37"/>
  <c r="AD421" i="37"/>
  <c r="U355" i="37"/>
  <c r="Z355" i="37"/>
  <c r="AA435" i="37"/>
  <c r="AF435" i="37"/>
  <c r="U435" i="37"/>
  <c r="T397" i="37"/>
  <c r="Z397" i="37"/>
  <c r="Z428" i="37"/>
  <c r="AG428" i="37"/>
  <c r="U428" i="37"/>
  <c r="Y405" i="37"/>
  <c r="R405" i="37"/>
  <c r="T405" i="37"/>
  <c r="Z403" i="37"/>
  <c r="V403" i="37"/>
  <c r="AA368" i="37"/>
  <c r="AB368" i="37"/>
  <c r="V367" i="37"/>
  <c r="Z367" i="37"/>
  <c r="AH363" i="37"/>
  <c r="S363" i="37"/>
  <c r="Z363" i="37"/>
  <c r="V388" i="37"/>
  <c r="S388" i="37"/>
  <c r="Y388" i="37"/>
  <c r="T388" i="37"/>
  <c r="V444" i="37"/>
  <c r="X444" i="37"/>
  <c r="U444" i="37"/>
  <c r="AB444" i="37"/>
  <c r="AB322" i="37"/>
  <c r="AH322" i="37"/>
  <c r="P630" i="37"/>
  <c r="Z630" i="37"/>
  <c r="V666" i="37"/>
  <c r="X666" i="37"/>
  <c r="P485" i="37"/>
  <c r="AB485" i="37"/>
  <c r="Y722" i="37"/>
  <c r="T722" i="37"/>
  <c r="U436" i="37"/>
  <c r="AA436" i="37"/>
  <c r="Z436" i="37"/>
  <c r="Z458" i="37"/>
  <c r="V458" i="37"/>
  <c r="AB458" i="37"/>
  <c r="T458" i="37"/>
  <c r="S458" i="37"/>
  <c r="AE458" i="37"/>
  <c r="AH446" i="37"/>
  <c r="AB446" i="37"/>
  <c r="AA446" i="37"/>
  <c r="AE446" i="37"/>
  <c r="N765" i="37"/>
  <c r="Q765" i="37" s="1"/>
  <c r="Z765" i="37"/>
  <c r="AH529" i="37"/>
  <c r="T762" i="37"/>
  <c r="S762" i="37"/>
  <c r="Q762" i="37"/>
  <c r="AG421" i="37"/>
  <c r="AB441" i="37"/>
  <c r="AB428" i="37"/>
  <c r="AB342" i="37"/>
  <c r="R322" i="37"/>
  <c r="AF428" i="37"/>
  <c r="AB405" i="37"/>
  <c r="R435" i="37"/>
  <c r="AD452" i="37"/>
  <c r="AB397" i="37"/>
  <c r="Y440" i="37"/>
  <c r="U458" i="37"/>
  <c r="V467" i="37"/>
  <c r="V446" i="37"/>
  <c r="U446" i="37"/>
  <c r="AF403" i="37"/>
  <c r="V363" i="37"/>
  <c r="Y463" i="37"/>
  <c r="S436" i="37"/>
  <c r="AH469" i="37"/>
  <c r="T773" i="37"/>
  <c r="AA421" i="37"/>
  <c r="AH463" i="37"/>
  <c r="AD445" i="37"/>
  <c r="U367" i="37"/>
  <c r="V333" i="37"/>
  <c r="V428" i="37"/>
  <c r="R428" i="37"/>
  <c r="AD405" i="37"/>
  <c r="AB331" i="37"/>
  <c r="S452" i="37"/>
  <c r="S427" i="37"/>
  <c r="AF440" i="37"/>
  <c r="AD458" i="37"/>
  <c r="AG446" i="37"/>
  <c r="AD441" i="37"/>
  <c r="AG403" i="37"/>
  <c r="AA388" i="37"/>
  <c r="AA459" i="37"/>
  <c r="Y322" i="37"/>
  <c r="X436" i="37"/>
  <c r="AF357" i="37"/>
  <c r="V659" i="37"/>
  <c r="R642" i="37"/>
  <c r="Z310" i="37"/>
  <c r="Y310" i="37"/>
  <c r="AF423" i="37"/>
  <c r="AA423" i="37"/>
  <c r="AH472" i="37"/>
  <c r="S316" i="37"/>
  <c r="AF418" i="37"/>
  <c r="Y366" i="37"/>
  <c r="AE416" i="37"/>
  <c r="AG476" i="37"/>
  <c r="Y394" i="37"/>
  <c r="Q749" i="37"/>
  <c r="S765" i="37"/>
  <c r="AH523" i="37"/>
  <c r="AA523" i="37"/>
  <c r="U393" i="37"/>
  <c r="X351" i="37"/>
  <c r="S432" i="37"/>
  <c r="Q792" i="37"/>
  <c r="Y765" i="37"/>
  <c r="R759" i="37"/>
  <c r="P762" i="37"/>
  <c r="V762" i="37" s="1"/>
  <c r="S759" i="37"/>
  <c r="R762" i="37"/>
  <c r="V523" i="37"/>
  <c r="P523" i="37"/>
  <c r="U523" i="37"/>
  <c r="U460" i="37"/>
  <c r="AG310" i="37"/>
  <c r="AB310" i="37"/>
  <c r="X310" i="37"/>
  <c r="V423" i="37"/>
  <c r="Y423" i="37"/>
  <c r="AD423" i="37"/>
  <c r="AH421" i="37"/>
  <c r="AE383" i="37"/>
  <c r="U368" i="37"/>
  <c r="AF337" i="37"/>
  <c r="X428" i="37"/>
  <c r="AH428" i="37"/>
  <c r="U405" i="37"/>
  <c r="AF405" i="37"/>
  <c r="AE435" i="37"/>
  <c r="Y435" i="37"/>
  <c r="AB452" i="37"/>
  <c r="AE452" i="37"/>
  <c r="R397" i="37"/>
  <c r="Z427" i="37"/>
  <c r="AG440" i="37"/>
  <c r="AB358" i="37"/>
  <c r="AH467" i="37"/>
  <c r="T460" i="37"/>
  <c r="Y349" i="37"/>
  <c r="Z383" i="37"/>
  <c r="AF342" i="37"/>
  <c r="AG406" i="37"/>
  <c r="AB403" i="37"/>
  <c r="T368" i="37"/>
  <c r="AA343" i="37"/>
  <c r="Z444" i="37"/>
  <c r="U322" i="37"/>
  <c r="AG441" i="37"/>
  <c r="X363" i="37"/>
  <c r="AF463" i="37"/>
  <c r="R637" i="37"/>
  <c r="T792" i="37"/>
  <c r="T765" i="37"/>
  <c r="P792" i="37"/>
  <c r="V792" i="37" s="1"/>
  <c r="P759" i="37"/>
  <c r="V759" i="37" s="1"/>
  <c r="AB400" i="37"/>
  <c r="Z400" i="37"/>
  <c r="X359" i="37"/>
  <c r="Y359" i="37"/>
  <c r="AG374" i="37"/>
  <c r="S374" i="37"/>
  <c r="T374" i="37"/>
  <c r="V374" i="37"/>
  <c r="X382" i="37"/>
  <c r="AA382" i="37"/>
  <c r="R382" i="37"/>
  <c r="AB382" i="37"/>
  <c r="Z382" i="37"/>
  <c r="AF382" i="37"/>
  <c r="AB473" i="37"/>
  <c r="AG473" i="37"/>
  <c r="U473" i="37"/>
  <c r="U373" i="37"/>
  <c r="AF373" i="37"/>
  <c r="AA373" i="37"/>
  <c r="V373" i="37"/>
  <c r="R774" i="37"/>
  <c r="S774" i="37"/>
  <c r="R787" i="37"/>
  <c r="Q787" i="37"/>
  <c r="T787" i="37"/>
  <c r="AE410" i="37"/>
  <c r="R401" i="37"/>
  <c r="U327" i="37"/>
  <c r="V472" i="37"/>
  <c r="V316" i="37"/>
  <c r="V418" i="37"/>
  <c r="X416" i="37"/>
  <c r="T401" i="37"/>
  <c r="AF400" i="37"/>
  <c r="AG373" i="37"/>
  <c r="V348" i="37"/>
  <c r="S384" i="37"/>
  <c r="AF411" i="37"/>
  <c r="T380" i="37"/>
  <c r="AA395" i="37"/>
  <c r="AG348" i="37"/>
  <c r="S787" i="37"/>
  <c r="R776" i="37"/>
  <c r="Q776" i="37"/>
  <c r="P776" i="37"/>
  <c r="V776" i="37" s="1"/>
  <c r="P775" i="37"/>
  <c r="V775" i="37" s="1"/>
  <c r="S775" i="37"/>
  <c r="R775" i="37"/>
  <c r="Y421" i="37"/>
  <c r="S421" i="37"/>
  <c r="Z394" i="37"/>
  <c r="R359" i="37"/>
  <c r="AB327" i="37"/>
  <c r="AH336" i="37"/>
  <c r="Y428" i="37"/>
  <c r="S428" i="37"/>
  <c r="AA428" i="37"/>
  <c r="U472" i="37"/>
  <c r="AE405" i="37"/>
  <c r="S405" i="37"/>
  <c r="V405" i="37"/>
  <c r="AE316" i="37"/>
  <c r="Z316" i="37"/>
  <c r="U316" i="37"/>
  <c r="AH435" i="37"/>
  <c r="V435" i="37"/>
  <c r="U418" i="37"/>
  <c r="T418" i="37"/>
  <c r="AG418" i="37"/>
  <c r="Z366" i="37"/>
  <c r="AF416" i="37"/>
  <c r="AA416" i="37"/>
  <c r="AH476" i="37"/>
  <c r="AA401" i="37"/>
  <c r="R400" i="37"/>
  <c r="Y373" i="37"/>
  <c r="V359" i="37"/>
  <c r="S322" i="37"/>
  <c r="AH444" i="37"/>
  <c r="AH343" i="37"/>
  <c r="AE382" i="37"/>
  <c r="AH373" i="37"/>
  <c r="AD313" i="37"/>
  <c r="AF374" i="37"/>
  <c r="Y772" i="37"/>
  <c r="Q775" i="37"/>
  <c r="P538" i="37"/>
  <c r="Y538" i="37"/>
  <c r="X538" i="37"/>
  <c r="U538" i="37"/>
  <c r="T538" i="37"/>
  <c r="AA538" i="37"/>
  <c r="S538" i="37"/>
  <c r="S776" i="37"/>
  <c r="P344" i="37"/>
  <c r="AF344" i="37"/>
  <c r="P426" i="37"/>
  <c r="AA426" i="37"/>
  <c r="AB426" i="37"/>
  <c r="AE426" i="37"/>
  <c r="P442" i="37"/>
  <c r="AA442" i="37"/>
  <c r="AG336" i="37"/>
  <c r="T336" i="37"/>
  <c r="S336" i="37"/>
  <c r="AE464" i="37"/>
  <c r="AF464" i="37"/>
  <c r="U464" i="37"/>
  <c r="AG395" i="37"/>
  <c r="AD395" i="37"/>
  <c r="T395" i="37"/>
  <c r="AB395" i="37"/>
  <c r="AF395" i="37"/>
  <c r="U395" i="37"/>
  <c r="AH395" i="37"/>
  <c r="Y395" i="37"/>
  <c r="Z338" i="37"/>
  <c r="U338" i="37"/>
  <c r="S387" i="37"/>
  <c r="AD387" i="37"/>
  <c r="Y387" i="37"/>
  <c r="AG387" i="37"/>
  <c r="AF387" i="37"/>
  <c r="AA387" i="37"/>
  <c r="V312" i="37"/>
  <c r="S312" i="37"/>
  <c r="Y312" i="37"/>
  <c r="AA312" i="37"/>
  <c r="AD456" i="37"/>
  <c r="S456" i="37"/>
  <c r="AB456" i="37"/>
  <c r="R456" i="37"/>
  <c r="AE456" i="37"/>
  <c r="AA456" i="37"/>
  <c r="T410" i="37"/>
  <c r="AA410" i="37"/>
  <c r="AH410" i="37"/>
  <c r="AB410" i="37"/>
  <c r="U394" i="37"/>
  <c r="X394" i="37"/>
  <c r="Z416" i="37"/>
  <c r="AG416" i="37"/>
  <c r="T416" i="37"/>
  <c r="U416" i="37"/>
  <c r="V466" i="37"/>
  <c r="S466" i="37"/>
  <c r="N758" i="37"/>
  <c r="P758" i="37" s="1"/>
  <c r="X758" i="37"/>
  <c r="U384" i="37"/>
  <c r="AA384" i="37"/>
  <c r="AB384" i="37"/>
  <c r="AD384" i="37"/>
  <c r="Z384" i="37"/>
  <c r="Y411" i="37"/>
  <c r="AD411" i="37"/>
  <c r="R411" i="37"/>
  <c r="AE411" i="37"/>
  <c r="AG411" i="37"/>
  <c r="AB411" i="37"/>
  <c r="U380" i="37"/>
  <c r="AA380" i="37"/>
  <c r="AH380" i="37"/>
  <c r="R380" i="37"/>
  <c r="S380" i="37"/>
  <c r="AB380" i="37"/>
  <c r="X380" i="37"/>
  <c r="AF315" i="37"/>
  <c r="Z315" i="37"/>
  <c r="U315" i="37"/>
  <c r="V315" i="37"/>
  <c r="AB315" i="37"/>
  <c r="X315" i="37"/>
  <c r="R315" i="37"/>
  <c r="Q606" i="37"/>
  <c r="S606" i="37"/>
  <c r="P779" i="37"/>
  <c r="V779" i="37" s="1"/>
  <c r="Q779" i="37"/>
  <c r="T779" i="37"/>
  <c r="R779" i="37"/>
  <c r="V416" i="37"/>
  <c r="Z464" i="37"/>
  <c r="AE374" i="37"/>
  <c r="Z359" i="37"/>
  <c r="Y384" i="37"/>
  <c r="AG316" i="37"/>
  <c r="AA316" i="37"/>
  <c r="R316" i="37"/>
  <c r="AH418" i="37"/>
  <c r="AA418" i="37"/>
  <c r="AB366" i="37"/>
  <c r="AH416" i="37"/>
  <c r="U476" i="37"/>
  <c r="AF401" i="37"/>
  <c r="AG466" i="37"/>
  <c r="T466" i="37"/>
  <c r="AE336" i="37"/>
  <c r="R373" i="37"/>
  <c r="Y348" i="37"/>
  <c r="AH382" i="37"/>
  <c r="AH387" i="37"/>
  <c r="AG382" i="37"/>
  <c r="AG456" i="37"/>
  <c r="AA359" i="37"/>
  <c r="T464" i="37"/>
  <c r="Z410" i="37"/>
  <c r="AG313" i="37"/>
  <c r="AE373" i="37"/>
  <c r="X348" i="37"/>
  <c r="V338" i="37"/>
  <c r="AB472" i="37"/>
  <c r="AD316" i="37"/>
  <c r="Y316" i="37"/>
  <c r="Y418" i="37"/>
  <c r="S418" i="37"/>
  <c r="R418" i="37"/>
  <c r="V366" i="37"/>
  <c r="R416" i="37"/>
  <c r="S416" i="37"/>
  <c r="V476" i="37"/>
  <c r="Y401" i="37"/>
  <c r="Y466" i="37"/>
  <c r="T400" i="37"/>
  <c r="AF336" i="37"/>
  <c r="Z373" i="37"/>
  <c r="X456" i="37"/>
  <c r="S359" i="37"/>
  <c r="X384" i="37"/>
  <c r="T384" i="37"/>
  <c r="Z411" i="37"/>
  <c r="S411" i="37"/>
  <c r="Z348" i="37"/>
  <c r="Y382" i="37"/>
  <c r="AH473" i="37"/>
  <c r="Y456" i="37"/>
  <c r="AD374" i="37"/>
  <c r="X312" i="37"/>
  <c r="T394" i="37"/>
  <c r="V355" i="37"/>
  <c r="AE355" i="37"/>
  <c r="Y355" i="37"/>
  <c r="AD355" i="37"/>
  <c r="R378" i="37"/>
  <c r="AD378" i="37"/>
  <c r="AD372" i="37"/>
  <c r="AG372" i="37"/>
  <c r="S372" i="37"/>
  <c r="X406" i="37"/>
  <c r="R406" i="37"/>
  <c r="AE397" i="37"/>
  <c r="X397" i="37"/>
  <c r="R361" i="37"/>
  <c r="AG361" i="37"/>
  <c r="AE361" i="37"/>
  <c r="AB361" i="37"/>
  <c r="U361" i="37"/>
  <c r="T361" i="37"/>
  <c r="AA361" i="37"/>
  <c r="P405" i="37"/>
  <c r="Z405" i="37"/>
  <c r="U403" i="37"/>
  <c r="AD403" i="37"/>
  <c r="AE403" i="37"/>
  <c r="Y403" i="37"/>
  <c r="S403" i="37"/>
  <c r="R403" i="37"/>
  <c r="X403" i="37"/>
  <c r="AH403" i="37"/>
  <c r="Z368" i="37"/>
  <c r="V368" i="37"/>
  <c r="R368" i="37"/>
  <c r="S368" i="37"/>
  <c r="Y368" i="37"/>
  <c r="T367" i="37"/>
  <c r="AH367" i="37"/>
  <c r="AF367" i="37"/>
  <c r="AB367" i="37"/>
  <c r="R363" i="37"/>
  <c r="AB363" i="37"/>
  <c r="AF363" i="37"/>
  <c r="Y363" i="37"/>
  <c r="AA363" i="37"/>
  <c r="AD363" i="37"/>
  <c r="AG363" i="37"/>
  <c r="T363" i="37"/>
  <c r="AD388" i="37"/>
  <c r="R388" i="37"/>
  <c r="X388" i="37"/>
  <c r="U388" i="37"/>
  <c r="Z388" i="37"/>
  <c r="AB388" i="37"/>
  <c r="AE388" i="37"/>
  <c r="AG388" i="37"/>
  <c r="R343" i="37"/>
  <c r="AF343" i="37"/>
  <c r="AB343" i="37"/>
  <c r="AG343" i="37"/>
  <c r="T343" i="37"/>
  <c r="U343" i="37"/>
  <c r="X343" i="37"/>
  <c r="S343" i="37"/>
  <c r="AE343" i="37"/>
  <c r="AD444" i="37"/>
  <c r="R444" i="37"/>
  <c r="AF444" i="37"/>
  <c r="T444" i="37"/>
  <c r="AG444" i="37"/>
  <c r="AA444" i="37"/>
  <c r="Y444" i="37"/>
  <c r="V322" i="37"/>
  <c r="T322" i="37"/>
  <c r="AG322" i="37"/>
  <c r="X322" i="37"/>
  <c r="AD322" i="37"/>
  <c r="AF322" i="37"/>
  <c r="Z322" i="37"/>
  <c r="AE322" i="37"/>
  <c r="AG463" i="37"/>
  <c r="S463" i="37"/>
  <c r="T463" i="37"/>
  <c r="AE463" i="37"/>
  <c r="V463" i="37"/>
  <c r="U463" i="37"/>
  <c r="N643" i="37"/>
  <c r="X643" i="37"/>
  <c r="V643" i="37"/>
  <c r="W643" i="37"/>
  <c r="N622" i="37"/>
  <c r="Z622" i="37"/>
  <c r="V622" i="37"/>
  <c r="Q622" i="37"/>
  <c r="N630" i="37"/>
  <c r="X630" i="37"/>
  <c r="Q630" i="37"/>
  <c r="S630" i="37"/>
  <c r="N635" i="37"/>
  <c r="X635" i="37"/>
  <c r="N642" i="37"/>
  <c r="S642" i="37"/>
  <c r="V642" i="37"/>
  <c r="P642" i="37"/>
  <c r="N666" i="37"/>
  <c r="Z666" i="37"/>
  <c r="S666" i="37"/>
  <c r="N664" i="37"/>
  <c r="Z664" i="37"/>
  <c r="N621" i="37"/>
  <c r="V621" i="37"/>
  <c r="Q621" i="37"/>
  <c r="Z621" i="37"/>
  <c r="R621" i="37"/>
  <c r="AG352" i="37"/>
  <c r="AE352" i="37"/>
  <c r="AB469" i="37"/>
  <c r="U469" i="37"/>
  <c r="X632" i="37"/>
  <c r="Z632" i="37"/>
  <c r="Z628" i="37"/>
  <c r="W628" i="37"/>
  <c r="T563" i="37"/>
  <c r="Z563" i="37"/>
  <c r="N588" i="37"/>
  <c r="W588" i="37"/>
  <c r="X588" i="37"/>
  <c r="N608" i="37"/>
  <c r="Q608" i="37"/>
  <c r="P608" i="37"/>
  <c r="V608" i="37" s="1"/>
  <c r="S608" i="37"/>
  <c r="P436" i="37"/>
  <c r="AB436" i="37"/>
  <c r="Y436" i="37"/>
  <c r="R436" i="37"/>
  <c r="P479" i="37"/>
  <c r="AB479" i="37"/>
  <c r="Y458" i="37"/>
  <c r="R458" i="37"/>
  <c r="AG458" i="37"/>
  <c r="X458" i="37"/>
  <c r="Y446" i="37"/>
  <c r="R446" i="37"/>
  <c r="AD446" i="37"/>
  <c r="S446" i="37"/>
  <c r="R357" i="37"/>
  <c r="AE357" i="37"/>
  <c r="AB357" i="37"/>
  <c r="T357" i="37"/>
  <c r="P376" i="37"/>
  <c r="AH376" i="37"/>
  <c r="V376" i="37"/>
  <c r="AB376" i="37"/>
  <c r="P475" i="37"/>
  <c r="AG475" i="37"/>
  <c r="V437" i="37"/>
  <c r="AB437" i="37"/>
  <c r="P381" i="37"/>
  <c r="AE381" i="37"/>
  <c r="R386" i="37"/>
  <c r="P454" i="37"/>
  <c r="Y454" i="37"/>
  <c r="AG347" i="37"/>
  <c r="AB347" i="37"/>
  <c r="AB365" i="37"/>
  <c r="U365" i="37"/>
  <c r="T430" i="37"/>
  <c r="Z430" i="37"/>
  <c r="Y448" i="37"/>
  <c r="AD448" i="37"/>
  <c r="AB398" i="37"/>
  <c r="U398" i="37"/>
  <c r="X445" i="37"/>
  <c r="Z445" i="37"/>
  <c r="P459" i="37"/>
  <c r="V459" i="37"/>
  <c r="Y459" i="37"/>
  <c r="P417" i="37"/>
  <c r="S417" i="37"/>
  <c r="AA370" i="37"/>
  <c r="AH370" i="37"/>
  <c r="T385" i="37"/>
  <c r="AE385" i="37"/>
  <c r="AH362" i="37"/>
  <c r="AE362" i="37"/>
  <c r="P325" i="37"/>
  <c r="Z325" i="37"/>
  <c r="U475" i="37"/>
  <c r="V324" i="37"/>
  <c r="AG321" i="37"/>
  <c r="U364" i="37"/>
  <c r="AH477" i="37"/>
  <c r="V325" i="37"/>
  <c r="AF404" i="37"/>
  <c r="V404" i="37"/>
  <c r="U389" i="37"/>
  <c r="AG389" i="37"/>
  <c r="P451" i="37"/>
  <c r="AD451" i="37"/>
  <c r="P453" i="37"/>
  <c r="AF453" i="37"/>
  <c r="S371" i="37"/>
  <c r="V358" i="37"/>
  <c r="V455" i="37"/>
  <c r="AA455" i="37"/>
  <c r="S440" i="37"/>
  <c r="T358" i="37"/>
  <c r="AF460" i="37"/>
  <c r="AG351" i="37"/>
  <c r="X349" i="37"/>
  <c r="AF347" i="37"/>
  <c r="T465" i="37"/>
  <c r="Y419" i="37"/>
  <c r="AE430" i="37"/>
  <c r="AD386" i="37"/>
  <c r="AF399" i="37"/>
  <c r="AA385" i="37"/>
  <c r="AA321" i="37"/>
  <c r="X364" i="37"/>
  <c r="S459" i="37"/>
  <c r="U441" i="37"/>
  <c r="Z354" i="37"/>
  <c r="R404" i="37"/>
  <c r="V344" i="37"/>
  <c r="AG454" i="37"/>
  <c r="X326" i="37"/>
  <c r="AF371" i="37"/>
  <c r="U377" i="37"/>
  <c r="AG320" i="37"/>
  <c r="P770" i="37"/>
  <c r="V770" i="37" s="1"/>
  <c r="T770" i="37"/>
  <c r="R770" i="37"/>
  <c r="P443" i="37"/>
  <c r="AH443" i="37"/>
  <c r="AE408" i="37"/>
  <c r="V408" i="37"/>
  <c r="AG408" i="37"/>
  <c r="AA386" i="37"/>
  <c r="AG443" i="37"/>
  <c r="S362" i="37"/>
  <c r="AF369" i="37"/>
  <c r="S351" i="37"/>
  <c r="AF365" i="37"/>
  <c r="AB362" i="37"/>
  <c r="V326" i="37"/>
  <c r="X399" i="37"/>
  <c r="R408" i="37"/>
  <c r="R364" i="37"/>
  <c r="AD437" i="37"/>
  <c r="V386" i="37"/>
  <c r="Y381" i="37"/>
  <c r="AE437" i="37"/>
  <c r="S414" i="37"/>
  <c r="AG393" i="37"/>
  <c r="U347" i="37"/>
  <c r="Y345" i="37"/>
  <c r="Y393" i="37"/>
  <c r="S451" i="37"/>
  <c r="AB414" i="37"/>
  <c r="U320" i="37"/>
  <c r="AH365" i="37"/>
  <c r="AB401" i="37"/>
  <c r="X401" i="37"/>
  <c r="N610" i="37"/>
  <c r="W610" i="37"/>
  <c r="P464" i="37"/>
  <c r="AH464" i="37"/>
  <c r="Z395" i="37"/>
  <c r="S395" i="37"/>
  <c r="R395" i="37"/>
  <c r="AB359" i="37"/>
  <c r="U359" i="37"/>
  <c r="P374" i="37"/>
  <c r="AA374" i="37"/>
  <c r="P338" i="37"/>
  <c r="AG338" i="37"/>
  <c r="AH338" i="37"/>
  <c r="AF338" i="37"/>
  <c r="T382" i="37"/>
  <c r="S382" i="37"/>
  <c r="U382" i="37"/>
  <c r="P348" i="37"/>
  <c r="AF348" i="37"/>
  <c r="U348" i="37"/>
  <c r="S348" i="37"/>
  <c r="P387" i="37"/>
  <c r="V387" i="37"/>
  <c r="P312" i="37"/>
  <c r="T312" i="37"/>
  <c r="Z312" i="37"/>
  <c r="P456" i="37"/>
  <c r="T456" i="37"/>
  <c r="V456" i="37"/>
  <c r="AF456" i="37"/>
  <c r="Z456" i="37"/>
  <c r="U456" i="37"/>
  <c r="P410" i="37"/>
  <c r="Y410" i="37"/>
  <c r="AG410" i="37"/>
  <c r="AG394" i="37"/>
  <c r="AH394" i="37"/>
  <c r="AD394" i="37"/>
  <c r="AH327" i="37"/>
  <c r="V327" i="37"/>
  <c r="P476" i="37"/>
  <c r="AA476" i="37"/>
  <c r="AE466" i="37"/>
  <c r="AA466" i="37"/>
  <c r="Z466" i="37"/>
  <c r="AH466" i="37"/>
  <c r="T373" i="37"/>
  <c r="S373" i="37"/>
  <c r="AG384" i="37"/>
  <c r="AF384" i="37"/>
  <c r="V384" i="37"/>
  <c r="P411" i="37"/>
  <c r="AH411" i="37"/>
  <c r="X411" i="37"/>
  <c r="T411" i="37"/>
  <c r="AG380" i="37"/>
  <c r="Z380" i="37"/>
  <c r="V380" i="37"/>
  <c r="Y380" i="37"/>
  <c r="P315" i="37"/>
  <c r="AG315" i="37"/>
  <c r="Y315" i="37"/>
  <c r="AH315" i="37"/>
  <c r="P318" i="37"/>
  <c r="U318" i="37"/>
  <c r="N644" i="37"/>
  <c r="T644" i="37" s="1"/>
  <c r="N783" i="37"/>
  <c r="R783" i="37" s="1"/>
  <c r="Z386" i="37"/>
  <c r="Y399" i="37"/>
  <c r="Y371" i="37"/>
  <c r="X362" i="37"/>
  <c r="AB324" i="37"/>
  <c r="U324" i="37"/>
  <c r="AF393" i="37"/>
  <c r="R362" i="37"/>
  <c r="T321" i="37"/>
  <c r="AD321" i="37"/>
  <c r="AA443" i="37"/>
  <c r="X443" i="37"/>
  <c r="AE399" i="37"/>
  <c r="AB370" i="37"/>
  <c r="V370" i="37"/>
  <c r="AF385" i="37"/>
  <c r="Y385" i="37"/>
  <c r="Z385" i="37"/>
  <c r="AF321" i="37"/>
  <c r="Z321" i="37"/>
  <c r="Z408" i="37"/>
  <c r="U408" i="37"/>
  <c r="T408" i="37"/>
  <c r="AA362" i="37"/>
  <c r="AF362" i="37"/>
  <c r="AB475" i="37"/>
  <c r="AD364" i="37"/>
  <c r="V364" i="37"/>
  <c r="T364" i="37"/>
  <c r="U325" i="37"/>
  <c r="Z437" i="37"/>
  <c r="R437" i="37"/>
  <c r="AH437" i="37"/>
  <c r="AE386" i="37"/>
  <c r="T386" i="37"/>
  <c r="AH381" i="37"/>
  <c r="AD381" i="37"/>
  <c r="X381" i="37"/>
  <c r="AB477" i="37"/>
  <c r="AB325" i="37"/>
  <c r="AD345" i="37"/>
  <c r="AG345" i="37"/>
  <c r="AH369" i="37"/>
  <c r="T393" i="37"/>
  <c r="AA371" i="37"/>
  <c r="AH377" i="37"/>
  <c r="V377" i="37"/>
  <c r="AA414" i="37"/>
  <c r="Z417" i="37"/>
  <c r="AD417" i="37"/>
  <c r="Z320" i="37"/>
  <c r="Y320" i="37"/>
  <c r="T422" i="37"/>
  <c r="W602" i="37"/>
  <c r="W650" i="37"/>
  <c r="R381" i="37"/>
  <c r="U369" i="37"/>
  <c r="V320" i="37"/>
  <c r="AH324" i="37"/>
  <c r="T324" i="37"/>
  <c r="AB332" i="37"/>
  <c r="R385" i="37"/>
  <c r="AH321" i="37"/>
  <c r="T443" i="37"/>
  <c r="AF443" i="37"/>
  <c r="Z399" i="37"/>
  <c r="S399" i="37"/>
  <c r="AG370" i="37"/>
  <c r="AD385" i="37"/>
  <c r="X385" i="37"/>
  <c r="U385" i="37"/>
  <c r="AE321" i="37"/>
  <c r="X321" i="37"/>
  <c r="AD408" i="37"/>
  <c r="Y408" i="37"/>
  <c r="S408" i="37"/>
  <c r="T362" i="37"/>
  <c r="Y362" i="37"/>
  <c r="AH475" i="37"/>
  <c r="AB364" i="37"/>
  <c r="AA364" i="37"/>
  <c r="S364" i="37"/>
  <c r="AG437" i="37"/>
  <c r="AF437" i="37"/>
  <c r="T437" i="37"/>
  <c r="AH386" i="37"/>
  <c r="U386" i="37"/>
  <c r="AG386" i="37"/>
  <c r="AG381" i="37"/>
  <c r="AB381" i="37"/>
  <c r="V381" i="37"/>
  <c r="AG371" i="37"/>
  <c r="AG362" i="37"/>
  <c r="AH325" i="37"/>
  <c r="AF345" i="37"/>
  <c r="S345" i="37"/>
  <c r="AD369" i="37"/>
  <c r="S393" i="37"/>
  <c r="AD371" i="37"/>
  <c r="Z377" i="37"/>
  <c r="AH414" i="37"/>
  <c r="X414" i="37"/>
  <c r="AG417" i="37"/>
  <c r="X417" i="37"/>
  <c r="AB320" i="37"/>
  <c r="R320" i="37"/>
  <c r="R613" i="37"/>
  <c r="AG364" i="37"/>
  <c r="X437" i="37"/>
  <c r="V371" i="37"/>
  <c r="S321" i="37"/>
  <c r="S377" i="37"/>
  <c r="AD362" i="37"/>
  <c r="Z345" i="37"/>
  <c r="AF325" i="37"/>
  <c r="AG324" i="37"/>
  <c r="R443" i="37"/>
  <c r="S381" i="37"/>
  <c r="Y377" i="37"/>
  <c r="AB377" i="37"/>
  <c r="T325" i="37"/>
  <c r="AE443" i="37"/>
  <c r="V443" i="37"/>
  <c r="T399" i="37"/>
  <c r="AG399" i="37"/>
  <c r="AH385" i="37"/>
  <c r="AB385" i="37"/>
  <c r="V385" i="37"/>
  <c r="AB321" i="37"/>
  <c r="V321" i="37"/>
  <c r="AB408" i="37"/>
  <c r="X408" i="37"/>
  <c r="AA408" i="37"/>
  <c r="U362" i="37"/>
  <c r="V362" i="37"/>
  <c r="AA475" i="37"/>
  <c r="V475" i="37"/>
  <c r="AF364" i="37"/>
  <c r="Y364" i="37"/>
  <c r="U437" i="37"/>
  <c r="Y437" i="37"/>
  <c r="AF386" i="37"/>
  <c r="X386" i="37"/>
  <c r="AF381" i="37"/>
  <c r="AA381" i="37"/>
  <c r="U381" i="37"/>
  <c r="Y321" i="37"/>
  <c r="T345" i="37"/>
  <c r="R369" i="37"/>
  <c r="AB369" i="37"/>
  <c r="AD393" i="37"/>
  <c r="Z393" i="37"/>
  <c r="AE371" i="37"/>
  <c r="T377" i="37"/>
  <c r="AG414" i="37"/>
  <c r="V414" i="37"/>
  <c r="Y417" i="37"/>
  <c r="T320" i="37"/>
  <c r="AF422" i="37"/>
  <c r="AE422" i="37"/>
  <c r="T339" i="37"/>
  <c r="AE423" i="37"/>
  <c r="AD453" i="37"/>
  <c r="AG460" i="37"/>
  <c r="AA460" i="37"/>
  <c r="Y351" i="37"/>
  <c r="AD351" i="37"/>
  <c r="V351" i="37"/>
  <c r="AF383" i="37"/>
  <c r="U383" i="37"/>
  <c r="T347" i="37"/>
  <c r="S347" i="37"/>
  <c r="AH347" i="37"/>
  <c r="AG398" i="37"/>
  <c r="Y365" i="37"/>
  <c r="AA365" i="37"/>
  <c r="Y445" i="37"/>
  <c r="S445" i="37"/>
  <c r="AE419" i="37"/>
  <c r="S419" i="37"/>
  <c r="S448" i="37"/>
  <c r="Z448" i="37"/>
  <c r="U434" i="37"/>
  <c r="AE460" i="37"/>
  <c r="R402" i="37"/>
  <c r="T337" i="37"/>
  <c r="V330" i="37"/>
  <c r="U459" i="37"/>
  <c r="AE459" i="37"/>
  <c r="Z459" i="37"/>
  <c r="V441" i="37"/>
  <c r="Z441" i="37"/>
  <c r="S441" i="37"/>
  <c r="X432" i="37"/>
  <c r="U453" i="37"/>
  <c r="AH404" i="37"/>
  <c r="AD389" i="37"/>
  <c r="Y451" i="37"/>
  <c r="S454" i="37"/>
  <c r="AA454" i="37"/>
  <c r="R453" i="37"/>
  <c r="S453" i="37"/>
  <c r="AG326" i="37"/>
  <c r="V432" i="37"/>
  <c r="AD341" i="37"/>
  <c r="AF441" i="37"/>
  <c r="Z461" i="37"/>
  <c r="R620" i="37"/>
  <c r="R777" i="37"/>
  <c r="T772" i="37"/>
  <c r="Q763" i="37"/>
  <c r="P529" i="37"/>
  <c r="AB326" i="37"/>
  <c r="U432" i="37"/>
  <c r="U404" i="37"/>
  <c r="AA326" i="37"/>
  <c r="AB460" i="37"/>
  <c r="Z460" i="37"/>
  <c r="Y460" i="37"/>
  <c r="AH351" i="37"/>
  <c r="AB351" i="37"/>
  <c r="AF351" i="37"/>
  <c r="AA383" i="37"/>
  <c r="Z347" i="37"/>
  <c r="Y347" i="37"/>
  <c r="R347" i="37"/>
  <c r="AA347" i="37"/>
  <c r="V398" i="37"/>
  <c r="X365" i="37"/>
  <c r="V365" i="37"/>
  <c r="R445" i="37"/>
  <c r="V445" i="37"/>
  <c r="X419" i="37"/>
  <c r="V419" i="37"/>
  <c r="AG448" i="37"/>
  <c r="U448" i="37"/>
  <c r="R389" i="37"/>
  <c r="Z365" i="37"/>
  <c r="AG337" i="37"/>
  <c r="AB330" i="37"/>
  <c r="AF459" i="37"/>
  <c r="AH459" i="37"/>
  <c r="AD459" i="37"/>
  <c r="AE441" i="37"/>
  <c r="AH441" i="37"/>
  <c r="T434" i="37"/>
  <c r="AF407" i="37"/>
  <c r="U402" i="37"/>
  <c r="S365" i="37"/>
  <c r="Z404" i="37"/>
  <c r="AA389" i="37"/>
  <c r="AB451" i="37"/>
  <c r="AA451" i="37"/>
  <c r="AD454" i="37"/>
  <c r="AG453" i="37"/>
  <c r="AB453" i="37"/>
  <c r="Z326" i="37"/>
  <c r="AA432" i="37"/>
  <c r="Z419" i="37"/>
  <c r="S337" i="37"/>
  <c r="T441" i="37"/>
  <c r="AA461" i="37"/>
  <c r="AG461" i="37"/>
  <c r="V600" i="37"/>
  <c r="W654" i="37"/>
  <c r="AB529" i="37"/>
  <c r="R351" i="37"/>
  <c r="AG365" i="37"/>
  <c r="AE351" i="37"/>
  <c r="AH460" i="37"/>
  <c r="S460" i="37"/>
  <c r="V460" i="37"/>
  <c r="AA351" i="37"/>
  <c r="T351" i="37"/>
  <c r="AD347" i="37"/>
  <c r="X347" i="37"/>
  <c r="Z398" i="37"/>
  <c r="R365" i="37"/>
  <c r="T448" i="37"/>
  <c r="AG419" i="37"/>
  <c r="X459" i="37"/>
  <c r="T459" i="37"/>
  <c r="AG459" i="37"/>
  <c r="AB459" i="37"/>
  <c r="R441" i="37"/>
  <c r="AA441" i="37"/>
  <c r="S389" i="37"/>
  <c r="AD365" i="37"/>
  <c r="T404" i="37"/>
  <c r="AB404" i="37"/>
  <c r="AE389" i="37"/>
  <c r="X389" i="37"/>
  <c r="AH451" i="37"/>
  <c r="X451" i="37"/>
  <c r="AB454" i="37"/>
  <c r="V454" i="37"/>
  <c r="Z453" i="37"/>
  <c r="AD326" i="37"/>
  <c r="AH326" i="37"/>
  <c r="Y441" i="37"/>
  <c r="R600" i="37"/>
  <c r="Q770" i="37"/>
  <c r="S770" i="37"/>
  <c r="AH510" i="37"/>
  <c r="U510" i="37"/>
  <c r="P471" i="37"/>
  <c r="AH471" i="37"/>
  <c r="V471" i="37"/>
  <c r="Q653" i="37"/>
  <c r="R653" i="37"/>
  <c r="Z611" i="37"/>
  <c r="P611" i="37"/>
  <c r="Z636" i="37"/>
  <c r="P636" i="37"/>
  <c r="P429" i="37"/>
  <c r="AD429" i="37"/>
  <c r="AG429" i="37"/>
  <c r="V429" i="37"/>
  <c r="AD419" i="37"/>
  <c r="AA419" i="37"/>
  <c r="AH419" i="37"/>
  <c r="T419" i="37"/>
  <c r="R419" i="37"/>
  <c r="U419" i="37"/>
  <c r="P430" i="37"/>
  <c r="S430" i="37"/>
  <c r="AD430" i="37"/>
  <c r="X430" i="37"/>
  <c r="Y430" i="37"/>
  <c r="P434" i="37"/>
  <c r="Y434" i="37"/>
  <c r="AH434" i="37"/>
  <c r="AF434" i="37"/>
  <c r="R434" i="37"/>
  <c r="V434" i="37"/>
  <c r="P482" i="37"/>
  <c r="AH482" i="37"/>
  <c r="V482" i="37"/>
  <c r="P448" i="37"/>
  <c r="AF448" i="37"/>
  <c r="AB448" i="37"/>
  <c r="AH448" i="37"/>
  <c r="V448" i="37"/>
  <c r="R448" i="37"/>
  <c r="P407" i="37"/>
  <c r="T407" i="37"/>
  <c r="AG407" i="37"/>
  <c r="AA407" i="37"/>
  <c r="U407" i="37"/>
  <c r="AH407" i="37"/>
  <c r="AE407" i="37"/>
  <c r="P478" i="37"/>
  <c r="V478" i="37"/>
  <c r="AH478" i="37"/>
  <c r="P354" i="37"/>
  <c r="R354" i="37"/>
  <c r="AE354" i="37"/>
  <c r="AG354" i="37"/>
  <c r="AF354" i="37"/>
  <c r="P333" i="37"/>
  <c r="AG333" i="37"/>
  <c r="Y333" i="37"/>
  <c r="AB333" i="37"/>
  <c r="X333" i="37"/>
  <c r="P342" i="37"/>
  <c r="Y342" i="37"/>
  <c r="T342" i="37"/>
  <c r="V342" i="37"/>
  <c r="AH342" i="37"/>
  <c r="X342" i="37"/>
  <c r="AA342" i="37"/>
  <c r="AE342" i="37"/>
  <c r="P402" i="37"/>
  <c r="AH402" i="37"/>
  <c r="AF402" i="37"/>
  <c r="T402" i="37"/>
  <c r="Z402" i="37"/>
  <c r="P331" i="37"/>
  <c r="V331" i="37"/>
  <c r="P452" i="37"/>
  <c r="T452" i="37"/>
  <c r="Y452" i="37"/>
  <c r="AG452" i="37"/>
  <c r="R452" i="37"/>
  <c r="AA452" i="37"/>
  <c r="AH427" i="37"/>
  <c r="AF427" i="37"/>
  <c r="AB427" i="37"/>
  <c r="U427" i="37"/>
  <c r="Y427" i="37"/>
  <c r="V427" i="37"/>
  <c r="X427" i="37"/>
  <c r="AA427" i="37"/>
  <c r="P440" i="37"/>
  <c r="V440" i="37"/>
  <c r="AB440" i="37"/>
  <c r="AH440" i="37"/>
  <c r="X440" i="37"/>
  <c r="U440" i="37"/>
  <c r="AD440" i="37"/>
  <c r="R440" i="37"/>
  <c r="P467" i="37"/>
  <c r="AF467" i="37"/>
  <c r="AG467" i="37"/>
  <c r="Z467" i="37"/>
  <c r="P349" i="37"/>
  <c r="T349" i="37"/>
  <c r="AH349" i="37"/>
  <c r="S349" i="37"/>
  <c r="AE349" i="37"/>
  <c r="AB349" i="37"/>
  <c r="AF349" i="37"/>
  <c r="V349" i="37"/>
  <c r="P383" i="37"/>
  <c r="V383" i="37"/>
  <c r="AB383" i="37"/>
  <c r="AH383" i="37"/>
  <c r="X383" i="37"/>
  <c r="AD383" i="37"/>
  <c r="P398" i="37"/>
  <c r="AE398" i="37"/>
  <c r="AA398" i="37"/>
  <c r="AD398" i="37"/>
  <c r="T398" i="37"/>
  <c r="S398" i="37"/>
  <c r="X398" i="37"/>
  <c r="P445" i="37"/>
  <c r="T445" i="37"/>
  <c r="AH445" i="37"/>
  <c r="AG445" i="37"/>
  <c r="AA445" i="37"/>
  <c r="AB445" i="37"/>
  <c r="AF445" i="37"/>
  <c r="AE445" i="37"/>
  <c r="P328" i="37"/>
  <c r="S328" i="37"/>
  <c r="P420" i="37"/>
  <c r="V420" i="37"/>
  <c r="U420" i="37"/>
  <c r="P481" i="37"/>
  <c r="AH481" i="37"/>
  <c r="AB481" i="37"/>
  <c r="V481" i="37"/>
  <c r="N674" i="37"/>
  <c r="V674" i="37"/>
  <c r="T355" i="37"/>
  <c r="AG355" i="37"/>
  <c r="AA355" i="37"/>
  <c r="X355" i="37"/>
  <c r="AH355" i="37"/>
  <c r="S355" i="37"/>
  <c r="AB355" i="37"/>
  <c r="AF355" i="37"/>
  <c r="AE378" i="37"/>
  <c r="V378" i="37"/>
  <c r="U378" i="37"/>
  <c r="S378" i="37"/>
  <c r="AF378" i="37"/>
  <c r="T378" i="37"/>
  <c r="X378" i="37"/>
  <c r="AH378" i="37"/>
  <c r="AG378" i="37"/>
  <c r="Y372" i="37"/>
  <c r="AH372" i="37"/>
  <c r="AB372" i="37"/>
  <c r="X372" i="37"/>
  <c r="T372" i="37"/>
  <c r="AA372" i="37"/>
  <c r="R372" i="37"/>
  <c r="AF372" i="37"/>
  <c r="V372" i="37"/>
  <c r="Z372" i="37"/>
  <c r="AF406" i="37"/>
  <c r="V406" i="37"/>
  <c r="AB406" i="37"/>
  <c r="S406" i="37"/>
  <c r="Y406" i="37"/>
  <c r="Z406" i="37"/>
  <c r="AH406" i="37"/>
  <c r="AA406" i="37"/>
  <c r="T406" i="37"/>
  <c r="U406" i="37"/>
  <c r="Z435" i="37"/>
  <c r="T435" i="37"/>
  <c r="AD435" i="37"/>
  <c r="X435" i="37"/>
  <c r="Y397" i="37"/>
  <c r="AA397" i="37"/>
  <c r="AH397" i="37"/>
  <c r="U397" i="37"/>
  <c r="AD397" i="37"/>
  <c r="AG397" i="37"/>
  <c r="S397" i="37"/>
  <c r="N614" i="37"/>
  <c r="P614" i="37"/>
  <c r="V614" i="37" s="1"/>
  <c r="N649" i="37"/>
  <c r="X649" i="37"/>
  <c r="P649" i="37"/>
  <c r="R649" i="37"/>
  <c r="N648" i="37"/>
  <c r="W648" i="37"/>
  <c r="S648" i="37"/>
  <c r="Z648" i="37"/>
  <c r="N584" i="37"/>
  <c r="P584" i="37" s="1"/>
  <c r="W584" i="37"/>
  <c r="Q584" i="37"/>
  <c r="AB471" i="37"/>
  <c r="Q636" i="37"/>
  <c r="Y360" i="37"/>
  <c r="AA360" i="37"/>
  <c r="S360" i="37"/>
  <c r="P474" i="37"/>
  <c r="U474" i="37"/>
  <c r="AA474" i="37"/>
  <c r="Q703" i="37"/>
  <c r="Z703" i="37"/>
  <c r="V705" i="37"/>
  <c r="Q705" i="37"/>
  <c r="R705" i="37"/>
  <c r="T313" i="37"/>
  <c r="AE391" i="37"/>
  <c r="P787" i="37"/>
  <c r="V787" i="37" s="1"/>
  <c r="X421" i="37"/>
  <c r="AB420" i="37"/>
  <c r="AE420" i="37"/>
  <c r="AF421" i="37"/>
  <c r="AE421" i="37"/>
  <c r="Z328" i="37"/>
  <c r="U392" i="37"/>
  <c r="U341" i="37"/>
  <c r="Q690" i="37"/>
  <c r="Y328" i="37"/>
  <c r="X404" i="37"/>
  <c r="U451" i="37"/>
  <c r="S404" i="37"/>
  <c r="AE404" i="37"/>
  <c r="AG404" i="37"/>
  <c r="AD404" i="37"/>
  <c r="AA404" i="37"/>
  <c r="AH389" i="37"/>
  <c r="AF389" i="37"/>
  <c r="AB389" i="37"/>
  <c r="Y389" i="37"/>
  <c r="V389" i="37"/>
  <c r="Z344" i="37"/>
  <c r="AE451" i="37"/>
  <c r="AF451" i="37"/>
  <c r="Z451" i="37"/>
  <c r="T451" i="37"/>
  <c r="R451" i="37"/>
  <c r="V451" i="37"/>
  <c r="AG451" i="37"/>
  <c r="Y426" i="37"/>
  <c r="U454" i="37"/>
  <c r="Z454" i="37"/>
  <c r="AE454" i="37"/>
  <c r="R454" i="37"/>
  <c r="AH454" i="37"/>
  <c r="T454" i="37"/>
  <c r="AF454" i="37"/>
  <c r="AD442" i="37"/>
  <c r="AF442" i="37"/>
  <c r="AB313" i="37"/>
  <c r="S313" i="37"/>
  <c r="Y453" i="37"/>
  <c r="AE453" i="37"/>
  <c r="X453" i="37"/>
  <c r="V453" i="37"/>
  <c r="T453" i="37"/>
  <c r="AH453" i="37"/>
  <c r="T326" i="37"/>
  <c r="AE326" i="37"/>
  <c r="U326" i="37"/>
  <c r="Y326" i="37"/>
  <c r="S326" i="37"/>
  <c r="AF432" i="37"/>
  <c r="AH432" i="37"/>
  <c r="AD432" i="37"/>
  <c r="AB339" i="37"/>
  <c r="AF388" i="37"/>
  <c r="AG325" i="37"/>
  <c r="U339" i="37"/>
  <c r="Y339" i="37"/>
  <c r="AA339" i="37"/>
  <c r="V361" i="37"/>
  <c r="Z361" i="37"/>
  <c r="R607" i="37"/>
  <c r="AH329" i="37"/>
  <c r="Z341" i="37"/>
  <c r="T412" i="37"/>
  <c r="T432" i="37"/>
  <c r="AE432" i="37"/>
  <c r="AG432" i="37"/>
  <c r="Z432" i="37"/>
  <c r="S339" i="37"/>
  <c r="AG339" i="37"/>
  <c r="AA325" i="37"/>
  <c r="AH361" i="37"/>
  <c r="AF361" i="37"/>
  <c r="AD422" i="37"/>
  <c r="Y424" i="37"/>
  <c r="AE339" i="37"/>
  <c r="AB424" i="37"/>
  <c r="AD339" i="37"/>
  <c r="AF339" i="37"/>
  <c r="R339" i="37"/>
  <c r="W639" i="37"/>
  <c r="S617" i="37"/>
  <c r="Z635" i="37"/>
  <c r="P705" i="37"/>
  <c r="S779" i="37"/>
  <c r="N772" i="37"/>
  <c r="S772" i="37"/>
  <c r="AB464" i="37"/>
  <c r="AG430" i="37"/>
  <c r="V337" i="37"/>
  <c r="AG464" i="37"/>
  <c r="S464" i="37"/>
  <c r="AA464" i="37"/>
  <c r="V464" i="37"/>
  <c r="Z429" i="37"/>
  <c r="Y429" i="37"/>
  <c r="X429" i="37"/>
  <c r="R429" i="37"/>
  <c r="R374" i="37"/>
  <c r="Z374" i="37"/>
  <c r="AH374" i="37"/>
  <c r="U374" i="37"/>
  <c r="AB374" i="37"/>
  <c r="Y374" i="37"/>
  <c r="AA338" i="37"/>
  <c r="AB338" i="37"/>
  <c r="AH337" i="37"/>
  <c r="AE337" i="37"/>
  <c r="AH348" i="37"/>
  <c r="R348" i="37"/>
  <c r="AA348" i="37"/>
  <c r="AB387" i="37"/>
  <c r="AE387" i="37"/>
  <c r="X387" i="37"/>
  <c r="U387" i="37"/>
  <c r="T387" i="37"/>
  <c r="R387" i="37"/>
  <c r="AF312" i="37"/>
  <c r="R312" i="37"/>
  <c r="U312" i="37"/>
  <c r="AG312" i="37"/>
  <c r="AH312" i="37"/>
  <c r="AB312" i="37"/>
  <c r="AD312" i="37"/>
  <c r="AH333" i="37"/>
  <c r="U333" i="37"/>
  <c r="AD410" i="37"/>
  <c r="U410" i="37"/>
  <c r="X410" i="37"/>
  <c r="S410" i="37"/>
  <c r="V410" i="37"/>
  <c r="AF410" i="37"/>
  <c r="AF394" i="37"/>
  <c r="V394" i="37"/>
  <c r="Z469" i="37"/>
  <c r="AA469" i="37"/>
  <c r="Y398" i="37"/>
  <c r="R352" i="37"/>
  <c r="Z352" i="37"/>
  <c r="V632" i="37"/>
  <c r="Z684" i="37"/>
  <c r="Q628" i="37"/>
  <c r="N647" i="37"/>
  <c r="X647" i="37"/>
  <c r="N755" i="37"/>
  <c r="Q755" i="37" s="1"/>
  <c r="N626" i="37"/>
  <c r="S626" i="37"/>
  <c r="N665" i="37"/>
  <c r="V665" i="37"/>
  <c r="R654" i="37"/>
  <c r="X654" i="37"/>
  <c r="P400" i="37"/>
  <c r="S400" i="37"/>
  <c r="N676" i="37"/>
  <c r="V676" i="37"/>
  <c r="N653" i="37"/>
  <c r="V653" i="37"/>
  <c r="Z653" i="37"/>
  <c r="N616" i="37"/>
  <c r="Q616" i="37"/>
  <c r="N615" i="37"/>
  <c r="Q615" i="37" s="1"/>
  <c r="Z615" i="37"/>
  <c r="N611" i="37"/>
  <c r="X611" i="37"/>
  <c r="N636" i="37"/>
  <c r="R636" i="37"/>
  <c r="V636" i="37"/>
  <c r="N629" i="37"/>
  <c r="Q629" i="37"/>
  <c r="Y705" i="37"/>
  <c r="P781" i="37"/>
  <c r="V781" i="37" s="1"/>
  <c r="Q781" i="37"/>
  <c r="S781" i="37"/>
  <c r="P797" i="37"/>
  <c r="V797" i="37" s="1"/>
  <c r="W797" i="37" s="1"/>
  <c r="X797" i="37" s="1"/>
  <c r="Y797" i="37" s="1"/>
  <c r="P413" i="37"/>
  <c r="U413" i="37"/>
  <c r="V413" i="37"/>
  <c r="AD413" i="37"/>
  <c r="S413" i="37"/>
  <c r="N639" i="37"/>
  <c r="P639" i="37"/>
  <c r="Q639" i="37"/>
  <c r="N670" i="37"/>
  <c r="X670" i="37"/>
  <c r="P394" i="37"/>
  <c r="R394" i="37"/>
  <c r="S394" i="37"/>
  <c r="AB394" i="37"/>
  <c r="AE394" i="37"/>
  <c r="P352" i="37"/>
  <c r="T352" i="37"/>
  <c r="AF352" i="37"/>
  <c r="AA352" i="37"/>
  <c r="AH352" i="37"/>
  <c r="V352" i="37"/>
  <c r="AD352" i="37"/>
  <c r="U352" i="37"/>
  <c r="P510" i="37"/>
  <c r="T510" i="37"/>
  <c r="V469" i="37"/>
  <c r="AG469" i="37"/>
  <c r="N632" i="37"/>
  <c r="R632" i="37"/>
  <c r="S632" i="37"/>
  <c r="Q632" i="37"/>
  <c r="W632" i="37"/>
  <c r="N659" i="37"/>
  <c r="R659" i="37"/>
  <c r="S659" i="37"/>
  <c r="N628" i="37"/>
  <c r="S628" i="37"/>
  <c r="V628" i="37"/>
  <c r="X628" i="37"/>
  <c r="R628" i="37"/>
  <c r="N563" i="37"/>
  <c r="Y563" i="37"/>
  <c r="R563" i="37"/>
  <c r="N566" i="37"/>
  <c r="Y566" i="37"/>
  <c r="P360" i="37"/>
  <c r="U360" i="37"/>
  <c r="X360" i="37"/>
  <c r="V360" i="37"/>
  <c r="P461" i="37"/>
  <c r="V461" i="37"/>
  <c r="S461" i="37"/>
  <c r="U461" i="37"/>
  <c r="N703" i="37"/>
  <c r="X703" i="37"/>
  <c r="W703" i="37"/>
  <c r="P606" i="37"/>
  <c r="V606" i="37" s="1"/>
  <c r="R606" i="37"/>
  <c r="N706" i="37"/>
  <c r="Z706" i="37"/>
  <c r="N705" i="37"/>
  <c r="T705" i="37"/>
  <c r="W705" i="37"/>
  <c r="S705" i="37"/>
  <c r="N624" i="37"/>
  <c r="S624" i="37" s="1"/>
  <c r="Z624" i="37"/>
  <c r="Q771" i="37"/>
  <c r="P771" i="37"/>
  <c r="V771" i="37" s="1"/>
  <c r="R771" i="37"/>
  <c r="R766" i="37"/>
  <c r="S766" i="37"/>
  <c r="Q766" i="37"/>
  <c r="P766" i="37"/>
  <c r="V766" i="37" s="1"/>
  <c r="R781" i="37"/>
  <c r="R392" i="37"/>
  <c r="Y329" i="37"/>
  <c r="AH424" i="37"/>
  <c r="AE450" i="37"/>
  <c r="S412" i="37"/>
  <c r="T576" i="37"/>
  <c r="P777" i="37"/>
  <c r="V777" i="37" s="1"/>
  <c r="W777" i="37" s="1"/>
  <c r="S777" i="37"/>
  <c r="X420" i="37"/>
  <c r="Z420" i="37"/>
  <c r="AF420" i="37"/>
  <c r="AG420" i="37"/>
  <c r="V399" i="37"/>
  <c r="T423" i="37"/>
  <c r="Z423" i="37"/>
  <c r="AB423" i="37"/>
  <c r="S420" i="37"/>
  <c r="U328" i="37"/>
  <c r="V328" i="37"/>
  <c r="R604" i="37"/>
  <c r="Q592" i="37"/>
  <c r="S674" i="37"/>
  <c r="X674" i="37"/>
  <c r="V599" i="37"/>
  <c r="S652" i="37"/>
  <c r="R699" i="37"/>
  <c r="X651" i="37"/>
  <c r="V651" i="37"/>
  <c r="V341" i="37"/>
  <c r="Y420" i="37"/>
  <c r="AD420" i="37"/>
  <c r="AH420" i="37"/>
  <c r="AB353" i="37"/>
  <c r="S353" i="37"/>
  <c r="X391" i="37"/>
  <c r="X353" i="37"/>
  <c r="T420" i="37"/>
  <c r="Y341" i="37"/>
  <c r="R328" i="37"/>
  <c r="AB328" i="37"/>
  <c r="Y412" i="37"/>
  <c r="AA412" i="37"/>
  <c r="V424" i="37"/>
  <c r="AE424" i="37"/>
  <c r="Z329" i="37"/>
  <c r="AG328" i="37"/>
  <c r="AA450" i="37"/>
  <c r="AE328" i="37"/>
  <c r="T328" i="37"/>
  <c r="T392" i="37"/>
  <c r="Z392" i="37"/>
  <c r="AA328" i="37"/>
  <c r="V450" i="37"/>
  <c r="R626" i="37"/>
  <c r="Z626" i="37"/>
  <c r="X641" i="37"/>
  <c r="S619" i="37"/>
  <c r="X615" i="37"/>
  <c r="S611" i="37"/>
  <c r="Q611" i="37"/>
  <c r="Q654" i="37"/>
  <c r="V654" i="37"/>
  <c r="Y676" i="37"/>
  <c r="W651" i="37"/>
  <c r="T707" i="37"/>
  <c r="R559" i="37"/>
  <c r="X640" i="37"/>
  <c r="N640" i="37"/>
  <c r="N582" i="37"/>
  <c r="P582" i="37" s="1"/>
  <c r="W577" i="37"/>
  <c r="AH391" i="37"/>
  <c r="P391" i="37"/>
  <c r="AG353" i="37"/>
  <c r="P353" i="37"/>
  <c r="S311" i="37"/>
  <c r="P311" i="37"/>
  <c r="T310" i="37"/>
  <c r="P310" i="37"/>
  <c r="Z640" i="37"/>
  <c r="Q691" i="37"/>
  <c r="N691" i="37"/>
  <c r="Y404" i="37"/>
  <c r="P404" i="37"/>
  <c r="T389" i="37"/>
  <c r="P389" i="37"/>
  <c r="AF326" i="37"/>
  <c r="P326" i="37"/>
  <c r="V603" i="37"/>
  <c r="N603" i="37"/>
  <c r="P620" i="37"/>
  <c r="N620" i="37"/>
  <c r="Y432" i="37"/>
  <c r="P432" i="37"/>
  <c r="Z654" i="37"/>
  <c r="N654" i="37"/>
  <c r="W683" i="37"/>
  <c r="N683" i="37"/>
  <c r="T645" i="37"/>
  <c r="N645" i="37"/>
  <c r="S366" i="37"/>
  <c r="P366" i="37"/>
  <c r="Z351" i="37"/>
  <c r="P351" i="37"/>
  <c r="U401" i="37"/>
  <c r="P401" i="37"/>
  <c r="AE347" i="37"/>
  <c r="P347" i="37"/>
  <c r="T365" i="37"/>
  <c r="P365" i="37"/>
  <c r="Y336" i="37"/>
  <c r="P336" i="37"/>
  <c r="R587" i="37"/>
  <c r="N587" i="37"/>
  <c r="T651" i="37"/>
  <c r="N651" i="37"/>
  <c r="P633" i="37"/>
  <c r="N633" i="37"/>
  <c r="P569" i="37"/>
  <c r="N569" i="37"/>
  <c r="Q656" i="37"/>
  <c r="N656" i="37"/>
  <c r="R612" i="37"/>
  <c r="N612" i="37"/>
  <c r="Z685" i="37"/>
  <c r="N685" i="37"/>
  <c r="P634" i="37"/>
  <c r="N634" i="37"/>
  <c r="S702" i="37"/>
  <c r="AB463" i="37"/>
  <c r="P463" i="37"/>
  <c r="R586" i="37"/>
  <c r="N586" i="37"/>
  <c r="Q586" i="37" s="1"/>
  <c r="Z682" i="37"/>
  <c r="N682" i="37"/>
  <c r="Z726" i="37"/>
  <c r="N726" i="37"/>
  <c r="Q700" i="37"/>
  <c r="N700" i="37"/>
  <c r="Q688" i="37"/>
  <c r="N688" i="37"/>
  <c r="W597" i="37"/>
  <c r="N597" i="37"/>
  <c r="R590" i="37"/>
  <c r="Z561" i="37"/>
  <c r="AH384" i="37"/>
  <c r="P384" i="37"/>
  <c r="AF380" i="37"/>
  <c r="P380" i="37"/>
  <c r="Q594" i="37"/>
  <c r="T606" i="37"/>
  <c r="N606" i="37"/>
  <c r="R689" i="37"/>
  <c r="AA472" i="37"/>
  <c r="P472" i="37"/>
  <c r="N784" i="37"/>
  <c r="T784" i="37" s="1"/>
  <c r="Y764" i="37"/>
  <c r="P786" i="37"/>
  <c r="V786" i="37" s="1"/>
  <c r="P795" i="37"/>
  <c r="T450" i="37"/>
  <c r="P450" i="37"/>
  <c r="X341" i="37"/>
  <c r="P341" i="37"/>
  <c r="AG356" i="37"/>
  <c r="P356" i="37"/>
  <c r="R668" i="37"/>
  <c r="V421" i="37"/>
  <c r="P421" i="37"/>
  <c r="X701" i="37"/>
  <c r="N701" i="37"/>
  <c r="P317" i="37"/>
  <c r="R355" i="37"/>
  <c r="P355" i="37"/>
  <c r="AA378" i="37"/>
  <c r="P378" i="37"/>
  <c r="AE372" i="37"/>
  <c r="P372" i="37"/>
  <c r="Z680" i="37"/>
  <c r="N680" i="37"/>
  <c r="AE406" i="37"/>
  <c r="P406" i="37"/>
  <c r="AB435" i="37"/>
  <c r="P435" i="37"/>
  <c r="V397" i="37"/>
  <c r="P397" i="37"/>
  <c r="Z683" i="37"/>
  <c r="X645" i="37"/>
  <c r="X361" i="37"/>
  <c r="P361" i="37"/>
  <c r="AD428" i="37"/>
  <c r="P428" i="37"/>
  <c r="T403" i="37"/>
  <c r="P403" i="37"/>
  <c r="U370" i="37"/>
  <c r="P370" i="37"/>
  <c r="X368" i="37"/>
  <c r="P368" i="37"/>
  <c r="AG367" i="37"/>
  <c r="P367" i="37"/>
  <c r="S385" i="37"/>
  <c r="P385" i="37"/>
  <c r="AE363" i="37"/>
  <c r="P363" i="37"/>
  <c r="AH408" i="37"/>
  <c r="P408" i="37"/>
  <c r="Z362" i="37"/>
  <c r="P362" i="37"/>
  <c r="AH388" i="37"/>
  <c r="P388" i="37"/>
  <c r="Z343" i="37"/>
  <c r="P343" i="37"/>
  <c r="AE364" i="37"/>
  <c r="P364" i="37"/>
  <c r="AA437" i="37"/>
  <c r="P437" i="37"/>
  <c r="AE444" i="37"/>
  <c r="P444" i="37"/>
  <c r="Y386" i="37"/>
  <c r="P386" i="37"/>
  <c r="AA322" i="37"/>
  <c r="P322" i="37"/>
  <c r="V395" i="37"/>
  <c r="P395" i="37"/>
  <c r="T359" i="37"/>
  <c r="P359" i="37"/>
  <c r="AF419" i="37"/>
  <c r="P419" i="37"/>
  <c r="AD382" i="37"/>
  <c r="P382" i="37"/>
  <c r="V473" i="37"/>
  <c r="P473" i="37"/>
  <c r="AF316" i="37"/>
  <c r="P316" i="37"/>
  <c r="AB418" i="37"/>
  <c r="P418" i="37"/>
  <c r="AE427" i="37"/>
  <c r="P427" i="37"/>
  <c r="AA327" i="37"/>
  <c r="P327" i="37"/>
  <c r="AB416" i="37"/>
  <c r="P416" i="37"/>
  <c r="AB466" i="37"/>
  <c r="P466" i="37"/>
  <c r="AB373" i="37"/>
  <c r="P373" i="37"/>
  <c r="Y574" i="37"/>
  <c r="T702" i="37"/>
  <c r="T469" i="37"/>
  <c r="P469" i="37"/>
  <c r="Z722" i="37"/>
  <c r="N722" i="37"/>
  <c r="Q722" i="37" s="1"/>
  <c r="Y455" i="37"/>
  <c r="P455" i="37"/>
  <c r="AF458" i="37"/>
  <c r="P458" i="37"/>
  <c r="X446" i="37"/>
  <c r="P446" i="37"/>
  <c r="V677" i="37"/>
  <c r="AD357" i="37"/>
  <c r="P357" i="37"/>
  <c r="V457" i="37"/>
  <c r="P457" i="37"/>
  <c r="T314" i="37"/>
  <c r="P314" i="37"/>
  <c r="T764" i="37"/>
  <c r="V616" i="37"/>
  <c r="V767" i="37"/>
  <c r="P629" i="37"/>
  <c r="Q633" i="37"/>
  <c r="S647" i="37"/>
  <c r="P647" i="37"/>
  <c r="P617" i="37"/>
  <c r="Q617" i="37"/>
  <c r="V617" i="37"/>
  <c r="X617" i="37"/>
  <c r="W617" i="37"/>
  <c r="Q641" i="37"/>
  <c r="S344" i="37"/>
  <c r="X344" i="37"/>
  <c r="AB344" i="37"/>
  <c r="AG344" i="37"/>
  <c r="Y344" i="37"/>
  <c r="AD344" i="37"/>
  <c r="AH344" i="37"/>
  <c r="AG426" i="37"/>
  <c r="V426" i="37"/>
  <c r="T426" i="37"/>
  <c r="U426" i="37"/>
  <c r="Z426" i="37"/>
  <c r="R426" i="37"/>
  <c r="AF426" i="37"/>
  <c r="X442" i="37"/>
  <c r="R442" i="37"/>
  <c r="AG442" i="37"/>
  <c r="S442" i="37"/>
  <c r="Y442" i="37"/>
  <c r="AB442" i="37"/>
  <c r="U442" i="37"/>
  <c r="T442" i="37"/>
  <c r="U313" i="37"/>
  <c r="Z313" i="37"/>
  <c r="AE313" i="37"/>
  <c r="R313" i="37"/>
  <c r="V313" i="37"/>
  <c r="AA313" i="37"/>
  <c r="AH313" i="37"/>
  <c r="Q565" i="37"/>
  <c r="R565" i="37"/>
  <c r="T565" i="37"/>
  <c r="V619" i="37"/>
  <c r="Z619" i="37"/>
  <c r="W619" i="37"/>
  <c r="P625" i="37"/>
  <c r="S625" i="37"/>
  <c r="V625" i="37"/>
  <c r="X625" i="37"/>
  <c r="W625" i="37"/>
  <c r="Z625" i="37"/>
  <c r="V662" i="37"/>
  <c r="S662" i="37"/>
  <c r="W662" i="37"/>
  <c r="T662" i="37"/>
  <c r="Y662" i="37"/>
  <c r="R665" i="37"/>
  <c r="X665" i="37"/>
  <c r="Z665" i="37"/>
  <c r="AE400" i="37"/>
  <c r="AD400" i="37"/>
  <c r="AA422" i="37"/>
  <c r="AG422" i="37"/>
  <c r="AB422" i="37"/>
  <c r="V422" i="37"/>
  <c r="X422" i="37"/>
  <c r="Y422" i="37"/>
  <c r="R422" i="37"/>
  <c r="S422" i="37"/>
  <c r="U422" i="37"/>
  <c r="Y677" i="37"/>
  <c r="S677" i="37"/>
  <c r="W677" i="37"/>
  <c r="Q677" i="37"/>
  <c r="P677" i="37"/>
  <c r="X677" i="37"/>
  <c r="S667" i="37"/>
  <c r="X667" i="37"/>
  <c r="V667" i="37"/>
  <c r="Q667" i="37"/>
  <c r="R667" i="37"/>
  <c r="T667" i="37"/>
  <c r="Z667" i="37"/>
  <c r="X678" i="37"/>
  <c r="S678" i="37"/>
  <c r="Q678" i="37"/>
  <c r="Z730" i="37"/>
  <c r="R730" i="37"/>
  <c r="T730" i="37"/>
  <c r="T655" i="37"/>
  <c r="P655" i="37"/>
  <c r="Q655" i="37"/>
  <c r="S655" i="37"/>
  <c r="Z655" i="37"/>
  <c r="X602" i="37"/>
  <c r="Q602" i="37"/>
  <c r="R602" i="37"/>
  <c r="Y590" i="37"/>
  <c r="W590" i="37"/>
  <c r="X590" i="37"/>
  <c r="V590" i="37"/>
  <c r="Z590" i="37"/>
  <c r="S590" i="37"/>
  <c r="T746" i="37"/>
  <c r="R746" i="37"/>
  <c r="Z650" i="37"/>
  <c r="R650" i="37"/>
  <c r="V650" i="37"/>
  <c r="P650" i="37"/>
  <c r="Q650" i="37"/>
  <c r="W675" i="37"/>
  <c r="X675" i="37"/>
  <c r="P675" i="37"/>
  <c r="Z675" i="37"/>
  <c r="T675" i="37"/>
  <c r="R675" i="37"/>
  <c r="V675" i="37"/>
  <c r="P631" i="37"/>
  <c r="W631" i="37"/>
  <c r="Z631" i="37"/>
  <c r="R631" i="37"/>
  <c r="S631" i="37"/>
  <c r="X631" i="37"/>
  <c r="Q646" i="37"/>
  <c r="R646" i="37"/>
  <c r="P646" i="37"/>
  <c r="W646" i="37"/>
  <c r="S646" i="37"/>
  <c r="Y646" i="37"/>
  <c r="X646" i="37"/>
  <c r="Z646" i="37"/>
  <c r="AG318" i="37"/>
  <c r="Y318" i="37"/>
  <c r="T318" i="37"/>
  <c r="S358" i="37"/>
  <c r="U358" i="37"/>
  <c r="AB465" i="37"/>
  <c r="AA465" i="37"/>
  <c r="AH465" i="37"/>
  <c r="AE465" i="37"/>
  <c r="Y569" i="37"/>
  <c r="R569" i="37"/>
  <c r="T569" i="37"/>
  <c r="Q569" i="37"/>
  <c r="P610" i="37"/>
  <c r="Z610" i="37"/>
  <c r="Q610" i="37"/>
  <c r="S610" i="37"/>
  <c r="V610" i="37"/>
  <c r="Z573" i="37"/>
  <c r="T573" i="37"/>
  <c r="Y573" i="37"/>
  <c r="T769" i="37"/>
  <c r="Q769" i="37"/>
  <c r="S769" i="37"/>
  <c r="R769" i="37"/>
  <c r="P769" i="37"/>
  <c r="U547" i="37"/>
  <c r="AF547" i="37"/>
  <c r="AD547" i="37"/>
  <c r="AE547" i="37"/>
  <c r="Z547" i="37"/>
  <c r="R547" i="37"/>
  <c r="Y547" i="37"/>
  <c r="AG547" i="37"/>
  <c r="S547" i="37"/>
  <c r="V547" i="37"/>
  <c r="T547" i="37"/>
  <c r="AB547" i="37"/>
  <c r="AA547" i="37"/>
  <c r="AH547" i="37"/>
  <c r="X547" i="37"/>
  <c r="T793" i="37"/>
  <c r="Q793" i="37"/>
  <c r="S793" i="37"/>
  <c r="P793" i="37"/>
  <c r="V793" i="37" s="1"/>
  <c r="R793" i="37"/>
  <c r="AD457" i="37"/>
  <c r="U457" i="37"/>
  <c r="T457" i="37"/>
  <c r="AG457" i="37"/>
  <c r="AA314" i="37"/>
  <c r="S314" i="37"/>
  <c r="X610" i="37"/>
  <c r="P612" i="37"/>
  <c r="AH426" i="37"/>
  <c r="T344" i="37"/>
  <c r="Y457" i="37"/>
  <c r="S457" i="37"/>
  <c r="R358" i="37"/>
  <c r="X366" i="37"/>
  <c r="AD366" i="37" s="1"/>
  <c r="T366" i="37"/>
  <c r="AE401" i="37"/>
  <c r="Z401" i="37"/>
  <c r="X400" i="37"/>
  <c r="AG400" i="37"/>
  <c r="AA400" i="37"/>
  <c r="S465" i="37"/>
  <c r="AG465" i="37"/>
  <c r="AD314" i="37"/>
  <c r="U366" i="37"/>
  <c r="AA344" i="37"/>
  <c r="R344" i="37"/>
  <c r="X426" i="37"/>
  <c r="AE442" i="37"/>
  <c r="AF313" i="37"/>
  <c r="Y313" i="37"/>
  <c r="W647" i="37"/>
  <c r="R610" i="37"/>
  <c r="V602" i="37"/>
  <c r="S650" i="37"/>
  <c r="S665" i="37"/>
  <c r="V329" i="37"/>
  <c r="S329" i="37"/>
  <c r="T329" i="37"/>
  <c r="AE329" i="37"/>
  <c r="U329" i="37"/>
  <c r="AB329" i="37"/>
  <c r="X329" i="37"/>
  <c r="AF329" i="37"/>
  <c r="AD329" i="37"/>
  <c r="R329" i="37"/>
  <c r="AA329" i="37"/>
  <c r="AG329" i="37"/>
  <c r="AD392" i="37"/>
  <c r="AH392" i="37"/>
  <c r="AG392" i="37"/>
  <c r="Y392" i="37"/>
  <c r="AF392" i="37"/>
  <c r="AB392" i="37"/>
  <c r="S392" i="37"/>
  <c r="AA392" i="37"/>
  <c r="V392" i="37"/>
  <c r="X392" i="37"/>
  <c r="Z641" i="37"/>
  <c r="R573" i="37"/>
  <c r="R619" i="37"/>
  <c r="R413" i="37"/>
  <c r="AA413" i="37"/>
  <c r="AE413" i="37"/>
  <c r="T413" i="37"/>
  <c r="AB413" i="37"/>
  <c r="Z413" i="37"/>
  <c r="AH413" i="37"/>
  <c r="Y413" i="37"/>
  <c r="Z639" i="37"/>
  <c r="R639" i="37"/>
  <c r="X639" i="37"/>
  <c r="V639" i="37"/>
  <c r="R601" i="37"/>
  <c r="Q601" i="37"/>
  <c r="X601" i="37"/>
  <c r="Z559" i="37"/>
  <c r="T559" i="37"/>
  <c r="Y559" i="37"/>
  <c r="T677" i="37"/>
  <c r="Q675" i="37"/>
  <c r="R669" i="37"/>
  <c r="V669" i="37"/>
  <c r="U443" i="37"/>
  <c r="AD443" i="37"/>
  <c r="S443" i="37"/>
  <c r="Z443" i="37"/>
  <c r="AB443" i="37"/>
  <c r="Y443" i="37"/>
  <c r="U399" i="37"/>
  <c r="AA399" i="37"/>
  <c r="AH399" i="37"/>
  <c r="AB399" i="37"/>
  <c r="AD399" i="37"/>
  <c r="R399" i="37"/>
  <c r="AE345" i="37"/>
  <c r="V345" i="37"/>
  <c r="AA345" i="37"/>
  <c r="AB345" i="37"/>
  <c r="AH345" i="37"/>
  <c r="R345" i="37"/>
  <c r="X345" i="37"/>
  <c r="U345" i="37"/>
  <c r="Y369" i="37"/>
  <c r="V369" i="37"/>
  <c r="Z369" i="37"/>
  <c r="S369" i="37"/>
  <c r="X369" i="37"/>
  <c r="AA369" i="37"/>
  <c r="AG369" i="37"/>
  <c r="T369" i="37"/>
  <c r="V652" i="37"/>
  <c r="P652" i="37"/>
  <c r="W652" i="37"/>
  <c r="Z652" i="37"/>
  <c r="AH393" i="37"/>
  <c r="AE393" i="37"/>
  <c r="V393" i="37"/>
  <c r="AA393" i="37"/>
  <c r="R393" i="37"/>
  <c r="X393" i="37"/>
  <c r="AB393" i="37"/>
  <c r="V637" i="37"/>
  <c r="X637" i="37"/>
  <c r="Q637" i="37"/>
  <c r="S637" i="37"/>
  <c r="P699" i="37"/>
  <c r="S699" i="37"/>
  <c r="Z699" i="37"/>
  <c r="X699" i="37"/>
  <c r="Q699" i="37"/>
  <c r="P702" i="37"/>
  <c r="V702" i="37"/>
  <c r="X702" i="37"/>
  <c r="Y702" i="37"/>
  <c r="R574" i="37"/>
  <c r="V574" i="37"/>
  <c r="T574" i="37"/>
  <c r="W574" i="37"/>
  <c r="T371" i="37"/>
  <c r="R371" i="37"/>
  <c r="Z371" i="37"/>
  <c r="X371" i="37"/>
  <c r="U371" i="37"/>
  <c r="AB371" i="37"/>
  <c r="AD377" i="37"/>
  <c r="AA377" i="37"/>
  <c r="X377" i="37"/>
  <c r="AE377" i="37"/>
  <c r="R377" i="37"/>
  <c r="AG377" i="37"/>
  <c r="AF377" i="37"/>
  <c r="T414" i="37"/>
  <c r="AF414" i="37"/>
  <c r="Y414" i="37"/>
  <c r="AD414" i="37"/>
  <c r="AE414" i="37"/>
  <c r="R414" i="37"/>
  <c r="U414" i="37"/>
  <c r="Z414" i="37"/>
  <c r="AF417" i="37"/>
  <c r="T417" i="37"/>
  <c r="AA417" i="37"/>
  <c r="AE417" i="37"/>
  <c r="V417" i="37"/>
  <c r="AB417" i="37"/>
  <c r="AH417" i="37"/>
  <c r="R417" i="37"/>
  <c r="AA320" i="37"/>
  <c r="AF320" i="37"/>
  <c r="X320" i="37"/>
  <c r="AD320" i="37"/>
  <c r="AH320" i="37"/>
  <c r="AE320" i="37"/>
  <c r="S320" i="37"/>
  <c r="V477" i="37"/>
  <c r="AA324" i="37"/>
  <c r="AF324" i="37"/>
  <c r="V332" i="37"/>
  <c r="AH332" i="37"/>
  <c r="W599" i="37"/>
  <c r="R599" i="37"/>
  <c r="R595" i="37"/>
  <c r="W595" i="37"/>
  <c r="P613" i="37"/>
  <c r="X613" i="37"/>
  <c r="V613" i="37"/>
  <c r="Q613" i="37"/>
  <c r="Z613" i="37"/>
  <c r="W613" i="37"/>
  <c r="S613" i="37"/>
  <c r="T646" i="37"/>
  <c r="Y675" i="37"/>
  <c r="S429" i="37"/>
  <c r="T429" i="37"/>
  <c r="AH429" i="37"/>
  <c r="U429" i="37"/>
  <c r="AB429" i="37"/>
  <c r="AE429" i="37"/>
  <c r="AA429" i="37"/>
  <c r="AA430" i="37"/>
  <c r="V430" i="37"/>
  <c r="U430" i="37"/>
  <c r="R430" i="37"/>
  <c r="AF430" i="37"/>
  <c r="AB430" i="37"/>
  <c r="AD434" i="37"/>
  <c r="X434" i="37"/>
  <c r="AG434" i="37"/>
  <c r="Z434" i="37"/>
  <c r="AA434" i="37"/>
  <c r="S434" i="37"/>
  <c r="X448" i="37"/>
  <c r="AE448" i="37"/>
  <c r="U337" i="37"/>
  <c r="AB337" i="37"/>
  <c r="AA337" i="37"/>
  <c r="Z337" i="37"/>
  <c r="Y337" i="37"/>
  <c r="X407" i="37"/>
  <c r="R407" i="37"/>
  <c r="Z407" i="37"/>
  <c r="AD407" i="37"/>
  <c r="S407" i="37"/>
  <c r="Y407" i="37"/>
  <c r="V407" i="37"/>
  <c r="AB478" i="37"/>
  <c r="Y354" i="37"/>
  <c r="V354" i="37"/>
  <c r="AH354" i="37"/>
  <c r="AA354" i="37"/>
  <c r="U354" i="37"/>
  <c r="AD354" i="37"/>
  <c r="X354" i="37"/>
  <c r="AE333" i="37"/>
  <c r="Z333" i="37"/>
  <c r="T333" i="37"/>
  <c r="AF333" i="37"/>
  <c r="R333" i="37"/>
  <c r="R342" i="37"/>
  <c r="AD342" i="37"/>
  <c r="S342" i="37"/>
  <c r="U342" i="37"/>
  <c r="Y402" i="37"/>
  <c r="AA402" i="37"/>
  <c r="AD402" i="37"/>
  <c r="AE402" i="37"/>
  <c r="X402" i="37"/>
  <c r="AG402" i="37"/>
  <c r="AB402" i="37"/>
  <c r="V402" i="37"/>
  <c r="AH452" i="37"/>
  <c r="U452" i="37"/>
  <c r="AE440" i="37"/>
  <c r="AA440" i="37"/>
  <c r="T467" i="37"/>
  <c r="U467" i="37"/>
  <c r="Z349" i="37"/>
  <c r="S383" i="37"/>
  <c r="T383" i="37"/>
  <c r="AH398" i="37"/>
  <c r="X569" i="37"/>
  <c r="AG510" i="37"/>
  <c r="AB510" i="37"/>
  <c r="AA471" i="37"/>
  <c r="AG471" i="37"/>
  <c r="S578" i="37"/>
  <c r="P578" i="37"/>
  <c r="Z707" i="37"/>
  <c r="X707" i="37"/>
  <c r="R707" i="37"/>
  <c r="W707" i="37"/>
  <c r="P707" i="37"/>
  <c r="Q707" i="37"/>
  <c r="Z689" i="37"/>
  <c r="S689" i="37"/>
  <c r="Y689" i="37"/>
  <c r="W689" i="37"/>
  <c r="P687" i="37"/>
  <c r="R687" i="37"/>
  <c r="S687" i="37"/>
  <c r="AF461" i="37"/>
  <c r="Y461" i="37"/>
  <c r="AH461" i="37"/>
  <c r="T461" i="37"/>
  <c r="AB461" i="37"/>
  <c r="R678" i="37"/>
  <c r="T681" i="37"/>
  <c r="R681" i="37"/>
  <c r="P681" i="37"/>
  <c r="Q681" i="37"/>
  <c r="R790" i="37"/>
  <c r="S790" i="37"/>
  <c r="P790" i="37"/>
  <c r="V790" i="37" s="1"/>
  <c r="T790" i="37"/>
  <c r="Q790" i="37"/>
  <c r="P788" i="37"/>
  <c r="S788" i="37"/>
  <c r="T788" i="37"/>
  <c r="S618" i="37"/>
  <c r="Z618" i="37"/>
  <c r="R633" i="37"/>
  <c r="S633" i="37"/>
  <c r="W633" i="37"/>
  <c r="V633" i="37"/>
  <c r="X633" i="37"/>
  <c r="W656" i="37"/>
  <c r="R656" i="37"/>
  <c r="S656" i="37"/>
  <c r="Z656" i="37"/>
  <c r="P656" i="37"/>
  <c r="V656" i="37"/>
  <c r="W612" i="37"/>
  <c r="Z612" i="37"/>
  <c r="X612" i="37"/>
  <c r="V612" i="37"/>
  <c r="R634" i="37"/>
  <c r="S634" i="37"/>
  <c r="Q634" i="37"/>
  <c r="W634" i="37"/>
  <c r="V634" i="37"/>
  <c r="W629" i="37"/>
  <c r="V629" i="37"/>
  <c r="R629" i="37"/>
  <c r="Z629" i="37"/>
  <c r="X629" i="37"/>
  <c r="Z457" i="37"/>
  <c r="AB457" i="37"/>
  <c r="AB314" i="37"/>
  <c r="AE314" i="37"/>
  <c r="U314" i="37"/>
  <c r="AH314" i="37"/>
  <c r="AF314" i="37"/>
  <c r="R314" i="37"/>
  <c r="V314" i="37"/>
  <c r="Z314" i="37"/>
  <c r="AA336" i="37"/>
  <c r="X457" i="37"/>
  <c r="AE457" i="37"/>
  <c r="R457" i="37"/>
  <c r="AA358" i="37"/>
  <c r="Z358" i="37"/>
  <c r="AA366" i="37"/>
  <c r="V401" i="37"/>
  <c r="AG401" i="37"/>
  <c r="AD401" i="37"/>
  <c r="Y400" i="37"/>
  <c r="AH400" i="37"/>
  <c r="U400" i="37"/>
  <c r="U465" i="37"/>
  <c r="V465" i="37"/>
  <c r="Z336" i="37"/>
  <c r="U336" i="37"/>
  <c r="AH442" i="37"/>
  <c r="AB336" i="37"/>
  <c r="X314" i="37"/>
  <c r="AG314" i="37"/>
  <c r="AE344" i="37"/>
  <c r="U344" i="37"/>
  <c r="AD426" i="37"/>
  <c r="S426" i="37"/>
  <c r="V442" i="37"/>
  <c r="X313" i="37"/>
  <c r="X358" i="37"/>
  <c r="Z422" i="37"/>
  <c r="AH422" i="37"/>
  <c r="S629" i="37"/>
  <c r="Z634" i="37"/>
  <c r="R618" i="37"/>
  <c r="X650" i="37"/>
  <c r="Q612" i="37"/>
  <c r="Z617" i="37"/>
  <c r="P619" i="37"/>
  <c r="Q631" i="37"/>
  <c r="P574" i="37"/>
  <c r="V646" i="37"/>
  <c r="S675" i="37"/>
  <c r="S791" i="37"/>
  <c r="R791" i="37"/>
  <c r="Q791" i="37"/>
  <c r="AF412" i="37"/>
  <c r="AE412" i="37"/>
  <c r="AB412" i="37"/>
  <c r="X412" i="37"/>
  <c r="AF424" i="37"/>
  <c r="AA424" i="37"/>
  <c r="R760" i="37"/>
  <c r="T760" i="37"/>
  <c r="P760" i="37"/>
  <c r="S760" i="37"/>
  <c r="R768" i="37"/>
  <c r="Q768" i="37"/>
  <c r="Q760" i="37"/>
  <c r="P768" i="37"/>
  <c r="P774" i="37"/>
  <c r="Q774" i="37"/>
  <c r="T774" i="37"/>
  <c r="P640" i="37"/>
  <c r="V640" i="37"/>
  <c r="Q640" i="37"/>
  <c r="AH328" i="37"/>
  <c r="AF328" i="37"/>
  <c r="U423" i="37"/>
  <c r="AA420" i="37"/>
  <c r="R420" i="37"/>
  <c r="S703" i="37"/>
  <c r="V703" i="37"/>
  <c r="R703" i="37"/>
  <c r="T703" i="37"/>
  <c r="Y703" i="37"/>
  <c r="T516" i="37"/>
  <c r="AG516" i="37"/>
  <c r="Z516" i="37"/>
  <c r="V516" i="37"/>
  <c r="AF516" i="37"/>
  <c r="AB516" i="37"/>
  <c r="U516" i="37"/>
  <c r="AH516" i="37"/>
  <c r="AA516" i="37"/>
  <c r="Y795" i="37"/>
  <c r="Q795" i="37"/>
  <c r="W795" i="37"/>
  <c r="X795" i="37"/>
  <c r="V795" i="37"/>
  <c r="Z795" i="37"/>
  <c r="S795" i="37"/>
  <c r="R795" i="37"/>
  <c r="T795" i="37"/>
  <c r="P785" i="37"/>
  <c r="T785" i="37"/>
  <c r="S785" i="37"/>
  <c r="S681" i="37"/>
  <c r="R683" i="37"/>
  <c r="Y645" i="37"/>
  <c r="R645" i="37"/>
  <c r="R767" i="37"/>
  <c r="T767" i="37"/>
  <c r="Q767" i="37"/>
  <c r="S796" i="37"/>
  <c r="Q796" i="37"/>
  <c r="Q786" i="37"/>
  <c r="R786" i="37"/>
  <c r="S786" i="37"/>
  <c r="T786" i="37"/>
  <c r="Q759" i="37"/>
  <c r="S782" i="37"/>
  <c r="Q780" i="37"/>
  <c r="P761" i="37"/>
  <c r="AF391" i="37"/>
  <c r="W620" i="37"/>
  <c r="Y683" i="37"/>
  <c r="Q645" i="37"/>
  <c r="Q782" i="37"/>
  <c r="T789" i="37"/>
  <c r="Q764" i="37"/>
  <c r="X764" i="37"/>
  <c r="Z764" i="37"/>
  <c r="S764" i="37"/>
  <c r="P764" i="37"/>
  <c r="Q794" i="37"/>
  <c r="T794" i="37"/>
  <c r="R794" i="37"/>
  <c r="S794" i="37"/>
  <c r="P794" i="37"/>
  <c r="R764" i="37"/>
  <c r="R763" i="37"/>
  <c r="P763" i="37"/>
  <c r="S763" i="37"/>
  <c r="Q761" i="37"/>
  <c r="R780" i="37"/>
  <c r="S767" i="37"/>
  <c r="T776" i="37"/>
  <c r="S761" i="37"/>
  <c r="X311" i="37"/>
  <c r="Y391" i="37"/>
  <c r="Z391" i="37"/>
  <c r="AG391" i="37"/>
  <c r="R391" i="37"/>
  <c r="T356" i="37"/>
  <c r="AA356" i="37"/>
  <c r="Y450" i="37"/>
  <c r="AH450" i="37"/>
  <c r="U450" i="37"/>
  <c r="AF450" i="37"/>
  <c r="S450" i="37"/>
  <c r="AB450" i="37"/>
  <c r="X450" i="37"/>
  <c r="R450" i="37"/>
  <c r="Z450" i="37"/>
  <c r="AD450" i="37"/>
  <c r="R412" i="37"/>
  <c r="AH412" i="37"/>
  <c r="Z412" i="37"/>
  <c r="V412" i="37"/>
  <c r="AG412" i="37"/>
  <c r="AD412" i="37"/>
  <c r="U412" i="37"/>
  <c r="AF341" i="37"/>
  <c r="S341" i="37"/>
  <c r="R341" i="37"/>
  <c r="AA341" i="37"/>
  <c r="AG341" i="37"/>
  <c r="AE341" i="37"/>
  <c r="AH341" i="37"/>
  <c r="AB341" i="37"/>
  <c r="X424" i="37"/>
  <c r="S424" i="37"/>
  <c r="AG424" i="37"/>
  <c r="Z424" i="37"/>
  <c r="R424" i="37"/>
  <c r="T424" i="37"/>
  <c r="AD424" i="37"/>
  <c r="U424" i="37"/>
  <c r="Q732" i="37"/>
  <c r="Y661" i="37"/>
  <c r="S661" i="37"/>
  <c r="W661" i="37"/>
  <c r="X661" i="37"/>
  <c r="V661" i="37"/>
  <c r="R661" i="37"/>
  <c r="P661" i="37"/>
  <c r="S576" i="37"/>
  <c r="X576" i="37"/>
  <c r="R576" i="37"/>
  <c r="P576" i="37"/>
  <c r="Z576" i="37"/>
  <c r="V576" i="37"/>
  <c r="W576" i="37"/>
  <c r="Y576" i="37"/>
  <c r="P671" i="37"/>
  <c r="W671" i="37"/>
  <c r="X671" i="37"/>
  <c r="R671" i="37"/>
  <c r="Q671" i="37"/>
  <c r="T671" i="37"/>
  <c r="Z671" i="37"/>
  <c r="S671" i="37"/>
  <c r="Y668" i="37"/>
  <c r="W668" i="37"/>
  <c r="Q668" i="37"/>
  <c r="P668" i="37"/>
  <c r="T668" i="37"/>
  <c r="Z668" i="37"/>
  <c r="S668" i="37"/>
  <c r="X558" i="37"/>
  <c r="W558" i="37"/>
  <c r="Z558" i="37"/>
  <c r="P558" i="37"/>
  <c r="R558" i="37"/>
  <c r="Q558" i="37"/>
  <c r="T558" i="37"/>
  <c r="V558" i="37"/>
  <c r="S558" i="37"/>
  <c r="Y558" i="37"/>
  <c r="X668" i="37"/>
  <c r="X339" i="37"/>
  <c r="Z339" i="37"/>
  <c r="V339" i="37"/>
  <c r="AH339" i="37"/>
  <c r="U321" i="37"/>
  <c r="R321" i="37"/>
  <c r="T381" i="37"/>
  <c r="R697" i="37"/>
  <c r="S697" i="37"/>
  <c r="T697" i="37"/>
  <c r="Q697" i="37"/>
  <c r="Y712" i="37"/>
  <c r="R712" i="37"/>
  <c r="T712" i="37"/>
  <c r="Q712" i="37"/>
  <c r="Z712" i="37"/>
  <c r="P712" i="37"/>
  <c r="W712" i="37"/>
  <c r="S712" i="37"/>
  <c r="X712" i="37"/>
  <c r="Y643" i="37"/>
  <c r="T643" i="37"/>
  <c r="S643" i="37"/>
  <c r="P643" i="37"/>
  <c r="Z643" i="37"/>
  <c r="Q643" i="37"/>
  <c r="R627" i="37"/>
  <c r="T607" i="37"/>
  <c r="P607" i="37"/>
  <c r="S607" i="37"/>
  <c r="Q607" i="37"/>
  <c r="Q741" i="37"/>
  <c r="Y622" i="37"/>
  <c r="T622" i="37"/>
  <c r="P622" i="37"/>
  <c r="W622" i="37"/>
  <c r="S622" i="37"/>
  <c r="X622" i="37"/>
  <c r="Z586" i="37"/>
  <c r="T586" i="37"/>
  <c r="S586" i="37"/>
  <c r="X586" i="37"/>
  <c r="T630" i="37"/>
  <c r="Y630" i="37"/>
  <c r="W630" i="37"/>
  <c r="V630" i="37"/>
  <c r="R630" i="37"/>
  <c r="R657" i="37"/>
  <c r="S721" i="37"/>
  <c r="Z721" i="37"/>
  <c r="Y721" i="37"/>
  <c r="T721" i="37"/>
  <c r="R721" i="37"/>
  <c r="Q754" i="37"/>
  <c r="P754" i="37"/>
  <c r="S596" i="37"/>
  <c r="P596" i="37"/>
  <c r="Z596" i="37"/>
  <c r="R596" i="37"/>
  <c r="V596" i="37"/>
  <c r="T596" i="37"/>
  <c r="Y596" i="37"/>
  <c r="Q596" i="37"/>
  <c r="W596" i="37"/>
  <c r="Y635" i="37"/>
  <c r="T635" i="37"/>
  <c r="Q635" i="37"/>
  <c r="R635" i="37"/>
  <c r="P635" i="37"/>
  <c r="W635" i="37"/>
  <c r="S635" i="37"/>
  <c r="S560" i="37"/>
  <c r="Q560" i="37"/>
  <c r="Y560" i="37"/>
  <c r="X560" i="37"/>
  <c r="W560" i="37"/>
  <c r="Z560" i="37"/>
  <c r="T560" i="37"/>
  <c r="P560" i="37"/>
  <c r="V560" i="37"/>
  <c r="R560" i="37"/>
  <c r="Y704" i="37"/>
  <c r="V704" i="37"/>
  <c r="Q704" i="37"/>
  <c r="R704" i="37"/>
  <c r="Z704" i="37"/>
  <c r="X704" i="37"/>
  <c r="W704" i="37"/>
  <c r="S704" i="37"/>
  <c r="T704" i="37"/>
  <c r="P704" i="37"/>
  <c r="P737" i="37"/>
  <c r="S748" i="37"/>
  <c r="X658" i="37"/>
  <c r="P658" i="37"/>
  <c r="Z658" i="37"/>
  <c r="Q658" i="37"/>
  <c r="Y658" i="37"/>
  <c r="S658" i="37"/>
  <c r="T658" i="37"/>
  <c r="W658" i="37"/>
  <c r="T642" i="37"/>
  <c r="Y642" i="37"/>
  <c r="Z642" i="37"/>
  <c r="X642" i="37"/>
  <c r="Q642" i="37"/>
  <c r="S564" i="37"/>
  <c r="Q564" i="37"/>
  <c r="Y564" i="37"/>
  <c r="X564" i="37"/>
  <c r="W564" i="37"/>
  <c r="Z564" i="37"/>
  <c r="V564" i="37"/>
  <c r="R564" i="37"/>
  <c r="P564" i="37"/>
  <c r="T564" i="37"/>
  <c r="Q567" i="37"/>
  <c r="T567" i="37"/>
  <c r="P567" i="37"/>
  <c r="Y666" i="37"/>
  <c r="W666" i="37"/>
  <c r="Q666" i="37"/>
  <c r="P666" i="37"/>
  <c r="T666" i="37"/>
  <c r="R666" i="37"/>
  <c r="R575" i="37"/>
  <c r="T575" i="37"/>
  <c r="S575" i="37"/>
  <c r="Z575" i="37"/>
  <c r="P575" i="37"/>
  <c r="Y575" i="37"/>
  <c r="R738" i="37"/>
  <c r="Y664" i="37"/>
  <c r="W664" i="37"/>
  <c r="Q664" i="37"/>
  <c r="P664" i="37"/>
  <c r="T664" i="37"/>
  <c r="V664" i="37"/>
  <c r="R664" i="37"/>
  <c r="X664" i="37"/>
  <c r="Y724" i="37"/>
  <c r="S724" i="37"/>
  <c r="Z724" i="37"/>
  <c r="T724" i="37"/>
  <c r="S714" i="37"/>
  <c r="P714" i="37"/>
  <c r="V714" i="37" s="1"/>
  <c r="Y714" i="37"/>
  <c r="R714" i="37"/>
  <c r="W714" i="37"/>
  <c r="Z714" i="37"/>
  <c r="T714" i="37"/>
  <c r="Q714" i="37"/>
  <c r="X714" i="37"/>
  <c r="T621" i="37"/>
  <c r="Y621" i="37"/>
  <c r="P621" i="37"/>
  <c r="W621" i="37"/>
  <c r="S621" i="37"/>
  <c r="X621" i="37"/>
  <c r="Y671" i="37"/>
  <c r="Y586" i="37"/>
  <c r="R658" i="37"/>
  <c r="AD318" i="37"/>
  <c r="R318" i="37"/>
  <c r="AF318" i="37"/>
  <c r="Z318" i="37"/>
  <c r="S318" i="37"/>
  <c r="AE318" i="37"/>
  <c r="X318" i="37"/>
  <c r="AA318" i="37"/>
  <c r="AB318" i="37"/>
  <c r="V318" i="37"/>
  <c r="R360" i="37"/>
  <c r="AB360" i="37"/>
  <c r="Z360" i="37"/>
  <c r="T360" i="37"/>
  <c r="AH474" i="37"/>
  <c r="AB474" i="37"/>
  <c r="AG474" i="37"/>
  <c r="AD436" i="37"/>
  <c r="T436" i="37"/>
  <c r="AE436" i="37"/>
  <c r="V436" i="37"/>
  <c r="AF436" i="37"/>
  <c r="AH436" i="37"/>
  <c r="T727" i="37"/>
  <c r="Z727" i="37"/>
  <c r="Q727" i="37"/>
  <c r="R727" i="37"/>
  <c r="S727" i="37"/>
  <c r="P727" i="37"/>
  <c r="V727" i="37" s="1"/>
  <c r="P673" i="37"/>
  <c r="S673" i="37"/>
  <c r="Q673" i="37"/>
  <c r="T673" i="37"/>
  <c r="P756" i="37"/>
  <c r="W706" i="37"/>
  <c r="Y706" i="37"/>
  <c r="Q706" i="37"/>
  <c r="P706" i="37"/>
  <c r="X706" i="37"/>
  <c r="R706" i="37"/>
  <c r="S706" i="37"/>
  <c r="Y694" i="37"/>
  <c r="X694" i="37"/>
  <c r="P694" i="37"/>
  <c r="V694" i="37"/>
  <c r="Z694" i="37"/>
  <c r="Q694" i="37"/>
  <c r="W694" i="37"/>
  <c r="S694" i="37"/>
  <c r="P746" i="37"/>
  <c r="Q746" i="37"/>
  <c r="S746" i="37"/>
  <c r="Z698" i="37"/>
  <c r="S698" i="37"/>
  <c r="P698" i="37"/>
  <c r="T698" i="37"/>
  <c r="W698" i="37"/>
  <c r="X698" i="37"/>
  <c r="V698" i="37"/>
  <c r="P660" i="37"/>
  <c r="Q660" i="37"/>
  <c r="T660" i="37"/>
  <c r="Y660" i="37"/>
  <c r="W660" i="37"/>
  <c r="R660" i="37"/>
  <c r="S660" i="37"/>
  <c r="X660" i="37"/>
  <c r="Q757" i="37"/>
  <c r="P757" i="37"/>
  <c r="S757" i="37"/>
  <c r="T589" i="37"/>
  <c r="Y589" i="37"/>
  <c r="V589" i="37"/>
  <c r="Z589" i="37"/>
  <c r="S589" i="37"/>
  <c r="X589" i="37"/>
  <c r="P589" i="37"/>
  <c r="Q589" i="37"/>
  <c r="R589" i="37"/>
  <c r="W589" i="37"/>
  <c r="Y672" i="37"/>
  <c r="W672" i="37"/>
  <c r="Q672" i="37"/>
  <c r="P672" i="37"/>
  <c r="T672" i="37"/>
  <c r="X672" i="37"/>
  <c r="Z672" i="37"/>
  <c r="V672" i="37"/>
  <c r="Y356" i="37"/>
  <c r="Z356" i="37"/>
  <c r="AF356" i="37"/>
  <c r="AD356" i="37"/>
  <c r="S356" i="37"/>
  <c r="X356" i="37"/>
  <c r="U391" i="37"/>
  <c r="AB391" i="37"/>
  <c r="V391" i="37"/>
  <c r="T391" i="37"/>
  <c r="AA391" i="37"/>
  <c r="T353" i="37"/>
  <c r="Z353" i="37"/>
  <c r="AF353" i="37"/>
  <c r="Y353" i="37"/>
  <c r="R353" i="37"/>
  <c r="AA353" i="37"/>
  <c r="AD353" i="37"/>
  <c r="V353" i="37"/>
  <c r="AE353" i="37"/>
  <c r="U311" i="37"/>
  <c r="AH311" i="37"/>
  <c r="V311" i="37"/>
  <c r="AD311" i="37"/>
  <c r="Z311" i="37"/>
  <c r="AG311" i="37"/>
  <c r="AF311" i="37"/>
  <c r="T311" i="37"/>
  <c r="AE311" i="37"/>
  <c r="V660" i="37"/>
  <c r="R698" i="37"/>
  <c r="Q698" i="37"/>
  <c r="Y605" i="37"/>
  <c r="S605" i="37"/>
  <c r="W605" i="37"/>
  <c r="V605" i="37"/>
  <c r="R605" i="37"/>
  <c r="Z605" i="37"/>
  <c r="P605" i="37"/>
  <c r="T605" i="37"/>
  <c r="Q605" i="37"/>
  <c r="X562" i="37"/>
  <c r="W562" i="37"/>
  <c r="Z562" i="37"/>
  <c r="P562" i="37"/>
  <c r="R562" i="37"/>
  <c r="S562" i="37"/>
  <c r="Y562" i="37"/>
  <c r="V562" i="37"/>
  <c r="Q562" i="37"/>
  <c r="T562" i="37"/>
  <c r="AA311" i="37"/>
  <c r="Y311" i="37"/>
  <c r="S391" i="37"/>
  <c r="AB356" i="37"/>
  <c r="U356" i="37"/>
  <c r="V356" i="37"/>
  <c r="Q576" i="37"/>
  <c r="S672" i="37"/>
  <c r="X605" i="37"/>
  <c r="V668" i="37"/>
  <c r="Z660" i="37"/>
  <c r="V635" i="37"/>
  <c r="P730" i="37"/>
  <c r="Q730" i="37"/>
  <c r="R691" i="37"/>
  <c r="T691" i="37"/>
  <c r="P691" i="37"/>
  <c r="W691" i="37"/>
  <c r="V691" i="37"/>
  <c r="Z691" i="37"/>
  <c r="S691" i="37"/>
  <c r="Y691" i="37"/>
  <c r="X691" i="37"/>
  <c r="Y647" i="37"/>
  <c r="T647" i="37"/>
  <c r="V647" i="37"/>
  <c r="Z647" i="37"/>
  <c r="Q647" i="37"/>
  <c r="R647" i="37"/>
  <c r="P729" i="37"/>
  <c r="T729" i="37"/>
  <c r="Z729" i="37"/>
  <c r="R742" i="37"/>
  <c r="T652" i="37"/>
  <c r="Y652" i="37"/>
  <c r="R652" i="37"/>
  <c r="X652" i="37"/>
  <c r="Q652" i="37"/>
  <c r="Y641" i="37"/>
  <c r="T641" i="37"/>
  <c r="P641" i="37"/>
  <c r="V641" i="37"/>
  <c r="R641" i="37"/>
  <c r="S641" i="37"/>
  <c r="W641" i="37"/>
  <c r="S592" i="37"/>
  <c r="P592" i="37"/>
  <c r="Z592" i="37"/>
  <c r="Y592" i="37"/>
  <c r="R592" i="37"/>
  <c r="T592" i="37"/>
  <c r="V592" i="37"/>
  <c r="W592" i="37"/>
  <c r="X592" i="37"/>
  <c r="T674" i="37"/>
  <c r="W674" i="37"/>
  <c r="Y674" i="37"/>
  <c r="Q674" i="37"/>
  <c r="P674" i="37"/>
  <c r="Z674" i="37"/>
  <c r="R674" i="37"/>
  <c r="W690" i="37"/>
  <c r="T690" i="37"/>
  <c r="S690" i="37"/>
  <c r="Z690" i="37"/>
  <c r="X690" i="37"/>
  <c r="Y690" i="37"/>
  <c r="R690" i="37"/>
  <c r="V690" i="37"/>
  <c r="P690" i="37"/>
  <c r="P561" i="37"/>
  <c r="R561" i="37"/>
  <c r="Q561" i="37"/>
  <c r="V561" i="37"/>
  <c r="T561" i="37"/>
  <c r="X561" i="37"/>
  <c r="Y561" i="37"/>
  <c r="W561" i="37"/>
  <c r="R594" i="37"/>
  <c r="T594" i="37"/>
  <c r="S594" i="37"/>
  <c r="P594" i="37"/>
  <c r="V594" i="37" s="1"/>
  <c r="P603" i="37"/>
  <c r="Z603" i="37"/>
  <c r="T603" i="37"/>
  <c r="S603" i="37"/>
  <c r="X603" i="37"/>
  <c r="Y603" i="37"/>
  <c r="Q603" i="37"/>
  <c r="W603" i="37"/>
  <c r="Y626" i="37"/>
  <c r="T626" i="37"/>
  <c r="W626" i="37"/>
  <c r="P626" i="37"/>
  <c r="V626" i="37"/>
  <c r="X626" i="37"/>
  <c r="Y620" i="37"/>
  <c r="T620" i="37"/>
  <c r="X620" i="37"/>
  <c r="Q620" i="37"/>
  <c r="S620" i="37"/>
  <c r="V620" i="37"/>
  <c r="T710" i="37"/>
  <c r="P680" i="37"/>
  <c r="S680" i="37"/>
  <c r="Y680" i="37"/>
  <c r="R680" i="37"/>
  <c r="X680" i="37"/>
  <c r="T680" i="37"/>
  <c r="Q680" i="37"/>
  <c r="W680" i="37"/>
  <c r="V680" i="37"/>
  <c r="P568" i="37"/>
  <c r="R568" i="37"/>
  <c r="V568" i="37"/>
  <c r="T568" i="37"/>
  <c r="W568" i="37"/>
  <c r="Q568" i="37"/>
  <c r="S568" i="37"/>
  <c r="Y568" i="37"/>
  <c r="X568" i="37"/>
  <c r="Z568" i="37"/>
  <c r="T679" i="37"/>
  <c r="T725" i="37"/>
  <c r="Z725" i="37"/>
  <c r="P572" i="37"/>
  <c r="R572" i="37"/>
  <c r="S572" i="37"/>
  <c r="T572" i="37"/>
  <c r="X572" i="37"/>
  <c r="Z572" i="37"/>
  <c r="Y572" i="37"/>
  <c r="T580" i="37"/>
  <c r="Z580" i="37"/>
  <c r="Q580" i="37"/>
  <c r="R623" i="37"/>
  <c r="Q623" i="37"/>
  <c r="P623" i="37"/>
  <c r="S623" i="37"/>
  <c r="T623" i="37"/>
  <c r="T614" i="37"/>
  <c r="Q614" i="37"/>
  <c r="R614" i="37"/>
  <c r="S753" i="37"/>
  <c r="Q753" i="37"/>
  <c r="Y649" i="37"/>
  <c r="T649" i="37"/>
  <c r="Q649" i="37"/>
  <c r="S649" i="37"/>
  <c r="W649" i="37"/>
  <c r="V649" i="37"/>
  <c r="T648" i="37"/>
  <c r="Y648" i="37"/>
  <c r="Q648" i="37"/>
  <c r="P648" i="37"/>
  <c r="V648" i="37"/>
  <c r="R648" i="37"/>
  <c r="S584" i="37"/>
  <c r="Z584" i="37"/>
  <c r="T584" i="37"/>
  <c r="Y584" i="37"/>
  <c r="R584" i="37"/>
  <c r="X584" i="37"/>
  <c r="Q661" i="37"/>
  <c r="V671" i="37"/>
  <c r="R753" i="37"/>
  <c r="T706" i="37"/>
  <c r="V658" i="37"/>
  <c r="V706" i="37"/>
  <c r="T694" i="37"/>
  <c r="T661" i="37"/>
  <c r="Q687" i="37"/>
  <c r="T687" i="37"/>
  <c r="P710" i="37"/>
  <c r="AB311" i="37"/>
  <c r="AH353" i="37"/>
  <c r="R311" i="37"/>
  <c r="AH356" i="37"/>
  <c r="R356" i="37"/>
  <c r="R757" i="37"/>
  <c r="R672" i="37"/>
  <c r="P669" i="37"/>
  <c r="Z669" i="37"/>
  <c r="Y669" i="37"/>
  <c r="W669" i="37"/>
  <c r="T669" i="37"/>
  <c r="Q669" i="37"/>
  <c r="X669" i="37"/>
  <c r="S669" i="37"/>
  <c r="P697" i="37"/>
  <c r="S561" i="37"/>
  <c r="Y698" i="37"/>
  <c r="V510" i="37"/>
  <c r="AF510" i="37"/>
  <c r="Z510" i="37"/>
  <c r="AA510" i="37"/>
  <c r="AA315" i="37"/>
  <c r="T315" i="37"/>
  <c r="AE315" i="37"/>
  <c r="R673" i="37"/>
  <c r="R694" i="37"/>
  <c r="Z661" i="37"/>
  <c r="Z609" i="37"/>
  <c r="X609" i="37"/>
  <c r="Q609" i="37"/>
  <c r="Y609" i="37"/>
  <c r="P609" i="37"/>
  <c r="S609" i="37"/>
  <c r="W609" i="37"/>
  <c r="R609" i="37"/>
  <c r="T609" i="37"/>
  <c r="V609" i="37"/>
  <c r="P676" i="37"/>
  <c r="W676" i="37"/>
  <c r="T676" i="37"/>
  <c r="Q676" i="37"/>
  <c r="Y653" i="37"/>
  <c r="T653" i="37"/>
  <c r="T616" i="37"/>
  <c r="Y615" i="37"/>
  <c r="T615" i="37"/>
  <c r="Y611" i="37"/>
  <c r="T611" i="37"/>
  <c r="R740" i="37"/>
  <c r="Q740" i="37"/>
  <c r="Q750" i="37"/>
  <c r="S750" i="37"/>
  <c r="P750" i="37"/>
  <c r="Y636" i="37"/>
  <c r="T636" i="37"/>
  <c r="Y591" i="37"/>
  <c r="V591" i="37"/>
  <c r="S591" i="37"/>
  <c r="X591" i="37"/>
  <c r="T591" i="37"/>
  <c r="R591" i="37"/>
  <c r="P591" i="37"/>
  <c r="Z591" i="37"/>
  <c r="Q591" i="37"/>
  <c r="Q736" i="37"/>
  <c r="S752" i="37"/>
  <c r="W692" i="37"/>
  <c r="Z692" i="37"/>
  <c r="S692" i="37"/>
  <c r="T692" i="37"/>
  <c r="P692" i="37"/>
  <c r="R692" i="37"/>
  <c r="V692" i="37"/>
  <c r="Y692" i="37"/>
  <c r="X692" i="37"/>
  <c r="Q692" i="37"/>
  <c r="S570" i="37"/>
  <c r="Q570" i="37"/>
  <c r="Y570" i="37"/>
  <c r="X570" i="37"/>
  <c r="W570" i="37"/>
  <c r="Z570" i="37"/>
  <c r="T570" i="37"/>
  <c r="R570" i="37"/>
  <c r="P570" i="37"/>
  <c r="V570" i="37"/>
  <c r="P686" i="37"/>
  <c r="Y670" i="37"/>
  <c r="W670" i="37"/>
  <c r="Q670" i="37"/>
  <c r="P670" i="37"/>
  <c r="T670" i="37"/>
  <c r="S600" i="37"/>
  <c r="Q600" i="37"/>
  <c r="P600" i="37"/>
  <c r="Z600" i="37"/>
  <c r="X600" i="37"/>
  <c r="W600" i="37"/>
  <c r="T600" i="37"/>
  <c r="Y600" i="37"/>
  <c r="R717" i="37"/>
  <c r="T717" i="37"/>
  <c r="X717" i="37"/>
  <c r="S717" i="37"/>
  <c r="Z717" i="37"/>
  <c r="Y717" i="37"/>
  <c r="Q717" i="37"/>
  <c r="R733" i="37"/>
  <c r="T733" i="37"/>
  <c r="Z733" i="37"/>
  <c r="R578" i="37"/>
  <c r="P695" i="37"/>
  <c r="S695" i="37"/>
  <c r="T588" i="37"/>
  <c r="Y588" i="37"/>
  <c r="V588" i="37"/>
  <c r="R588" i="37"/>
  <c r="Z588" i="37"/>
  <c r="P588" i="37"/>
  <c r="S588" i="37"/>
  <c r="R709" i="37"/>
  <c r="P709" i="37"/>
  <c r="X709" i="37"/>
  <c r="Q709" i="37"/>
  <c r="W709" i="37"/>
  <c r="T709" i="37"/>
  <c r="S709" i="37"/>
  <c r="Y709" i="37"/>
  <c r="Z709" i="37"/>
  <c r="Q662" i="37"/>
  <c r="Z662" i="37"/>
  <c r="X689" i="37"/>
  <c r="Y357" i="37"/>
  <c r="X357" i="37"/>
  <c r="Z702" i="37"/>
  <c r="S670" i="37"/>
  <c r="X653" i="37"/>
  <c r="S636" i="37"/>
  <c r="S616" i="37"/>
  <c r="S743" i="37"/>
  <c r="Q743" i="37"/>
  <c r="R743" i="37"/>
  <c r="X577" i="37"/>
  <c r="Y577" i="37"/>
  <c r="P577" i="37"/>
  <c r="R577" i="37"/>
  <c r="Q577" i="37"/>
  <c r="Z577" i="37"/>
  <c r="V577" i="37"/>
  <c r="S577" i="37"/>
  <c r="T577" i="37"/>
  <c r="Y640" i="37"/>
  <c r="T640" i="37"/>
  <c r="S615" i="37"/>
  <c r="R611" i="37"/>
  <c r="AG413" i="37"/>
  <c r="X413" i="37"/>
  <c r="AD328" i="37"/>
  <c r="X328" i="37"/>
  <c r="R676" i="37"/>
  <c r="S676" i="37"/>
  <c r="S640" i="37"/>
  <c r="R640" i="37"/>
  <c r="T593" i="37"/>
  <c r="R593" i="37"/>
  <c r="Y593" i="37"/>
  <c r="V593" i="37"/>
  <c r="W593" i="37"/>
  <c r="P593" i="37"/>
  <c r="Q593" i="37"/>
  <c r="S593" i="37"/>
  <c r="X593" i="37"/>
  <c r="Z593" i="37"/>
  <c r="T617" i="37"/>
  <c r="Y617" i="37"/>
  <c r="Y637" i="37"/>
  <c r="T637" i="37"/>
  <c r="R701" i="37"/>
  <c r="V701" i="37"/>
  <c r="W701" i="37"/>
  <c r="T701" i="37"/>
  <c r="Z701" i="37"/>
  <c r="P701" i="37"/>
  <c r="Y701" i="37"/>
  <c r="Q701" i="37"/>
  <c r="S701" i="37"/>
  <c r="Z574" i="37"/>
  <c r="X574" i="37"/>
  <c r="Y619" i="37"/>
  <c r="T619" i="37"/>
  <c r="T625" i="37"/>
  <c r="Y625" i="37"/>
  <c r="Y665" i="37"/>
  <c r="T665" i="37"/>
  <c r="P665" i="37"/>
  <c r="W665" i="37"/>
  <c r="Q665" i="37"/>
  <c r="T747" i="37"/>
  <c r="T654" i="37"/>
  <c r="Y654" i="37"/>
  <c r="Q683" i="37"/>
  <c r="T683" i="37"/>
  <c r="Y708" i="37"/>
  <c r="R708" i="37"/>
  <c r="P708" i="37"/>
  <c r="V708" i="37" s="1"/>
  <c r="Q708" i="37"/>
  <c r="W708" i="37"/>
  <c r="S708" i="37"/>
  <c r="Z708" i="37"/>
  <c r="X708" i="37"/>
  <c r="T708" i="37"/>
  <c r="S599" i="37"/>
  <c r="P599" i="37"/>
  <c r="Z599" i="37"/>
  <c r="T599" i="37"/>
  <c r="X599" i="37"/>
  <c r="Y599" i="37"/>
  <c r="Q599" i="37"/>
  <c r="Y595" i="37"/>
  <c r="V595" i="37"/>
  <c r="S595" i="37"/>
  <c r="X595" i="37"/>
  <c r="Z595" i="37"/>
  <c r="P595" i="37"/>
  <c r="Q595" i="37"/>
  <c r="T595" i="37"/>
  <c r="Y613" i="37"/>
  <c r="T613" i="37"/>
  <c r="S683" i="37"/>
  <c r="Q663" i="37"/>
  <c r="R651" i="37"/>
  <c r="Z651" i="37"/>
  <c r="W645" i="37"/>
  <c r="Z645" i="37"/>
  <c r="P645" i="37"/>
  <c r="S361" i="37"/>
  <c r="AD361" i="37"/>
  <c r="Y361" i="37"/>
  <c r="P565" i="37"/>
  <c r="Z357" i="37"/>
  <c r="W711" i="37"/>
  <c r="T711" i="37"/>
  <c r="S711" i="37"/>
  <c r="Z711" i="37"/>
  <c r="P711" i="37"/>
  <c r="Q711" i="37"/>
  <c r="Y711" i="37"/>
  <c r="R711" i="37"/>
  <c r="X711" i="37"/>
  <c r="S716" i="37"/>
  <c r="Q716" i="37"/>
  <c r="W667" i="37"/>
  <c r="P667" i="37"/>
  <c r="V678" i="37"/>
  <c r="Y682" i="37"/>
  <c r="P682" i="37"/>
  <c r="Q682" i="37"/>
  <c r="S682" i="37"/>
  <c r="W682" i="37"/>
  <c r="R682" i="37"/>
  <c r="X682" i="37"/>
  <c r="V682" i="37"/>
  <c r="T682" i="37"/>
  <c r="S730" i="37"/>
  <c r="S696" i="37"/>
  <c r="Z696" i="37"/>
  <c r="Y696" i="37"/>
  <c r="V696" i="37"/>
  <c r="R696" i="37"/>
  <c r="P696" i="37"/>
  <c r="W696" i="37"/>
  <c r="Q696" i="37"/>
  <c r="T696" i="37"/>
  <c r="X696" i="37"/>
  <c r="T585" i="37"/>
  <c r="P585" i="37"/>
  <c r="W585" i="37"/>
  <c r="Y585" i="37"/>
  <c r="X585" i="37"/>
  <c r="Q585" i="37"/>
  <c r="R585" i="37"/>
  <c r="Z585" i="37"/>
  <c r="S585" i="37"/>
  <c r="S602" i="37"/>
  <c r="P602" i="37"/>
  <c r="Z602" i="37"/>
  <c r="Y602" i="37"/>
  <c r="T602" i="37"/>
  <c r="R735" i="37"/>
  <c r="P581" i="37"/>
  <c r="Z581" i="37"/>
  <c r="Q581" i="37"/>
  <c r="T581" i="37"/>
  <c r="R581" i="37"/>
  <c r="X581" i="37"/>
  <c r="V581" i="37"/>
  <c r="Y581" i="37"/>
  <c r="W581" i="37"/>
  <c r="S581" i="37"/>
  <c r="T745" i="37"/>
  <c r="P745" i="37"/>
  <c r="T650" i="37"/>
  <c r="Y650" i="37"/>
  <c r="Z579" i="37"/>
  <c r="T579" i="37"/>
  <c r="W700" i="37"/>
  <c r="T700" i="37"/>
  <c r="S700" i="37"/>
  <c r="Z700" i="37"/>
  <c r="X700" i="37"/>
  <c r="Y700" i="37"/>
  <c r="P700" i="37"/>
  <c r="R700" i="37"/>
  <c r="V700" i="37"/>
  <c r="Y688" i="37"/>
  <c r="P688" i="37"/>
  <c r="X688" i="37"/>
  <c r="R688" i="37"/>
  <c r="T688" i="37"/>
  <c r="V688" i="37"/>
  <c r="S688" i="37"/>
  <c r="W688" i="37"/>
  <c r="Z688" i="37"/>
  <c r="Y715" i="37"/>
  <c r="P715" i="37"/>
  <c r="S715" i="37"/>
  <c r="T715" i="37"/>
  <c r="X715" i="37"/>
  <c r="Z715" i="37"/>
  <c r="R715" i="37"/>
  <c r="T597" i="37"/>
  <c r="R597" i="37"/>
  <c r="Y597" i="37"/>
  <c r="V597" i="37"/>
  <c r="Z597" i="37"/>
  <c r="S597" i="37"/>
  <c r="X597" i="37"/>
  <c r="P597" i="37"/>
  <c r="Q597" i="37"/>
  <c r="Y631" i="37"/>
  <c r="T631" i="37"/>
  <c r="Y693" i="37"/>
  <c r="V693" i="37"/>
  <c r="R693" i="37"/>
  <c r="P693" i="37"/>
  <c r="X693" i="37"/>
  <c r="T693" i="37"/>
  <c r="Q693" i="37"/>
  <c r="Z693" i="37"/>
  <c r="S693" i="37"/>
  <c r="W693" i="37"/>
  <c r="W655" i="37"/>
  <c r="X655" i="37"/>
  <c r="P590" i="37"/>
  <c r="Q578" i="37"/>
  <c r="Q574" i="37"/>
  <c r="S569" i="37"/>
  <c r="Z569" i="37"/>
  <c r="Q702" i="37"/>
  <c r="V707" i="37"/>
  <c r="X352" i="37"/>
  <c r="S352" i="37"/>
  <c r="T678" i="37"/>
  <c r="AA340" i="37"/>
  <c r="AF340" i="37"/>
  <c r="V340" i="37"/>
  <c r="AB340" i="37"/>
  <c r="AD340" i="37"/>
  <c r="Z340" i="37"/>
  <c r="Y340" i="37"/>
  <c r="AG340" i="37"/>
  <c r="AH340" i="37"/>
  <c r="AE340" i="37"/>
  <c r="R340" i="37"/>
  <c r="X340" i="37"/>
  <c r="U340" i="37"/>
  <c r="S340" i="37"/>
  <c r="T340" i="37"/>
  <c r="R731" i="37"/>
  <c r="R713" i="37"/>
  <c r="P713" i="37"/>
  <c r="X713" i="37"/>
  <c r="W713" i="37"/>
  <c r="T713" i="37"/>
  <c r="Q713" i="37"/>
  <c r="Y713" i="37"/>
  <c r="S713" i="37"/>
  <c r="Z713" i="37"/>
  <c r="T726" i="37"/>
  <c r="W678" i="37"/>
  <c r="P678" i="37"/>
  <c r="P662" i="37"/>
  <c r="X662" i="37"/>
  <c r="P689" i="37"/>
  <c r="R677" i="37"/>
  <c r="Z677" i="37"/>
  <c r="Q744" i="37"/>
  <c r="R744" i="37"/>
  <c r="Z705" i="37"/>
  <c r="X705" i="37"/>
  <c r="T720" i="37"/>
  <c r="S720" i="37"/>
  <c r="Z720" i="37"/>
  <c r="Q720" i="37"/>
  <c r="Y720" i="37"/>
  <c r="T624" i="37"/>
  <c r="P703" i="37"/>
  <c r="V569" i="37"/>
  <c r="AG357" i="37"/>
  <c r="Y378" i="37"/>
  <c r="Z421" i="37"/>
  <c r="S734" i="37"/>
  <c r="R734" i="37"/>
  <c r="R750" i="37"/>
  <c r="S740" i="37"/>
  <c r="R670" i="37"/>
  <c r="S653" i="37"/>
  <c r="W653" i="37"/>
  <c r="P653" i="37"/>
  <c r="W636" i="37"/>
  <c r="X636" i="37"/>
  <c r="R616" i="37"/>
  <c r="AE392" i="37"/>
  <c r="R617" i="37"/>
  <c r="X619" i="37"/>
  <c r="Q619" i="37"/>
  <c r="R615" i="37"/>
  <c r="V611" i="37"/>
  <c r="W611" i="37"/>
  <c r="Y604" i="37"/>
  <c r="W604" i="37"/>
  <c r="V604" i="37"/>
  <c r="S604" i="37"/>
  <c r="Q604" i="37"/>
  <c r="Z604" i="37"/>
  <c r="P604" i="37"/>
  <c r="X604" i="37"/>
  <c r="T604" i="37"/>
  <c r="Y639" i="37"/>
  <c r="T639" i="37"/>
  <c r="S601" i="37"/>
  <c r="W601" i="37"/>
  <c r="P601" i="37"/>
  <c r="Z601" i="37"/>
  <c r="V601" i="37"/>
  <c r="T601" i="37"/>
  <c r="Y601" i="37"/>
  <c r="X559" i="37"/>
  <c r="W559" i="37"/>
  <c r="P559" i="37"/>
  <c r="Q559" i="37"/>
  <c r="V559" i="37"/>
  <c r="S559" i="37"/>
  <c r="S654" i="37"/>
  <c r="Z637" i="37"/>
  <c r="W637" i="37"/>
  <c r="P637" i="37"/>
  <c r="R625" i="37"/>
  <c r="Q625" i="37"/>
  <c r="Z676" i="37"/>
  <c r="X676" i="37"/>
  <c r="W640" i="37"/>
  <c r="W591" i="37"/>
  <c r="W702" i="37"/>
  <c r="P683" i="37"/>
  <c r="V699" i="37"/>
  <c r="T578" i="37"/>
  <c r="AH357" i="37"/>
  <c r="W699" i="37"/>
  <c r="X683" i="37"/>
  <c r="V683" i="37"/>
  <c r="Y651" i="37"/>
  <c r="Q651" i="37"/>
  <c r="S651" i="37"/>
  <c r="Q751" i="37"/>
  <c r="V645" i="37"/>
  <c r="S645" i="37"/>
  <c r="T587" i="37"/>
  <c r="W587" i="37"/>
  <c r="Y587" i="37"/>
  <c r="V587" i="37"/>
  <c r="Z587" i="37"/>
  <c r="X587" i="37"/>
  <c r="S587" i="37"/>
  <c r="P587" i="37"/>
  <c r="Q587" i="37"/>
  <c r="P583" i="37"/>
  <c r="Y618" i="37"/>
  <c r="Q618" i="37"/>
  <c r="P618" i="37"/>
  <c r="T618" i="37"/>
  <c r="Y633" i="37"/>
  <c r="T633" i="37"/>
  <c r="T656" i="37"/>
  <c r="Y656" i="37"/>
  <c r="T610" i="37"/>
  <c r="Y610" i="37"/>
  <c r="Y723" i="37"/>
  <c r="R723" i="37"/>
  <c r="T723" i="37"/>
  <c r="Z723" i="37"/>
  <c r="S723" i="37"/>
  <c r="P723" i="37"/>
  <c r="T612" i="37"/>
  <c r="Y612" i="37"/>
  <c r="S573" i="37"/>
  <c r="X573" i="37"/>
  <c r="Q573" i="37"/>
  <c r="P573" i="37"/>
  <c r="Y685" i="37"/>
  <c r="W685" i="37"/>
  <c r="T685" i="37"/>
  <c r="Q685" i="37"/>
  <c r="R685" i="37"/>
  <c r="S685" i="37"/>
  <c r="P685" i="37"/>
  <c r="V685" i="37"/>
  <c r="X685" i="37"/>
  <c r="T634" i="37"/>
  <c r="Y634" i="37"/>
  <c r="Y629" i="37"/>
  <c r="T629" i="37"/>
  <c r="Q689" i="37"/>
  <c r="S357" i="37"/>
  <c r="V357" i="37"/>
  <c r="Y655" i="37"/>
  <c r="V655" i="37"/>
  <c r="R655" i="37"/>
  <c r="T590" i="37"/>
  <c r="Q590" i="37"/>
  <c r="Z578" i="37"/>
  <c r="S574" i="37"/>
  <c r="W569" i="37"/>
  <c r="S565" i="37"/>
  <c r="R702" i="37"/>
  <c r="AA357" i="37"/>
  <c r="Y707" i="37"/>
  <c r="R758" i="37"/>
  <c r="T758" i="37"/>
  <c r="S758" i="37"/>
  <c r="Z758" i="37"/>
  <c r="Y758" i="37"/>
  <c r="Y719" i="37"/>
  <c r="R719" i="37"/>
  <c r="Z719" i="37"/>
  <c r="T719" i="37"/>
  <c r="S719" i="37"/>
  <c r="Y632" i="37"/>
  <c r="T632" i="37"/>
  <c r="P659" i="37"/>
  <c r="T659" i="37"/>
  <c r="W659" i="37"/>
  <c r="Y659" i="37"/>
  <c r="Q659" i="37"/>
  <c r="Y628" i="37"/>
  <c r="T628" i="37"/>
  <c r="V563" i="37"/>
  <c r="S563" i="37"/>
  <c r="Q563" i="37"/>
  <c r="P563" i="37"/>
  <c r="W563" i="37"/>
  <c r="X563" i="37"/>
  <c r="V689" i="37"/>
  <c r="T699" i="37"/>
  <c r="X566" i="37"/>
  <c r="W566" i="37"/>
  <c r="P566" i="37"/>
  <c r="R566" i="37"/>
  <c r="S566" i="37"/>
  <c r="V566" i="37"/>
  <c r="T566" i="37"/>
  <c r="Q566" i="37"/>
  <c r="T608" i="37"/>
  <c r="Y684" i="37"/>
  <c r="Q684" i="37"/>
  <c r="R684" i="37"/>
  <c r="X684" i="37"/>
  <c r="P684" i="37"/>
  <c r="W684" i="37"/>
  <c r="T684" i="37"/>
  <c r="S684" i="37"/>
  <c r="V684" i="37"/>
  <c r="Y678" i="37"/>
  <c r="Z678" i="37"/>
  <c r="R662" i="37"/>
  <c r="T689" i="37"/>
  <c r="Y699" i="37"/>
  <c r="S707" i="37"/>
  <c r="B492" i="40" l="1"/>
  <c r="B211" i="65"/>
  <c r="Z797" i="37"/>
  <c r="P644" i="37"/>
  <c r="V644" i="37" s="1"/>
  <c r="AD538" i="37"/>
  <c r="AE538" i="37" s="1"/>
  <c r="AF538" i="37" s="1"/>
  <c r="AG538" i="37" s="1"/>
  <c r="AH538" i="37" s="1"/>
  <c r="AE366" i="37"/>
  <c r="AF366" i="37" s="1"/>
  <c r="S644" i="37"/>
  <c r="Q624" i="37"/>
  <c r="W762" i="37"/>
  <c r="X762" i="37" s="1"/>
  <c r="Y762" i="37" s="1"/>
  <c r="Z762" i="37" s="1"/>
  <c r="W779" i="37"/>
  <c r="X779" i="37" s="1"/>
  <c r="W792" i="37"/>
  <c r="X792" i="37" s="1"/>
  <c r="Y792" i="37" s="1"/>
  <c r="X778" i="37"/>
  <c r="Y778" i="37" s="1"/>
  <c r="Z778" i="37" s="1"/>
  <c r="Q783" i="37"/>
  <c r="T783" i="37"/>
  <c r="R624" i="37"/>
  <c r="R765" i="37"/>
  <c r="P765" i="37"/>
  <c r="V765" i="37" s="1"/>
  <c r="W765" i="37" s="1"/>
  <c r="W775" i="37"/>
  <c r="X775" i="37" s="1"/>
  <c r="X777" i="37"/>
  <c r="Y777" i="37" s="1"/>
  <c r="W773" i="37"/>
  <c r="X773" i="37" s="1"/>
  <c r="Y773" i="37" s="1"/>
  <c r="Z773" i="37" s="1"/>
  <c r="S783" i="37"/>
  <c r="AD359" i="37"/>
  <c r="AE359" i="37" s="1"/>
  <c r="P624" i="37"/>
  <c r="V624" i="37" s="1"/>
  <c r="P783" i="37"/>
  <c r="V783" i="37" s="1"/>
  <c r="W759" i="37"/>
  <c r="X759" i="37" s="1"/>
  <c r="Y759" i="37" s="1"/>
  <c r="W776" i="37"/>
  <c r="X776" i="37" s="1"/>
  <c r="Y776" i="37" s="1"/>
  <c r="Z776" i="37" s="1"/>
  <c r="W781" i="37"/>
  <c r="X781" i="37" s="1"/>
  <c r="Y781" i="37" s="1"/>
  <c r="W787" i="37"/>
  <c r="X787" i="37" s="1"/>
  <c r="Y787" i="37" s="1"/>
  <c r="Z787" i="37" s="1"/>
  <c r="W770" i="37"/>
  <c r="X770" i="37" s="1"/>
  <c r="R644" i="37"/>
  <c r="AD368" i="37"/>
  <c r="AE368" i="37" s="1"/>
  <c r="AF368" i="37" s="1"/>
  <c r="AG368" i="37" s="1"/>
  <c r="AH368" i="37" s="1"/>
  <c r="Q644" i="37"/>
  <c r="W606" i="37"/>
  <c r="X606" i="37" s="1"/>
  <c r="Y606" i="37" s="1"/>
  <c r="W766" i="37"/>
  <c r="X766" i="37" s="1"/>
  <c r="Y766" i="37" s="1"/>
  <c r="W594" i="37"/>
  <c r="X594" i="37" s="1"/>
  <c r="Y594" i="37" s="1"/>
  <c r="Z594" i="37" s="1"/>
  <c r="R582" i="37"/>
  <c r="W616" i="37"/>
  <c r="X616" i="37" s="1"/>
  <c r="Y616" i="37" s="1"/>
  <c r="Z616" i="37" s="1"/>
  <c r="W793" i="37"/>
  <c r="X793" i="37" s="1"/>
  <c r="Y793" i="37" s="1"/>
  <c r="Z793" i="37" s="1"/>
  <c r="AD360" i="37"/>
  <c r="AE360" i="37" s="1"/>
  <c r="AF360" i="37" s="1"/>
  <c r="AG360" i="37" s="1"/>
  <c r="AH360" i="37" s="1"/>
  <c r="P755" i="37"/>
  <c r="V755" i="37" s="1"/>
  <c r="W755" i="37" s="1"/>
  <c r="AD358" i="37"/>
  <c r="AE358" i="37" s="1"/>
  <c r="AF358" i="37" s="1"/>
  <c r="AG358" i="37" s="1"/>
  <c r="AH358" i="37" s="1"/>
  <c r="P615" i="37"/>
  <c r="V615" i="37" s="1"/>
  <c r="W615" i="37" s="1"/>
  <c r="R755" i="37"/>
  <c r="S755" i="37"/>
  <c r="T755" i="37"/>
  <c r="Q772" i="37"/>
  <c r="P772" i="37"/>
  <c r="V772" i="37" s="1"/>
  <c r="R772" i="37"/>
  <c r="W771" i="37"/>
  <c r="X771" i="37" s="1"/>
  <c r="W727" i="37"/>
  <c r="X727" i="37" s="1"/>
  <c r="Y727" i="37" s="1"/>
  <c r="P784" i="37"/>
  <c r="S784" i="37"/>
  <c r="Q784" i="37"/>
  <c r="R784" i="37"/>
  <c r="W749" i="37"/>
  <c r="V750" i="37"/>
  <c r="W750" i="37" s="1"/>
  <c r="X750" i="37" s="1"/>
  <c r="V710" i="37"/>
  <c r="V584" i="37"/>
  <c r="V730" i="37"/>
  <c r="W730" i="37" s="1"/>
  <c r="X730" i="37" s="1"/>
  <c r="Y730" i="37" s="1"/>
  <c r="V746" i="37"/>
  <c r="W746" i="37" s="1"/>
  <c r="V756" i="37"/>
  <c r="W786" i="37"/>
  <c r="X786" i="37" s="1"/>
  <c r="Y786" i="37" s="1"/>
  <c r="Z786" i="37" s="1"/>
  <c r="V754" i="37"/>
  <c r="W754" i="37" s="1"/>
  <c r="V723" i="37"/>
  <c r="V715" i="37"/>
  <c r="V711" i="37"/>
  <c r="V709" i="37"/>
  <c r="V572" i="37"/>
  <c r="V729" i="37"/>
  <c r="V567" i="37"/>
  <c r="V712" i="37"/>
  <c r="V758" i="37"/>
  <c r="V585" i="37"/>
  <c r="V686" i="37"/>
  <c r="V607" i="37"/>
  <c r="W607" i="37" s="1"/>
  <c r="X607" i="37" s="1"/>
  <c r="V687" i="37"/>
  <c r="W687" i="37" s="1"/>
  <c r="X687" i="37" s="1"/>
  <c r="Y687" i="37" s="1"/>
  <c r="Z687" i="37" s="1"/>
  <c r="V681" i="37"/>
  <c r="W681" i="37" s="1"/>
  <c r="X681" i="37" s="1"/>
  <c r="Y681" i="37" s="1"/>
  <c r="Z681" i="37" s="1"/>
  <c r="T657" i="37"/>
  <c r="V761" i="37"/>
  <c r="W761" i="37" s="1"/>
  <c r="X761" i="37" s="1"/>
  <c r="V769" i="37"/>
  <c r="W769" i="37" s="1"/>
  <c r="T736" i="37"/>
  <c r="Q756" i="37"/>
  <c r="P657" i="37"/>
  <c r="S657" i="37"/>
  <c r="P627" i="37"/>
  <c r="W790" i="37"/>
  <c r="X790" i="37" s="1"/>
  <c r="Y790" i="37" s="1"/>
  <c r="S789" i="37"/>
  <c r="Q789" i="37"/>
  <c r="V785" i="37"/>
  <c r="V760" i="37"/>
  <c r="W760" i="37" s="1"/>
  <c r="X760" i="37" s="1"/>
  <c r="Y760" i="37" s="1"/>
  <c r="Z760" i="37" s="1"/>
  <c r="W780" i="37"/>
  <c r="X780" i="37" s="1"/>
  <c r="Y780" i="37" s="1"/>
  <c r="P734" i="37"/>
  <c r="T734" i="37"/>
  <c r="V578" i="37"/>
  <c r="W578" i="37" s="1"/>
  <c r="X578" i="37" s="1"/>
  <c r="Y578" i="37" s="1"/>
  <c r="V768" i="37"/>
  <c r="W768" i="37" s="1"/>
  <c r="T686" i="37"/>
  <c r="Q729" i="37"/>
  <c r="T752" i="37"/>
  <c r="T743" i="37"/>
  <c r="P743" i="37"/>
  <c r="R686" i="37"/>
  <c r="R736" i="37"/>
  <c r="T750" i="37"/>
  <c r="S729" i="37"/>
  <c r="V757" i="37"/>
  <c r="W757" i="37" s="1"/>
  <c r="X757" i="37" s="1"/>
  <c r="Y757" i="37" s="1"/>
  <c r="T757" i="37"/>
  <c r="R756" i="37"/>
  <c r="S756" i="37"/>
  <c r="P721" i="37"/>
  <c r="Q657" i="37"/>
  <c r="Q627" i="37"/>
  <c r="V794" i="37"/>
  <c r="W794" i="37" s="1"/>
  <c r="P782" i="37"/>
  <c r="T782" i="37"/>
  <c r="R789" i="37"/>
  <c r="T796" i="37"/>
  <c r="P796" i="37"/>
  <c r="R785" i="37"/>
  <c r="P791" i="37"/>
  <c r="V788" i="37"/>
  <c r="Q734" i="37"/>
  <c r="W767" i="37"/>
  <c r="X767" i="37" s="1"/>
  <c r="S686" i="37"/>
  <c r="T756" i="37"/>
  <c r="R754" i="37"/>
  <c r="Q721" i="37"/>
  <c r="V763" i="37"/>
  <c r="W763" i="37" s="1"/>
  <c r="V764" i="37"/>
  <c r="W764" i="37" s="1"/>
  <c r="R782" i="37"/>
  <c r="P789" i="37"/>
  <c r="R796" i="37"/>
  <c r="Q785" i="37"/>
  <c r="V774" i="37"/>
  <c r="W774" i="37" s="1"/>
  <c r="X774" i="37" s="1"/>
  <c r="T791" i="37"/>
  <c r="R788" i="37"/>
  <c r="Q788" i="37"/>
  <c r="V583" i="37"/>
  <c r="R728" i="37"/>
  <c r="S728" i="37"/>
  <c r="T728" i="37"/>
  <c r="P728" i="37"/>
  <c r="P752" i="37"/>
  <c r="R752" i="37"/>
  <c r="S580" i="37"/>
  <c r="P580" i="37"/>
  <c r="R725" i="37"/>
  <c r="P725" i="37"/>
  <c r="R679" i="37"/>
  <c r="R710" i="37"/>
  <c r="P738" i="37"/>
  <c r="T738" i="37"/>
  <c r="T748" i="37"/>
  <c r="R737" i="37"/>
  <c r="T737" i="37"/>
  <c r="S737" i="37"/>
  <c r="Q737" i="37"/>
  <c r="P741" i="37"/>
  <c r="R741" i="37"/>
  <c r="R726" i="37"/>
  <c r="S726" i="37"/>
  <c r="Q726" i="37"/>
  <c r="P726" i="37"/>
  <c r="P718" i="37"/>
  <c r="R718" i="37"/>
  <c r="Q718" i="37"/>
  <c r="T718" i="37"/>
  <c r="V573" i="37"/>
  <c r="W573" i="37" s="1"/>
  <c r="Q598" i="37"/>
  <c r="R598" i="37"/>
  <c r="T598" i="37"/>
  <c r="R739" i="37"/>
  <c r="Q739" i="37"/>
  <c r="T739" i="37"/>
  <c r="S739" i="37"/>
  <c r="Q733" i="37"/>
  <c r="S733" i="37"/>
  <c r="V697" i="37"/>
  <c r="W697" i="37" s="1"/>
  <c r="V575" i="37"/>
  <c r="P732" i="37"/>
  <c r="R732" i="37"/>
  <c r="P719" i="37"/>
  <c r="Q758" i="37"/>
  <c r="Q583" i="37"/>
  <c r="V713" i="37"/>
  <c r="V745" i="37"/>
  <c r="P722" i="37"/>
  <c r="R722" i="37"/>
  <c r="Q719" i="37"/>
  <c r="Q723" i="37"/>
  <c r="S598" i="37"/>
  <c r="P579" i="37"/>
  <c r="S579" i="37"/>
  <c r="Q579" i="37"/>
  <c r="R579" i="37"/>
  <c r="S745" i="37"/>
  <c r="R745" i="37"/>
  <c r="Q745" i="37"/>
  <c r="Q728" i="37"/>
  <c r="V565" i="37"/>
  <c r="W565" i="37" s="1"/>
  <c r="P598" i="37"/>
  <c r="V695" i="37"/>
  <c r="P717" i="37"/>
  <c r="Q686" i="37"/>
  <c r="Q752" i="37"/>
  <c r="T753" i="37"/>
  <c r="R580" i="37"/>
  <c r="S725" i="37"/>
  <c r="S679" i="37"/>
  <c r="P679" i="37"/>
  <c r="S710" i="37"/>
  <c r="R729" i="37"/>
  <c r="Q738" i="37"/>
  <c r="Q575" i="37"/>
  <c r="S567" i="37"/>
  <c r="R567" i="37"/>
  <c r="S741" i="37"/>
  <c r="S627" i="37"/>
  <c r="S732" i="37"/>
  <c r="V618" i="37"/>
  <c r="W618" i="37" s="1"/>
  <c r="X618" i="37" s="1"/>
  <c r="R583" i="37"/>
  <c r="T583" i="37"/>
  <c r="R751" i="37"/>
  <c r="T751" i="37"/>
  <c r="P751" i="37"/>
  <c r="P731" i="37"/>
  <c r="Q731" i="37"/>
  <c r="T731" i="37"/>
  <c r="S731" i="37"/>
  <c r="S751" i="37"/>
  <c r="R724" i="37"/>
  <c r="P724" i="37"/>
  <c r="Q724" i="37"/>
  <c r="P748" i="37"/>
  <c r="R748" i="37"/>
  <c r="W608" i="37"/>
  <c r="Q715" i="37"/>
  <c r="S718" i="37"/>
  <c r="S583" i="37"/>
  <c r="P720" i="37"/>
  <c r="R720" i="37"/>
  <c r="P744" i="37"/>
  <c r="T744" i="37"/>
  <c r="S744" i="37"/>
  <c r="T735" i="37"/>
  <c r="P735" i="37"/>
  <c r="Q735" i="37"/>
  <c r="S735" i="37"/>
  <c r="P716" i="37"/>
  <c r="R716" i="37"/>
  <c r="T716" i="37"/>
  <c r="R663" i="37"/>
  <c r="S663" i="37"/>
  <c r="P663" i="37"/>
  <c r="P747" i="37"/>
  <c r="S747" i="37"/>
  <c r="R747" i="37"/>
  <c r="Q747" i="37"/>
  <c r="P739" i="37"/>
  <c r="S582" i="37"/>
  <c r="T582" i="37"/>
  <c r="T663" i="37"/>
  <c r="Q695" i="37"/>
  <c r="T695" i="37"/>
  <c r="R695" i="37"/>
  <c r="P733" i="37"/>
  <c r="P736" i="37"/>
  <c r="S736" i="37"/>
  <c r="T740" i="37"/>
  <c r="P740" i="37"/>
  <c r="P753" i="37"/>
  <c r="W614" i="37"/>
  <c r="V623" i="37"/>
  <c r="W623" i="37" s="1"/>
  <c r="X623" i="37" s="1"/>
  <c r="Y623" i="37" s="1"/>
  <c r="Z623" i="37" s="1"/>
  <c r="Q572" i="37"/>
  <c r="Q725" i="37"/>
  <c r="Q679" i="37"/>
  <c r="Q710" i="37"/>
  <c r="P742" i="37"/>
  <c r="Q742" i="37"/>
  <c r="T742" i="37"/>
  <c r="S742" i="37"/>
  <c r="Q582" i="37"/>
  <c r="V673" i="37"/>
  <c r="W673" i="37" s="1"/>
  <c r="X673" i="37" s="1"/>
  <c r="Y673" i="37" s="1"/>
  <c r="Z673" i="37" s="1"/>
  <c r="S738" i="37"/>
  <c r="Q748" i="37"/>
  <c r="V737" i="37"/>
  <c r="S754" i="37"/>
  <c r="T754" i="37"/>
  <c r="P586" i="37"/>
  <c r="T741" i="37"/>
  <c r="T627" i="37"/>
  <c r="T732" i="37"/>
  <c r="B493" i="40" l="1"/>
  <c r="B212" i="65"/>
  <c r="W783" i="37"/>
  <c r="X783" i="37" s="1"/>
  <c r="Y783" i="37" s="1"/>
  <c r="W624" i="37"/>
  <c r="X624" i="37" s="1"/>
  <c r="Y624" i="37" s="1"/>
  <c r="X765" i="37"/>
  <c r="W644" i="37"/>
  <c r="X644" i="37" s="1"/>
  <c r="W686" i="37"/>
  <c r="X686" i="37" s="1"/>
  <c r="Y686" i="37" s="1"/>
  <c r="X754" i="37"/>
  <c r="Y754" i="37" s="1"/>
  <c r="Z754" i="37" s="1"/>
  <c r="W772" i="37"/>
  <c r="X772" i="37" s="1"/>
  <c r="W756" i="37"/>
  <c r="X756" i="37" s="1"/>
  <c r="Y756" i="37" s="1"/>
  <c r="Z756" i="37" s="1"/>
  <c r="W788" i="37"/>
  <c r="X788" i="37" s="1"/>
  <c r="Y788" i="37" s="1"/>
  <c r="V784" i="37"/>
  <c r="W784" i="37" s="1"/>
  <c r="W715" i="37"/>
  <c r="Y779" i="37"/>
  <c r="Y775" i="37"/>
  <c r="Z759" i="37"/>
  <c r="V657" i="37"/>
  <c r="W657" i="37" s="1"/>
  <c r="X657" i="37" s="1"/>
  <c r="V735" i="37"/>
  <c r="W735" i="37" s="1"/>
  <c r="X735" i="37" s="1"/>
  <c r="V744" i="37"/>
  <c r="W744" i="37" s="1"/>
  <c r="W723" i="37"/>
  <c r="X723" i="37" s="1"/>
  <c r="Z780" i="37"/>
  <c r="V743" i="37"/>
  <c r="W743" i="37" s="1"/>
  <c r="Z606" i="37"/>
  <c r="V796" i="37"/>
  <c r="W796" i="37" s="1"/>
  <c r="W737" i="37"/>
  <c r="X737" i="37" s="1"/>
  <c r="Y737" i="37" s="1"/>
  <c r="Z737" i="37" s="1"/>
  <c r="V731" i="37"/>
  <c r="W731" i="37" s="1"/>
  <c r="W758" i="37"/>
  <c r="V725" i="37"/>
  <c r="W725" i="37" s="1"/>
  <c r="W710" i="37"/>
  <c r="X710" i="37" s="1"/>
  <c r="Y710" i="37" s="1"/>
  <c r="W567" i="37"/>
  <c r="X567" i="37" s="1"/>
  <c r="Y567" i="37" s="1"/>
  <c r="V627" i="37"/>
  <c r="X755" i="37"/>
  <c r="X749" i="37"/>
  <c r="Z766" i="37"/>
  <c r="X794" i="37"/>
  <c r="Y761" i="37"/>
  <c r="Z757" i="37"/>
  <c r="Y774" i="37"/>
  <c r="X763" i="37"/>
  <c r="V721" i="37"/>
  <c r="W721" i="37" s="1"/>
  <c r="X721" i="37" s="1"/>
  <c r="Y770" i="37"/>
  <c r="V734" i="37"/>
  <c r="W734" i="37" s="1"/>
  <c r="X734" i="37" s="1"/>
  <c r="X769" i="37"/>
  <c r="V791" i="37"/>
  <c r="W791" i="37" s="1"/>
  <c r="V782" i="37"/>
  <c r="W782" i="37" s="1"/>
  <c r="X768" i="37"/>
  <c r="V789" i="37"/>
  <c r="W789" i="37" s="1"/>
  <c r="X789" i="37" s="1"/>
  <c r="Y767" i="37"/>
  <c r="W785" i="37"/>
  <c r="X785" i="37" s="1"/>
  <c r="Y785" i="37" s="1"/>
  <c r="W729" i="37"/>
  <c r="X729" i="37" s="1"/>
  <c r="Y729" i="37" s="1"/>
  <c r="Z792" i="37"/>
  <c r="Z790" i="37"/>
  <c r="Z781" i="37"/>
  <c r="X746" i="37"/>
  <c r="V582" i="37"/>
  <c r="W695" i="37"/>
  <c r="X695" i="37" s="1"/>
  <c r="V598" i="37"/>
  <c r="W598" i="37" s="1"/>
  <c r="X598" i="37" s="1"/>
  <c r="Y598" i="37" s="1"/>
  <c r="Z598" i="37" s="1"/>
  <c r="X565" i="37"/>
  <c r="V719" i="37"/>
  <c r="W719" i="37" s="1"/>
  <c r="X719" i="37" s="1"/>
  <c r="X697" i="37"/>
  <c r="V738" i="37"/>
  <c r="W738" i="37" s="1"/>
  <c r="X738" i="37" s="1"/>
  <c r="V663" i="37"/>
  <c r="W663" i="37" s="1"/>
  <c r="V748" i="37"/>
  <c r="W748" i="37" s="1"/>
  <c r="X748" i="37" s="1"/>
  <c r="V679" i="37"/>
  <c r="W679" i="37" s="1"/>
  <c r="V726" i="37"/>
  <c r="W726" i="37" s="1"/>
  <c r="V733" i="37"/>
  <c r="W733" i="37" s="1"/>
  <c r="X733" i="37" s="1"/>
  <c r="V586" i="37"/>
  <c r="W586" i="37" s="1"/>
  <c r="X614" i="37"/>
  <c r="V736" i="37"/>
  <c r="W736" i="37" s="1"/>
  <c r="V739" i="37"/>
  <c r="W739" i="37" s="1"/>
  <c r="X739" i="37" s="1"/>
  <c r="V747" i="37"/>
  <c r="W747" i="37" s="1"/>
  <c r="V724" i="37"/>
  <c r="W724" i="37" s="1"/>
  <c r="V751" i="37"/>
  <c r="W751" i="37" s="1"/>
  <c r="W575" i="37"/>
  <c r="V718" i="37"/>
  <c r="W718" i="37" s="1"/>
  <c r="X718" i="37" s="1"/>
  <c r="V741" i="37"/>
  <c r="W741" i="37" s="1"/>
  <c r="V580" i="37"/>
  <c r="W580" i="37" s="1"/>
  <c r="V752" i="37"/>
  <c r="W752" i="37" s="1"/>
  <c r="X752" i="37" s="1"/>
  <c r="Y752" i="37" s="1"/>
  <c r="V728" i="37"/>
  <c r="W728" i="37" s="1"/>
  <c r="Y607" i="37"/>
  <c r="V753" i="37"/>
  <c r="W753" i="37" s="1"/>
  <c r="V579" i="37"/>
  <c r="W579" i="37" s="1"/>
  <c r="V732" i="37"/>
  <c r="W732" i="37" s="1"/>
  <c r="V740" i="37"/>
  <c r="W740" i="37" s="1"/>
  <c r="V742" i="37"/>
  <c r="W742" i="37" s="1"/>
  <c r="X742" i="37" s="1"/>
  <c r="V716" i="37"/>
  <c r="W716" i="37" s="1"/>
  <c r="V720" i="37"/>
  <c r="W720" i="37" s="1"/>
  <c r="X608" i="37"/>
  <c r="Y750" i="37"/>
  <c r="V717" i="37"/>
  <c r="W717" i="37" s="1"/>
  <c r="V722" i="37"/>
  <c r="W722" i="37" s="1"/>
  <c r="W745" i="37"/>
  <c r="W572" i="37"/>
  <c r="W583" i="37"/>
  <c r="X583" i="37" s="1"/>
  <c r="Y583" i="37" s="1"/>
  <c r="Z583" i="37" s="1"/>
  <c r="AF359" i="37"/>
  <c r="AG366" i="37"/>
  <c r="B494" i="40" l="1"/>
  <c r="B213" i="65"/>
  <c r="X784" i="37"/>
  <c r="W582" i="37"/>
  <c r="X582" i="37" s="1"/>
  <c r="X744" i="37"/>
  <c r="Z779" i="37"/>
  <c r="Z775" i="37"/>
  <c r="Y749" i="37"/>
  <c r="Y755" i="37"/>
  <c r="X796" i="37"/>
  <c r="Z783" i="37"/>
  <c r="W627" i="37"/>
  <c r="X743" i="37"/>
  <c r="Y657" i="37"/>
  <c r="Y789" i="37"/>
  <c r="X791" i="37"/>
  <c r="Y794" i="37"/>
  <c r="Z785" i="37"/>
  <c r="Y769" i="37"/>
  <c r="Z770" i="37"/>
  <c r="Y763" i="37"/>
  <c r="Z767" i="37"/>
  <c r="X782" i="37"/>
  <c r="Z761" i="37"/>
  <c r="Y734" i="37"/>
  <c r="Z774" i="37"/>
  <c r="Z788" i="37"/>
  <c r="X731" i="37"/>
  <c r="X732" i="37"/>
  <c r="X753" i="37"/>
  <c r="X751" i="37"/>
  <c r="X725" i="37"/>
  <c r="X741" i="37"/>
  <c r="Y614" i="37"/>
  <c r="X722" i="37"/>
  <c r="Y608" i="37"/>
  <c r="X720" i="37"/>
  <c r="X579" i="37"/>
  <c r="Z752" i="37"/>
  <c r="X747" i="37"/>
  <c r="Z686" i="37"/>
  <c r="Y733" i="37"/>
  <c r="Y695" i="37"/>
  <c r="Y742" i="37"/>
  <c r="X580" i="37"/>
  <c r="X575" i="37"/>
  <c r="X726" i="37"/>
  <c r="X663" i="37"/>
  <c r="X745" i="37"/>
  <c r="X740" i="37"/>
  <c r="Z607" i="37"/>
  <c r="Y748" i="37"/>
  <c r="Y565" i="37"/>
  <c r="Y644" i="37"/>
  <c r="Z750" i="37"/>
  <c r="X716" i="37"/>
  <c r="Z710" i="37"/>
  <c r="X728" i="37"/>
  <c r="Y718" i="37"/>
  <c r="X724" i="37"/>
  <c r="Y735" i="37"/>
  <c r="Y739" i="37"/>
  <c r="X736" i="37"/>
  <c r="X679" i="37"/>
  <c r="Y738" i="37"/>
  <c r="Y697" i="37"/>
  <c r="Y746" i="37"/>
  <c r="Z567" i="37"/>
  <c r="AH366" i="37"/>
  <c r="AG359" i="37"/>
  <c r="B495" i="40" l="1"/>
  <c r="B214" i="65"/>
  <c r="Y784" i="37"/>
  <c r="Z657" i="37"/>
  <c r="Y743" i="37"/>
  <c r="X627" i="37"/>
  <c r="Z755" i="37"/>
  <c r="Y796" i="37"/>
  <c r="Y744" i="37"/>
  <c r="Z749" i="37"/>
  <c r="Z734" i="37"/>
  <c r="Y791" i="37"/>
  <c r="Z763" i="37"/>
  <c r="Z769" i="37"/>
  <c r="Z794" i="37"/>
  <c r="Z789" i="37"/>
  <c r="Y782" i="37"/>
  <c r="Z718" i="37"/>
  <c r="Z644" i="37"/>
  <c r="Y582" i="37"/>
  <c r="Y725" i="37"/>
  <c r="Y731" i="37"/>
  <c r="Z735" i="37"/>
  <c r="Y726" i="37"/>
  <c r="Z608" i="37"/>
  <c r="Z614" i="37"/>
  <c r="Y679" i="37"/>
  <c r="Z739" i="37"/>
  <c r="Y728" i="37"/>
  <c r="Y580" i="37"/>
  <c r="Z695" i="37"/>
  <c r="Y747" i="37"/>
  <c r="Y751" i="37"/>
  <c r="Y732" i="37"/>
  <c r="Y716" i="37"/>
  <c r="Z742" i="37"/>
  <c r="Y753" i="37"/>
  <c r="Z697" i="37"/>
  <c r="Y736" i="37"/>
  <c r="Z748" i="37"/>
  <c r="Y745" i="37"/>
  <c r="Z746" i="37"/>
  <c r="Z738" i="37"/>
  <c r="Z565" i="37"/>
  <c r="Y740" i="37"/>
  <c r="Y663" i="37"/>
  <c r="Y579" i="37"/>
  <c r="Y741" i="37"/>
  <c r="AH359" i="37"/>
  <c r="B496" i="40" l="1"/>
  <c r="B215" i="65"/>
  <c r="Z784" i="37"/>
  <c r="Z743" i="37"/>
  <c r="Z744" i="37"/>
  <c r="Z796" i="37"/>
  <c r="Y627" i="37"/>
  <c r="Z782" i="37"/>
  <c r="Z791" i="37"/>
  <c r="Z740" i="37"/>
  <c r="Z736" i="37"/>
  <c r="Z753" i="37"/>
  <c r="Z716" i="37"/>
  <c r="Z751" i="37"/>
  <c r="Z747" i="37"/>
  <c r="Z728" i="37"/>
  <c r="Z745" i="37"/>
  <c r="Z741" i="37"/>
  <c r="Z663" i="37"/>
  <c r="Z732" i="37"/>
  <c r="Z679" i="37"/>
  <c r="Z731" i="37"/>
  <c r="Z582" i="37"/>
  <c r="B497" i="40" l="1"/>
  <c r="B216" i="65"/>
  <c r="Z627" i="37"/>
  <c r="B498" i="40" l="1"/>
  <c r="B217" i="65"/>
  <c r="J16" i="37"/>
  <c r="K16" i="37"/>
  <c r="L16" i="37"/>
  <c r="M16" i="37"/>
  <c r="I16" i="37"/>
  <c r="H15" i="37"/>
  <c r="G15" i="37"/>
  <c r="F28" i="37"/>
  <c r="AA857" i="37" l="1"/>
  <c r="AA856" i="37"/>
  <c r="AA845" i="37"/>
  <c r="AA840" i="37"/>
  <c r="AA858" i="37"/>
  <c r="AM858" i="37" s="1"/>
  <c r="AA842" i="37"/>
  <c r="AM842" i="37" s="1"/>
  <c r="AA853" i="37"/>
  <c r="AA846" i="37"/>
  <c r="AA861" i="37"/>
  <c r="AA866" i="37"/>
  <c r="AM866" i="37" s="1"/>
  <c r="AA862" i="37"/>
  <c r="AA869" i="37"/>
  <c r="AM869" i="37" s="1"/>
  <c r="AA867" i="37"/>
  <c r="AM867" i="37" s="1"/>
  <c r="AA852" i="37"/>
  <c r="AM852" i="37" s="1"/>
  <c r="AA860" i="37"/>
  <c r="AA850" i="37"/>
  <c r="AA849" i="37"/>
  <c r="AA841" i="37"/>
  <c r="AA844" i="37"/>
  <c r="AM844" i="37" s="1"/>
  <c r="AA848" i="37"/>
  <c r="AM848" i="37" s="1"/>
  <c r="AA865" i="37"/>
  <c r="AA855" i="37"/>
  <c r="AM855" i="37" s="1"/>
  <c r="AA868" i="37"/>
  <c r="AA859" i="37"/>
  <c r="AA854" i="37"/>
  <c r="AA851" i="37"/>
  <c r="AM851" i="37" s="1"/>
  <c r="AA863" i="37"/>
  <c r="AM863" i="37" s="1"/>
  <c r="AA843" i="37"/>
  <c r="AM843" i="37" s="1"/>
  <c r="AA847" i="37"/>
  <c r="AA864" i="37"/>
  <c r="Y846" i="37"/>
  <c r="AK846" i="37" s="1"/>
  <c r="Y852" i="37"/>
  <c r="AK852" i="37" s="1"/>
  <c r="Y841" i="37"/>
  <c r="AK841" i="37" s="1"/>
  <c r="Y851" i="37"/>
  <c r="AK851" i="37" s="1"/>
  <c r="Y861" i="37"/>
  <c r="AK861" i="37" s="1"/>
  <c r="Y853" i="37"/>
  <c r="AK853" i="37" s="1"/>
  <c r="Y868" i="37"/>
  <c r="AK868" i="37" s="1"/>
  <c r="Y857" i="37"/>
  <c r="AK857" i="37" s="1"/>
  <c r="Y840" i="37"/>
  <c r="AK840" i="37" s="1"/>
  <c r="Y859" i="37"/>
  <c r="AK859" i="37" s="1"/>
  <c r="Y850" i="37"/>
  <c r="AK850" i="37" s="1"/>
  <c r="Y862" i="37"/>
  <c r="AK862" i="37" s="1"/>
  <c r="Y848" i="37"/>
  <c r="AK848" i="37" s="1"/>
  <c r="Y856" i="37"/>
  <c r="AK856" i="37" s="1"/>
  <c r="Y864" i="37"/>
  <c r="AK864" i="37" s="1"/>
  <c r="Y865" i="37"/>
  <c r="AK865" i="37" s="1"/>
  <c r="Y843" i="37"/>
  <c r="AK843" i="37" s="1"/>
  <c r="Y869" i="37"/>
  <c r="AK869" i="37" s="1"/>
  <c r="Y845" i="37"/>
  <c r="AK845" i="37" s="1"/>
  <c r="Y860" i="37"/>
  <c r="AK860" i="37" s="1"/>
  <c r="Y866" i="37"/>
  <c r="AK866" i="37" s="1"/>
  <c r="Y847" i="37"/>
  <c r="AK847" i="37" s="1"/>
  <c r="Y842" i="37"/>
  <c r="AK842" i="37" s="1"/>
  <c r="Y858" i="37"/>
  <c r="AK858" i="37" s="1"/>
  <c r="Y844" i="37"/>
  <c r="AK844" i="37" s="1"/>
  <c r="Y849" i="37"/>
  <c r="AK849" i="37" s="1"/>
  <c r="Y855" i="37"/>
  <c r="AK855" i="37" s="1"/>
  <c r="Y867" i="37"/>
  <c r="AK867" i="37" s="1"/>
  <c r="Y863" i="37"/>
  <c r="AK863" i="37" s="1"/>
  <c r="Y854" i="37"/>
  <c r="AK854" i="37" s="1"/>
  <c r="AF853" i="37"/>
  <c r="AF865" i="37"/>
  <c r="AF868" i="37"/>
  <c r="AF846" i="37"/>
  <c r="AF856" i="37"/>
  <c r="AF840" i="37"/>
  <c r="AF857" i="37"/>
  <c r="AF847" i="37"/>
  <c r="AF849" i="37"/>
  <c r="AF850" i="37"/>
  <c r="AF858" i="37"/>
  <c r="AF855" i="37"/>
  <c r="AF863" i="37"/>
  <c r="AF848" i="37"/>
  <c r="AF861" i="37"/>
  <c r="AF841" i="37"/>
  <c r="AF844" i="37"/>
  <c r="AF869" i="37"/>
  <c r="AF859" i="37"/>
  <c r="AF867" i="37"/>
  <c r="AF866" i="37"/>
  <c r="AF851" i="37"/>
  <c r="AF862" i="37"/>
  <c r="AF845" i="37"/>
  <c r="AF842" i="37"/>
  <c r="AF864" i="37"/>
  <c r="AF852" i="37"/>
  <c r="AF860" i="37"/>
  <c r="AF843" i="37"/>
  <c r="AF854" i="37"/>
  <c r="AG852" i="37"/>
  <c r="AG849" i="37"/>
  <c r="AG844" i="37"/>
  <c r="AG860" i="37"/>
  <c r="AG855" i="37"/>
  <c r="AG840" i="37"/>
  <c r="AG846" i="37"/>
  <c r="AG864" i="37"/>
  <c r="AG853" i="37"/>
  <c r="AG869" i="37"/>
  <c r="AG845" i="37"/>
  <c r="AG858" i="37"/>
  <c r="AG861" i="37"/>
  <c r="AG847" i="37"/>
  <c r="AG866" i="37"/>
  <c r="AG857" i="37"/>
  <c r="AG842" i="37"/>
  <c r="AG848" i="37"/>
  <c r="AG851" i="37"/>
  <c r="AG841" i="37"/>
  <c r="AG859" i="37"/>
  <c r="AG856" i="37"/>
  <c r="AG863" i="37"/>
  <c r="AG843" i="37"/>
  <c r="AG867" i="37"/>
  <c r="AG868" i="37"/>
  <c r="AG854" i="37"/>
  <c r="AG850" i="37"/>
  <c r="AG865" i="37"/>
  <c r="AG862" i="37"/>
  <c r="W846" i="37"/>
  <c r="AI846" i="37" s="1"/>
  <c r="W869" i="37"/>
  <c r="AI869" i="37" s="1"/>
  <c r="W868" i="37"/>
  <c r="AI868" i="37" s="1"/>
  <c r="W840" i="37"/>
  <c r="AI840" i="37" s="1"/>
  <c r="W852" i="37"/>
  <c r="AI852" i="37" s="1"/>
  <c r="W853" i="37"/>
  <c r="AI853" i="37" s="1"/>
  <c r="W847" i="37"/>
  <c r="AI847" i="37" s="1"/>
  <c r="W863" i="37"/>
  <c r="AI863" i="37" s="1"/>
  <c r="W867" i="37"/>
  <c r="AI867" i="37" s="1"/>
  <c r="W851" i="37"/>
  <c r="AI851" i="37" s="1"/>
  <c r="W842" i="37"/>
  <c r="AI842" i="37" s="1"/>
  <c r="W856" i="37"/>
  <c r="AI856" i="37" s="1"/>
  <c r="W855" i="37"/>
  <c r="AI855" i="37" s="1"/>
  <c r="W841" i="37"/>
  <c r="AI841" i="37" s="1"/>
  <c r="W848" i="37"/>
  <c r="AI848" i="37" s="1"/>
  <c r="W845" i="37"/>
  <c r="AI845" i="37" s="1"/>
  <c r="W864" i="37"/>
  <c r="AI864" i="37" s="1"/>
  <c r="W844" i="37"/>
  <c r="AI844" i="37" s="1"/>
  <c r="W857" i="37"/>
  <c r="AI857" i="37" s="1"/>
  <c r="W849" i="37"/>
  <c r="AI849" i="37" s="1"/>
  <c r="W862" i="37"/>
  <c r="AI862" i="37" s="1"/>
  <c r="W861" i="37"/>
  <c r="AI861" i="37" s="1"/>
  <c r="W859" i="37"/>
  <c r="AI859" i="37" s="1"/>
  <c r="W860" i="37"/>
  <c r="AI860" i="37" s="1"/>
  <c r="W866" i="37"/>
  <c r="AI866" i="37" s="1"/>
  <c r="W850" i="37"/>
  <c r="AI850" i="37" s="1"/>
  <c r="W865" i="37"/>
  <c r="AI865" i="37" s="1"/>
  <c r="W858" i="37"/>
  <c r="AI858" i="37" s="1"/>
  <c r="W843" i="37"/>
  <c r="AI843" i="37" s="1"/>
  <c r="W854" i="37"/>
  <c r="AI854" i="37" s="1"/>
  <c r="Z840" i="37"/>
  <c r="Z850" i="37"/>
  <c r="Z857" i="37"/>
  <c r="AL857" i="37" s="1"/>
  <c r="Z861" i="37"/>
  <c r="AL861" i="37" s="1"/>
  <c r="Z863" i="37"/>
  <c r="Z846" i="37"/>
  <c r="Z864" i="37"/>
  <c r="AL864" i="37" s="1"/>
  <c r="Z845" i="37"/>
  <c r="Z847" i="37"/>
  <c r="AL847" i="37" s="1"/>
  <c r="Z853" i="37"/>
  <c r="AL853" i="37" s="1"/>
  <c r="Z866" i="37"/>
  <c r="Z851" i="37"/>
  <c r="AL851" i="37" s="1"/>
  <c r="Z852" i="37"/>
  <c r="Z843" i="37"/>
  <c r="Z842" i="37"/>
  <c r="AL842" i="37" s="1"/>
  <c r="Z869" i="37"/>
  <c r="Z858" i="37"/>
  <c r="AL858" i="37" s="1"/>
  <c r="Z860" i="37"/>
  <c r="AL860" i="37" s="1"/>
  <c r="Z868" i="37"/>
  <c r="AL868" i="37" s="1"/>
  <c r="Z867" i="37"/>
  <c r="Z865" i="37"/>
  <c r="Z859" i="37"/>
  <c r="Z856" i="37"/>
  <c r="AL856" i="37" s="1"/>
  <c r="Z862" i="37"/>
  <c r="AL862" i="37" s="1"/>
  <c r="Z854" i="37"/>
  <c r="Z841" i="37"/>
  <c r="Z855" i="37"/>
  <c r="AL855" i="37" s="1"/>
  <c r="Z849" i="37"/>
  <c r="Z844" i="37"/>
  <c r="AL844" i="37" s="1"/>
  <c r="Z848" i="37"/>
  <c r="AL848" i="37" s="1"/>
  <c r="X841" i="37"/>
  <c r="AJ841" i="37" s="1"/>
  <c r="X869" i="37"/>
  <c r="AJ869" i="37" s="1"/>
  <c r="X855" i="37"/>
  <c r="AJ855" i="37" s="1"/>
  <c r="X860" i="37"/>
  <c r="AJ860" i="37" s="1"/>
  <c r="X844" i="37"/>
  <c r="AJ844" i="37" s="1"/>
  <c r="X852" i="37"/>
  <c r="AJ852" i="37" s="1"/>
  <c r="X846" i="37"/>
  <c r="AJ846" i="37" s="1"/>
  <c r="X853" i="37"/>
  <c r="AJ853" i="37" s="1"/>
  <c r="X868" i="37"/>
  <c r="AJ868" i="37" s="1"/>
  <c r="X866" i="37"/>
  <c r="AJ866" i="37" s="1"/>
  <c r="X854" i="37"/>
  <c r="AJ854" i="37" s="1"/>
  <c r="X856" i="37"/>
  <c r="AJ856" i="37" s="1"/>
  <c r="X842" i="37"/>
  <c r="AJ842" i="37" s="1"/>
  <c r="X845" i="37"/>
  <c r="AJ845" i="37" s="1"/>
  <c r="X847" i="37"/>
  <c r="AJ847" i="37" s="1"/>
  <c r="X862" i="37"/>
  <c r="AJ862" i="37" s="1"/>
  <c r="X864" i="37"/>
  <c r="AJ864" i="37" s="1"/>
  <c r="X840" i="37"/>
  <c r="AJ840" i="37" s="1"/>
  <c r="X863" i="37"/>
  <c r="AJ863" i="37" s="1"/>
  <c r="X867" i="37"/>
  <c r="AJ867" i="37" s="1"/>
  <c r="X843" i="37"/>
  <c r="AJ843" i="37" s="1"/>
  <c r="X848" i="37"/>
  <c r="AJ848" i="37" s="1"/>
  <c r="X865" i="37"/>
  <c r="AJ865" i="37" s="1"/>
  <c r="X850" i="37"/>
  <c r="AJ850" i="37" s="1"/>
  <c r="X857" i="37"/>
  <c r="AJ857" i="37" s="1"/>
  <c r="X851" i="37"/>
  <c r="AJ851" i="37" s="1"/>
  <c r="X849" i="37"/>
  <c r="AJ849" i="37" s="1"/>
  <c r="X858" i="37"/>
  <c r="AJ858" i="37" s="1"/>
  <c r="X861" i="37"/>
  <c r="AJ861" i="37" s="1"/>
  <c r="X859" i="37"/>
  <c r="AJ859" i="37" s="1"/>
  <c r="AD839" i="37"/>
  <c r="AC839" i="37"/>
  <c r="AE839" i="37"/>
  <c r="W839" i="37"/>
  <c r="W838" i="37"/>
  <c r="W837" i="37"/>
  <c r="W836" i="37"/>
  <c r="X836" i="37"/>
  <c r="X838" i="37"/>
  <c r="X839" i="37"/>
  <c r="AJ839" i="37" s="1"/>
  <c r="X837" i="37"/>
  <c r="AC836" i="37"/>
  <c r="AG836" i="37"/>
  <c r="AF837" i="37"/>
  <c r="AE838" i="37"/>
  <c r="AE837" i="37"/>
  <c r="AD836" i="37"/>
  <c r="AC837" i="37"/>
  <c r="AG837" i="37"/>
  <c r="AF838" i="37"/>
  <c r="AF836" i="37"/>
  <c r="AE836" i="37"/>
  <c r="AD837" i="37"/>
  <c r="AC838" i="37"/>
  <c r="AG838" i="37"/>
  <c r="AD838" i="37"/>
  <c r="AF839" i="37"/>
  <c r="AG839" i="37"/>
  <c r="AA837" i="37"/>
  <c r="AA836" i="37"/>
  <c r="AA838" i="37"/>
  <c r="AM838" i="37" s="1"/>
  <c r="AA839" i="37"/>
  <c r="Y836" i="37"/>
  <c r="Y838" i="37"/>
  <c r="Y839" i="37"/>
  <c r="Y837" i="37"/>
  <c r="Z839" i="37"/>
  <c r="Z837" i="37"/>
  <c r="Z836" i="37"/>
  <c r="Z838" i="37"/>
  <c r="Y834" i="37"/>
  <c r="Y822" i="37"/>
  <c r="Y828" i="37"/>
  <c r="Y832" i="37"/>
  <c r="Y830" i="37"/>
  <c r="Y826" i="37"/>
  <c r="Y821" i="37"/>
  <c r="Y833" i="37"/>
  <c r="Y824" i="37"/>
  <c r="Y825" i="37"/>
  <c r="Y829" i="37"/>
  <c r="Y823" i="37"/>
  <c r="Y831" i="37"/>
  <c r="Y835" i="37"/>
  <c r="Y827" i="37"/>
  <c r="W833" i="37"/>
  <c r="AI833" i="37" s="1"/>
  <c r="W831" i="37"/>
  <c r="AI831" i="37" s="1"/>
  <c r="W829" i="37"/>
  <c r="AI829" i="37" s="1"/>
  <c r="W834" i="37"/>
  <c r="AI834" i="37" s="1"/>
  <c r="W827" i="37"/>
  <c r="AI827" i="37" s="1"/>
  <c r="W824" i="37"/>
  <c r="AI824" i="37" s="1"/>
  <c r="W835" i="37"/>
  <c r="AI835" i="37" s="1"/>
  <c r="W830" i="37"/>
  <c r="AI830" i="37" s="1"/>
  <c r="W823" i="37"/>
  <c r="AI823" i="37" s="1"/>
  <c r="W832" i="37"/>
  <c r="AI832" i="37" s="1"/>
  <c r="W822" i="37"/>
  <c r="AI822" i="37" s="1"/>
  <c r="W828" i="37"/>
  <c r="AI828" i="37" s="1"/>
  <c r="W821" i="37"/>
  <c r="AI821" i="37" s="1"/>
  <c r="W825" i="37"/>
  <c r="AI825" i="37" s="1"/>
  <c r="W826" i="37"/>
  <c r="AI826" i="37" s="1"/>
  <c r="X833" i="37"/>
  <c r="AJ833" i="37" s="1"/>
  <c r="X824" i="37"/>
  <c r="AJ824" i="37" s="1"/>
  <c r="X831" i="37"/>
  <c r="AJ831" i="37" s="1"/>
  <c r="X828" i="37"/>
  <c r="AJ828" i="37" s="1"/>
  <c r="X834" i="37"/>
  <c r="AJ834" i="37" s="1"/>
  <c r="X832" i="37"/>
  <c r="AJ832" i="37" s="1"/>
  <c r="X826" i="37"/>
  <c r="AJ826" i="37" s="1"/>
  <c r="X825" i="37"/>
  <c r="AJ825" i="37" s="1"/>
  <c r="X823" i="37"/>
  <c r="AJ823" i="37" s="1"/>
  <c r="X827" i="37"/>
  <c r="AJ827" i="37" s="1"/>
  <c r="X821" i="37"/>
  <c r="AJ821" i="37" s="1"/>
  <c r="X830" i="37"/>
  <c r="AJ830" i="37" s="1"/>
  <c r="X835" i="37"/>
  <c r="AJ835" i="37" s="1"/>
  <c r="X829" i="37"/>
  <c r="AJ829" i="37" s="1"/>
  <c r="X822" i="37"/>
  <c r="AJ822" i="37" s="1"/>
  <c r="AE833" i="37"/>
  <c r="AE821" i="37"/>
  <c r="AE828" i="37"/>
  <c r="AE831" i="37"/>
  <c r="AE824" i="37"/>
  <c r="AE826" i="37"/>
  <c r="AE829" i="37"/>
  <c r="AE823" i="37"/>
  <c r="AE825" i="37"/>
  <c r="AE822" i="37"/>
  <c r="AE830" i="37"/>
  <c r="AE835" i="37"/>
  <c r="AE827" i="37"/>
  <c r="AE834" i="37"/>
  <c r="AE832" i="37"/>
  <c r="AF821" i="37"/>
  <c r="AF835" i="37"/>
  <c r="AF830" i="37"/>
  <c r="AF827" i="37"/>
  <c r="AF829" i="37"/>
  <c r="AF825" i="37"/>
  <c r="AF823" i="37"/>
  <c r="AF828" i="37"/>
  <c r="AF834" i="37"/>
  <c r="AF833" i="37"/>
  <c r="AF831" i="37"/>
  <c r="AF832" i="37"/>
  <c r="AF826" i="37"/>
  <c r="AF824" i="37"/>
  <c r="AF822" i="37"/>
  <c r="AG833" i="37"/>
  <c r="AG821" i="37"/>
  <c r="AG822" i="37"/>
  <c r="AG824" i="37"/>
  <c r="AG828" i="37"/>
  <c r="AG825" i="37"/>
  <c r="AG830" i="37"/>
  <c r="AG831" i="37"/>
  <c r="AG834" i="37"/>
  <c r="AG835" i="37"/>
  <c r="AG829" i="37"/>
  <c r="AG827" i="37"/>
  <c r="AG832" i="37"/>
  <c r="AG826" i="37"/>
  <c r="AG823" i="37"/>
  <c r="AA822" i="37"/>
  <c r="AA832" i="37"/>
  <c r="AA834" i="37"/>
  <c r="AA828" i="37"/>
  <c r="AA830" i="37"/>
  <c r="AA826" i="37"/>
  <c r="AA823" i="37"/>
  <c r="AA827" i="37"/>
  <c r="AA835" i="37"/>
  <c r="AA833" i="37"/>
  <c r="AA829" i="37"/>
  <c r="AA831" i="37"/>
  <c r="AA825" i="37"/>
  <c r="AA821" i="37"/>
  <c r="AA824" i="37"/>
  <c r="Z832" i="37"/>
  <c r="Z834" i="37"/>
  <c r="Z830" i="37"/>
  <c r="Z828" i="37"/>
  <c r="Z822" i="37"/>
  <c r="Z826" i="37"/>
  <c r="AL826" i="37" s="1"/>
  <c r="Z824" i="37"/>
  <c r="Z827" i="37"/>
  <c r="Z833" i="37"/>
  <c r="Z835" i="37"/>
  <c r="Z829" i="37"/>
  <c r="Z823" i="37"/>
  <c r="Z821" i="37"/>
  <c r="Z831" i="37"/>
  <c r="Z825" i="37"/>
  <c r="X820" i="37"/>
  <c r="AD819" i="37"/>
  <c r="Z820" i="37"/>
  <c r="B499" i="40"/>
  <c r="B218" i="65"/>
  <c r="AD820" i="37"/>
  <c r="AD814" i="37"/>
  <c r="AC805" i="37"/>
  <c r="AC810" i="37"/>
  <c r="AC808" i="37"/>
  <c r="AD813" i="37"/>
  <c r="AD815" i="37"/>
  <c r="AC811" i="37"/>
  <c r="AC812" i="37"/>
  <c r="AD818" i="37"/>
  <c r="AC809" i="37"/>
  <c r="AC804" i="37"/>
  <c r="AD817" i="37"/>
  <c r="AD816" i="37"/>
  <c r="AC807" i="37"/>
  <c r="AC806" i="37"/>
  <c r="AD805" i="37"/>
  <c r="AD810" i="37"/>
  <c r="AD804" i="37"/>
  <c r="AE813" i="37"/>
  <c r="AE817" i="37"/>
  <c r="AD811" i="37"/>
  <c r="AD812" i="37"/>
  <c r="AE814" i="37"/>
  <c r="AE816" i="37"/>
  <c r="AD809" i="37"/>
  <c r="AD808" i="37"/>
  <c r="AE818" i="37"/>
  <c r="AE819" i="37"/>
  <c r="AD807" i="37"/>
  <c r="AD806" i="37"/>
  <c r="AE815" i="37"/>
  <c r="AE820" i="37"/>
  <c r="AE807" i="37"/>
  <c r="AF819" i="37"/>
  <c r="AF815" i="37"/>
  <c r="AE805" i="37"/>
  <c r="AE808" i="37"/>
  <c r="AF817" i="37"/>
  <c r="AF813" i="37"/>
  <c r="AF818" i="37"/>
  <c r="AF814" i="37"/>
  <c r="AE806" i="37"/>
  <c r="AE812" i="37"/>
  <c r="AE804" i="37"/>
  <c r="AF820" i="37"/>
  <c r="AF816" i="37"/>
  <c r="AE811" i="37"/>
  <c r="AE809" i="37"/>
  <c r="AE810" i="37"/>
  <c r="AG818" i="37"/>
  <c r="AG817" i="37"/>
  <c r="AF807" i="37"/>
  <c r="AF809" i="37"/>
  <c r="AF812" i="37"/>
  <c r="AG820" i="37"/>
  <c r="AG819" i="37"/>
  <c r="AF811" i="37"/>
  <c r="AF810" i="37"/>
  <c r="AG813" i="37"/>
  <c r="AG816" i="37"/>
  <c r="AF805" i="37"/>
  <c r="AF804" i="37"/>
  <c r="AG815" i="37"/>
  <c r="AG814" i="37"/>
  <c r="AF806" i="37"/>
  <c r="AF808" i="37"/>
  <c r="AG805" i="37"/>
  <c r="AG804" i="37"/>
  <c r="AG808" i="37"/>
  <c r="AG807" i="37"/>
  <c r="AG810" i="37"/>
  <c r="AG809" i="37"/>
  <c r="AG806" i="37"/>
  <c r="AG811" i="37"/>
  <c r="AG812" i="37"/>
  <c r="AA804" i="37"/>
  <c r="AA818" i="37"/>
  <c r="AA808" i="37"/>
  <c r="AA809" i="37"/>
  <c r="AA806" i="37"/>
  <c r="AA805" i="37"/>
  <c r="AA815" i="37"/>
  <c r="AA807" i="37"/>
  <c r="AA813" i="37"/>
  <c r="AA817" i="37"/>
  <c r="AA811" i="37"/>
  <c r="AA820" i="37"/>
  <c r="AA819" i="37"/>
  <c r="AA810" i="37"/>
  <c r="AA812" i="37"/>
  <c r="AA814" i="37"/>
  <c r="AA816" i="37"/>
  <c r="Z805" i="37"/>
  <c r="Z806" i="37"/>
  <c r="Z808" i="37"/>
  <c r="Z804" i="37"/>
  <c r="Z818" i="37"/>
  <c r="Z813" i="37"/>
  <c r="Z807" i="37"/>
  <c r="Z809" i="37"/>
  <c r="Z815" i="37"/>
  <c r="Z817" i="37"/>
  <c r="Z819" i="37"/>
  <c r="Z811" i="37"/>
  <c r="Z812" i="37"/>
  <c r="Z810" i="37"/>
  <c r="Z816" i="37"/>
  <c r="Z814" i="37"/>
  <c r="Y815" i="37"/>
  <c r="Y804" i="37"/>
  <c r="Y805" i="37"/>
  <c r="Y819" i="37"/>
  <c r="Y808" i="37"/>
  <c r="Y813" i="37"/>
  <c r="Y807" i="37"/>
  <c r="Y818" i="37"/>
  <c r="Y817" i="37"/>
  <c r="Y812" i="37"/>
  <c r="Y810" i="37"/>
  <c r="Y820" i="37"/>
  <c r="AK820" i="37" s="1"/>
  <c r="Y814" i="37"/>
  <c r="Y811" i="37"/>
  <c r="Y816" i="37"/>
  <c r="Y806" i="37"/>
  <c r="Y809" i="37"/>
  <c r="W803" i="37"/>
  <c r="W817" i="37"/>
  <c r="AI817" i="37" s="1"/>
  <c r="W805" i="37"/>
  <c r="W809" i="37"/>
  <c r="W813" i="37"/>
  <c r="AI813" i="37" s="1"/>
  <c r="W811" i="37"/>
  <c r="W812" i="37"/>
  <c r="W807" i="37"/>
  <c r="W818" i="37"/>
  <c r="AI818" i="37" s="1"/>
  <c r="W814" i="37"/>
  <c r="AI814" i="37" s="1"/>
  <c r="W808" i="37"/>
  <c r="AI808" i="37" s="1"/>
  <c r="W820" i="37"/>
  <c r="AI820" i="37" s="1"/>
  <c r="W819" i="37"/>
  <c r="AI819" i="37" s="1"/>
  <c r="W806" i="37"/>
  <c r="W816" i="37"/>
  <c r="AI816" i="37" s="1"/>
  <c r="W815" i="37"/>
  <c r="AI815" i="37" s="1"/>
  <c r="W804" i="37"/>
  <c r="W810" i="37"/>
  <c r="X817" i="37"/>
  <c r="X816" i="37"/>
  <c r="X819" i="37"/>
  <c r="X815" i="37"/>
  <c r="X813" i="37"/>
  <c r="X814" i="37"/>
  <c r="X818" i="37"/>
  <c r="X812" i="37"/>
  <c r="X804" i="37"/>
  <c r="X808" i="37"/>
  <c r="X811" i="37"/>
  <c r="X806" i="37"/>
  <c r="X805" i="37"/>
  <c r="X807" i="37"/>
  <c r="X809" i="37"/>
  <c r="X810" i="37"/>
  <c r="AC803" i="37"/>
  <c r="AE803" i="37"/>
  <c r="AD803" i="37"/>
  <c r="AF803" i="37"/>
  <c r="AG803" i="37"/>
  <c r="X803" i="37"/>
  <c r="AA803" i="37"/>
  <c r="Z803" i="37"/>
  <c r="Y803" i="37"/>
  <c r="AM524" i="37"/>
  <c r="AM309" i="37"/>
  <c r="AM444" i="37"/>
  <c r="AM445" i="37"/>
  <c r="AM355" i="37"/>
  <c r="AM372" i="37"/>
  <c r="AE787" i="37"/>
  <c r="AE772" i="37"/>
  <c r="AM459" i="37"/>
  <c r="AM520" i="37"/>
  <c r="AM403" i="37"/>
  <c r="AM328" i="37"/>
  <c r="AM475" i="37"/>
  <c r="AE771" i="37"/>
  <c r="AM363" i="37"/>
  <c r="AM349" i="37"/>
  <c r="AM427" i="37"/>
  <c r="AM384" i="37"/>
  <c r="AE768" i="37"/>
  <c r="AM374" i="37"/>
  <c r="AM310" i="37"/>
  <c r="AM316" i="37"/>
  <c r="AM418" i="37"/>
  <c r="AM476" i="37"/>
  <c r="AM365" i="37"/>
  <c r="AM388" i="37"/>
  <c r="AM364" i="37"/>
  <c r="AM386" i="37"/>
  <c r="AM406" i="37"/>
  <c r="AM373" i="37"/>
  <c r="AM523" i="37"/>
  <c r="AM466" i="37"/>
  <c r="AM362" i="37"/>
  <c r="AM455" i="37"/>
  <c r="AM394" i="37"/>
  <c r="AM361" i="37"/>
  <c r="AE723" i="37"/>
  <c r="AE651" i="37"/>
  <c r="AE654" i="37"/>
  <c r="AE619" i="37"/>
  <c r="AE636" i="37"/>
  <c r="AM510" i="37"/>
  <c r="AE632" i="37"/>
  <c r="AE612" i="37"/>
  <c r="AE611" i="37"/>
  <c r="AM315" i="37"/>
  <c r="AE620" i="37"/>
  <c r="AE666" i="37"/>
  <c r="AE762" i="37"/>
  <c r="AE675" i="37"/>
  <c r="AE642" i="37"/>
  <c r="AM423" i="37"/>
  <c r="AM442" i="37"/>
  <c r="AM370" i="37"/>
  <c r="AE597" i="37"/>
  <c r="AE692" i="37"/>
  <c r="AE724" i="37"/>
  <c r="AE661" i="37"/>
  <c r="AE590" i="37"/>
  <c r="AE707" i="37"/>
  <c r="AE563" i="37"/>
  <c r="AM368" i="37"/>
  <c r="AE693" i="37"/>
  <c r="AE626" i="37"/>
  <c r="AE622" i="37"/>
  <c r="AE764" i="37"/>
  <c r="AM342" i="37"/>
  <c r="AM450" i="37"/>
  <c r="AE776" i="37"/>
  <c r="AM371" i="37"/>
  <c r="AM437" i="37"/>
  <c r="AM367" i="37"/>
  <c r="AM378" i="37"/>
  <c r="AE609" i="37"/>
  <c r="AE615" i="37"/>
  <c r="AE758" i="37"/>
  <c r="AE576" i="37"/>
  <c r="AM402" i="37"/>
  <c r="AM413" i="37"/>
  <c r="AE685" i="37"/>
  <c r="AE585" i="37"/>
  <c r="AE593" i="37"/>
  <c r="AE621" i="37"/>
  <c r="AE714" i="37"/>
  <c r="AE564" i="37"/>
  <c r="AE650" i="37"/>
  <c r="AM360" i="37"/>
  <c r="AE698" i="37"/>
  <c r="AE610" i="37"/>
  <c r="AE603" i="37"/>
  <c r="AE690" i="37"/>
  <c r="AE558" i="37"/>
  <c r="AE671" i="37"/>
  <c r="AE634" i="37"/>
  <c r="AE618" i="37"/>
  <c r="AM337" i="37"/>
  <c r="AE613" i="37"/>
  <c r="AM345" i="37"/>
  <c r="AM358" i="37"/>
  <c r="AM516" i="37"/>
  <c r="AE703" i="37"/>
  <c r="AM538" i="37"/>
  <c r="AE757" i="37"/>
  <c r="AE681" i="37"/>
  <c r="AE606" i="37"/>
  <c r="AE759" i="37"/>
  <c r="AE760" i="37"/>
  <c r="AE616" i="37"/>
  <c r="AE687" i="37"/>
  <c r="AE792" i="37"/>
  <c r="AE786" i="37"/>
  <c r="AE623" i="37"/>
  <c r="AE793" i="37"/>
  <c r="AE673" i="37"/>
  <c r="AE594" i="37"/>
  <c r="AE624" i="37"/>
  <c r="AE607" i="37"/>
  <c r="AE686" i="37"/>
  <c r="AE767" i="37"/>
  <c r="AE783" i="37"/>
  <c r="AM366" i="37"/>
  <c r="AE567" i="37"/>
  <c r="AE750" i="37"/>
  <c r="AE785" i="37"/>
  <c r="AE770" i="37"/>
  <c r="AE737" i="37"/>
  <c r="AE775" i="37"/>
  <c r="AE756" i="37"/>
  <c r="AE752" i="37"/>
  <c r="AE710" i="37"/>
  <c r="AE598" i="37"/>
  <c r="AM359" i="37"/>
  <c r="AE697" i="37"/>
  <c r="AE739" i="37"/>
  <c r="AE644" i="37"/>
  <c r="AE695" i="37"/>
  <c r="AE565" i="37"/>
  <c r="AE733" i="37"/>
  <c r="AE614" i="37"/>
  <c r="AE657" i="37"/>
  <c r="AE746" i="37"/>
  <c r="AE718" i="37"/>
  <c r="AE608" i="37"/>
  <c r="AE734" i="37"/>
  <c r="AE763" i="37"/>
  <c r="AE794" i="37"/>
  <c r="AE755" i="37"/>
  <c r="AE663" i="37"/>
  <c r="AE732" i="37"/>
  <c r="AE791" i="37"/>
  <c r="AE796" i="37"/>
  <c r="AE716" i="37"/>
  <c r="AE679" i="37"/>
  <c r="AE743" i="37"/>
  <c r="AE580" i="37"/>
  <c r="AE731" i="37"/>
  <c r="AE740" i="37"/>
  <c r="AE725" i="37"/>
  <c r="AE627" i="37"/>
  <c r="AK309" i="37"/>
  <c r="AK362" i="37"/>
  <c r="AK423" i="37"/>
  <c r="AK371" i="37"/>
  <c r="AK310" i="37"/>
  <c r="AK316" i="37"/>
  <c r="AK466" i="37"/>
  <c r="AK437" i="37"/>
  <c r="AK394" i="37"/>
  <c r="AC703" i="37"/>
  <c r="AK349" i="37"/>
  <c r="AK373" i="37"/>
  <c r="AC771" i="37"/>
  <c r="AK445" i="37"/>
  <c r="AK403" i="37"/>
  <c r="AK459" i="37"/>
  <c r="AK374" i="37"/>
  <c r="AK328" i="37"/>
  <c r="AC632" i="37"/>
  <c r="AC787" i="37"/>
  <c r="AK418" i="37"/>
  <c r="AK365" i="37"/>
  <c r="AK384" i="37"/>
  <c r="AK388" i="37"/>
  <c r="AK355" i="37"/>
  <c r="AC690" i="37"/>
  <c r="AC611" i="37"/>
  <c r="AC619" i="37"/>
  <c r="AC636" i="37"/>
  <c r="AC597" i="37"/>
  <c r="AC626" i="37"/>
  <c r="AC576" i="37"/>
  <c r="AC621" i="37"/>
  <c r="AC650" i="37"/>
  <c r="AK450" i="37"/>
  <c r="AK342" i="37"/>
  <c r="AK444" i="37"/>
  <c r="AK364" i="37"/>
  <c r="AK372" i="37"/>
  <c r="AC661" i="37"/>
  <c r="AC698" i="37"/>
  <c r="AC675" i="37"/>
  <c r="AC666" i="37"/>
  <c r="AC759" i="37"/>
  <c r="AC634" i="37"/>
  <c r="AK402" i="37"/>
  <c r="AC590" i="37"/>
  <c r="AC616" i="37"/>
  <c r="AC620" i="37"/>
  <c r="AC685" i="37"/>
  <c r="AC651" i="37"/>
  <c r="AK378" i="37"/>
  <c r="AC593" i="37"/>
  <c r="AK315" i="37"/>
  <c r="AC642" i="37"/>
  <c r="AC558" i="37"/>
  <c r="AC770" i="37"/>
  <c r="AC612" i="37"/>
  <c r="AK337" i="37"/>
  <c r="AC610" i="37"/>
  <c r="AC775" i="37"/>
  <c r="AC622" i="37"/>
  <c r="AC707" i="37"/>
  <c r="AK345" i="37"/>
  <c r="AC606" i="37"/>
  <c r="AK455" i="37"/>
  <c r="AK427" i="37"/>
  <c r="AK386" i="37"/>
  <c r="AK363" i="37"/>
  <c r="AK406" i="37"/>
  <c r="AC654" i="37"/>
  <c r="AC693" i="37"/>
  <c r="AC585" i="37"/>
  <c r="AC603" i="37"/>
  <c r="AC714" i="37"/>
  <c r="AC564" i="37"/>
  <c r="AC671" i="37"/>
  <c r="AK413" i="37"/>
  <c r="AK360" i="37"/>
  <c r="AK361" i="37"/>
  <c r="AC613" i="37"/>
  <c r="AC793" i="37"/>
  <c r="AC776" i="37"/>
  <c r="AC762" i="37"/>
  <c r="AC792" i="37"/>
  <c r="AK538" i="37"/>
  <c r="AC692" i="37"/>
  <c r="AK442" i="37"/>
  <c r="AC594" i="37"/>
  <c r="AC563" i="37"/>
  <c r="AC609" i="37"/>
  <c r="AK358" i="37"/>
  <c r="AK368" i="37"/>
  <c r="AC772" i="37"/>
  <c r="AK366" i="37"/>
  <c r="AC565" i="37"/>
  <c r="AC614" i="37"/>
  <c r="AC644" i="37"/>
  <c r="AC697" i="37"/>
  <c r="AC764" i="37"/>
  <c r="AC794" i="37"/>
  <c r="AK359" i="37"/>
  <c r="AC746" i="37"/>
  <c r="AC763" i="37"/>
  <c r="AC783" i="37"/>
  <c r="AC624" i="37"/>
  <c r="AC686" i="37"/>
  <c r="AC673" i="37"/>
  <c r="AC623" i="37"/>
  <c r="AC615" i="37"/>
  <c r="AC768" i="37"/>
  <c r="AC608" i="37"/>
  <c r="AC687" i="37"/>
  <c r="AC755" i="37"/>
  <c r="AC757" i="37"/>
  <c r="AC681" i="37"/>
  <c r="AC767" i="37"/>
  <c r="AC607" i="37"/>
  <c r="AC750" i="37"/>
  <c r="AC760" i="37"/>
  <c r="AC786" i="37"/>
  <c r="AC618" i="37"/>
  <c r="AC725" i="37"/>
  <c r="AC740" i="37"/>
  <c r="AC724" i="37"/>
  <c r="AC663" i="37"/>
  <c r="AC791" i="37"/>
  <c r="AC732" i="37"/>
  <c r="AC710" i="37"/>
  <c r="AC743" i="37"/>
  <c r="AC756" i="37"/>
  <c r="AC598" i="37"/>
  <c r="AC695" i="37"/>
  <c r="AC718" i="37"/>
  <c r="AC734" i="37"/>
  <c r="AC785" i="37"/>
  <c r="AC723" i="37"/>
  <c r="AC731" i="37"/>
  <c r="AC716" i="37"/>
  <c r="AC679" i="37"/>
  <c r="AC567" i="37"/>
  <c r="AC580" i="37"/>
  <c r="AC758" i="37"/>
  <c r="AC796" i="37"/>
  <c r="AC737" i="37"/>
  <c r="AC739" i="37"/>
  <c r="AC733" i="37"/>
  <c r="AC657" i="37"/>
  <c r="AC752" i="37"/>
  <c r="AC627" i="37"/>
  <c r="AJ309" i="37"/>
  <c r="AJ403" i="37"/>
  <c r="AJ418" i="37"/>
  <c r="AJ427" i="37"/>
  <c r="AJ365" i="37"/>
  <c r="AB636" i="37"/>
  <c r="AJ310" i="37"/>
  <c r="AJ423" i="37"/>
  <c r="AJ349" i="37"/>
  <c r="AJ373" i="37"/>
  <c r="AJ388" i="37"/>
  <c r="AJ364" i="37"/>
  <c r="AJ459" i="37"/>
  <c r="AJ386" i="37"/>
  <c r="AB654" i="37"/>
  <c r="AB772" i="37"/>
  <c r="AJ316" i="37"/>
  <c r="AJ455" i="37"/>
  <c r="AJ444" i="37"/>
  <c r="AJ378" i="37"/>
  <c r="AJ372" i="37"/>
  <c r="AJ406" i="37"/>
  <c r="AJ394" i="37"/>
  <c r="AJ363" i="37"/>
  <c r="AB651" i="37"/>
  <c r="AB775" i="37"/>
  <c r="AB787" i="37"/>
  <c r="AB770" i="37"/>
  <c r="AJ362" i="37"/>
  <c r="AJ384" i="37"/>
  <c r="AJ374" i="37"/>
  <c r="AB632" i="37"/>
  <c r="AB771" i="37"/>
  <c r="AJ445" i="37"/>
  <c r="AJ315" i="37"/>
  <c r="AJ437" i="37"/>
  <c r="AB642" i="37"/>
  <c r="AB792" i="37"/>
  <c r="AB608" i="37"/>
  <c r="AB703" i="37"/>
  <c r="AB590" i="37"/>
  <c r="AB597" i="37"/>
  <c r="AB614" i="37"/>
  <c r="AB621" i="37"/>
  <c r="AB693" i="37"/>
  <c r="AB622" i="37"/>
  <c r="AB619" i="37"/>
  <c r="AB616" i="37"/>
  <c r="AB564" i="37"/>
  <c r="AB759" i="37"/>
  <c r="AJ355" i="37"/>
  <c r="AB685" i="37"/>
  <c r="AJ361" i="37"/>
  <c r="AB611" i="37"/>
  <c r="AB593" i="37"/>
  <c r="AJ359" i="37"/>
  <c r="AB603" i="37"/>
  <c r="AB666" i="37"/>
  <c r="AB661" i="37"/>
  <c r="AJ402" i="37"/>
  <c r="AB767" i="37"/>
  <c r="AB609" i="37"/>
  <c r="AJ342" i="37"/>
  <c r="AB650" i="37"/>
  <c r="AJ368" i="37"/>
  <c r="AJ328" i="37"/>
  <c r="AJ366" i="37"/>
  <c r="AB563" i="37"/>
  <c r="AB626" i="37"/>
  <c r="AB594" i="37"/>
  <c r="AB690" i="37"/>
  <c r="AB698" i="37"/>
  <c r="AB576" i="37"/>
  <c r="AB613" i="37"/>
  <c r="AJ371" i="37"/>
  <c r="AJ345" i="37"/>
  <c r="AB612" i="37"/>
  <c r="AJ442" i="37"/>
  <c r="AB776" i="37"/>
  <c r="AB714" i="37"/>
  <c r="AB671" i="37"/>
  <c r="AJ450" i="37"/>
  <c r="AB762" i="37"/>
  <c r="AB606" i="37"/>
  <c r="AB634" i="37"/>
  <c r="AB707" i="37"/>
  <c r="AB610" i="37"/>
  <c r="AJ538" i="37"/>
  <c r="AB786" i="37"/>
  <c r="AB692" i="37"/>
  <c r="AJ360" i="37"/>
  <c r="AB558" i="37"/>
  <c r="AJ413" i="37"/>
  <c r="AJ358" i="37"/>
  <c r="AB793" i="37"/>
  <c r="AB675" i="37"/>
  <c r="AB620" i="37"/>
  <c r="AB686" i="37"/>
  <c r="AB585" i="37"/>
  <c r="AB750" i="37"/>
  <c r="AB695" i="37"/>
  <c r="AB757" i="37"/>
  <c r="AB785" i="37"/>
  <c r="AB607" i="37"/>
  <c r="AB723" i="37"/>
  <c r="AB764" i="37"/>
  <c r="AB673" i="37"/>
  <c r="AB687" i="37"/>
  <c r="AB763" i="37"/>
  <c r="AB760" i="37"/>
  <c r="AB755" i="37"/>
  <c r="AB794" i="37"/>
  <c r="AB758" i="37"/>
  <c r="AB737" i="37"/>
  <c r="AB567" i="37"/>
  <c r="AB746" i="37"/>
  <c r="AB644" i="37"/>
  <c r="AB756" i="37"/>
  <c r="AB710" i="37"/>
  <c r="AB783" i="37"/>
  <c r="AB768" i="37"/>
  <c r="AB615" i="37"/>
  <c r="AB697" i="37"/>
  <c r="AB681" i="37"/>
  <c r="AB618" i="37"/>
  <c r="AB623" i="37"/>
  <c r="AB565" i="37"/>
  <c r="AB624" i="37"/>
  <c r="AB725" i="37"/>
  <c r="AB679" i="37"/>
  <c r="AB734" i="37"/>
  <c r="AB791" i="37"/>
  <c r="AB739" i="37"/>
  <c r="AB743" i="37"/>
  <c r="AB718" i="37"/>
  <c r="AB732" i="37"/>
  <c r="AB731" i="37"/>
  <c r="AB627" i="37"/>
  <c r="AB657" i="37"/>
  <c r="AB796" i="37"/>
  <c r="AB580" i="37"/>
  <c r="AB598" i="37"/>
  <c r="AB716" i="37"/>
  <c r="AB733" i="37"/>
  <c r="AB740" i="37"/>
  <c r="AB752" i="37"/>
  <c r="AB724" i="37"/>
  <c r="AB663" i="37"/>
  <c r="AN524" i="37"/>
  <c r="AN309" i="37"/>
  <c r="AF563" i="37"/>
  <c r="AF772" i="37"/>
  <c r="AN365" i="37"/>
  <c r="AN316" i="37"/>
  <c r="AF771" i="37"/>
  <c r="AN378" i="37"/>
  <c r="AN394" i="37"/>
  <c r="AN485" i="37"/>
  <c r="AN455" i="37"/>
  <c r="AN476" i="37"/>
  <c r="AN403" i="37"/>
  <c r="AN459" i="37"/>
  <c r="AN386" i="37"/>
  <c r="AN372" i="37"/>
  <c r="AN361" i="37"/>
  <c r="AN520" i="37"/>
  <c r="AN523" i="37"/>
  <c r="AN445" i="37"/>
  <c r="AN374" i="37"/>
  <c r="AN367" i="37"/>
  <c r="AN363" i="37"/>
  <c r="AN364" i="37"/>
  <c r="AN310" i="37"/>
  <c r="AN423" i="37"/>
  <c r="AN427" i="37"/>
  <c r="AN349" i="37"/>
  <c r="AN355" i="37"/>
  <c r="AN437" i="37"/>
  <c r="AF768" i="37"/>
  <c r="AN370" i="37"/>
  <c r="AN362" i="37"/>
  <c r="AN475" i="37"/>
  <c r="AN315" i="37"/>
  <c r="AN342" i="37"/>
  <c r="AN376" i="37"/>
  <c r="AN444" i="37"/>
  <c r="AN406" i="37"/>
  <c r="AN538" i="37"/>
  <c r="AF632" i="37"/>
  <c r="AF692" i="37"/>
  <c r="AF611" i="37"/>
  <c r="AF620" i="37"/>
  <c r="AF626" i="37"/>
  <c r="AF590" i="37"/>
  <c r="AF634" i="37"/>
  <c r="AF618" i="37"/>
  <c r="AF613" i="37"/>
  <c r="AF609" i="37"/>
  <c r="AF622" i="37"/>
  <c r="AF787" i="37"/>
  <c r="AF703" i="37"/>
  <c r="AN442" i="37"/>
  <c r="AN477" i="37"/>
  <c r="AN466" i="37"/>
  <c r="AN418" i="37"/>
  <c r="AN388" i="37"/>
  <c r="AF733" i="37"/>
  <c r="AF580" i="37"/>
  <c r="AF603" i="37"/>
  <c r="AF675" i="37"/>
  <c r="AN360" i="37"/>
  <c r="AF685" i="37"/>
  <c r="AF612" i="37"/>
  <c r="AF610" i="37"/>
  <c r="AF624" i="37"/>
  <c r="AF650" i="37"/>
  <c r="AF654" i="37"/>
  <c r="AF615" i="37"/>
  <c r="AF619" i="37"/>
  <c r="AF636" i="37"/>
  <c r="AF666" i="37"/>
  <c r="AF564" i="37"/>
  <c r="AF576" i="37"/>
  <c r="AN450" i="37"/>
  <c r="AF707" i="37"/>
  <c r="AN371" i="37"/>
  <c r="AF621" i="37"/>
  <c r="AF558" i="37"/>
  <c r="AN328" i="37"/>
  <c r="AN337" i="37"/>
  <c r="AN373" i="37"/>
  <c r="AN384" i="37"/>
  <c r="AN510" i="37"/>
  <c r="AF723" i="37"/>
  <c r="AF698" i="37"/>
  <c r="AF724" i="37"/>
  <c r="AF593" i="37"/>
  <c r="AN413" i="37"/>
  <c r="AF693" i="37"/>
  <c r="AF585" i="37"/>
  <c r="AF725" i="37"/>
  <c r="AF671" i="37"/>
  <c r="AN516" i="37"/>
  <c r="AN332" i="37"/>
  <c r="AF690" i="37"/>
  <c r="AF642" i="37"/>
  <c r="AF764" i="37"/>
  <c r="AF651" i="37"/>
  <c r="AF758" i="37"/>
  <c r="AF597" i="37"/>
  <c r="AF661" i="37"/>
  <c r="AF714" i="37"/>
  <c r="AN402" i="37"/>
  <c r="AN345" i="37"/>
  <c r="AN358" i="37"/>
  <c r="AF681" i="37"/>
  <c r="AF776" i="37"/>
  <c r="AF760" i="37"/>
  <c r="AF623" i="37"/>
  <c r="AF616" i="37"/>
  <c r="AF793" i="37"/>
  <c r="AF687" i="37"/>
  <c r="AF594" i="37"/>
  <c r="AF786" i="37"/>
  <c r="AN368" i="37"/>
  <c r="AF673" i="37"/>
  <c r="AF762" i="37"/>
  <c r="AF737" i="37"/>
  <c r="AF757" i="37"/>
  <c r="AF756" i="37"/>
  <c r="AF598" i="37"/>
  <c r="AF606" i="37"/>
  <c r="AF759" i="37"/>
  <c r="AF792" i="37"/>
  <c r="AF752" i="37"/>
  <c r="AF770" i="37"/>
  <c r="AN366" i="37"/>
  <c r="AF710" i="37"/>
  <c r="AF783" i="37"/>
  <c r="AF775" i="37"/>
  <c r="AF567" i="37"/>
  <c r="AF686" i="37"/>
  <c r="AF767" i="37"/>
  <c r="AF785" i="37"/>
  <c r="AF750" i="37"/>
  <c r="AF607" i="37"/>
  <c r="AF657" i="37"/>
  <c r="AF565" i="37"/>
  <c r="AF697" i="37"/>
  <c r="AF614" i="37"/>
  <c r="AF718" i="37"/>
  <c r="AF695" i="37"/>
  <c r="AF644" i="37"/>
  <c r="AF794" i="37"/>
  <c r="AF734" i="37"/>
  <c r="AF755" i="37"/>
  <c r="AF739" i="37"/>
  <c r="AF746" i="37"/>
  <c r="AN359" i="37"/>
  <c r="AF608" i="37"/>
  <c r="AF763" i="37"/>
  <c r="AF679" i="37"/>
  <c r="AF791" i="37"/>
  <c r="AF732" i="37"/>
  <c r="AF743" i="37"/>
  <c r="AF796" i="37"/>
  <c r="AF663" i="37"/>
  <c r="AF716" i="37"/>
  <c r="AF731" i="37"/>
  <c r="AF740" i="37"/>
  <c r="AL309" i="37"/>
  <c r="AD654" i="37"/>
  <c r="AL363" i="37"/>
  <c r="AL388" i="37"/>
  <c r="AL372" i="37"/>
  <c r="AL418" i="37"/>
  <c r="AL427" i="37"/>
  <c r="AL367" i="37"/>
  <c r="AL384" i="37"/>
  <c r="AL378" i="37"/>
  <c r="AL406" i="37"/>
  <c r="AL374" i="37"/>
  <c r="AL423" i="37"/>
  <c r="AL361" i="37"/>
  <c r="AD632" i="37"/>
  <c r="AL373" i="37"/>
  <c r="AL459" i="37"/>
  <c r="AL402" i="37"/>
  <c r="AL455" i="37"/>
  <c r="AL466" i="37"/>
  <c r="AL437" i="37"/>
  <c r="AL394" i="37"/>
  <c r="AL445" i="37"/>
  <c r="AL342" i="37"/>
  <c r="AL364" i="37"/>
  <c r="AL444" i="37"/>
  <c r="AL386" i="37"/>
  <c r="AL355" i="37"/>
  <c r="AL345" i="37"/>
  <c r="AD787" i="37"/>
  <c r="AD563" i="37"/>
  <c r="AD758" i="37"/>
  <c r="AD636" i="37"/>
  <c r="AD651" i="37"/>
  <c r="AD611" i="37"/>
  <c r="AD609" i="37"/>
  <c r="AD603" i="37"/>
  <c r="AD564" i="37"/>
  <c r="AD661" i="37"/>
  <c r="AD792" i="37"/>
  <c r="AD771" i="37"/>
  <c r="AD634" i="37"/>
  <c r="AD776" i="37"/>
  <c r="AD666" i="37"/>
  <c r="AD622" i="37"/>
  <c r="AD558" i="37"/>
  <c r="AD759" i="37"/>
  <c r="AL337" i="37"/>
  <c r="AD613" i="37"/>
  <c r="AD772" i="37"/>
  <c r="AL365" i="37"/>
  <c r="AL510" i="37"/>
  <c r="AD714" i="37"/>
  <c r="AD576" i="37"/>
  <c r="AD610" i="37"/>
  <c r="AD606" i="37"/>
  <c r="AL315" i="37"/>
  <c r="AD626" i="37"/>
  <c r="AD690" i="37"/>
  <c r="AD615" i="37"/>
  <c r="AD585" i="37"/>
  <c r="AD620" i="37"/>
  <c r="AD621" i="37"/>
  <c r="AD703" i="37"/>
  <c r="AL328" i="37"/>
  <c r="AD675" i="37"/>
  <c r="AL442" i="37"/>
  <c r="AD762" i="37"/>
  <c r="AD642" i="37"/>
  <c r="AL349" i="37"/>
  <c r="AL316" i="37"/>
  <c r="AL362" i="37"/>
  <c r="AL403" i="37"/>
  <c r="AL310" i="37"/>
  <c r="AD764" i="37"/>
  <c r="AD597" i="37"/>
  <c r="AL358" i="37"/>
  <c r="AD692" i="37"/>
  <c r="AL360" i="37"/>
  <c r="AD707" i="37"/>
  <c r="AD619" i="37"/>
  <c r="AD590" i="37"/>
  <c r="AD685" i="37"/>
  <c r="AL516" i="37"/>
  <c r="AL371" i="37"/>
  <c r="AD650" i="37"/>
  <c r="AL538" i="37"/>
  <c r="AD612" i="37"/>
  <c r="AD593" i="37"/>
  <c r="AD698" i="37"/>
  <c r="AD671" i="37"/>
  <c r="AL413" i="37"/>
  <c r="AD793" i="37"/>
  <c r="AL368" i="37"/>
  <c r="AD693" i="37"/>
  <c r="AL450" i="37"/>
  <c r="AD783" i="37"/>
  <c r="AD607" i="37"/>
  <c r="AD775" i="37"/>
  <c r="AD594" i="37"/>
  <c r="AD757" i="37"/>
  <c r="AD686" i="37"/>
  <c r="AD687" i="37"/>
  <c r="AD786" i="37"/>
  <c r="AD673" i="37"/>
  <c r="AD616" i="37"/>
  <c r="AD624" i="37"/>
  <c r="AL366" i="37"/>
  <c r="AD618" i="37"/>
  <c r="AD750" i="37"/>
  <c r="AD767" i="37"/>
  <c r="AD770" i="37"/>
  <c r="AD760" i="37"/>
  <c r="AD623" i="37"/>
  <c r="AD681" i="37"/>
  <c r="AD733" i="37"/>
  <c r="AD565" i="37"/>
  <c r="AD644" i="37"/>
  <c r="AD794" i="37"/>
  <c r="AD755" i="37"/>
  <c r="AD718" i="37"/>
  <c r="AD567" i="37"/>
  <c r="AD756" i="37"/>
  <c r="AD710" i="37"/>
  <c r="AD737" i="37"/>
  <c r="AD614" i="37"/>
  <c r="AD697" i="37"/>
  <c r="AD695" i="37"/>
  <c r="AD768" i="37"/>
  <c r="AD734" i="37"/>
  <c r="AD723" i="37"/>
  <c r="AL359" i="37"/>
  <c r="AD608" i="37"/>
  <c r="AD739" i="37"/>
  <c r="AD746" i="37"/>
  <c r="AD763" i="37"/>
  <c r="AD657" i="37"/>
  <c r="AD785" i="37"/>
  <c r="AD752" i="37"/>
  <c r="AD598" i="37"/>
  <c r="AD740" i="37"/>
  <c r="AD791" i="37"/>
  <c r="AD580" i="37"/>
  <c r="AD679" i="37"/>
  <c r="AD724" i="37"/>
  <c r="AD716" i="37"/>
  <c r="AD663" i="37"/>
  <c r="AD732" i="37"/>
  <c r="AD796" i="37"/>
  <c r="AD725" i="37"/>
  <c r="AD731" i="37"/>
  <c r="AD743" i="37"/>
  <c r="AD627" i="37"/>
  <c r="AF627" i="37"/>
  <c r="F25" i="37"/>
  <c r="F22" i="37"/>
  <c r="F19" i="37"/>
  <c r="AB736" i="37" s="1"/>
  <c r="G307" i="37"/>
  <c r="H307" i="37"/>
  <c r="G308" i="37"/>
  <c r="H308" i="37"/>
  <c r="I308" i="37"/>
  <c r="L308" i="37"/>
  <c r="M37" i="37"/>
  <c r="L36" i="37"/>
  <c r="K35" i="37"/>
  <c r="J34" i="37"/>
  <c r="I33" i="37"/>
  <c r="H32" i="37"/>
  <c r="G31" i="37"/>
  <c r="F308" i="37"/>
  <c r="AL869" i="37" l="1"/>
  <c r="AL850" i="37"/>
  <c r="AL840" i="37"/>
  <c r="AM854" i="37"/>
  <c r="AM862" i="37"/>
  <c r="AL849" i="37"/>
  <c r="AL843" i="37"/>
  <c r="AM859" i="37"/>
  <c r="AL852" i="37"/>
  <c r="AM868" i="37"/>
  <c r="AM861" i="37"/>
  <c r="AL841" i="37"/>
  <c r="AM846" i="37"/>
  <c r="AL854" i="37"/>
  <c r="AL866" i="37"/>
  <c r="AM865" i="37"/>
  <c r="AM853" i="37"/>
  <c r="AL859" i="37"/>
  <c r="AL845" i="37"/>
  <c r="AM841" i="37"/>
  <c r="AM840" i="37"/>
  <c r="AL865" i="37"/>
  <c r="AM849" i="37"/>
  <c r="AM845" i="37"/>
  <c r="AL867" i="37"/>
  <c r="AL846" i="37"/>
  <c r="AM864" i="37"/>
  <c r="AM850" i="37"/>
  <c r="AM856" i="37"/>
  <c r="AL863" i="37"/>
  <c r="AM847" i="37"/>
  <c r="AM860" i="37"/>
  <c r="AM857" i="37"/>
  <c r="AJ816" i="37"/>
  <c r="AK836" i="37"/>
  <c r="AL833" i="37"/>
  <c r="AL834" i="37"/>
  <c r="AL831" i="37"/>
  <c r="AM819" i="37"/>
  <c r="AM836" i="37"/>
  <c r="AM820" i="37"/>
  <c r="AI804" i="37"/>
  <c r="AK813" i="37"/>
  <c r="AK837" i="37"/>
  <c r="AL839" i="37"/>
  <c r="AL835" i="37"/>
  <c r="AL838" i="37"/>
  <c r="AK839" i="37"/>
  <c r="AI839" i="37"/>
  <c r="AL837" i="37"/>
  <c r="AJ838" i="37"/>
  <c r="AI836" i="37"/>
  <c r="AM837" i="37"/>
  <c r="AI838" i="37"/>
  <c r="AL825" i="37"/>
  <c r="AL829" i="37"/>
  <c r="AL830" i="37"/>
  <c r="AL836" i="37"/>
  <c r="AK838" i="37"/>
  <c r="AM839" i="37"/>
  <c r="AJ837" i="37"/>
  <c r="AJ836" i="37"/>
  <c r="AI837" i="37"/>
  <c r="AL821" i="37"/>
  <c r="AK811" i="37"/>
  <c r="AK812" i="37"/>
  <c r="AM834" i="37"/>
  <c r="AM813" i="37"/>
  <c r="AM823" i="37"/>
  <c r="AL811" i="37"/>
  <c r="AL822" i="37"/>
  <c r="AL809" i="37"/>
  <c r="AJ810" i="37"/>
  <c r="AL823" i="37"/>
  <c r="AM829" i="37"/>
  <c r="AL824" i="37"/>
  <c r="AM832" i="37"/>
  <c r="AM828" i="37"/>
  <c r="AK823" i="37"/>
  <c r="AK833" i="37"/>
  <c r="AK832" i="37"/>
  <c r="AM833" i="37"/>
  <c r="AI809" i="37"/>
  <c r="AL812" i="37"/>
  <c r="AM827" i="37"/>
  <c r="AM831" i="37"/>
  <c r="AM824" i="37"/>
  <c r="AK827" i="37"/>
  <c r="AK829" i="37"/>
  <c r="AK821" i="37"/>
  <c r="AK828" i="37"/>
  <c r="AJ804" i="37"/>
  <c r="AL832" i="37"/>
  <c r="AM830" i="37"/>
  <c r="AM822" i="37"/>
  <c r="AK835" i="37"/>
  <c r="AK825" i="37"/>
  <c r="AK826" i="37"/>
  <c r="AK822" i="37"/>
  <c r="AL827" i="37"/>
  <c r="AL828" i="37"/>
  <c r="AM826" i="37"/>
  <c r="AM835" i="37"/>
  <c r="AM825" i="37"/>
  <c r="AM821" i="37"/>
  <c r="AK831" i="37"/>
  <c r="AK824" i="37"/>
  <c r="AK830" i="37"/>
  <c r="AK834" i="37"/>
  <c r="AJ820" i="37"/>
  <c r="AK814" i="37"/>
  <c r="AK815" i="37"/>
  <c r="AI807" i="37"/>
  <c r="AL805" i="37"/>
  <c r="AI805" i="37"/>
  <c r="AM816" i="37"/>
  <c r="AI806" i="37"/>
  <c r="AL813" i="37"/>
  <c r="AM811" i="37"/>
  <c r="AK808" i="37"/>
  <c r="AL815" i="37"/>
  <c r="AK816" i="37"/>
  <c r="AK805" i="37"/>
  <c r="AM810" i="37"/>
  <c r="AM805" i="37"/>
  <c r="AK818" i="37"/>
  <c r="AM815" i="37"/>
  <c r="AM817" i="37"/>
  <c r="AI812" i="37"/>
  <c r="AL806" i="37"/>
  <c r="AM812" i="37"/>
  <c r="AM808" i="37"/>
  <c r="AJ805" i="37"/>
  <c r="AJ814" i="37"/>
  <c r="AK809" i="37"/>
  <c r="AK817" i="37"/>
  <c r="AM804" i="37"/>
  <c r="AJ813" i="37"/>
  <c r="AJ817" i="37"/>
  <c r="AK819" i="37"/>
  <c r="AL818" i="37"/>
  <c r="B500" i="40"/>
  <c r="B219" i="65"/>
  <c r="AJ806" i="37"/>
  <c r="AK806" i="37"/>
  <c r="AL814" i="37"/>
  <c r="AM818" i="37"/>
  <c r="AJ809" i="37"/>
  <c r="AJ811" i="37"/>
  <c r="AJ812" i="37"/>
  <c r="AJ815" i="37"/>
  <c r="AI810" i="37"/>
  <c r="AI811" i="37"/>
  <c r="AK810" i="37"/>
  <c r="AK807" i="37"/>
  <c r="AL816" i="37"/>
  <c r="AL819" i="37"/>
  <c r="AL820" i="37"/>
  <c r="AL804" i="37"/>
  <c r="AM806" i="37"/>
  <c r="AJ807" i="37"/>
  <c r="AJ808" i="37"/>
  <c r="AJ818" i="37"/>
  <c r="AJ819" i="37"/>
  <c r="AK804" i="37"/>
  <c r="AL810" i="37"/>
  <c r="AL817" i="37"/>
  <c r="AL807" i="37"/>
  <c r="AL808" i="37"/>
  <c r="AM814" i="37"/>
  <c r="AM809" i="37"/>
  <c r="AM807" i="37"/>
  <c r="AK803" i="37"/>
  <c r="AM803" i="37"/>
  <c r="AL803" i="37"/>
  <c r="AJ803" i="37"/>
  <c r="AI803" i="37"/>
  <c r="AC797" i="37"/>
  <c r="AF797" i="37"/>
  <c r="AD797" i="37"/>
  <c r="AE797" i="37"/>
  <c r="R317" i="37"/>
  <c r="AD744" i="37"/>
  <c r="AD747" i="37"/>
  <c r="AD726" i="37"/>
  <c r="AD741" i="37"/>
  <c r="AD579" i="37"/>
  <c r="AD745" i="37"/>
  <c r="AD575" i="37"/>
  <c r="AD728" i="37"/>
  <c r="AD788" i="37"/>
  <c r="AD748" i="37"/>
  <c r="AD735" i="37"/>
  <c r="AD774" i="37"/>
  <c r="AD765" i="37"/>
  <c r="AD578" i="37"/>
  <c r="AD730" i="37"/>
  <c r="AD599" i="37"/>
  <c r="AD691" i="37"/>
  <c r="AL369" i="37"/>
  <c r="AD784" i="37"/>
  <c r="AD582" i="37"/>
  <c r="AD736" i="37"/>
  <c r="AD720" i="37"/>
  <c r="AD753" i="37"/>
  <c r="AD722" i="37"/>
  <c r="AD583" i="37"/>
  <c r="AD789" i="37"/>
  <c r="AD719" i="37"/>
  <c r="AD729" i="37"/>
  <c r="AD749" i="37"/>
  <c r="AD738" i="37"/>
  <c r="AD727" i="37"/>
  <c r="AD761" i="37"/>
  <c r="AD779" i="37"/>
  <c r="AD790" i="37"/>
  <c r="AD780" i="37"/>
  <c r="AD781" i="37"/>
  <c r="AD587" i="37"/>
  <c r="AL353" i="37"/>
  <c r="AD717" i="37"/>
  <c r="AD586" i="37"/>
  <c r="AL426" i="37"/>
  <c r="AL414" i="37"/>
  <c r="AD664" i="37"/>
  <c r="AD589" i="37"/>
  <c r="AD652" i="37"/>
  <c r="AD568" i="37"/>
  <c r="AD684" i="37"/>
  <c r="AD631" i="37"/>
  <c r="AL457" i="37"/>
  <c r="AD601" i="37"/>
  <c r="AD574" i="37"/>
  <c r="AD778" i="37"/>
  <c r="AL318" i="37"/>
  <c r="AL333" i="37"/>
  <c r="AL461" i="37"/>
  <c r="AD629" i="37"/>
  <c r="AL356" i="37"/>
  <c r="AD660" i="37"/>
  <c r="AD592" i="37"/>
  <c r="AD696" i="37"/>
  <c r="AD713" i="37"/>
  <c r="AL412" i="37"/>
  <c r="AD646" i="37"/>
  <c r="AL417" i="37"/>
  <c r="AD712" i="37"/>
  <c r="AD706" i="37"/>
  <c r="AD680" i="37"/>
  <c r="AD577" i="37"/>
  <c r="AD682" i="37"/>
  <c r="AD688" i="37"/>
  <c r="AL351" i="37"/>
  <c r="AD637" i="37"/>
  <c r="AL320" i="37"/>
  <c r="AL407" i="37"/>
  <c r="AL336" i="37"/>
  <c r="AL344" i="37"/>
  <c r="AD702" i="37"/>
  <c r="AD570" i="37"/>
  <c r="AL421" i="37"/>
  <c r="AD665" i="37"/>
  <c r="AL424" i="37"/>
  <c r="AL340" i="37"/>
  <c r="AL389" i="37"/>
  <c r="AL380" i="37"/>
  <c r="AL383" i="37"/>
  <c r="AD560" i="37"/>
  <c r="AL469" i="37"/>
  <c r="AL392" i="37"/>
  <c r="AD653" i="37"/>
  <c r="AD640" i="37"/>
  <c r="AL387" i="37"/>
  <c r="AL348" i="37"/>
  <c r="AL420" i="37"/>
  <c r="AL451" i="37"/>
  <c r="AL465" i="37"/>
  <c r="AL463" i="37"/>
  <c r="AL338" i="37"/>
  <c r="AL416" i="37"/>
  <c r="AL354" i="37"/>
  <c r="AL312" i="37"/>
  <c r="AL464" i="37"/>
  <c r="AL432" i="37"/>
  <c r="AL456" i="37"/>
  <c r="AL400" i="37"/>
  <c r="AL453" i="37"/>
  <c r="AD571" i="37"/>
  <c r="AF753" i="37"/>
  <c r="AF742" i="37"/>
  <c r="AF749" i="37"/>
  <c r="AF735" i="37"/>
  <c r="AF738" i="37"/>
  <c r="AF789" i="37"/>
  <c r="AN313" i="37"/>
  <c r="AF574" i="37"/>
  <c r="AF720" i="37"/>
  <c r="AF643" i="37"/>
  <c r="AF589" i="37"/>
  <c r="AF701" i="37"/>
  <c r="AF645" i="37"/>
  <c r="AF660" i="37"/>
  <c r="AF572" i="37"/>
  <c r="AF667" i="37"/>
  <c r="AN547" i="37"/>
  <c r="AF586" i="37"/>
  <c r="AF691" i="37"/>
  <c r="AF709" i="37"/>
  <c r="AF713" i="37"/>
  <c r="AF715" i="37"/>
  <c r="AF678" i="37"/>
  <c r="AF587" i="37"/>
  <c r="AF668" i="37"/>
  <c r="AF600" i="37"/>
  <c r="AN397" i="37"/>
  <c r="AF630" i="37"/>
  <c r="AN465" i="37"/>
  <c r="AF704" i="37"/>
  <c r="AF581" i="37"/>
  <c r="AF649" i="37"/>
  <c r="AF625" i="37"/>
  <c r="AF708" i="37"/>
  <c r="AF726" i="37"/>
  <c r="AF639" i="37"/>
  <c r="AF659" i="37"/>
  <c r="AF599" i="37"/>
  <c r="AF559" i="37"/>
  <c r="AN408" i="37"/>
  <c r="AN473" i="37"/>
  <c r="AN461" i="37"/>
  <c r="AN320" i="37"/>
  <c r="AF658" i="37"/>
  <c r="AF641" i="37"/>
  <c r="AF602" i="37"/>
  <c r="AF629" i="37"/>
  <c r="AF628" i="37"/>
  <c r="AN529" i="37"/>
  <c r="AN389" i="37"/>
  <c r="AN410" i="37"/>
  <c r="AN517" i="37"/>
  <c r="AN456" i="37"/>
  <c r="AN453" i="37"/>
  <c r="AN324" i="37"/>
  <c r="AF777" i="37"/>
  <c r="AN333" i="37"/>
  <c r="AN460" i="37"/>
  <c r="AN352" i="37"/>
  <c r="AN434" i="37"/>
  <c r="AN348" i="37"/>
  <c r="AN338" i="37"/>
  <c r="AB582" i="37"/>
  <c r="AB753" i="37"/>
  <c r="AM407" i="37"/>
  <c r="AM348" i="37"/>
  <c r="AM325" i="37"/>
  <c r="AM451" i="37"/>
  <c r="AM395" i="37"/>
  <c r="AM454" i="37"/>
  <c r="AM458" i="37"/>
  <c r="AM416" i="37"/>
  <c r="AM381" i="37"/>
  <c r="AM347" i="37"/>
  <c r="AM398" i="37"/>
  <c r="AM432" i="37"/>
  <c r="AM456" i="37"/>
  <c r="AM411" i="37"/>
  <c r="AM453" i="37"/>
  <c r="AE705" i="37"/>
  <c r="AM405" i="37"/>
  <c r="AM397" i="37"/>
  <c r="AE765" i="37"/>
  <c r="AM339" i="37"/>
  <c r="AM428" i="37"/>
  <c r="AM385" i="37"/>
  <c r="AM441" i="37"/>
  <c r="AM338" i="37"/>
  <c r="AM352" i="37"/>
  <c r="AM469" i="37"/>
  <c r="AM351" i="37"/>
  <c r="AM410" i="37"/>
  <c r="AM517" i="37"/>
  <c r="AM326" i="37"/>
  <c r="AE566" i="37"/>
  <c r="AE574" i="37"/>
  <c r="AE672" i="37"/>
  <c r="AE645" i="37"/>
  <c r="AE639" i="37"/>
  <c r="AE701" i="37"/>
  <c r="AM474" i="37"/>
  <c r="AE630" i="37"/>
  <c r="AM420" i="37"/>
  <c r="AM344" i="37"/>
  <c r="AM400" i="37"/>
  <c r="AM452" i="37"/>
  <c r="AM393" i="37"/>
  <c r="AM465" i="37"/>
  <c r="AM327" i="37"/>
  <c r="AE602" i="37"/>
  <c r="AE709" i="37"/>
  <c r="AE568" i="37"/>
  <c r="AE691" i="37"/>
  <c r="AE660" i="37"/>
  <c r="AM392" i="37"/>
  <c r="AE600" i="37"/>
  <c r="AE719" i="37"/>
  <c r="AE587" i="37"/>
  <c r="AE683" i="37"/>
  <c r="AE676" i="37"/>
  <c r="AE591" i="37"/>
  <c r="AM318" i="37"/>
  <c r="AE688" i="37"/>
  <c r="AE561" i="37"/>
  <c r="AE674" i="37"/>
  <c r="AM321" i="37"/>
  <c r="AM440" i="37"/>
  <c r="AM434" i="37"/>
  <c r="AM324" i="37"/>
  <c r="AM414" i="37"/>
  <c r="AE635" i="37"/>
  <c r="AE667" i="37"/>
  <c r="AM472" i="37"/>
  <c r="AE684" i="37"/>
  <c r="AE713" i="37"/>
  <c r="AE669" i="37"/>
  <c r="AE712" i="37"/>
  <c r="AE689" i="37"/>
  <c r="AE662" i="37"/>
  <c r="AE604" i="37"/>
  <c r="AM471" i="37"/>
  <c r="AE601" i="37"/>
  <c r="AE696" i="37"/>
  <c r="AE588" i="37"/>
  <c r="AE649" i="37"/>
  <c r="AM391" i="37"/>
  <c r="AM429" i="37"/>
  <c r="AM457" i="37"/>
  <c r="AM422" i="37"/>
  <c r="AE570" i="37"/>
  <c r="AE586" i="37"/>
  <c r="AE633" i="37"/>
  <c r="AE665" i="37"/>
  <c r="AE625" i="37"/>
  <c r="AE702" i="37"/>
  <c r="AM341" i="37"/>
  <c r="AE711" i="37"/>
  <c r="AE592" i="37"/>
  <c r="AM311" i="37"/>
  <c r="AE706" i="37"/>
  <c r="AE721" i="37"/>
  <c r="AE677" i="37"/>
  <c r="AE596" i="37"/>
  <c r="AE656" i="37"/>
  <c r="AM547" i="37"/>
  <c r="AE678" i="37"/>
  <c r="AE578" i="37"/>
  <c r="AE781" i="37"/>
  <c r="AE727" i="37"/>
  <c r="AE779" i="37"/>
  <c r="AE761" i="37"/>
  <c r="AE729" i="37"/>
  <c r="AE754" i="37"/>
  <c r="AE788" i="37"/>
  <c r="AE583" i="37"/>
  <c r="AE749" i="37"/>
  <c r="AE735" i="37"/>
  <c r="AE769" i="37"/>
  <c r="AE748" i="37"/>
  <c r="AE726" i="37"/>
  <c r="AE579" i="37"/>
  <c r="AE784" i="37"/>
  <c r="AE582" i="37"/>
  <c r="AE753" i="37"/>
  <c r="AE728" i="37"/>
  <c r="AE782" i="37"/>
  <c r="AK381" i="37"/>
  <c r="AK458" i="37"/>
  <c r="AK348" i="37"/>
  <c r="AK441" i="37"/>
  <c r="AK351" i="37"/>
  <c r="AK408" i="37"/>
  <c r="AK456" i="37"/>
  <c r="AK451" i="37"/>
  <c r="AK312" i="37"/>
  <c r="AC639" i="37"/>
  <c r="AK323" i="37"/>
  <c r="AK347" i="37"/>
  <c r="AC628" i="37"/>
  <c r="AK397" i="37"/>
  <c r="AC584" i="37"/>
  <c r="AC571" i="37"/>
  <c r="AK446" i="37"/>
  <c r="AK399" i="37"/>
  <c r="AK343" i="37"/>
  <c r="AK380" i="37"/>
  <c r="AK395" i="37"/>
  <c r="AK389" i="37"/>
  <c r="AK387" i="37"/>
  <c r="AC588" i="37"/>
  <c r="AK411" i="37"/>
  <c r="AK404" i="37"/>
  <c r="AK430" i="37"/>
  <c r="AK464" i="37"/>
  <c r="AC705" i="37"/>
  <c r="AC713" i="37"/>
  <c r="AC595" i="37"/>
  <c r="AC577" i="37"/>
  <c r="AC659" i="37"/>
  <c r="AC599" i="37"/>
  <c r="AK461" i="37"/>
  <c r="AK401" i="37"/>
  <c r="AC630" i="37"/>
  <c r="AK412" i="37"/>
  <c r="AC777" i="37"/>
  <c r="AC631" i="37"/>
  <c r="AC587" i="37"/>
  <c r="AC696" i="37"/>
  <c r="AK318" i="37"/>
  <c r="AC712" i="37"/>
  <c r="AK429" i="37"/>
  <c r="AK547" i="37"/>
  <c r="AC566" i="37"/>
  <c r="AK357" i="37"/>
  <c r="AC676" i="37"/>
  <c r="AC674" i="37"/>
  <c r="AC647" i="37"/>
  <c r="AK356" i="37"/>
  <c r="AC689" i="37"/>
  <c r="AC653" i="37"/>
  <c r="AC648" i="37"/>
  <c r="AK400" i="37"/>
  <c r="AK333" i="37"/>
  <c r="AK393" i="37"/>
  <c r="AC602" i="37"/>
  <c r="AC779" i="37"/>
  <c r="AK440" i="37"/>
  <c r="AK434" i="37"/>
  <c r="AC778" i="37"/>
  <c r="AK336" i="37"/>
  <c r="AK391" i="37"/>
  <c r="AC562" i="37"/>
  <c r="AC795" i="37"/>
  <c r="AK414" i="37"/>
  <c r="AC682" i="37"/>
  <c r="AC702" i="37"/>
  <c r="AC600" i="37"/>
  <c r="AC680" i="37"/>
  <c r="AC694" i="37"/>
  <c r="AC664" i="37"/>
  <c r="AC596" i="37"/>
  <c r="AK369" i="37"/>
  <c r="AC677" i="37"/>
  <c r="AC773" i="37"/>
  <c r="AC581" i="37"/>
  <c r="AC640" i="37"/>
  <c r="AK340" i="37"/>
  <c r="AC709" i="37"/>
  <c r="AC568" i="37"/>
  <c r="AC560" i="37"/>
  <c r="AC645" i="37"/>
  <c r="AC699" i="37"/>
  <c r="AC601" i="37"/>
  <c r="AK314" i="37"/>
  <c r="AC655" i="37"/>
  <c r="AC667" i="37"/>
  <c r="AC617" i="37"/>
  <c r="AC649" i="37"/>
  <c r="AC704" i="37"/>
  <c r="AC569" i="37"/>
  <c r="AC766" i="37"/>
  <c r="AC790" i="37"/>
  <c r="AC774" i="37"/>
  <c r="AC578" i="37"/>
  <c r="AC573" i="37"/>
  <c r="AC769" i="37"/>
  <c r="AC765" i="37"/>
  <c r="AC780" i="37"/>
  <c r="AC720" i="37"/>
  <c r="AC728" i="37"/>
  <c r="AC726" i="37"/>
  <c r="AC744" i="37"/>
  <c r="AC784" i="37"/>
  <c r="AC735" i="37"/>
  <c r="AC745" i="37"/>
  <c r="AC575" i="37"/>
  <c r="AC788" i="37"/>
  <c r="AC753" i="37"/>
  <c r="AC751" i="37"/>
  <c r="AC715" i="37"/>
  <c r="AC748" i="37"/>
  <c r="AC583" i="37"/>
  <c r="AB571" i="37"/>
  <c r="AJ389" i="37"/>
  <c r="AJ381" i="37"/>
  <c r="AJ397" i="37"/>
  <c r="AJ451" i="37"/>
  <c r="AJ419" i="37"/>
  <c r="AJ404" i="37"/>
  <c r="AJ322" i="37"/>
  <c r="AB781" i="37"/>
  <c r="AJ440" i="37"/>
  <c r="AJ383" i="37"/>
  <c r="AJ416" i="37"/>
  <c r="AJ326" i="37"/>
  <c r="AJ347" i="37"/>
  <c r="AJ411" i="37"/>
  <c r="AJ453" i="37"/>
  <c r="AJ405" i="37"/>
  <c r="AJ441" i="37"/>
  <c r="AJ343" i="37"/>
  <c r="AJ380" i="37"/>
  <c r="AJ429" i="37"/>
  <c r="AB778" i="37"/>
  <c r="AB749" i="37"/>
  <c r="AB604" i="37"/>
  <c r="AB678" i="37"/>
  <c r="AB665" i="37"/>
  <c r="AB649" i="37"/>
  <c r="AB589" i="37"/>
  <c r="AB670" i="37"/>
  <c r="AB674" i="37"/>
  <c r="AJ339" i="37"/>
  <c r="AJ448" i="37"/>
  <c r="AB631" i="37"/>
  <c r="AB766" i="37"/>
  <c r="AJ401" i="37"/>
  <c r="AJ414" i="37"/>
  <c r="AJ369" i="37"/>
  <c r="AB696" i="37"/>
  <c r="AJ400" i="37"/>
  <c r="AB570" i="37"/>
  <c r="AB641" i="37"/>
  <c r="AB727" i="37"/>
  <c r="AB790" i="37"/>
  <c r="AB702" i="37"/>
  <c r="AB701" i="37"/>
  <c r="AB669" i="37"/>
  <c r="AB659" i="37"/>
  <c r="AB637" i="37"/>
  <c r="AB667" i="37"/>
  <c r="AB600" i="37"/>
  <c r="AJ311" i="37"/>
  <c r="AB630" i="37"/>
  <c r="AB797" i="37"/>
  <c r="AB639" i="37"/>
  <c r="AB780" i="37"/>
  <c r="AB704" i="37"/>
  <c r="AJ382" i="37"/>
  <c r="AB588" i="37"/>
  <c r="AB592" i="37"/>
  <c r="AJ393" i="37"/>
  <c r="AJ329" i="37"/>
  <c r="AB601" i="37"/>
  <c r="AB645" i="37"/>
  <c r="AB560" i="37"/>
  <c r="AB596" i="37"/>
  <c r="AB699" i="37"/>
  <c r="AJ313" i="37"/>
  <c r="AB647" i="37"/>
  <c r="AB688" i="37"/>
  <c r="AB691" i="37"/>
  <c r="AB672" i="37"/>
  <c r="AB655" i="37"/>
  <c r="AJ320" i="37"/>
  <c r="AB577" i="37"/>
  <c r="AB680" i="37"/>
  <c r="AB658" i="37"/>
  <c r="AJ314" i="37"/>
  <c r="AJ547" i="37"/>
  <c r="AB625" i="37"/>
  <c r="AB581" i="37"/>
  <c r="AB568" i="37"/>
  <c r="AB706" i="37"/>
  <c r="AB664" i="37"/>
  <c r="AJ424" i="37"/>
  <c r="AB629" i="37"/>
  <c r="AB795" i="37"/>
  <c r="AB584" i="37"/>
  <c r="AB572" i="37"/>
  <c r="AB575" i="37"/>
  <c r="AB729" i="37"/>
  <c r="AB730" i="37"/>
  <c r="AB769" i="37"/>
  <c r="AB774" i="37"/>
  <c r="AB754" i="37"/>
  <c r="AB745" i="37"/>
  <c r="AB583" i="37"/>
  <c r="AB712" i="37"/>
  <c r="AB711" i="37"/>
  <c r="AB761" i="37"/>
  <c r="AB573" i="37"/>
  <c r="AB782" i="37"/>
  <c r="AB789" i="37"/>
  <c r="AM436" i="37"/>
  <c r="AM383" i="37"/>
  <c r="AE638" i="37"/>
  <c r="AM463" i="37"/>
  <c r="AM460" i="37"/>
  <c r="AM380" i="37"/>
  <c r="AM382" i="37"/>
  <c r="AM446" i="37"/>
  <c r="AM404" i="37"/>
  <c r="AE571" i="37"/>
  <c r="AM435" i="37"/>
  <c r="AM389" i="37"/>
  <c r="AM312" i="37"/>
  <c r="AM419" i="37"/>
  <c r="AM473" i="37"/>
  <c r="AM464" i="37"/>
  <c r="AM421" i="37"/>
  <c r="AM461" i="37"/>
  <c r="AM448" i="37"/>
  <c r="AM387" i="37"/>
  <c r="AM390" i="37"/>
  <c r="AM323" i="37"/>
  <c r="AM408" i="37"/>
  <c r="AM333" i="37"/>
  <c r="AM343" i="37"/>
  <c r="AE722" i="37"/>
  <c r="AE659" i="37"/>
  <c r="AE573" i="37"/>
  <c r="AE653" i="37"/>
  <c r="AE617" i="37"/>
  <c r="AM353" i="37"/>
  <c r="AE559" i="37"/>
  <c r="AE581" i="37"/>
  <c r="AE640" i="37"/>
  <c r="AE652" i="37"/>
  <c r="AE668" i="37"/>
  <c r="AE795" i="37"/>
  <c r="AM336" i="37"/>
  <c r="AM467" i="37"/>
  <c r="AM417" i="37"/>
  <c r="AE773" i="37"/>
  <c r="AM322" i="37"/>
  <c r="AE708" i="37"/>
  <c r="AE700" i="37"/>
  <c r="AE682" i="37"/>
  <c r="AE680" i="37"/>
  <c r="AE605" i="37"/>
  <c r="AM399" i="37"/>
  <c r="AM313" i="37"/>
  <c r="AE628" i="37"/>
  <c r="AM357" i="37"/>
  <c r="AE595" i="37"/>
  <c r="AE670" i="37"/>
  <c r="AE648" i="37"/>
  <c r="AE569" i="37"/>
  <c r="AE577" i="37"/>
  <c r="AM356" i="37"/>
  <c r="AE643" i="37"/>
  <c r="AM430" i="37"/>
  <c r="AM320" i="37"/>
  <c r="AE664" i="37"/>
  <c r="AM412" i="37"/>
  <c r="AM443" i="37"/>
  <c r="AE715" i="37"/>
  <c r="AM340" i="37"/>
  <c r="AE575" i="37"/>
  <c r="AM354" i="37"/>
  <c r="AM426" i="37"/>
  <c r="AM369" i="37"/>
  <c r="AE599" i="37"/>
  <c r="AM377" i="37"/>
  <c r="AE717" i="37"/>
  <c r="AE641" i="37"/>
  <c r="AE589" i="37"/>
  <c r="AE704" i="37"/>
  <c r="AE631" i="37"/>
  <c r="AE584" i="37"/>
  <c r="AE560" i="37"/>
  <c r="AM314" i="37"/>
  <c r="AE637" i="37"/>
  <c r="AE647" i="37"/>
  <c r="AM401" i="37"/>
  <c r="AE720" i="37"/>
  <c r="AE572" i="37"/>
  <c r="AE562" i="37"/>
  <c r="AE694" i="37"/>
  <c r="AE658" i="37"/>
  <c r="AM424" i="37"/>
  <c r="AM329" i="37"/>
  <c r="AE646" i="37"/>
  <c r="AE778" i="37"/>
  <c r="AE629" i="37"/>
  <c r="AE699" i="37"/>
  <c r="AE655" i="37"/>
  <c r="AE730" i="37"/>
  <c r="AE777" i="37"/>
  <c r="AE790" i="37"/>
  <c r="AE766" i="37"/>
  <c r="AE780" i="37"/>
  <c r="AE774" i="37"/>
  <c r="AE738" i="37"/>
  <c r="AE789" i="37"/>
  <c r="AE742" i="37"/>
  <c r="AE747" i="37"/>
  <c r="AE736" i="37"/>
  <c r="AE741" i="37"/>
  <c r="AE745" i="37"/>
  <c r="AE751" i="37"/>
  <c r="AE744" i="37"/>
  <c r="AK321" i="37"/>
  <c r="AK435" i="37"/>
  <c r="AK460" i="37"/>
  <c r="AK339" i="37"/>
  <c r="AK421" i="37"/>
  <c r="AK405" i="37"/>
  <c r="AK452" i="37"/>
  <c r="AK463" i="37"/>
  <c r="AK453" i="37"/>
  <c r="AK322" i="37"/>
  <c r="AC638" i="37"/>
  <c r="AK428" i="37"/>
  <c r="AK398" i="37"/>
  <c r="AK419" i="37"/>
  <c r="AK382" i="37"/>
  <c r="AK454" i="37"/>
  <c r="AK420" i="37"/>
  <c r="AK416" i="37"/>
  <c r="AK326" i="37"/>
  <c r="AK410" i="37"/>
  <c r="AK390" i="37"/>
  <c r="AK352" i="37"/>
  <c r="AC683" i="37"/>
  <c r="AC625" i="37"/>
  <c r="AC669" i="37"/>
  <c r="AC592" i="37"/>
  <c r="AK377" i="37"/>
  <c r="AK424" i="37"/>
  <c r="AC781" i="37"/>
  <c r="AC629" i="37"/>
  <c r="AK448" i="37"/>
  <c r="AK385" i="37"/>
  <c r="AK432" i="37"/>
  <c r="AC604" i="37"/>
  <c r="AC711" i="37"/>
  <c r="AC668" i="37"/>
  <c r="AK407" i="37"/>
  <c r="AK465" i="37"/>
  <c r="AK353" i="37"/>
  <c r="AC574" i="37"/>
  <c r="AC662" i="37"/>
  <c r="AC652" i="37"/>
  <c r="AC605" i="37"/>
  <c r="AK436" i="37"/>
  <c r="AC559" i="37"/>
  <c r="AK426" i="37"/>
  <c r="AK383" i="37"/>
  <c r="AC643" i="37"/>
  <c r="AK354" i="37"/>
  <c r="AK417" i="37"/>
  <c r="AK422" i="37"/>
  <c r="AC706" i="37"/>
  <c r="AK313" i="37"/>
  <c r="AC561" i="37"/>
  <c r="AK443" i="37"/>
  <c r="AC701" i="37"/>
  <c r="AC665" i="37"/>
  <c r="AC570" i="37"/>
  <c r="AC672" i="37"/>
  <c r="AC727" i="37"/>
  <c r="AC658" i="37"/>
  <c r="AK341" i="37"/>
  <c r="AK392" i="37"/>
  <c r="AC641" i="37"/>
  <c r="AC700" i="37"/>
  <c r="AC684" i="37"/>
  <c r="AK344" i="37"/>
  <c r="AC691" i="37"/>
  <c r="AK311" i="37"/>
  <c r="AC708" i="37"/>
  <c r="AC670" i="37"/>
  <c r="AC591" i="37"/>
  <c r="AC660" i="37"/>
  <c r="AC635" i="37"/>
  <c r="AK320" i="37"/>
  <c r="AC637" i="37"/>
  <c r="AK457" i="37"/>
  <c r="AC646" i="37"/>
  <c r="AC678" i="37"/>
  <c r="AC633" i="37"/>
  <c r="AC688" i="37"/>
  <c r="AC589" i="37"/>
  <c r="AK329" i="37"/>
  <c r="AC656" i="37"/>
  <c r="AC730" i="37"/>
  <c r="AC754" i="37"/>
  <c r="AC749" i="37"/>
  <c r="AC761" i="37"/>
  <c r="AC717" i="37"/>
  <c r="AC741" i="37"/>
  <c r="AC572" i="37"/>
  <c r="AC736" i="37"/>
  <c r="AC782" i="37"/>
  <c r="AC729" i="37"/>
  <c r="AC719" i="37"/>
  <c r="AC742" i="37"/>
  <c r="AC738" i="37"/>
  <c r="AC579" i="37"/>
  <c r="AC747" i="37"/>
  <c r="AC722" i="37"/>
  <c r="AC586" i="37"/>
  <c r="AC789" i="37"/>
  <c r="AC721" i="37"/>
  <c r="AC582" i="37"/>
  <c r="AJ398" i="37"/>
  <c r="AJ385" i="37"/>
  <c r="AB628" i="37"/>
  <c r="AJ312" i="37"/>
  <c r="AB638" i="37"/>
  <c r="AJ395" i="37"/>
  <c r="AJ410" i="37"/>
  <c r="AJ351" i="37"/>
  <c r="AJ323" i="37"/>
  <c r="AJ452" i="37"/>
  <c r="AJ421" i="37"/>
  <c r="AJ458" i="37"/>
  <c r="AJ432" i="37"/>
  <c r="AJ408" i="37"/>
  <c r="AJ435" i="37"/>
  <c r="AJ456" i="37"/>
  <c r="AJ387" i="37"/>
  <c r="AB705" i="37"/>
  <c r="AJ390" i="37"/>
  <c r="AJ454" i="37"/>
  <c r="AJ348" i="37"/>
  <c r="AB779" i="37"/>
  <c r="AB599" i="37"/>
  <c r="AJ357" i="37"/>
  <c r="AJ436" i="37"/>
  <c r="AJ352" i="37"/>
  <c r="AB602" i="37"/>
  <c r="AJ356" i="37"/>
  <c r="AJ391" i="37"/>
  <c r="AJ333" i="37"/>
  <c r="AJ443" i="37"/>
  <c r="AJ422" i="37"/>
  <c r="AB643" i="37"/>
  <c r="AJ417" i="37"/>
  <c r="AJ377" i="37"/>
  <c r="AB677" i="37"/>
  <c r="AJ428" i="37"/>
  <c r="AB777" i="37"/>
  <c r="AB708" i="37"/>
  <c r="AB566" i="37"/>
  <c r="AJ340" i="37"/>
  <c r="AB561" i="37"/>
  <c r="AB694" i="37"/>
  <c r="AB640" i="37"/>
  <c r="AJ354" i="37"/>
  <c r="AB653" i="37"/>
  <c r="AB587" i="37"/>
  <c r="AB662" i="37"/>
  <c r="AB595" i="37"/>
  <c r="AB676" i="37"/>
  <c r="AJ341" i="37"/>
  <c r="AB574" i="37"/>
  <c r="AJ344" i="37"/>
  <c r="AJ321" i="37"/>
  <c r="AJ420" i="37"/>
  <c r="AJ430" i="37"/>
  <c r="AJ446" i="37"/>
  <c r="AJ457" i="37"/>
  <c r="AB656" i="37"/>
  <c r="AJ434" i="37"/>
  <c r="AJ392" i="37"/>
  <c r="AB684" i="37"/>
  <c r="AB689" i="37"/>
  <c r="AB559" i="37"/>
  <c r="AB591" i="37"/>
  <c r="AB562" i="37"/>
  <c r="AJ318" i="37"/>
  <c r="AB635" i="37"/>
  <c r="AB668" i="37"/>
  <c r="AJ407" i="37"/>
  <c r="AB652" i="37"/>
  <c r="AJ399" i="37"/>
  <c r="AB646" i="37"/>
  <c r="AB682" i="37"/>
  <c r="AJ353" i="37"/>
  <c r="AJ426" i="37"/>
  <c r="AB569" i="37"/>
  <c r="AB683" i="37"/>
  <c r="AB648" i="37"/>
  <c r="AB605" i="37"/>
  <c r="AJ412" i="37"/>
  <c r="AB700" i="37"/>
  <c r="AB660" i="37"/>
  <c r="AB617" i="37"/>
  <c r="AB773" i="37"/>
  <c r="AB633" i="37"/>
  <c r="AB715" i="37"/>
  <c r="AB788" i="37"/>
  <c r="AB713" i="37"/>
  <c r="AB709" i="37"/>
  <c r="AB578" i="37"/>
  <c r="AB765" i="37"/>
  <c r="AB735" i="37"/>
  <c r="AB728" i="37"/>
  <c r="AB719" i="37"/>
  <c r="AB720" i="37"/>
  <c r="AB738" i="37"/>
  <c r="AB744" i="37"/>
  <c r="AB784" i="37"/>
  <c r="AB721" i="37"/>
  <c r="AB741" i="37"/>
  <c r="AB748" i="37"/>
  <c r="AB726" i="37"/>
  <c r="AB742" i="37"/>
  <c r="AF765" i="37"/>
  <c r="AF638" i="37"/>
  <c r="AN331" i="37"/>
  <c r="AN469" i="37"/>
  <c r="AN405" i="37"/>
  <c r="AN482" i="37"/>
  <c r="AN326" i="37"/>
  <c r="AN343" i="37"/>
  <c r="AN481" i="37"/>
  <c r="AN420" i="37"/>
  <c r="AN390" i="37"/>
  <c r="AN440" i="37"/>
  <c r="AF571" i="37"/>
  <c r="AN404" i="37"/>
  <c r="AN446" i="37"/>
  <c r="AN451" i="37"/>
  <c r="AN414" i="37"/>
  <c r="AN382" i="37"/>
  <c r="AN325" i="37"/>
  <c r="AN312" i="37"/>
  <c r="AN467" i="37"/>
  <c r="AN321" i="37"/>
  <c r="AN432" i="37"/>
  <c r="AN464" i="37"/>
  <c r="AN327" i="37"/>
  <c r="AN381" i="37"/>
  <c r="AN377" i="37"/>
  <c r="AN322" i="37"/>
  <c r="AN323" i="37"/>
  <c r="AF684" i="37"/>
  <c r="AF656" i="37"/>
  <c r="AF705" i="37"/>
  <c r="AF670" i="37"/>
  <c r="AF706" i="37"/>
  <c r="AF652" i="37"/>
  <c r="AF617" i="37"/>
  <c r="AF694" i="37"/>
  <c r="AF561" i="37"/>
  <c r="AF721" i="37"/>
  <c r="AN478" i="37"/>
  <c r="AN369" i="37"/>
  <c r="AF664" i="37"/>
  <c r="AN452" i="37"/>
  <c r="AN429" i="37"/>
  <c r="AN443" i="37"/>
  <c r="AF722" i="37"/>
  <c r="AN435" i="37"/>
  <c r="AN424" i="37"/>
  <c r="AF592" i="37"/>
  <c r="AN339" i="37"/>
  <c r="AN344" i="37"/>
  <c r="AF566" i="37"/>
  <c r="AF640" i="37"/>
  <c r="AF584" i="37"/>
  <c r="AF699" i="37"/>
  <c r="AF631" i="37"/>
  <c r="AF683" i="37"/>
  <c r="AF605" i="37"/>
  <c r="AF635" i="37"/>
  <c r="AN336" i="37"/>
  <c r="AN400" i="37"/>
  <c r="AN395" i="37"/>
  <c r="AN412" i="37"/>
  <c r="AF604" i="37"/>
  <c r="AF570" i="37"/>
  <c r="AF729" i="37"/>
  <c r="AN314" i="37"/>
  <c r="AN341" i="37"/>
  <c r="AF719" i="37"/>
  <c r="AF578" i="37"/>
  <c r="AF579" i="37"/>
  <c r="AF637" i="37"/>
  <c r="AF688" i="37"/>
  <c r="AF577" i="37"/>
  <c r="AF669" i="37"/>
  <c r="AF568" i="37"/>
  <c r="AF562" i="37"/>
  <c r="AN353" i="37"/>
  <c r="AF712" i="37"/>
  <c r="AN417" i="37"/>
  <c r="AF573" i="37"/>
  <c r="AF655" i="37"/>
  <c r="AF702" i="37"/>
  <c r="AF676" i="37"/>
  <c r="AN436" i="37"/>
  <c r="AN422" i="37"/>
  <c r="AN399" i="37"/>
  <c r="AF696" i="37"/>
  <c r="AF588" i="37"/>
  <c r="AF591" i="37"/>
  <c r="AN356" i="37"/>
  <c r="AF672" i="37"/>
  <c r="AF727" i="37"/>
  <c r="AF596" i="37"/>
  <c r="AF795" i="37"/>
  <c r="AN354" i="37"/>
  <c r="AN392" i="37"/>
  <c r="AN457" i="37"/>
  <c r="AF711" i="37"/>
  <c r="AN430" i="37"/>
  <c r="AN393" i="37"/>
  <c r="AF662" i="37"/>
  <c r="AN426" i="37"/>
  <c r="AF790" i="37"/>
  <c r="AF781" i="37"/>
  <c r="AF583" i="37"/>
  <c r="AF766" i="37"/>
  <c r="AF761" i="37"/>
  <c r="AF788" i="37"/>
  <c r="AF779" i="37"/>
  <c r="AF748" i="37"/>
  <c r="AF769" i="37"/>
  <c r="AF736" i="37"/>
  <c r="AF747" i="37"/>
  <c r="AF784" i="37"/>
  <c r="AF728" i="37"/>
  <c r="AF782" i="37"/>
  <c r="AF744" i="37"/>
  <c r="AF741" i="37"/>
  <c r="AL428" i="37"/>
  <c r="AD628" i="37"/>
  <c r="AL399" i="37"/>
  <c r="AL398" i="37"/>
  <c r="AL382" i="37"/>
  <c r="AL385" i="37"/>
  <c r="AL321" i="37"/>
  <c r="AL435" i="37"/>
  <c r="AL347" i="37"/>
  <c r="AL411" i="37"/>
  <c r="AL395" i="37"/>
  <c r="AD649" i="37"/>
  <c r="AL460" i="37"/>
  <c r="AL404" i="37"/>
  <c r="AL410" i="37"/>
  <c r="AD643" i="37"/>
  <c r="AL446" i="37"/>
  <c r="AL408" i="37"/>
  <c r="AL322" i="37"/>
  <c r="AL454" i="37"/>
  <c r="AL441" i="37"/>
  <c r="AD638" i="37"/>
  <c r="AL325" i="37"/>
  <c r="AL352" i="37"/>
  <c r="AD655" i="37"/>
  <c r="AD648" i="37"/>
  <c r="AD705" i="37"/>
  <c r="AD600" i="37"/>
  <c r="AD562" i="37"/>
  <c r="AD635" i="37"/>
  <c r="AL429" i="37"/>
  <c r="AD596" i="37"/>
  <c r="AL339" i="37"/>
  <c r="AL467" i="37"/>
  <c r="AL434" i="37"/>
  <c r="AD699" i="37"/>
  <c r="AL419" i="37"/>
  <c r="AD694" i="37"/>
  <c r="AD715" i="37"/>
  <c r="AD662" i="37"/>
  <c r="AD559" i="37"/>
  <c r="AD677" i="37"/>
  <c r="AL357" i="37"/>
  <c r="AD604" i="37"/>
  <c r="AD617" i="37"/>
  <c r="AD701" i="37"/>
  <c r="AD672" i="37"/>
  <c r="AD674" i="37"/>
  <c r="AD647" i="37"/>
  <c r="AD777" i="37"/>
  <c r="AL443" i="37"/>
  <c r="AD630" i="37"/>
  <c r="AD766" i="37"/>
  <c r="AD656" i="37"/>
  <c r="AD782" i="37"/>
  <c r="AD751" i="37"/>
  <c r="AD769" i="37"/>
  <c r="AD742" i="37"/>
  <c r="AD721" i="37"/>
  <c r="AD754" i="37"/>
  <c r="AD689" i="37"/>
  <c r="AD676" i="37"/>
  <c r="AD668" i="37"/>
  <c r="AD595" i="37"/>
  <c r="AD704" i="37"/>
  <c r="AD658" i="37"/>
  <c r="AD561" i="37"/>
  <c r="AL313" i="37"/>
  <c r="AD773" i="37"/>
  <c r="AD569" i="37"/>
  <c r="AD573" i="37"/>
  <c r="AD669" i="37"/>
  <c r="AD709" i="37"/>
  <c r="AL314" i="37"/>
  <c r="AL329" i="37"/>
  <c r="AD639" i="37"/>
  <c r="AD633" i="37"/>
  <c r="AD683" i="37"/>
  <c r="AD605" i="37"/>
  <c r="AD584" i="37"/>
  <c r="AD708" i="37"/>
  <c r="AD700" i="37"/>
  <c r="AD566" i="37"/>
  <c r="AD667" i="37"/>
  <c r="AL547" i="37"/>
  <c r="AL436" i="37"/>
  <c r="AL311" i="37"/>
  <c r="AD572" i="37"/>
  <c r="AD711" i="37"/>
  <c r="AD581" i="37"/>
  <c r="AD591" i="37"/>
  <c r="AL326" i="37"/>
  <c r="AL343" i="37"/>
  <c r="AD602" i="37"/>
  <c r="AL377" i="37"/>
  <c r="AL324" i="37"/>
  <c r="AD795" i="37"/>
  <c r="AD678" i="37"/>
  <c r="AD641" i="37"/>
  <c r="AD588" i="37"/>
  <c r="AD625" i="37"/>
  <c r="AL391" i="37"/>
  <c r="AL458" i="37"/>
  <c r="AL401" i="37"/>
  <c r="AL430" i="37"/>
  <c r="AL422" i="37"/>
  <c r="AD645" i="37"/>
  <c r="AL341" i="37"/>
  <c r="AL381" i="37"/>
  <c r="AD670" i="37"/>
  <c r="AL390" i="37"/>
  <c r="AL323" i="37"/>
  <c r="AL393" i="37"/>
  <c r="AL397" i="37"/>
  <c r="AL405" i="37"/>
  <c r="AL440" i="37"/>
  <c r="AL452" i="37"/>
  <c r="AD659" i="37"/>
  <c r="AL448" i="37"/>
  <c r="AF751" i="37"/>
  <c r="AF745" i="37"/>
  <c r="AF582" i="37"/>
  <c r="AF774" i="37"/>
  <c r="AF780" i="37"/>
  <c r="AF754" i="37"/>
  <c r="AF773" i="37"/>
  <c r="AF677" i="37"/>
  <c r="AF647" i="37"/>
  <c r="AN329" i="37"/>
  <c r="AF575" i="37"/>
  <c r="AN318" i="37"/>
  <c r="AN391" i="37"/>
  <c r="AF717" i="37"/>
  <c r="AF700" i="37"/>
  <c r="AN340" i="37"/>
  <c r="AF569" i="37"/>
  <c r="AN311" i="37"/>
  <c r="AF595" i="37"/>
  <c r="AN357" i="37"/>
  <c r="AN474" i="37"/>
  <c r="AF674" i="37"/>
  <c r="AN416" i="37"/>
  <c r="AF646" i="37"/>
  <c r="AN401" i="37"/>
  <c r="AF778" i="37"/>
  <c r="AF680" i="37"/>
  <c r="AF633" i="37"/>
  <c r="AF560" i="37"/>
  <c r="AN463" i="37"/>
  <c r="AF730" i="37"/>
  <c r="AN407" i="37"/>
  <c r="AN421" i="37"/>
  <c r="AN398" i="37"/>
  <c r="AF648" i="37"/>
  <c r="AF665" i="37"/>
  <c r="AF682" i="37"/>
  <c r="AF689" i="37"/>
  <c r="AF653" i="37"/>
  <c r="AF601" i="37"/>
  <c r="AN441" i="37"/>
  <c r="AN411" i="37"/>
  <c r="AN385" i="37"/>
  <c r="AN419" i="37"/>
  <c r="AN479" i="37"/>
  <c r="AN330" i="37"/>
  <c r="AN383" i="37"/>
  <c r="AN448" i="37"/>
  <c r="AN458" i="37"/>
  <c r="AN471" i="37"/>
  <c r="AN380" i="37"/>
  <c r="AN387" i="37"/>
  <c r="AN454" i="37"/>
  <c r="AN347" i="37"/>
  <c r="AN428" i="37"/>
  <c r="AN351" i="37"/>
  <c r="AN472" i="37"/>
  <c r="AB747" i="37"/>
  <c r="AB579" i="37"/>
  <c r="AB751" i="37"/>
  <c r="AB586" i="37"/>
  <c r="AB722" i="37"/>
  <c r="AB717" i="37"/>
  <c r="I307" i="37"/>
  <c r="L307" i="37"/>
  <c r="AB546" i="37"/>
  <c r="S544" i="37"/>
  <c r="T518" i="37"/>
  <c r="R546" i="37"/>
  <c r="Y526" i="37"/>
  <c r="Y524" i="37"/>
  <c r="Y521" i="37"/>
  <c r="Z521" i="37"/>
  <c r="Y520" i="37"/>
  <c r="T548" i="37"/>
  <c r="Z546" i="37"/>
  <c r="U544" i="37"/>
  <c r="X548" i="37"/>
  <c r="X544" i="37"/>
  <c r="V531" i="37"/>
  <c r="V528" i="37"/>
  <c r="AA521" i="37"/>
  <c r="Y517" i="37"/>
  <c r="Z517" i="37"/>
  <c r="AA548" i="37"/>
  <c r="Y545" i="37"/>
  <c r="T543" i="37"/>
  <c r="U519" i="37"/>
  <c r="AB549" i="37"/>
  <c r="X543" i="37"/>
  <c r="X539" i="37"/>
  <c r="R522" i="37"/>
  <c r="V518" i="37"/>
  <c r="AB544" i="37"/>
  <c r="Y516" i="37"/>
  <c r="R544" i="37"/>
  <c r="T526" i="37"/>
  <c r="T522" i="37"/>
  <c r="Y496" i="37"/>
  <c r="Y474" i="37"/>
  <c r="T496" i="37"/>
  <c r="T524" i="37"/>
  <c r="R521" i="37"/>
  <c r="T520" i="37"/>
  <c r="Y548" i="37"/>
  <c r="T546" i="37"/>
  <c r="Z544" i="37"/>
  <c r="AB531" i="37"/>
  <c r="Y531" i="37"/>
  <c r="AA528" i="37"/>
  <c r="X517" i="37"/>
  <c r="R517" i="37"/>
  <c r="V548" i="37"/>
  <c r="T545" i="37"/>
  <c r="S532" i="37"/>
  <c r="Y523" i="37"/>
  <c r="X519" i="37"/>
  <c r="X549" i="37"/>
  <c r="AB545" i="37"/>
  <c r="U529" i="37"/>
  <c r="R496" i="37"/>
  <c r="R526" i="37"/>
  <c r="V522" i="37"/>
  <c r="AA518" i="37"/>
  <c r="S548" i="37"/>
  <c r="Y510" i="37"/>
  <c r="T474" i="37"/>
  <c r="X521" i="37"/>
  <c r="V521" i="37"/>
  <c r="U548" i="37"/>
  <c r="Y546" i="37"/>
  <c r="T544" i="37"/>
  <c r="X546" i="37"/>
  <c r="R531" i="37"/>
  <c r="T528" i="37"/>
  <c r="AA546" i="37"/>
  <c r="AA544" i="37"/>
  <c r="Y539" i="37"/>
  <c r="X523" i="37"/>
  <c r="Y519" i="37"/>
  <c r="X545" i="37"/>
  <c r="X529" i="37"/>
  <c r="Z529" i="37"/>
  <c r="V496" i="37"/>
  <c r="V526" i="37"/>
  <c r="AA522" i="37"/>
  <c r="S528" i="37"/>
  <c r="AB522" i="37"/>
  <c r="X518" i="37"/>
  <c r="X516" i="37"/>
  <c r="R548" i="37"/>
  <c r="AB521" i="37"/>
  <c r="Z548" i="37"/>
  <c r="V544" i="37"/>
  <c r="AA496" i="37"/>
  <c r="R518" i="37"/>
  <c r="S469" i="37"/>
  <c r="X526" i="37"/>
  <c r="X524" i="37"/>
  <c r="AB518" i="37"/>
  <c r="S516" i="37"/>
  <c r="U526" i="37"/>
  <c r="U522" i="37"/>
  <c r="U518" i="37"/>
  <c r="U484" i="37"/>
  <c r="AB484" i="37"/>
  <c r="Z439" i="37"/>
  <c r="S415" i="37"/>
  <c r="U396" i="37"/>
  <c r="Z415" i="37"/>
  <c r="R396" i="37"/>
  <c r="S546" i="37"/>
  <c r="Z531" i="37"/>
  <c r="AB528" i="37"/>
  <c r="S526" i="37"/>
  <c r="S524" i="37"/>
  <c r="S518" i="37"/>
  <c r="X510" i="37"/>
  <c r="AB496" i="37"/>
  <c r="Z528" i="37"/>
  <c r="Z524" i="37"/>
  <c r="Z520" i="37"/>
  <c r="Z496" i="37"/>
  <c r="Z484" i="37"/>
  <c r="Z396" i="37"/>
  <c r="X415" i="37"/>
  <c r="T396" i="37"/>
  <c r="U415" i="37"/>
  <c r="V396" i="37"/>
  <c r="AB548" i="37"/>
  <c r="Y415" i="37"/>
  <c r="U521" i="37"/>
  <c r="U546" i="37"/>
  <c r="R528" i="37"/>
  <c r="Y549" i="37"/>
  <c r="T539" i="37"/>
  <c r="AB543" i="37"/>
  <c r="X528" i="37"/>
  <c r="X522" i="37"/>
  <c r="X520" i="37"/>
  <c r="S510" i="37"/>
  <c r="X496" i="37"/>
  <c r="U528" i="37"/>
  <c r="U496" i="37"/>
  <c r="S484" i="37"/>
  <c r="X474" i="37"/>
  <c r="R415" i="37"/>
  <c r="V415" i="37"/>
  <c r="AB415" i="37"/>
  <c r="T415" i="37"/>
  <c r="AB396" i="37"/>
  <c r="AA396" i="37"/>
  <c r="Y518" i="37"/>
  <c r="Y522" i="37"/>
  <c r="Y544" i="37"/>
  <c r="S496" i="37"/>
  <c r="AA415" i="37"/>
  <c r="Z474" i="37"/>
  <c r="R524" i="37"/>
  <c r="X499" i="37"/>
  <c r="AB508" i="37"/>
  <c r="R475" i="37"/>
  <c r="Y376" i="37"/>
  <c r="R370" i="37"/>
  <c r="Z335" i="37"/>
  <c r="S335" i="37"/>
  <c r="R520" i="37"/>
  <c r="S520" i="37"/>
  <c r="Z522" i="37"/>
  <c r="U439" i="37"/>
  <c r="Y396" i="37"/>
  <c r="AB539" i="37"/>
  <c r="AB526" i="37"/>
  <c r="X475" i="37"/>
  <c r="Z526" i="37"/>
  <c r="S474" i="37"/>
  <c r="S396" i="37"/>
  <c r="Z350" i="37"/>
  <c r="Y335" i="37"/>
  <c r="V546" i="37"/>
  <c r="AA526" i="37"/>
  <c r="S522" i="37"/>
  <c r="Y537" i="37"/>
  <c r="Z518" i="37"/>
  <c r="X484" i="37"/>
  <c r="T317" i="37"/>
  <c r="S331" i="37"/>
  <c r="Y332" i="37"/>
  <c r="X336" i="37"/>
  <c r="Z502" i="37"/>
  <c r="AA331" i="37"/>
  <c r="Z506" i="37"/>
  <c r="X449" i="37"/>
  <c r="T431" i="37"/>
  <c r="R489" i="37"/>
  <c r="U489" i="37"/>
  <c r="T409" i="37"/>
  <c r="U409" i="37"/>
  <c r="Y338" i="37"/>
  <c r="Y468" i="37"/>
  <c r="Z468" i="37"/>
  <c r="X464" i="37"/>
  <c r="Z479" i="37"/>
  <c r="X375" i="37"/>
  <c r="R512" i="37"/>
  <c r="X512" i="37"/>
  <c r="Y499" i="37"/>
  <c r="X525" i="37"/>
  <c r="V462" i="37"/>
  <c r="U462" i="37"/>
  <c r="U491" i="37"/>
  <c r="AB537" i="37"/>
  <c r="S317" i="37"/>
  <c r="AA346" i="37"/>
  <c r="X515" i="37"/>
  <c r="U507" i="37"/>
  <c r="Y527" i="37"/>
  <c r="AA494" i="37"/>
  <c r="U494" i="37"/>
  <c r="AB541" i="37"/>
  <c r="Y481" i="37"/>
  <c r="X481" i="37"/>
  <c r="T335" i="37"/>
  <c r="U317" i="37"/>
  <c r="X335" i="37"/>
  <c r="X476" i="37"/>
  <c r="R490" i="37"/>
  <c r="R498" i="37"/>
  <c r="S498" i="37"/>
  <c r="Z497" i="37"/>
  <c r="AA500" i="37"/>
  <c r="T500" i="37"/>
  <c r="X379" i="37"/>
  <c r="V379" i="37"/>
  <c r="V425" i="37"/>
  <c r="X477" i="37"/>
  <c r="T477" i="37"/>
  <c r="Y431" i="37"/>
  <c r="X431" i="37"/>
  <c r="R540" i="37"/>
  <c r="AA540" i="37"/>
  <c r="U540" i="37"/>
  <c r="Z438" i="37"/>
  <c r="R470" i="37"/>
  <c r="X470" i="37"/>
  <c r="R504" i="37"/>
  <c r="Z504" i="37"/>
  <c r="R502" i="37"/>
  <c r="AB502" i="37"/>
  <c r="S502" i="37"/>
  <c r="AA492" i="37"/>
  <c r="S492" i="37"/>
  <c r="R514" i="37"/>
  <c r="T514" i="37"/>
  <c r="T536" i="37"/>
  <c r="X370" i="37"/>
  <c r="Y542" i="37"/>
  <c r="Z542" i="37"/>
  <c r="Y330" i="37"/>
  <c r="Z370" i="37"/>
  <c r="S379" i="37"/>
  <c r="AB438" i="37"/>
  <c r="AB468" i="37"/>
  <c r="AA468" i="37"/>
  <c r="U545" i="37"/>
  <c r="X487" i="37"/>
  <c r="T535" i="37"/>
  <c r="Y506" i="37"/>
  <c r="S506" i="37"/>
  <c r="Z482" i="37"/>
  <c r="R338" i="37"/>
  <c r="Z476" i="37"/>
  <c r="Y505" i="37"/>
  <c r="R505" i="37"/>
  <c r="AB505" i="37"/>
  <c r="X490" i="37"/>
  <c r="AB513" i="37"/>
  <c r="Y375" i="37"/>
  <c r="R433" i="37"/>
  <c r="AA433" i="37"/>
  <c r="S327" i="37"/>
  <c r="Z483" i="37"/>
  <c r="V508" i="37"/>
  <c r="X508" i="37"/>
  <c r="R331" i="37"/>
  <c r="S324" i="37"/>
  <c r="R472" i="37"/>
  <c r="Y324" i="37"/>
  <c r="Y325" i="37"/>
  <c r="U376" i="37"/>
  <c r="S472" i="37"/>
  <c r="U487" i="37"/>
  <c r="R461" i="37"/>
  <c r="Y528" i="37"/>
  <c r="AB519" i="37"/>
  <c r="Z319" i="37"/>
  <c r="Y327" i="37"/>
  <c r="X319" i="37"/>
  <c r="S338" i="37"/>
  <c r="Y346" i="37"/>
  <c r="T376" i="37"/>
  <c r="X367" i="37"/>
  <c r="S375" i="37"/>
  <c r="R438" i="37"/>
  <c r="X460" i="37"/>
  <c r="V483" i="37"/>
  <c r="R324" i="37"/>
  <c r="AA498" i="37"/>
  <c r="Z379" i="37"/>
  <c r="S489" i="37"/>
  <c r="AB489" i="37"/>
  <c r="Y409" i="37"/>
  <c r="X409" i="37"/>
  <c r="X468" i="37"/>
  <c r="V468" i="37"/>
  <c r="U479" i="37"/>
  <c r="R479" i="37"/>
  <c r="T512" i="37"/>
  <c r="AB512" i="37"/>
  <c r="Z512" i="37"/>
  <c r="R525" i="37"/>
  <c r="T462" i="37"/>
  <c r="Z462" i="37"/>
  <c r="X350" i="37"/>
  <c r="X491" i="37"/>
  <c r="AA537" i="37"/>
  <c r="Z317" i="37"/>
  <c r="X507" i="37"/>
  <c r="Y494" i="37"/>
  <c r="X494" i="37"/>
  <c r="X541" i="37"/>
  <c r="U481" i="37"/>
  <c r="X332" i="37"/>
  <c r="X317" i="37"/>
  <c r="U431" i="37"/>
  <c r="AA525" i="37"/>
  <c r="Y462" i="37"/>
  <c r="U498" i="37"/>
  <c r="V497" i="37"/>
  <c r="R500" i="37"/>
  <c r="X500" i="37"/>
  <c r="U500" i="37"/>
  <c r="Y473" i="37"/>
  <c r="Z473" i="37"/>
  <c r="R473" i="37"/>
  <c r="Y379" i="37"/>
  <c r="T425" i="37"/>
  <c r="AB425" i="37"/>
  <c r="Z477" i="37"/>
  <c r="AA477" i="37"/>
  <c r="AA431" i="37"/>
  <c r="Z431" i="37"/>
  <c r="AA409" i="37"/>
  <c r="X498" i="37"/>
  <c r="S540" i="37"/>
  <c r="Y540" i="37"/>
  <c r="AB470" i="37"/>
  <c r="AA470" i="37"/>
  <c r="Y504" i="37"/>
  <c r="AA504" i="37"/>
  <c r="S325" i="37"/>
  <c r="V502" i="37"/>
  <c r="U502" i="37"/>
  <c r="T492" i="37"/>
  <c r="Z492" i="37"/>
  <c r="V514" i="37"/>
  <c r="AB514" i="37"/>
  <c r="S330" i="37"/>
  <c r="AB536" i="37"/>
  <c r="U536" i="37"/>
  <c r="Y370" i="37"/>
  <c r="R542" i="37"/>
  <c r="U542" i="37"/>
  <c r="X542" i="37"/>
  <c r="S370" i="37"/>
  <c r="AB492" i="37"/>
  <c r="Z481" i="37"/>
  <c r="U497" i="37"/>
  <c r="S534" i="37"/>
  <c r="Z487" i="37"/>
  <c r="R487" i="37"/>
  <c r="AB535" i="37"/>
  <c r="R506" i="37"/>
  <c r="U506" i="37"/>
  <c r="S332" i="37"/>
  <c r="Z505" i="37"/>
  <c r="X505" i="37"/>
  <c r="U505" i="37"/>
  <c r="X467" i="37"/>
  <c r="T490" i="37"/>
  <c r="Z490" i="37"/>
  <c r="Y433" i="37"/>
  <c r="U433" i="37"/>
  <c r="AA332" i="37"/>
  <c r="AA483" i="37"/>
  <c r="Y508" i="37"/>
  <c r="S508" i="37"/>
  <c r="U331" i="37"/>
  <c r="Y331" i="37"/>
  <c r="Y472" i="37"/>
  <c r="U335" i="37"/>
  <c r="Y471" i="37"/>
  <c r="Z471" i="37"/>
  <c r="X334" i="37"/>
  <c r="AB350" i="37"/>
  <c r="Y317" i="37"/>
  <c r="U425" i="37"/>
  <c r="T468" i="37"/>
  <c r="AB486" i="37"/>
  <c r="X536" i="37"/>
  <c r="T498" i="37"/>
  <c r="S517" i="37"/>
  <c r="U543" i="37"/>
  <c r="U532" i="37"/>
  <c r="S334" i="37"/>
  <c r="AA319" i="37"/>
  <c r="Y334" i="37"/>
  <c r="T334" i="37"/>
  <c r="V319" i="37"/>
  <c r="X346" i="37"/>
  <c r="AA376" i="37"/>
  <c r="AB379" i="37"/>
  <c r="Y438" i="37"/>
  <c r="T438" i="37"/>
  <c r="X463" i="37"/>
  <c r="X461" i="37"/>
  <c r="R319" i="37"/>
  <c r="U375" i="37"/>
  <c r="R480" i="37"/>
  <c r="S449" i="37"/>
  <c r="Y495" i="37"/>
  <c r="Z495" i="37"/>
  <c r="S447" i="37"/>
  <c r="T447" i="37"/>
  <c r="R488" i="37"/>
  <c r="S488" i="37"/>
  <c r="Y439" i="37"/>
  <c r="R486" i="37"/>
  <c r="Z470" i="37"/>
  <c r="Z514" i="37"/>
  <c r="V335" i="37"/>
  <c r="AB500" i="37"/>
  <c r="X482" i="37"/>
  <c r="V489" i="37"/>
  <c r="Z489" i="37"/>
  <c r="S409" i="37"/>
  <c r="Z409" i="37"/>
  <c r="R468" i="37"/>
  <c r="U468" i="37"/>
  <c r="AA479" i="37"/>
  <c r="AA512" i="37"/>
  <c r="Y512" i="37"/>
  <c r="S512" i="37"/>
  <c r="U499" i="37"/>
  <c r="Y525" i="37"/>
  <c r="R462" i="37"/>
  <c r="AA462" i="37"/>
  <c r="U350" i="37"/>
  <c r="Y491" i="37"/>
  <c r="Y507" i="37"/>
  <c r="S530" i="37"/>
  <c r="U527" i="37"/>
  <c r="V494" i="37"/>
  <c r="R494" i="37"/>
  <c r="S494" i="37"/>
  <c r="AA481" i="37"/>
  <c r="T331" i="37"/>
  <c r="Y498" i="37"/>
  <c r="AB498" i="37"/>
  <c r="R497" i="37"/>
  <c r="AA497" i="37"/>
  <c r="V500" i="37"/>
  <c r="S500" i="37"/>
  <c r="Z478" i="37"/>
  <c r="R379" i="37"/>
  <c r="R425" i="37"/>
  <c r="AA425" i="37"/>
  <c r="R477" i="37"/>
  <c r="S431" i="37"/>
  <c r="AB431" i="37"/>
  <c r="T540" i="37"/>
  <c r="V540" i="37"/>
  <c r="Z540" i="37"/>
  <c r="S438" i="37"/>
  <c r="T470" i="37"/>
  <c r="U470" i="37"/>
  <c r="S470" i="37"/>
  <c r="V504" i="37"/>
  <c r="X504" i="37"/>
  <c r="Z488" i="37"/>
  <c r="X502" i="37"/>
  <c r="Y492" i="37"/>
  <c r="X492" i="37"/>
  <c r="R492" i="37"/>
  <c r="U447" i="37"/>
  <c r="AA514" i="37"/>
  <c r="Y514" i="37"/>
  <c r="R536" i="37"/>
  <c r="Y536" i="37"/>
  <c r="V536" i="37"/>
  <c r="AB542" i="37"/>
  <c r="AA542" i="37"/>
  <c r="V542" i="37"/>
  <c r="X325" i="37"/>
  <c r="V317" i="37"/>
  <c r="S504" i="37"/>
  <c r="AB487" i="37"/>
  <c r="T506" i="37"/>
  <c r="AA506" i="37"/>
  <c r="T449" i="37"/>
  <c r="S480" i="37"/>
  <c r="X466" i="37"/>
  <c r="S476" i="37"/>
  <c r="AA505" i="37"/>
  <c r="Y467" i="37"/>
  <c r="V490" i="37"/>
  <c r="Y490" i="37"/>
  <c r="Z513" i="37"/>
  <c r="S433" i="37"/>
  <c r="X433" i="37"/>
  <c r="AB433" i="37"/>
  <c r="U483" i="37"/>
  <c r="AB483" i="37"/>
  <c r="AA508" i="37"/>
  <c r="Z508" i="37"/>
  <c r="AB319" i="37"/>
  <c r="X331" i="37"/>
  <c r="Z472" i="37"/>
  <c r="AB335" i="37"/>
  <c r="R485" i="37"/>
  <c r="R335" i="37"/>
  <c r="Z332" i="37"/>
  <c r="X506" i="37"/>
  <c r="AB439" i="37"/>
  <c r="R523" i="37"/>
  <c r="U549" i="37"/>
  <c r="R474" i="37"/>
  <c r="T531" i="37"/>
  <c r="AA334" i="37"/>
  <c r="Z330" i="37"/>
  <c r="R330" i="37"/>
  <c r="U334" i="37"/>
  <c r="X330" i="37"/>
  <c r="Y489" i="37"/>
  <c r="X479" i="37"/>
  <c r="V512" i="37"/>
  <c r="V525" i="37"/>
  <c r="X497" i="37"/>
  <c r="Y500" i="37"/>
  <c r="T379" i="37"/>
  <c r="X425" i="37"/>
  <c r="R431" i="37"/>
  <c r="AB540" i="37"/>
  <c r="V470" i="37"/>
  <c r="T502" i="37"/>
  <c r="U492" i="37"/>
  <c r="U514" i="37"/>
  <c r="Z536" i="37"/>
  <c r="X535" i="37"/>
  <c r="S425" i="37"/>
  <c r="V505" i="37"/>
  <c r="U490" i="37"/>
  <c r="Z433" i="37"/>
  <c r="U508" i="37"/>
  <c r="S514" i="37"/>
  <c r="R516" i="37"/>
  <c r="AB317" i="37"/>
  <c r="X376" i="37"/>
  <c r="T375" i="37"/>
  <c r="T471" i="37"/>
  <c r="R337" i="37"/>
  <c r="T480" i="37"/>
  <c r="AA449" i="37"/>
  <c r="V495" i="37"/>
  <c r="AB495" i="37"/>
  <c r="AB447" i="37"/>
  <c r="U488" i="37"/>
  <c r="AB488" i="37"/>
  <c r="AA486" i="37"/>
  <c r="X486" i="37"/>
  <c r="Y319" i="37"/>
  <c r="R327" i="37"/>
  <c r="R332" i="37"/>
  <c r="R350" i="37"/>
  <c r="AB346" i="37"/>
  <c r="Z375" i="37"/>
  <c r="X439" i="37"/>
  <c r="Y476" i="37"/>
  <c r="V484" i="37"/>
  <c r="V488" i="37"/>
  <c r="X488" i="37"/>
  <c r="AB449" i="37"/>
  <c r="Y478" i="37"/>
  <c r="U478" i="37"/>
  <c r="AA482" i="37"/>
  <c r="T495" i="37"/>
  <c r="T503" i="37"/>
  <c r="T530" i="37"/>
  <c r="S485" i="37"/>
  <c r="T493" i="37"/>
  <c r="AA501" i="37"/>
  <c r="R509" i="37"/>
  <c r="Y515" i="37"/>
  <c r="Y533" i="37"/>
  <c r="Z507" i="37"/>
  <c r="T513" i="37"/>
  <c r="Z527" i="37"/>
  <c r="Z539" i="37"/>
  <c r="V539" i="37"/>
  <c r="T515" i="37"/>
  <c r="R532" i="37"/>
  <c r="U535" i="37"/>
  <c r="S549" i="37"/>
  <c r="Y534" i="37"/>
  <c r="Z493" i="37"/>
  <c r="Z509" i="37"/>
  <c r="AA489" i="37"/>
  <c r="T491" i="37"/>
  <c r="AA499" i="37"/>
  <c r="R507" i="37"/>
  <c r="S507" i="37"/>
  <c r="T519" i="37"/>
  <c r="S523" i="37"/>
  <c r="T527" i="37"/>
  <c r="V545" i="37"/>
  <c r="S543" i="37"/>
  <c r="Z511" i="37"/>
  <c r="Y479" i="37"/>
  <c r="S483" i="37"/>
  <c r="X503" i="37"/>
  <c r="X530" i="37"/>
  <c r="X485" i="37"/>
  <c r="Z515" i="37"/>
  <c r="T529" i="37"/>
  <c r="X533" i="37"/>
  <c r="AB532" i="37"/>
  <c r="Y543" i="37"/>
  <c r="U531" i="37"/>
  <c r="R541" i="37"/>
  <c r="R511" i="37"/>
  <c r="Z545" i="37"/>
  <c r="V375" i="37"/>
  <c r="V480" i="37"/>
  <c r="R439" i="37"/>
  <c r="X495" i="37"/>
  <c r="S495" i="37"/>
  <c r="R447" i="37"/>
  <c r="AA488" i="37"/>
  <c r="T486" i="37"/>
  <c r="X327" i="37"/>
  <c r="V350" i="37"/>
  <c r="S376" i="37"/>
  <c r="AB480" i="37"/>
  <c r="R484" i="37"/>
  <c r="T475" i="37"/>
  <c r="S439" i="37"/>
  <c r="R478" i="37"/>
  <c r="X478" i="37"/>
  <c r="T482" i="37"/>
  <c r="X469" i="37"/>
  <c r="S503" i="37"/>
  <c r="AA530" i="37"/>
  <c r="V493" i="37"/>
  <c r="S493" i="37"/>
  <c r="R501" i="37"/>
  <c r="T509" i="37"/>
  <c r="R533" i="37"/>
  <c r="S533" i="37"/>
  <c r="R513" i="37"/>
  <c r="S513" i="37"/>
  <c r="Y530" i="37"/>
  <c r="T481" i="37"/>
  <c r="Z525" i="37"/>
  <c r="T511" i="37"/>
  <c r="V515" i="37"/>
  <c r="S515" i="37"/>
  <c r="AA532" i="37"/>
  <c r="Z535" i="37"/>
  <c r="R535" i="37"/>
  <c r="R543" i="37"/>
  <c r="Z549" i="37"/>
  <c r="AB530" i="37"/>
  <c r="X534" i="37"/>
  <c r="AB493" i="37"/>
  <c r="AB509" i="37"/>
  <c r="R491" i="37"/>
  <c r="S491" i="37"/>
  <c r="T499" i="37"/>
  <c r="V507" i="37"/>
  <c r="R519" i="37"/>
  <c r="S519" i="37"/>
  <c r="R527" i="37"/>
  <c r="S527" i="37"/>
  <c r="Z541" i="37"/>
  <c r="AB511" i="37"/>
  <c r="S479" i="37"/>
  <c r="T487" i="37"/>
  <c r="U530" i="37"/>
  <c r="U493" i="37"/>
  <c r="U501" i="37"/>
  <c r="U509" i="37"/>
  <c r="AB515" i="37"/>
  <c r="Y529" i="37"/>
  <c r="U513" i="37"/>
  <c r="Z532" i="37"/>
  <c r="T549" i="37"/>
  <c r="T517" i="37"/>
  <c r="X531" i="37"/>
  <c r="R537" i="37"/>
  <c r="AA543" i="37"/>
  <c r="V549" i="37"/>
  <c r="T505" i="37"/>
  <c r="S537" i="37"/>
  <c r="U511" i="37"/>
  <c r="S521" i="37"/>
  <c r="R510" i="37"/>
  <c r="V334" i="37"/>
  <c r="U319" i="37"/>
  <c r="Y367" i="37"/>
  <c r="R375" i="37"/>
  <c r="U438" i="37"/>
  <c r="X438" i="37"/>
  <c r="Z447" i="37"/>
  <c r="AB334" i="37"/>
  <c r="S346" i="37"/>
  <c r="S367" i="37"/>
  <c r="AA480" i="37"/>
  <c r="Y449" i="37"/>
  <c r="U495" i="37"/>
  <c r="Z334" i="37"/>
  <c r="V447" i="37"/>
  <c r="Y447" i="37"/>
  <c r="T488" i="37"/>
  <c r="V486" i="37"/>
  <c r="T350" i="37"/>
  <c r="AA439" i="37"/>
  <c r="T476" i="37"/>
  <c r="Z480" i="37"/>
  <c r="AA484" i="37"/>
  <c r="Y475" i="37"/>
  <c r="V439" i="37"/>
  <c r="AA478" i="37"/>
  <c r="Y482" i="37"/>
  <c r="S486" i="37"/>
  <c r="Y469" i="37"/>
  <c r="AA503" i="37"/>
  <c r="R530" i="37"/>
  <c r="AA493" i="37"/>
  <c r="T501" i="37"/>
  <c r="V509" i="37"/>
  <c r="S509" i="37"/>
  <c r="AA533" i="37"/>
  <c r="Z491" i="37"/>
  <c r="V513" i="37"/>
  <c r="Z519" i="37"/>
  <c r="X532" i="37"/>
  <c r="S531" i="37"/>
  <c r="V530" i="37"/>
  <c r="R549" i="37"/>
  <c r="AB525" i="37"/>
  <c r="S511" i="37"/>
  <c r="AA515" i="37"/>
  <c r="Z534" i="37"/>
  <c r="T532" i="37"/>
  <c r="R539" i="37"/>
  <c r="AA545" i="37"/>
  <c r="V533" i="37"/>
  <c r="Z503" i="37"/>
  <c r="Z530" i="37"/>
  <c r="AB534" i="37"/>
  <c r="Y485" i="37"/>
  <c r="Z501" i="37"/>
  <c r="Z533" i="37"/>
  <c r="V491" i="37"/>
  <c r="R499" i="37"/>
  <c r="S499" i="37"/>
  <c r="AA507" i="37"/>
  <c r="V519" i="37"/>
  <c r="V527" i="37"/>
  <c r="V541" i="37"/>
  <c r="AA549" i="37"/>
  <c r="T525" i="37"/>
  <c r="Z543" i="37"/>
  <c r="T483" i="37"/>
  <c r="Y487" i="37"/>
  <c r="T473" i="37"/>
  <c r="U503" i="37"/>
  <c r="AA485" i="37"/>
  <c r="Y493" i="37"/>
  <c r="Y501" i="37"/>
  <c r="Y509" i="37"/>
  <c r="R529" i="37"/>
  <c r="S529" i="37"/>
  <c r="Y513" i="37"/>
  <c r="V534" i="37"/>
  <c r="T541" i="37"/>
  <c r="U537" i="37"/>
  <c r="AA539" i="37"/>
  <c r="V487" i="37"/>
  <c r="T521" i="37"/>
  <c r="S545" i="37"/>
  <c r="Y511" i="37"/>
  <c r="AB409" i="37"/>
  <c r="U525" i="37"/>
  <c r="AB462" i="37"/>
  <c r="T537" i="37"/>
  <c r="AA511" i="37"/>
  <c r="X527" i="37"/>
  <c r="T327" i="37"/>
  <c r="Y497" i="37"/>
  <c r="X540" i="37"/>
  <c r="Y470" i="37"/>
  <c r="U504" i="37"/>
  <c r="AA502" i="37"/>
  <c r="T370" i="37"/>
  <c r="AB506" i="37"/>
  <c r="U482" i="37"/>
  <c r="AB490" i="37"/>
  <c r="V433" i="37"/>
  <c r="R483" i="37"/>
  <c r="X324" i="37"/>
  <c r="X462" i="37"/>
  <c r="X396" i="37"/>
  <c r="R346" i="37"/>
  <c r="R376" i="37"/>
  <c r="AA375" i="37"/>
  <c r="Y480" i="37"/>
  <c r="U449" i="37"/>
  <c r="AA495" i="37"/>
  <c r="R495" i="37"/>
  <c r="AB375" i="37"/>
  <c r="AA447" i="37"/>
  <c r="X447" i="37"/>
  <c r="Y488" i="37"/>
  <c r="Y486" i="37"/>
  <c r="U486" i="37"/>
  <c r="T319" i="37"/>
  <c r="U332" i="37"/>
  <c r="AA350" i="37"/>
  <c r="S350" i="37"/>
  <c r="Z346" i="37"/>
  <c r="T439" i="37"/>
  <c r="AA490" i="37"/>
  <c r="R409" i="37"/>
  <c r="U512" i="37"/>
  <c r="X537" i="37"/>
  <c r="T494" i="37"/>
  <c r="Y541" i="37"/>
  <c r="T332" i="37"/>
  <c r="Z500" i="37"/>
  <c r="X473" i="37"/>
  <c r="Z425" i="37"/>
  <c r="Y477" i="37"/>
  <c r="V431" i="37"/>
  <c r="T504" i="37"/>
  <c r="Z475" i="37"/>
  <c r="Y502" i="37"/>
  <c r="X514" i="37"/>
  <c r="S536" i="37"/>
  <c r="S542" i="37"/>
  <c r="Y350" i="37"/>
  <c r="AA487" i="37"/>
  <c r="R449" i="37"/>
  <c r="T433" i="37"/>
  <c r="Z331" i="37"/>
  <c r="X472" i="37"/>
  <c r="AA330" i="37"/>
  <c r="Z494" i="37"/>
  <c r="R334" i="37"/>
  <c r="U346" i="37"/>
  <c r="AA379" i="37"/>
  <c r="AA438" i="37"/>
  <c r="X480" i="37"/>
  <c r="V449" i="37"/>
  <c r="S471" i="37"/>
  <c r="S319" i="37"/>
  <c r="T346" i="37"/>
  <c r="T508" i="37"/>
  <c r="U477" i="37"/>
  <c r="V409" i="37"/>
  <c r="S468" i="37"/>
  <c r="S462" i="37"/>
  <c r="AB494" i="37"/>
  <c r="R481" i="37"/>
  <c r="V498" i="37"/>
  <c r="AB497" i="37"/>
  <c r="Y425" i="37"/>
  <c r="Z486" i="37"/>
  <c r="V438" i="37"/>
  <c r="AB504" i="37"/>
  <c r="V492" i="37"/>
  <c r="AA536" i="37"/>
  <c r="T542" i="37"/>
  <c r="R325" i="37"/>
  <c r="T330" i="37"/>
  <c r="V346" i="37"/>
  <c r="Z376" i="37"/>
  <c r="V506" i="37"/>
  <c r="Z498" i="37"/>
  <c r="S490" i="37"/>
  <c r="X483" i="37"/>
  <c r="R508" i="37"/>
  <c r="T472" i="37"/>
  <c r="AA335" i="37"/>
  <c r="X471" i="37"/>
  <c r="Y484" i="37"/>
  <c r="X465" i="37"/>
  <c r="R469" i="37"/>
  <c r="S501" i="37"/>
  <c r="Z499" i="37"/>
  <c r="U539" i="37"/>
  <c r="S539" i="37"/>
  <c r="Y532" i="37"/>
  <c r="R534" i="37"/>
  <c r="AA491" i="37"/>
  <c r="AA519" i="37"/>
  <c r="V511" i="37"/>
  <c r="T479" i="37"/>
  <c r="Y503" i="37"/>
  <c r="X501" i="37"/>
  <c r="X513" i="37"/>
  <c r="AA531" i="37"/>
  <c r="R545" i="37"/>
  <c r="T489" i="37"/>
  <c r="X509" i="37"/>
  <c r="Y535" i="37"/>
  <c r="R476" i="37"/>
  <c r="R482" i="37"/>
  <c r="V543" i="37"/>
  <c r="AB503" i="37"/>
  <c r="AA527" i="37"/>
  <c r="AA529" i="37"/>
  <c r="AA535" i="37"/>
  <c r="V503" i="37"/>
  <c r="T533" i="37"/>
  <c r="T534" i="37"/>
  <c r="AB533" i="37"/>
  <c r="S535" i="37"/>
  <c r="S467" i="37"/>
  <c r="T478" i="37"/>
  <c r="AA509" i="37"/>
  <c r="AA513" i="37"/>
  <c r="V532" i="37"/>
  <c r="S541" i="37"/>
  <c r="Z485" i="37"/>
  <c r="V499" i="37"/>
  <c r="T523" i="37"/>
  <c r="Y483" i="37"/>
  <c r="Z537" i="37"/>
  <c r="S475" i="37"/>
  <c r="R493" i="37"/>
  <c r="U515" i="37"/>
  <c r="Z523" i="37"/>
  <c r="R515" i="37"/>
  <c r="AB501" i="37"/>
  <c r="R503" i="37"/>
  <c r="S487" i="37"/>
  <c r="U485" i="37"/>
  <c r="T484" i="37"/>
  <c r="V501" i="37"/>
  <c r="AA534" i="37"/>
  <c r="AA541" i="37"/>
  <c r="T507" i="37"/>
  <c r="X493" i="37"/>
  <c r="U533" i="37"/>
  <c r="T497" i="37"/>
  <c r="S473" i="37"/>
  <c r="R467" i="37"/>
  <c r="R367" i="37"/>
  <c r="X511" i="37"/>
  <c r="X337" i="37"/>
  <c r="R466" i="37"/>
  <c r="S497" i="37"/>
  <c r="AA317" i="37"/>
  <c r="U379" i="37"/>
  <c r="AB507" i="37"/>
  <c r="U480" i="37"/>
  <c r="V537" i="37"/>
  <c r="R336" i="37"/>
  <c r="AB527" i="37"/>
  <c r="R471" i="37"/>
  <c r="X338" i="37"/>
  <c r="S481" i="37"/>
  <c r="R465" i="37"/>
  <c r="V535" i="37"/>
  <c r="S477" i="37"/>
  <c r="U541" i="37"/>
  <c r="Z327" i="37"/>
  <c r="S478" i="37"/>
  <c r="AB499" i="37"/>
  <c r="X489" i="37"/>
  <c r="R463" i="37"/>
  <c r="S525" i="37"/>
  <c r="AB491" i="37"/>
  <c r="T485" i="37"/>
  <c r="R460" i="37"/>
  <c r="Z449" i="37"/>
  <c r="R464" i="37"/>
  <c r="U330" i="37"/>
  <c r="S505" i="37"/>
  <c r="S482" i="37"/>
  <c r="U534" i="37"/>
  <c r="N506" i="37"/>
  <c r="N549" i="37"/>
  <c r="N547" i="37"/>
  <c r="N500" i="37"/>
  <c r="N521" i="37"/>
  <c r="N518" i="37"/>
  <c r="N499" i="37"/>
  <c r="N505" i="37"/>
  <c r="N513" i="37"/>
  <c r="N526" i="37"/>
  <c r="N525" i="37"/>
  <c r="N517" i="37"/>
  <c r="N401" i="37"/>
  <c r="N338" i="37"/>
  <c r="N503" i="37"/>
  <c r="N458" i="37"/>
  <c r="N327" i="37"/>
  <c r="N343" i="37"/>
  <c r="N426" i="37"/>
  <c r="N326" i="37"/>
  <c r="N323" i="37"/>
  <c r="N434" i="37"/>
  <c r="N436" i="37"/>
  <c r="N456" i="37"/>
  <c r="N482" i="37"/>
  <c r="N390" i="37"/>
  <c r="N369" i="37"/>
  <c r="N467" i="37"/>
  <c r="N341" i="37"/>
  <c r="N453" i="37"/>
  <c r="N540" i="37"/>
  <c r="N377" i="37"/>
  <c r="N395" i="37"/>
  <c r="N469" i="37"/>
  <c r="N335" i="37"/>
  <c r="N534" i="37"/>
  <c r="N435" i="37"/>
  <c r="N382" i="37"/>
  <c r="N357" i="37"/>
  <c r="N383" i="37"/>
  <c r="N497" i="37"/>
  <c r="N330" i="37"/>
  <c r="N324" i="37"/>
  <c r="N329" i="37"/>
  <c r="N464" i="37"/>
  <c r="N387" i="37"/>
  <c r="N381" i="37"/>
  <c r="N392" i="37"/>
  <c r="N340" i="37"/>
  <c r="N448" i="37"/>
  <c r="N313" i="37"/>
  <c r="N352" i="37"/>
  <c r="N533" i="37"/>
  <c r="N385" i="37"/>
  <c r="N344" i="37"/>
  <c r="N356" i="37"/>
  <c r="N496" i="37"/>
  <c r="N460" i="37"/>
  <c r="N354" i="37"/>
  <c r="N441" i="37"/>
  <c r="N461" i="37"/>
  <c r="N473" i="37"/>
  <c r="N428" i="37"/>
  <c r="N331" i="37"/>
  <c r="N454" i="37"/>
  <c r="N490" i="37"/>
  <c r="N451" i="37"/>
  <c r="N408" i="37"/>
  <c r="N321" i="37"/>
  <c r="N334" i="37"/>
  <c r="N417" i="37"/>
  <c r="N405" i="37"/>
  <c r="N336" i="37"/>
  <c r="N339" i="37"/>
  <c r="N452" i="37"/>
  <c r="N457" i="37"/>
  <c r="N472" i="37"/>
  <c r="N532" i="37"/>
  <c r="N397" i="37"/>
  <c r="N432" i="37"/>
  <c r="N380" i="37"/>
  <c r="N480" i="37"/>
  <c r="N333" i="37"/>
  <c r="N393" i="37"/>
  <c r="N353" i="37"/>
  <c r="N429" i="37"/>
  <c r="N325" i="37"/>
  <c r="N416" i="37"/>
  <c r="N529" i="37"/>
  <c r="N404" i="37"/>
  <c r="N474" i="37"/>
  <c r="N398" i="37"/>
  <c r="N471" i="37"/>
  <c r="N494" i="37"/>
  <c r="N478" i="37"/>
  <c r="N351" i="37"/>
  <c r="N420" i="37"/>
  <c r="N311" i="37"/>
  <c r="N530" i="37"/>
  <c r="N419" i="37"/>
  <c r="N410" i="37"/>
  <c r="N465" i="37"/>
  <c r="N421" i="37"/>
  <c r="N320" i="37"/>
  <c r="N481" i="37"/>
  <c r="N411" i="37"/>
  <c r="N501" i="37"/>
  <c r="N347" i="37"/>
  <c r="N487" i="37"/>
  <c r="N531" i="37"/>
  <c r="N318" i="37"/>
  <c r="N536" i="37"/>
  <c r="N399" i="37"/>
  <c r="N493" i="37"/>
  <c r="N414" i="37"/>
  <c r="N488" i="37"/>
  <c r="N389" i="37"/>
  <c r="N348" i="37"/>
  <c r="N440" i="37"/>
  <c r="N312" i="37"/>
  <c r="N412" i="37"/>
  <c r="N422" i="37"/>
  <c r="N542" i="37"/>
  <c r="N446" i="37"/>
  <c r="N541" i="37"/>
  <c r="N430" i="37"/>
  <c r="N391" i="37"/>
  <c r="N479" i="37"/>
  <c r="N322" i="37"/>
  <c r="N400" i="37"/>
  <c r="N463" i="37"/>
  <c r="N314" i="37"/>
  <c r="N407" i="37"/>
  <c r="N443" i="37"/>
  <c r="N424" i="37"/>
  <c r="H555" i="37"/>
  <c r="G555" i="37"/>
  <c r="G557" i="37"/>
  <c r="G556" i="37"/>
  <c r="K308" i="37"/>
  <c r="J308" i="37"/>
  <c r="P308" i="37" s="1"/>
  <c r="F557" i="37"/>
  <c r="L557" i="37"/>
  <c r="H557" i="37"/>
  <c r="I556" i="37"/>
  <c r="L555" i="37"/>
  <c r="F555" i="37"/>
  <c r="F556" i="37"/>
  <c r="I557" i="37"/>
  <c r="L556" i="37"/>
  <c r="H556" i="37"/>
  <c r="I555" i="37"/>
  <c r="M880" i="37" l="1"/>
  <c r="L880" i="37"/>
  <c r="N881" i="37" s="1"/>
  <c r="N34" i="32" s="1"/>
  <c r="J877" i="37"/>
  <c r="K878" i="37"/>
  <c r="M878" i="37"/>
  <c r="L879" i="37"/>
  <c r="L877" i="37"/>
  <c r="M877" i="37"/>
  <c r="J878" i="37"/>
  <c r="L878" i="37"/>
  <c r="K879" i="37"/>
  <c r="I877" i="37"/>
  <c r="K877" i="37"/>
  <c r="M879" i="37"/>
  <c r="B501" i="40"/>
  <c r="B220" i="65"/>
  <c r="AD463" i="37"/>
  <c r="AJ463" i="37" s="1"/>
  <c r="K307" i="37"/>
  <c r="AD531" i="37"/>
  <c r="AJ531" i="37" s="1"/>
  <c r="J307" i="37"/>
  <c r="R307" i="37" s="1"/>
  <c r="AD433" i="37"/>
  <c r="AE433" i="37" s="1"/>
  <c r="AF433" i="37" s="1"/>
  <c r="AG433" i="37" s="1"/>
  <c r="AH433" i="37" s="1"/>
  <c r="AN433" i="37" s="1"/>
  <c r="AD465" i="37"/>
  <c r="AJ465" i="37" s="1"/>
  <c r="AD461" i="37"/>
  <c r="AJ461" i="37" s="1"/>
  <c r="AD542" i="37"/>
  <c r="AJ542" i="37" s="1"/>
  <c r="AD481" i="37"/>
  <c r="AE481" i="37" s="1"/>
  <c r="AF481" i="37" s="1"/>
  <c r="AG481" i="37" s="1"/>
  <c r="AM481" i="37" s="1"/>
  <c r="AD375" i="37"/>
  <c r="AE375" i="37" s="1"/>
  <c r="AF375" i="37" s="1"/>
  <c r="AG375" i="37" s="1"/>
  <c r="AH375" i="37" s="1"/>
  <c r="AN375" i="37" s="1"/>
  <c r="AD527" i="37"/>
  <c r="AE527" i="37" s="1"/>
  <c r="AF527" i="37" s="1"/>
  <c r="AG527" i="37" s="1"/>
  <c r="AH527" i="37" s="1"/>
  <c r="AN527" i="37" s="1"/>
  <c r="AD543" i="37"/>
  <c r="AE543" i="37" s="1"/>
  <c r="AF543" i="37" s="1"/>
  <c r="AG543" i="37" s="1"/>
  <c r="AH543" i="37" s="1"/>
  <c r="AN543" i="37" s="1"/>
  <c r="AD439" i="37"/>
  <c r="AE439" i="37" s="1"/>
  <c r="AF439" i="37" s="1"/>
  <c r="AG439" i="37" s="1"/>
  <c r="AH439" i="37" s="1"/>
  <c r="AN439" i="37" s="1"/>
  <c r="AD511" i="37"/>
  <c r="AE511" i="37" s="1"/>
  <c r="AF511" i="37" s="1"/>
  <c r="AG511" i="37" s="1"/>
  <c r="AH511" i="37" s="1"/>
  <c r="AN511" i="37" s="1"/>
  <c r="AD507" i="37"/>
  <c r="AE507" i="37" s="1"/>
  <c r="AF507" i="37" s="1"/>
  <c r="AG507" i="37" s="1"/>
  <c r="AH507" i="37" s="1"/>
  <c r="AN507" i="37" s="1"/>
  <c r="AD350" i="37"/>
  <c r="AE350" i="37" s="1"/>
  <c r="AF350" i="37" s="1"/>
  <c r="AG350" i="37" s="1"/>
  <c r="AH350" i="37" s="1"/>
  <c r="AN350" i="37" s="1"/>
  <c r="AD431" i="37"/>
  <c r="AE431" i="37" s="1"/>
  <c r="AF431" i="37" s="1"/>
  <c r="AG431" i="37" s="1"/>
  <c r="AH431" i="37" s="1"/>
  <c r="AN431" i="37" s="1"/>
  <c r="AD317" i="37"/>
  <c r="AJ317" i="37" s="1"/>
  <c r="AD480" i="37"/>
  <c r="AE480" i="37" s="1"/>
  <c r="AF480" i="37" s="1"/>
  <c r="AG480" i="37" s="1"/>
  <c r="AH480" i="37" s="1"/>
  <c r="AN480" i="37" s="1"/>
  <c r="AD467" i="37"/>
  <c r="AJ467" i="37" s="1"/>
  <c r="AD487" i="37"/>
  <c r="AE487" i="37" s="1"/>
  <c r="AF487" i="37" s="1"/>
  <c r="AG487" i="37" s="1"/>
  <c r="AH487" i="37" s="1"/>
  <c r="AN487" i="37" s="1"/>
  <c r="AD473" i="37"/>
  <c r="AE473" i="37" s="1"/>
  <c r="AF473" i="37" s="1"/>
  <c r="AL473" i="37" s="1"/>
  <c r="AD525" i="37"/>
  <c r="AE525" i="37" s="1"/>
  <c r="AK525" i="37" s="1"/>
  <c r="AD479" i="37"/>
  <c r="AE479" i="37" s="1"/>
  <c r="AF479" i="37" s="1"/>
  <c r="AG479" i="37" s="1"/>
  <c r="AM479" i="37" s="1"/>
  <c r="AD409" i="37"/>
  <c r="AE409" i="37" s="1"/>
  <c r="AF409" i="37" s="1"/>
  <c r="AG409" i="37" s="1"/>
  <c r="AH409" i="37" s="1"/>
  <c r="AN409" i="37" s="1"/>
  <c r="AD460" i="37"/>
  <c r="AJ460" i="37" s="1"/>
  <c r="AD331" i="37"/>
  <c r="AE331" i="37" s="1"/>
  <c r="AF331" i="37" s="1"/>
  <c r="AG331" i="37" s="1"/>
  <c r="AM331" i="37" s="1"/>
  <c r="AD514" i="37"/>
  <c r="AE514" i="37" s="1"/>
  <c r="AF514" i="37" s="1"/>
  <c r="AG514" i="37" s="1"/>
  <c r="AH514" i="37" s="1"/>
  <c r="AN514" i="37" s="1"/>
  <c r="AD512" i="37"/>
  <c r="AE512" i="37" s="1"/>
  <c r="AF512" i="37" s="1"/>
  <c r="AG512" i="37" s="1"/>
  <c r="AH512" i="37" s="1"/>
  <c r="AN512" i="37" s="1"/>
  <c r="AD496" i="37"/>
  <c r="AE496" i="37" s="1"/>
  <c r="AF496" i="37" s="1"/>
  <c r="AG496" i="37" s="1"/>
  <c r="AH496" i="37" s="1"/>
  <c r="AN496" i="37" s="1"/>
  <c r="AD546" i="37"/>
  <c r="AE546" i="37" s="1"/>
  <c r="AF546" i="37" s="1"/>
  <c r="AG546" i="37" s="1"/>
  <c r="AH546" i="37" s="1"/>
  <c r="AN546" i="37" s="1"/>
  <c r="AD469" i="37"/>
  <c r="AE469" i="37" s="1"/>
  <c r="AK469" i="37" s="1"/>
  <c r="AD346" i="37"/>
  <c r="AE346" i="37" s="1"/>
  <c r="AF346" i="37" s="1"/>
  <c r="AG346" i="37" s="1"/>
  <c r="AH346" i="37" s="1"/>
  <c r="AN346" i="37" s="1"/>
  <c r="AD336" i="37"/>
  <c r="AJ336" i="37" s="1"/>
  <c r="AD493" i="37"/>
  <c r="AE493" i="37" s="1"/>
  <c r="AF493" i="37" s="1"/>
  <c r="AG493" i="37" s="1"/>
  <c r="AH493" i="37" s="1"/>
  <c r="AN493" i="37" s="1"/>
  <c r="AD476" i="37"/>
  <c r="AE476" i="37" s="1"/>
  <c r="AF476" i="37" s="1"/>
  <c r="AL476" i="37" s="1"/>
  <c r="AD545" i="37"/>
  <c r="AE545" i="37" s="1"/>
  <c r="AF545" i="37" s="1"/>
  <c r="AG545" i="37" s="1"/>
  <c r="AH545" i="37" s="1"/>
  <c r="AN545" i="37" s="1"/>
  <c r="AD449" i="37"/>
  <c r="AE449" i="37" s="1"/>
  <c r="AF449" i="37" s="1"/>
  <c r="AG449" i="37" s="1"/>
  <c r="AH449" i="37" s="1"/>
  <c r="AN449" i="37" s="1"/>
  <c r="AD499" i="37"/>
  <c r="AE499" i="37" s="1"/>
  <c r="AF499" i="37" s="1"/>
  <c r="AG499" i="37" s="1"/>
  <c r="AH499" i="37" s="1"/>
  <c r="AN499" i="37" s="1"/>
  <c r="AD549" i="37"/>
  <c r="AE549" i="37" s="1"/>
  <c r="AF549" i="37" s="1"/>
  <c r="AG549" i="37" s="1"/>
  <c r="AH549" i="37" s="1"/>
  <c r="AN549" i="37" s="1"/>
  <c r="AD530" i="37"/>
  <c r="AE530" i="37" s="1"/>
  <c r="AF530" i="37" s="1"/>
  <c r="AG530" i="37" s="1"/>
  <c r="AH530" i="37" s="1"/>
  <c r="AN530" i="37" s="1"/>
  <c r="AD535" i="37"/>
  <c r="AE535" i="37" s="1"/>
  <c r="AF535" i="37" s="1"/>
  <c r="AG535" i="37" s="1"/>
  <c r="AH535" i="37" s="1"/>
  <c r="AN535" i="37" s="1"/>
  <c r="AD533" i="37"/>
  <c r="AE533" i="37" s="1"/>
  <c r="AF533" i="37" s="1"/>
  <c r="AG533" i="37" s="1"/>
  <c r="AH533" i="37" s="1"/>
  <c r="AN533" i="37" s="1"/>
  <c r="AD447" i="37"/>
  <c r="AE447" i="37" s="1"/>
  <c r="AF447" i="37" s="1"/>
  <c r="AG447" i="37" s="1"/>
  <c r="AH447" i="37" s="1"/>
  <c r="AN447" i="37" s="1"/>
  <c r="AD541" i="37"/>
  <c r="AE541" i="37" s="1"/>
  <c r="AF541" i="37" s="1"/>
  <c r="AG541" i="37" s="1"/>
  <c r="AH541" i="37" s="1"/>
  <c r="AN541" i="37" s="1"/>
  <c r="AD532" i="37"/>
  <c r="AE532" i="37" s="1"/>
  <c r="AF532" i="37" s="1"/>
  <c r="AG532" i="37" s="1"/>
  <c r="AH532" i="37" s="1"/>
  <c r="AN532" i="37" s="1"/>
  <c r="AD332" i="37"/>
  <c r="AE332" i="37" s="1"/>
  <c r="AF332" i="37" s="1"/>
  <c r="AG332" i="37" s="1"/>
  <c r="AM332" i="37" s="1"/>
  <c r="AD337" i="37"/>
  <c r="AJ337" i="37" s="1"/>
  <c r="AD523" i="37"/>
  <c r="AE523" i="37" s="1"/>
  <c r="AF523" i="37" s="1"/>
  <c r="AL523" i="37" s="1"/>
  <c r="AD425" i="37"/>
  <c r="AE425" i="37" s="1"/>
  <c r="AF425" i="37" s="1"/>
  <c r="AG425" i="37" s="1"/>
  <c r="AH425" i="37" s="1"/>
  <c r="AN425" i="37" s="1"/>
  <c r="AD494" i="37"/>
  <c r="AE494" i="37" s="1"/>
  <c r="AF494" i="37" s="1"/>
  <c r="AG494" i="37" s="1"/>
  <c r="AH494" i="37" s="1"/>
  <c r="AN494" i="37" s="1"/>
  <c r="AD462" i="37"/>
  <c r="AE462" i="37" s="1"/>
  <c r="AF462" i="37" s="1"/>
  <c r="AG462" i="37" s="1"/>
  <c r="AH462" i="37" s="1"/>
  <c r="AN462" i="37" s="1"/>
  <c r="AD468" i="37"/>
  <c r="AE468" i="37" s="1"/>
  <c r="AF468" i="37" s="1"/>
  <c r="AG468" i="37" s="1"/>
  <c r="AH468" i="37" s="1"/>
  <c r="AN468" i="37" s="1"/>
  <c r="AD500" i="37"/>
  <c r="AE500" i="37" s="1"/>
  <c r="AF500" i="37" s="1"/>
  <c r="AG500" i="37" s="1"/>
  <c r="AH500" i="37" s="1"/>
  <c r="AN500" i="37" s="1"/>
  <c r="AD438" i="37"/>
  <c r="AE438" i="37" s="1"/>
  <c r="AF438" i="37" s="1"/>
  <c r="AG438" i="37" s="1"/>
  <c r="AH438" i="37" s="1"/>
  <c r="AN438" i="37" s="1"/>
  <c r="AD502" i="37"/>
  <c r="AE502" i="37" s="1"/>
  <c r="AF502" i="37" s="1"/>
  <c r="AG502" i="37" s="1"/>
  <c r="AH502" i="37" s="1"/>
  <c r="AN502" i="37" s="1"/>
  <c r="AD470" i="37"/>
  <c r="AE470" i="37" s="1"/>
  <c r="AF470" i="37" s="1"/>
  <c r="AG470" i="37" s="1"/>
  <c r="AH470" i="37" s="1"/>
  <c r="AN470" i="37" s="1"/>
  <c r="AD540" i="37"/>
  <c r="AE540" i="37" s="1"/>
  <c r="AF540" i="37" s="1"/>
  <c r="AG540" i="37" s="1"/>
  <c r="AH540" i="37" s="1"/>
  <c r="AN540" i="37" s="1"/>
  <c r="AD477" i="37"/>
  <c r="AE477" i="37" s="1"/>
  <c r="AF477" i="37" s="1"/>
  <c r="AG477" i="37" s="1"/>
  <c r="AM477" i="37" s="1"/>
  <c r="AD498" i="37"/>
  <c r="AE498" i="37" s="1"/>
  <c r="AF498" i="37" s="1"/>
  <c r="AG498" i="37" s="1"/>
  <c r="AH498" i="37" s="1"/>
  <c r="AN498" i="37" s="1"/>
  <c r="AD370" i="37"/>
  <c r="AE370" i="37" s="1"/>
  <c r="AF370" i="37" s="1"/>
  <c r="AL370" i="37" s="1"/>
  <c r="AD518" i="37"/>
  <c r="AE518" i="37" s="1"/>
  <c r="AF518" i="37" s="1"/>
  <c r="AG518" i="37" s="1"/>
  <c r="AH518" i="37" s="1"/>
  <c r="AN518" i="37" s="1"/>
  <c r="AD517" i="37"/>
  <c r="AE517" i="37" s="1"/>
  <c r="AF517" i="37" s="1"/>
  <c r="AL517" i="37" s="1"/>
  <c r="AD544" i="37"/>
  <c r="AE544" i="37" s="1"/>
  <c r="AF544" i="37" s="1"/>
  <c r="AG544" i="37" s="1"/>
  <c r="AH544" i="37" s="1"/>
  <c r="AN544" i="37" s="1"/>
  <c r="AD522" i="37"/>
  <c r="AE522" i="37" s="1"/>
  <c r="AF522" i="37" s="1"/>
  <c r="AG522" i="37" s="1"/>
  <c r="AH522" i="37" s="1"/>
  <c r="AN522" i="37" s="1"/>
  <c r="AD466" i="37"/>
  <c r="AJ466" i="37" s="1"/>
  <c r="AD503" i="37"/>
  <c r="AE503" i="37" s="1"/>
  <c r="AF503" i="37" s="1"/>
  <c r="AG503" i="37" s="1"/>
  <c r="AH503" i="37" s="1"/>
  <c r="AN503" i="37" s="1"/>
  <c r="AD482" i="37"/>
  <c r="AE482" i="37" s="1"/>
  <c r="AF482" i="37" s="1"/>
  <c r="AG482" i="37" s="1"/>
  <c r="AM482" i="37" s="1"/>
  <c r="AD483" i="37"/>
  <c r="AE483" i="37" s="1"/>
  <c r="AF483" i="37" s="1"/>
  <c r="AG483" i="37" s="1"/>
  <c r="AH483" i="37" s="1"/>
  <c r="AN483" i="37" s="1"/>
  <c r="AD515" i="37"/>
  <c r="AE515" i="37" s="1"/>
  <c r="AF515" i="37" s="1"/>
  <c r="AG515" i="37" s="1"/>
  <c r="AH515" i="37" s="1"/>
  <c r="AN515" i="37" s="1"/>
  <c r="AD534" i="37"/>
  <c r="AE534" i="37" s="1"/>
  <c r="AF534" i="37" s="1"/>
  <c r="AG534" i="37" s="1"/>
  <c r="AH534" i="37" s="1"/>
  <c r="AN534" i="37" s="1"/>
  <c r="AD508" i="37"/>
  <c r="AE508" i="37" s="1"/>
  <c r="AF508" i="37" s="1"/>
  <c r="AG508" i="37" s="1"/>
  <c r="AH508" i="37" s="1"/>
  <c r="AN508" i="37" s="1"/>
  <c r="AD325" i="37"/>
  <c r="AE325" i="37" s="1"/>
  <c r="AK325" i="37" s="1"/>
  <c r="AD495" i="37"/>
  <c r="AE495" i="37" s="1"/>
  <c r="AF495" i="37" s="1"/>
  <c r="AG495" i="37" s="1"/>
  <c r="AH495" i="37" s="1"/>
  <c r="AN495" i="37" s="1"/>
  <c r="AD519" i="37"/>
  <c r="AE519" i="37" s="1"/>
  <c r="AF519" i="37" s="1"/>
  <c r="AG519" i="37" s="1"/>
  <c r="AH519" i="37" s="1"/>
  <c r="AN519" i="37" s="1"/>
  <c r="AD491" i="37"/>
  <c r="AE491" i="37" s="1"/>
  <c r="AF491" i="37" s="1"/>
  <c r="AG491" i="37" s="1"/>
  <c r="AH491" i="37" s="1"/>
  <c r="AN491" i="37" s="1"/>
  <c r="AD484" i="37"/>
  <c r="AE484" i="37" s="1"/>
  <c r="AF484" i="37" s="1"/>
  <c r="AG484" i="37" s="1"/>
  <c r="AH484" i="37" s="1"/>
  <c r="AN484" i="37" s="1"/>
  <c r="AD509" i="37"/>
  <c r="AE509" i="37" s="1"/>
  <c r="AF509" i="37" s="1"/>
  <c r="AG509" i="37" s="1"/>
  <c r="AH509" i="37" s="1"/>
  <c r="AN509" i="37" s="1"/>
  <c r="AD327" i="37"/>
  <c r="AE327" i="37" s="1"/>
  <c r="AF327" i="37" s="1"/>
  <c r="AL327" i="37" s="1"/>
  <c r="AD516" i="37"/>
  <c r="AE516" i="37" s="1"/>
  <c r="AK516" i="37" s="1"/>
  <c r="AD335" i="37"/>
  <c r="AE335" i="37" s="1"/>
  <c r="AF335" i="37" s="1"/>
  <c r="AG335" i="37" s="1"/>
  <c r="AH335" i="37" s="1"/>
  <c r="AN335" i="37" s="1"/>
  <c r="AD379" i="37"/>
  <c r="AE379" i="37" s="1"/>
  <c r="AF379" i="37" s="1"/>
  <c r="AG379" i="37" s="1"/>
  <c r="AM379" i="37" s="1"/>
  <c r="AD488" i="37"/>
  <c r="AE488" i="37" s="1"/>
  <c r="AF488" i="37" s="1"/>
  <c r="AG488" i="37" s="1"/>
  <c r="AH488" i="37" s="1"/>
  <c r="AN488" i="37" s="1"/>
  <c r="AD319" i="37"/>
  <c r="AE319" i="37" s="1"/>
  <c r="AF319" i="37" s="1"/>
  <c r="AG319" i="37" s="1"/>
  <c r="AH319" i="37" s="1"/>
  <c r="AN319" i="37" s="1"/>
  <c r="AD506" i="37"/>
  <c r="AE506" i="37" s="1"/>
  <c r="AF506" i="37" s="1"/>
  <c r="AG506" i="37" s="1"/>
  <c r="AH506" i="37" s="1"/>
  <c r="AN506" i="37" s="1"/>
  <c r="AD324" i="37"/>
  <c r="AE324" i="37" s="1"/>
  <c r="AK324" i="37" s="1"/>
  <c r="AD472" i="37"/>
  <c r="AE472" i="37" s="1"/>
  <c r="AF472" i="37" s="1"/>
  <c r="AL472" i="37" s="1"/>
  <c r="AD338" i="37"/>
  <c r="AE338" i="37" s="1"/>
  <c r="AK338" i="37" s="1"/>
  <c r="AD490" i="37"/>
  <c r="AE490" i="37" s="1"/>
  <c r="AF490" i="37" s="1"/>
  <c r="AG490" i="37" s="1"/>
  <c r="AH490" i="37" s="1"/>
  <c r="AN490" i="37" s="1"/>
  <c r="AD489" i="37"/>
  <c r="AE489" i="37" s="1"/>
  <c r="AK489" i="37" s="1"/>
  <c r="AD520" i="37"/>
  <c r="AE520" i="37" s="1"/>
  <c r="AF520" i="37" s="1"/>
  <c r="AL520" i="37" s="1"/>
  <c r="AD524" i="37"/>
  <c r="AE524" i="37" s="1"/>
  <c r="AF524" i="37" s="1"/>
  <c r="AL524" i="37" s="1"/>
  <c r="AD415" i="37"/>
  <c r="AE415" i="37" s="1"/>
  <c r="AF415" i="37" s="1"/>
  <c r="AG415" i="37" s="1"/>
  <c r="AH415" i="37" s="1"/>
  <c r="AN415" i="37" s="1"/>
  <c r="AD396" i="37"/>
  <c r="AE396" i="37" s="1"/>
  <c r="AF396" i="37" s="1"/>
  <c r="AG396" i="37" s="1"/>
  <c r="AH396" i="37" s="1"/>
  <c r="AN396" i="37" s="1"/>
  <c r="AD548" i="37"/>
  <c r="AE548" i="37" s="1"/>
  <c r="AF548" i="37" s="1"/>
  <c r="AG548" i="37" s="1"/>
  <c r="AH548" i="37" s="1"/>
  <c r="AN548" i="37" s="1"/>
  <c r="AD521" i="37"/>
  <c r="AE521" i="37" s="1"/>
  <c r="AK521" i="37" s="1"/>
  <c r="AD529" i="37"/>
  <c r="AE529" i="37" s="1"/>
  <c r="AF529" i="37" s="1"/>
  <c r="AG529" i="37" s="1"/>
  <c r="AM529" i="37" s="1"/>
  <c r="AD510" i="37"/>
  <c r="AE510" i="37" s="1"/>
  <c r="AK510" i="37" s="1"/>
  <c r="AD471" i="37"/>
  <c r="AE471" i="37" s="1"/>
  <c r="AF471" i="37" s="1"/>
  <c r="AL471" i="37" s="1"/>
  <c r="AD367" i="37"/>
  <c r="AE367" i="37" s="1"/>
  <c r="AK367" i="37" s="1"/>
  <c r="AD334" i="37"/>
  <c r="AE334" i="37" s="1"/>
  <c r="AF334" i="37" s="1"/>
  <c r="AG334" i="37" s="1"/>
  <c r="AH334" i="37" s="1"/>
  <c r="AN334" i="37" s="1"/>
  <c r="AD376" i="37"/>
  <c r="AE376" i="37" s="1"/>
  <c r="AF376" i="37" s="1"/>
  <c r="AG376" i="37" s="1"/>
  <c r="AM376" i="37" s="1"/>
  <c r="AD539" i="37"/>
  <c r="AE539" i="37" s="1"/>
  <c r="AF539" i="37" s="1"/>
  <c r="AG539" i="37" s="1"/>
  <c r="AH539" i="37" s="1"/>
  <c r="AN539" i="37" s="1"/>
  <c r="AD537" i="37"/>
  <c r="AE537" i="37" s="1"/>
  <c r="AF537" i="37" s="1"/>
  <c r="AG537" i="37" s="1"/>
  <c r="AH537" i="37" s="1"/>
  <c r="AN537" i="37" s="1"/>
  <c r="AD513" i="37"/>
  <c r="AE513" i="37" s="1"/>
  <c r="AF513" i="37" s="1"/>
  <c r="AG513" i="37" s="1"/>
  <c r="AH513" i="37" s="1"/>
  <c r="AN513" i="37" s="1"/>
  <c r="AD501" i="37"/>
  <c r="AE501" i="37" s="1"/>
  <c r="AF501" i="37" s="1"/>
  <c r="AG501" i="37" s="1"/>
  <c r="AH501" i="37" s="1"/>
  <c r="AN501" i="37" s="1"/>
  <c r="AD478" i="37"/>
  <c r="AE478" i="37" s="1"/>
  <c r="AF478" i="37" s="1"/>
  <c r="AG478" i="37" s="1"/>
  <c r="AM478" i="37" s="1"/>
  <c r="AD330" i="37"/>
  <c r="AE330" i="37" s="1"/>
  <c r="AF330" i="37" s="1"/>
  <c r="AG330" i="37" s="1"/>
  <c r="AM330" i="37" s="1"/>
  <c r="AD485" i="37"/>
  <c r="AE485" i="37" s="1"/>
  <c r="AF485" i="37" s="1"/>
  <c r="AG485" i="37" s="1"/>
  <c r="AM485" i="37" s="1"/>
  <c r="AD536" i="37"/>
  <c r="AE536" i="37" s="1"/>
  <c r="AF536" i="37" s="1"/>
  <c r="AG536" i="37" s="1"/>
  <c r="AH536" i="37" s="1"/>
  <c r="AN536" i="37" s="1"/>
  <c r="AD492" i="37"/>
  <c r="AE492" i="37" s="1"/>
  <c r="AF492" i="37" s="1"/>
  <c r="AG492" i="37" s="1"/>
  <c r="AH492" i="37" s="1"/>
  <c r="AN492" i="37" s="1"/>
  <c r="AD497" i="37"/>
  <c r="AE497" i="37" s="1"/>
  <c r="AF497" i="37" s="1"/>
  <c r="AG497" i="37" s="1"/>
  <c r="AH497" i="37" s="1"/>
  <c r="AN497" i="37" s="1"/>
  <c r="AD486" i="37"/>
  <c r="AE486" i="37" s="1"/>
  <c r="AF486" i="37" s="1"/>
  <c r="AG486" i="37" s="1"/>
  <c r="AH486" i="37" s="1"/>
  <c r="AN486" i="37" s="1"/>
  <c r="AD505" i="37"/>
  <c r="AE505" i="37" s="1"/>
  <c r="AF505" i="37" s="1"/>
  <c r="AG505" i="37" s="1"/>
  <c r="AH505" i="37" s="1"/>
  <c r="AN505" i="37" s="1"/>
  <c r="AD504" i="37"/>
  <c r="AE504" i="37" s="1"/>
  <c r="AF504" i="37" s="1"/>
  <c r="AG504" i="37" s="1"/>
  <c r="AH504" i="37" s="1"/>
  <c r="AN504" i="37" s="1"/>
  <c r="AD464" i="37"/>
  <c r="AJ464" i="37" s="1"/>
  <c r="AD475" i="37"/>
  <c r="AE475" i="37" s="1"/>
  <c r="AF475" i="37" s="1"/>
  <c r="AL475" i="37" s="1"/>
  <c r="AD474" i="37"/>
  <c r="AE474" i="37" s="1"/>
  <c r="AF474" i="37" s="1"/>
  <c r="AL474" i="37" s="1"/>
  <c r="AD528" i="37"/>
  <c r="AE528" i="37" s="1"/>
  <c r="AF528" i="37" s="1"/>
  <c r="AG528" i="37" s="1"/>
  <c r="AH528" i="37" s="1"/>
  <c r="AN528" i="37" s="1"/>
  <c r="AD526" i="37"/>
  <c r="AE526" i="37" s="1"/>
  <c r="AF526" i="37" s="1"/>
  <c r="AG526" i="37" s="1"/>
  <c r="AH526" i="37" s="1"/>
  <c r="AN526" i="37" s="1"/>
  <c r="J557" i="37"/>
  <c r="N557" i="37" s="1"/>
  <c r="K556" i="37"/>
  <c r="K557" i="37"/>
  <c r="J555" i="37"/>
  <c r="N555" i="37" s="1"/>
  <c r="N308" i="37"/>
  <c r="K555" i="37"/>
  <c r="J556" i="37"/>
  <c r="N556" i="37" s="1"/>
  <c r="AB308" i="37"/>
  <c r="V308" i="37"/>
  <c r="X308" i="37"/>
  <c r="B502" i="40" l="1"/>
  <c r="B221" i="65"/>
  <c r="AE531" i="37"/>
  <c r="AF531" i="37" s="1"/>
  <c r="AG531" i="37" s="1"/>
  <c r="AH531" i="37" s="1"/>
  <c r="AN531" i="37" s="1"/>
  <c r="AB307" i="37"/>
  <c r="S555" i="37"/>
  <c r="AL518" i="37"/>
  <c r="AM519" i="37"/>
  <c r="AJ544" i="37"/>
  <c r="AL546" i="37"/>
  <c r="AL545" i="37"/>
  <c r="AJ526" i="37"/>
  <c r="AL544" i="37"/>
  <c r="AJ518" i="37"/>
  <c r="AM518" i="37"/>
  <c r="AK546" i="37"/>
  <c r="AM415" i="37"/>
  <c r="AJ528" i="37"/>
  <c r="AM496" i="37"/>
  <c r="AL415" i="37"/>
  <c r="AJ475" i="37"/>
  <c r="AK335" i="37"/>
  <c r="AM439" i="37"/>
  <c r="AL431" i="37"/>
  <c r="AM409" i="37"/>
  <c r="AM507" i="37"/>
  <c r="AL500" i="37"/>
  <c r="AJ540" i="37"/>
  <c r="AJ470" i="37"/>
  <c r="AJ502" i="37"/>
  <c r="AK492" i="37"/>
  <c r="AJ505" i="37"/>
  <c r="AJ438" i="37"/>
  <c r="AL512" i="37"/>
  <c r="AM498" i="37"/>
  <c r="AM500" i="37"/>
  <c r="AL492" i="37"/>
  <c r="AK330" i="37"/>
  <c r="AM506" i="37"/>
  <c r="AL490" i="37"/>
  <c r="AL468" i="37"/>
  <c r="AM532" i="37"/>
  <c r="AL438" i="37"/>
  <c r="AK449" i="37"/>
  <c r="AK488" i="37"/>
  <c r="AJ468" i="37"/>
  <c r="AJ462" i="37"/>
  <c r="AM527" i="37"/>
  <c r="AJ497" i="37"/>
  <c r="AJ425" i="37"/>
  <c r="AM470" i="37"/>
  <c r="AJ492" i="37"/>
  <c r="AL506" i="37"/>
  <c r="AJ485" i="37"/>
  <c r="AJ431" i="37"/>
  <c r="AM492" i="37"/>
  <c r="AM490" i="37"/>
  <c r="AJ516" i="37"/>
  <c r="AL480" i="37"/>
  <c r="AJ327" i="37"/>
  <c r="AL495" i="37"/>
  <c r="AL493" i="37"/>
  <c r="AL513" i="37"/>
  <c r="AM535" i="37"/>
  <c r="AJ507" i="37"/>
  <c r="AL527" i="37"/>
  <c r="AL529" i="37"/>
  <c r="AJ511" i="37"/>
  <c r="AJ439" i="37"/>
  <c r="AK376" i="37"/>
  <c r="AK439" i="37"/>
  <c r="AL509" i="37"/>
  <c r="AK513" i="37"/>
  <c r="AL511" i="37"/>
  <c r="AJ543" i="37"/>
  <c r="AL499" i="37"/>
  <c r="AJ527" i="37"/>
  <c r="AM530" i="37"/>
  <c r="AM513" i="37"/>
  <c r="AL505" i="37"/>
  <c r="AJ510" i="37"/>
  <c r="AJ375" i="37"/>
  <c r="AL541" i="37"/>
  <c r="AJ483" i="37"/>
  <c r="AM449" i="37"/>
  <c r="AM486" i="37"/>
  <c r="AK350" i="37"/>
  <c r="AJ409" i="37"/>
  <c r="AM346" i="37"/>
  <c r="AK319" i="37"/>
  <c r="AJ481" i="37"/>
  <c r="AK490" i="37"/>
  <c r="AJ469" i="37"/>
  <c r="AJ534" i="37"/>
  <c r="AK535" i="37"/>
  <c r="AK541" i="37"/>
  <c r="AK475" i="37"/>
  <c r="AJ515" i="37"/>
  <c r="AL497" i="37"/>
  <c r="AK505" i="37"/>
  <c r="AK544" i="37"/>
  <c r="AL548" i="37"/>
  <c r="AL496" i="37"/>
  <c r="AJ496" i="37"/>
  <c r="AK548" i="37"/>
  <c r="AJ548" i="37"/>
  <c r="AM484" i="37"/>
  <c r="AJ396" i="37"/>
  <c r="AK518" i="37"/>
  <c r="AK484" i="37"/>
  <c r="AJ524" i="37"/>
  <c r="AK396" i="37"/>
  <c r="AJ489" i="37"/>
  <c r="AJ512" i="37"/>
  <c r="AM491" i="37"/>
  <c r="AL335" i="37"/>
  <c r="AK498" i="37"/>
  <c r="AL477" i="37"/>
  <c r="AL536" i="37"/>
  <c r="AM545" i="37"/>
  <c r="AK506" i="37"/>
  <c r="AJ433" i="37"/>
  <c r="AJ472" i="37"/>
  <c r="AL376" i="37"/>
  <c r="AJ324" i="37"/>
  <c r="AJ479" i="37"/>
  <c r="AM431" i="37"/>
  <c r="AJ473" i="37"/>
  <c r="AK540" i="37"/>
  <c r="AM502" i="37"/>
  <c r="AK370" i="37"/>
  <c r="AJ487" i="37"/>
  <c r="AK332" i="37"/>
  <c r="AK508" i="37"/>
  <c r="AM425" i="37"/>
  <c r="AM543" i="37"/>
  <c r="AJ480" i="37"/>
  <c r="AJ488" i="37"/>
  <c r="AM468" i="37"/>
  <c r="AK530" i="37"/>
  <c r="AK494" i="37"/>
  <c r="AK500" i="37"/>
  <c r="AK431" i="37"/>
  <c r="AL470" i="37"/>
  <c r="AM447" i="37"/>
  <c r="AK480" i="37"/>
  <c r="AK433" i="37"/>
  <c r="AJ523" i="37"/>
  <c r="AJ330" i="37"/>
  <c r="AL502" i="37"/>
  <c r="AL375" i="37"/>
  <c r="AM488" i="37"/>
  <c r="AK485" i="37"/>
  <c r="AJ532" i="37"/>
  <c r="AK507" i="37"/>
  <c r="AJ541" i="37"/>
  <c r="AJ447" i="37"/>
  <c r="AJ478" i="37"/>
  <c r="AK503" i="37"/>
  <c r="AJ501" i="37"/>
  <c r="AJ513" i="37"/>
  <c r="AJ535" i="37"/>
  <c r="AK527" i="37"/>
  <c r="AM493" i="37"/>
  <c r="AM438" i="37"/>
  <c r="AM495" i="37"/>
  <c r="AL488" i="37"/>
  <c r="AJ530" i="37"/>
  <c r="AK509" i="37"/>
  <c r="AJ549" i="37"/>
  <c r="AJ539" i="37"/>
  <c r="AJ499" i="37"/>
  <c r="AM503" i="37"/>
  <c r="AL319" i="37"/>
  <c r="AL494" i="37"/>
  <c r="AL504" i="37"/>
  <c r="AJ449" i="37"/>
  <c r="AK471" i="37"/>
  <c r="AL330" i="37"/>
  <c r="AK501" i="37"/>
  <c r="AJ476" i="37"/>
  <c r="AL533" i="37"/>
  <c r="AJ493" i="37"/>
  <c r="AL484" i="37"/>
  <c r="AM533" i="37"/>
  <c r="AJ367" i="37"/>
  <c r="AK481" i="37"/>
  <c r="AM541" i="37"/>
  <c r="V307" i="37"/>
  <c r="P307" i="37"/>
  <c r="AJ522" i="37"/>
  <c r="AL522" i="37"/>
  <c r="AJ517" i="37"/>
  <c r="AM548" i="37"/>
  <c r="AM526" i="37"/>
  <c r="AK415" i="37"/>
  <c r="AK524" i="37"/>
  <c r="AL539" i="37"/>
  <c r="AK496" i="37"/>
  <c r="AJ370" i="37"/>
  <c r="AK520" i="37"/>
  <c r="AK474" i="37"/>
  <c r="AK522" i="37"/>
  <c r="AM462" i="37"/>
  <c r="AJ498" i="37"/>
  <c r="AM540" i="37"/>
  <c r="AJ504" i="37"/>
  <c r="AK502" i="37"/>
  <c r="AL514" i="37"/>
  <c r="AM487" i="37"/>
  <c r="AL462" i="37"/>
  <c r="AJ500" i="37"/>
  <c r="AM536" i="37"/>
  <c r="AM497" i="37"/>
  <c r="AM505" i="37"/>
  <c r="AK517" i="37"/>
  <c r="AL334" i="37"/>
  <c r="AM375" i="37"/>
  <c r="AL447" i="37"/>
  <c r="AJ486" i="37"/>
  <c r="AK409" i="37"/>
  <c r="AM499" i="37"/>
  <c r="AM350" i="37"/>
  <c r="AJ494" i="37"/>
  <c r="AJ477" i="37"/>
  <c r="AK438" i="37"/>
  <c r="AJ536" i="37"/>
  <c r="AK504" i="37"/>
  <c r="AL449" i="37"/>
  <c r="AM483" i="37"/>
  <c r="AM549" i="37"/>
  <c r="AM334" i="37"/>
  <c r="AL379" i="37"/>
  <c r="AK425" i="37"/>
  <c r="AM508" i="37"/>
  <c r="AJ350" i="37"/>
  <c r="AL530" i="37"/>
  <c r="AJ509" i="37"/>
  <c r="AL515" i="37"/>
  <c r="AL491" i="37"/>
  <c r="AL519" i="37"/>
  <c r="AK543" i="37"/>
  <c r="AK495" i="37"/>
  <c r="AJ484" i="37"/>
  <c r="AK493" i="37"/>
  <c r="AK533" i="37"/>
  <c r="AL481" i="37"/>
  <c r="AK515" i="37"/>
  <c r="AJ491" i="37"/>
  <c r="AJ519" i="37"/>
  <c r="AK479" i="37"/>
  <c r="AM501" i="37"/>
  <c r="AL549" i="37"/>
  <c r="AM511" i="37"/>
  <c r="AM319" i="37"/>
  <c r="AK486" i="37"/>
  <c r="AL532" i="37"/>
  <c r="AK499" i="37"/>
  <c r="AL483" i="37"/>
  <c r="AJ529" i="37"/>
  <c r="AL537" i="37"/>
  <c r="AJ346" i="37"/>
  <c r="AJ495" i="37"/>
  <c r="AL439" i="37"/>
  <c r="AL433" i="37"/>
  <c r="AL508" i="37"/>
  <c r="AK462" i="37"/>
  <c r="AJ325" i="37"/>
  <c r="AJ508" i="37"/>
  <c r="AK539" i="37"/>
  <c r="AL479" i="37"/>
  <c r="AJ482" i="37"/>
  <c r="AL534" i="37"/>
  <c r="AL478" i="37"/>
  <c r="AM515" i="37"/>
  <c r="AJ503" i="37"/>
  <c r="AK477" i="37"/>
  <c r="AM534" i="37"/>
  <c r="AJ546" i="37"/>
  <c r="AM544" i="37"/>
  <c r="AL543" i="37"/>
  <c r="AL526" i="37"/>
  <c r="AJ521" i="37"/>
  <c r="AK532" i="37"/>
  <c r="AL528" i="37"/>
  <c r="AK528" i="37"/>
  <c r="AM522" i="37"/>
  <c r="AM396" i="37"/>
  <c r="AK526" i="37"/>
  <c r="AL396" i="37"/>
  <c r="AM546" i="37"/>
  <c r="AM528" i="37"/>
  <c r="AJ415" i="37"/>
  <c r="AJ520" i="37"/>
  <c r="AK331" i="37"/>
  <c r="AL409" i="37"/>
  <c r="AM494" i="37"/>
  <c r="AJ490" i="37"/>
  <c r="AJ514" i="37"/>
  <c r="AK379" i="37"/>
  <c r="AL535" i="37"/>
  <c r="AJ338" i="37"/>
  <c r="AK327" i="37"/>
  <c r="AJ331" i="37"/>
  <c r="AK472" i="37"/>
  <c r="AK375" i="37"/>
  <c r="AJ525" i="37"/>
  <c r="AL425" i="37"/>
  <c r="AK534" i="37"/>
  <c r="AJ506" i="37"/>
  <c r="AM433" i="37"/>
  <c r="AM335" i="37"/>
  <c r="AL498" i="37"/>
  <c r="AK334" i="37"/>
  <c r="AJ319" i="37"/>
  <c r="AK447" i="37"/>
  <c r="AK512" i="37"/>
  <c r="AL331" i="37"/>
  <c r="AJ379" i="37"/>
  <c r="AL540" i="37"/>
  <c r="AK470" i="37"/>
  <c r="AK476" i="37"/>
  <c r="AJ335" i="37"/>
  <c r="AJ474" i="37"/>
  <c r="AM514" i="37"/>
  <c r="AK514" i="37"/>
  <c r="AJ332" i="37"/>
  <c r="AL503" i="37"/>
  <c r="AK549" i="37"/>
  <c r="AK523" i="37"/>
  <c r="AK483" i="37"/>
  <c r="AL486" i="37"/>
  <c r="AL482" i="37"/>
  <c r="AJ533" i="37"/>
  <c r="AK491" i="37"/>
  <c r="AK519" i="37"/>
  <c r="AL487" i="37"/>
  <c r="AM509" i="37"/>
  <c r="AJ537" i="37"/>
  <c r="AK537" i="37"/>
  <c r="AK346" i="37"/>
  <c r="AL350" i="37"/>
  <c r="AL501" i="37"/>
  <c r="AK511" i="37"/>
  <c r="AK529" i="37"/>
  <c r="AM537" i="37"/>
  <c r="AK545" i="37"/>
  <c r="AM504" i="37"/>
  <c r="AJ376" i="37"/>
  <c r="AM512" i="37"/>
  <c r="AL332" i="37"/>
  <c r="AK536" i="37"/>
  <c r="AJ334" i="37"/>
  <c r="AL346" i="37"/>
  <c r="AK468" i="37"/>
  <c r="AM539" i="37"/>
  <c r="AJ545" i="37"/>
  <c r="AK487" i="37"/>
  <c r="AL507" i="37"/>
  <c r="AK473" i="37"/>
  <c r="AK497" i="37"/>
  <c r="AM480" i="37"/>
  <c r="AJ471" i="37"/>
  <c r="AK478" i="37"/>
  <c r="AL485" i="37"/>
  <c r="AK482" i="37"/>
  <c r="N307" i="37"/>
  <c r="AE317" i="37"/>
  <c r="AE542" i="37"/>
  <c r="AF525" i="37"/>
  <c r="AE467" i="37"/>
  <c r="AK467" i="37" s="1"/>
  <c r="AH379" i="37"/>
  <c r="AN379" i="37" s="1"/>
  <c r="AF521" i="37"/>
  <c r="AL521" i="37" s="1"/>
  <c r="AF489" i="37"/>
  <c r="AL489" i="37" s="1"/>
  <c r="P557" i="37"/>
  <c r="X557" i="37"/>
  <c r="Y557" i="37" s="1"/>
  <c r="Z557" i="37" s="1"/>
  <c r="V557" i="37"/>
  <c r="T557" i="37"/>
  <c r="W557" i="37"/>
  <c r="S557" i="37"/>
  <c r="T555" i="37"/>
  <c r="X556" i="37"/>
  <c r="V556" i="37"/>
  <c r="Z556" i="37"/>
  <c r="W556" i="37"/>
  <c r="Y556" i="37"/>
  <c r="S556" i="37"/>
  <c r="R556" i="37"/>
  <c r="W555" i="37"/>
  <c r="Z555" i="37"/>
  <c r="Q138" i="25" s="1"/>
  <c r="V555" i="37"/>
  <c r="M138" i="25" s="1"/>
  <c r="P556" i="37"/>
  <c r="Y307" i="37"/>
  <c r="T556" i="37"/>
  <c r="Q555" i="37"/>
  <c r="P555" i="37"/>
  <c r="Q556" i="37"/>
  <c r="R555" i="37"/>
  <c r="R557" i="37"/>
  <c r="Q557" i="37"/>
  <c r="R308" i="37"/>
  <c r="AA308" i="37"/>
  <c r="S308" i="37"/>
  <c r="Z308" i="37"/>
  <c r="Z307" i="37"/>
  <c r="S307" i="37"/>
  <c r="AA307" i="37"/>
  <c r="T308" i="37"/>
  <c r="Y308" i="37"/>
  <c r="U308" i="37"/>
  <c r="T307" i="37"/>
  <c r="U307" i="37"/>
  <c r="X307" i="37"/>
  <c r="AD307" i="37" s="1"/>
  <c r="E1051" i="40"/>
  <c r="E1052" i="40"/>
  <c r="E1053" i="40"/>
  <c r="E1054" i="40"/>
  <c r="E1055" i="40"/>
  <c r="E1056" i="40"/>
  <c r="E1057" i="40"/>
  <c r="E1058" i="40"/>
  <c r="E1059" i="40"/>
  <c r="E1060" i="40"/>
  <c r="E1061" i="40"/>
  <c r="E1062" i="40"/>
  <c r="E1063" i="40"/>
  <c r="E1064" i="40"/>
  <c r="E1065" i="40"/>
  <c r="E1066" i="40"/>
  <c r="E1067" i="40"/>
  <c r="E1068" i="40"/>
  <c r="E1069" i="40"/>
  <c r="E1070" i="40"/>
  <c r="E1071" i="40"/>
  <c r="E1072" i="40"/>
  <c r="E1073" i="40"/>
  <c r="E1074" i="40"/>
  <c r="E1075" i="40"/>
  <c r="E1076" i="40"/>
  <c r="E1077" i="40"/>
  <c r="E1078" i="40"/>
  <c r="E1079" i="40"/>
  <c r="E1080" i="40"/>
  <c r="E1081" i="40"/>
  <c r="E1082" i="40"/>
  <c r="E1083" i="40"/>
  <c r="E1084" i="40"/>
  <c r="E1085" i="40"/>
  <c r="E1086" i="40"/>
  <c r="E1087" i="40"/>
  <c r="E1088" i="40"/>
  <c r="E1089" i="40"/>
  <c r="E1090" i="40"/>
  <c r="E1091" i="40"/>
  <c r="E1092" i="40"/>
  <c r="E1093" i="40"/>
  <c r="E1094" i="40"/>
  <c r="E1095" i="40"/>
  <c r="E1096" i="40"/>
  <c r="E1097" i="40"/>
  <c r="E1098" i="40"/>
  <c r="E1099" i="40"/>
  <c r="E1100" i="40"/>
  <c r="E1101" i="40"/>
  <c r="E1102" i="40"/>
  <c r="E1103" i="40"/>
  <c r="E1104" i="40"/>
  <c r="E1105" i="40"/>
  <c r="E1106" i="40"/>
  <c r="E1107" i="40"/>
  <c r="E1108" i="40"/>
  <c r="E1109" i="40"/>
  <c r="E1110" i="40"/>
  <c r="E1111" i="40"/>
  <c r="E1112" i="40"/>
  <c r="E1113" i="40"/>
  <c r="E1114" i="40"/>
  <c r="E1115" i="40"/>
  <c r="E1116" i="40"/>
  <c r="E1117" i="40"/>
  <c r="E1118" i="40"/>
  <c r="E1119" i="40"/>
  <c r="E1120" i="40"/>
  <c r="E1121" i="40"/>
  <c r="E1122" i="40"/>
  <c r="E1123" i="40"/>
  <c r="E1124" i="40"/>
  <c r="E1125" i="40"/>
  <c r="E1126" i="40"/>
  <c r="E1127" i="40"/>
  <c r="E1128" i="40"/>
  <c r="E1129" i="40"/>
  <c r="E1130" i="40"/>
  <c r="E1131" i="40"/>
  <c r="E1132" i="40"/>
  <c r="E1133" i="40"/>
  <c r="E1134" i="40"/>
  <c r="E1135" i="40"/>
  <c r="E1136" i="40"/>
  <c r="E1137" i="40"/>
  <c r="E1138" i="40"/>
  <c r="E1139" i="40"/>
  <c r="E1140" i="40"/>
  <c r="E1141" i="40"/>
  <c r="E1142" i="40"/>
  <c r="E1143" i="40"/>
  <c r="E1144" i="40"/>
  <c r="E1145" i="40"/>
  <c r="E1146" i="40"/>
  <c r="E1147" i="40"/>
  <c r="E1148" i="40"/>
  <c r="E1149" i="40"/>
  <c r="E1150" i="40"/>
  <c r="E1151" i="40"/>
  <c r="E1152" i="40"/>
  <c r="E1153" i="40"/>
  <c r="E1154" i="40"/>
  <c r="E1155" i="40"/>
  <c r="E1156" i="40"/>
  <c r="E1157" i="40"/>
  <c r="E1158" i="40"/>
  <c r="E1159" i="40"/>
  <c r="E1160" i="40"/>
  <c r="E1161" i="40"/>
  <c r="E1162" i="40"/>
  <c r="E1163" i="40"/>
  <c r="E1164" i="40"/>
  <c r="E1165" i="40"/>
  <c r="E1166" i="40"/>
  <c r="E1167" i="40"/>
  <c r="E1168" i="40"/>
  <c r="E1169" i="40"/>
  <c r="E1170" i="40"/>
  <c r="E1171" i="40"/>
  <c r="E1172" i="40"/>
  <c r="E1173" i="40"/>
  <c r="E1174" i="40"/>
  <c r="E1175" i="40"/>
  <c r="E1176" i="40"/>
  <c r="E1177" i="40"/>
  <c r="E1178" i="40"/>
  <c r="E1179" i="40"/>
  <c r="E1180" i="40"/>
  <c r="E1181" i="40"/>
  <c r="E1182" i="40"/>
  <c r="E1183" i="40"/>
  <c r="E1184" i="40"/>
  <c r="E1185" i="40"/>
  <c r="E1186" i="40"/>
  <c r="E1187" i="40"/>
  <c r="E1188" i="40"/>
  <c r="E1189" i="40"/>
  <c r="E1190" i="40"/>
  <c r="E1191" i="40"/>
  <c r="E1043" i="40"/>
  <c r="E1044" i="40"/>
  <c r="E1045" i="40"/>
  <c r="E1046" i="40"/>
  <c r="E1047" i="40"/>
  <c r="E1048" i="40"/>
  <c r="E1049" i="40"/>
  <c r="E1050" i="40"/>
  <c r="E1036" i="40"/>
  <c r="E1037" i="40"/>
  <c r="E1038" i="40"/>
  <c r="E1039" i="40"/>
  <c r="E1040" i="40"/>
  <c r="E1041" i="40"/>
  <c r="E1042" i="40"/>
  <c r="E1012" i="40"/>
  <c r="E1013" i="40"/>
  <c r="E1014" i="40"/>
  <c r="E1015" i="40"/>
  <c r="E1016" i="40"/>
  <c r="E1017" i="40"/>
  <c r="E1018" i="40"/>
  <c r="E1019" i="40"/>
  <c r="E1020" i="40"/>
  <c r="E1021" i="40"/>
  <c r="E1022" i="40"/>
  <c r="E1023" i="40"/>
  <c r="E1024" i="40"/>
  <c r="E1025" i="40"/>
  <c r="E1026" i="40"/>
  <c r="E1027" i="40"/>
  <c r="E1028" i="40"/>
  <c r="E1029" i="40"/>
  <c r="E1030" i="40"/>
  <c r="E1031" i="40"/>
  <c r="E1032" i="40"/>
  <c r="E1033" i="40"/>
  <c r="E1034" i="40"/>
  <c r="E1035" i="40"/>
  <c r="E1011" i="40"/>
  <c r="E1010" i="40"/>
  <c r="N138" i="25" l="1"/>
  <c r="H876" i="37"/>
  <c r="H875" i="37" s="1"/>
  <c r="B503" i="40"/>
  <c r="B222" i="65"/>
  <c r="X555" i="37"/>
  <c r="O138" i="25" s="1"/>
  <c r="AL531" i="37"/>
  <c r="AK531" i="37"/>
  <c r="AM531" i="37"/>
  <c r="AC555" i="37"/>
  <c r="AD556" i="37"/>
  <c r="AE557" i="37"/>
  <c r="AF556" i="37"/>
  <c r="AC556" i="37"/>
  <c r="AF557" i="37"/>
  <c r="AF555" i="37"/>
  <c r="AC557" i="37"/>
  <c r="AB555" i="37"/>
  <c r="AB556" i="37"/>
  <c r="AD308" i="37"/>
  <c r="AE308" i="37" s="1"/>
  <c r="AF308" i="37" s="1"/>
  <c r="AG308" i="37" s="1"/>
  <c r="AH308" i="37" s="1"/>
  <c r="AN308" i="37" s="1"/>
  <c r="AD557" i="37"/>
  <c r="AE556" i="37"/>
  <c r="AB557" i="37"/>
  <c r="AF542" i="37"/>
  <c r="AK542" i="37"/>
  <c r="AJ307" i="37"/>
  <c r="AG525" i="37"/>
  <c r="AL525" i="37"/>
  <c r="AF317" i="37"/>
  <c r="AK317" i="37"/>
  <c r="AG521" i="37"/>
  <c r="AM521" i="37" s="1"/>
  <c r="AG489" i="37"/>
  <c r="AM489" i="37" s="1"/>
  <c r="AE307" i="37"/>
  <c r="B98" i="10"/>
  <c r="B85" i="10"/>
  <c r="M874" i="37" l="1"/>
  <c r="B504" i="40"/>
  <c r="B223" i="65"/>
  <c r="AD555" i="37"/>
  <c r="K874" i="37" s="1"/>
  <c r="I874" i="37"/>
  <c r="AF307" i="37"/>
  <c r="O137" i="25" s="1"/>
  <c r="N137" i="25"/>
  <c r="Y555" i="37"/>
  <c r="P138" i="25" s="1"/>
  <c r="M137" i="25"/>
  <c r="J874" i="37"/>
  <c r="AM308" i="37"/>
  <c r="AH525" i="37"/>
  <c r="AN525" i="37" s="1"/>
  <c r="AM525" i="37"/>
  <c r="AK307" i="37"/>
  <c r="AG307" i="37"/>
  <c r="AL308" i="37"/>
  <c r="AG542" i="37"/>
  <c r="AL542" i="37"/>
  <c r="AJ308" i="37"/>
  <c r="I873" i="37" s="1"/>
  <c r="AK308" i="37"/>
  <c r="AG317" i="37"/>
  <c r="AL317" i="37"/>
  <c r="AH489" i="37"/>
  <c r="AN489" i="37" s="1"/>
  <c r="AH521" i="37"/>
  <c r="AN521" i="37" s="1"/>
  <c r="B86" i="10"/>
  <c r="B87" i="10" s="1"/>
  <c r="B92" i="10" s="1"/>
  <c r="AL307" i="37" l="1"/>
  <c r="B505" i="40"/>
  <c r="B224" i="65"/>
  <c r="AE555" i="37"/>
  <c r="L874" i="37" s="1"/>
  <c r="P137" i="25"/>
  <c r="AH307" i="37"/>
  <c r="AM307" i="37"/>
  <c r="AH542" i="37"/>
  <c r="AN542" i="37" s="1"/>
  <c r="AM542" i="37"/>
  <c r="AH317" i="37"/>
  <c r="AN317" i="37" s="1"/>
  <c r="AM317" i="37"/>
  <c r="J873" i="37"/>
  <c r="K873" i="37"/>
  <c r="K881" i="37" s="1"/>
  <c r="B506" i="40" l="1"/>
  <c r="B225" i="65"/>
  <c r="AN307" i="37"/>
  <c r="Q137" i="25"/>
  <c r="L873" i="37"/>
  <c r="F51" i="25"/>
  <c r="M873" i="37" l="1"/>
  <c r="B507" i="40"/>
  <c r="B226" i="65"/>
  <c r="E1007" i="40"/>
  <c r="E1008" i="40"/>
  <c r="E1009" i="40"/>
  <c r="E1004" i="40"/>
  <c r="E1005" i="40"/>
  <c r="E1006" i="40"/>
  <c r="E900" i="40"/>
  <c r="E901" i="40"/>
  <c r="E902" i="40"/>
  <c r="E903" i="40"/>
  <c r="E904" i="40"/>
  <c r="E905" i="40"/>
  <c r="E906" i="40"/>
  <c r="E907" i="40"/>
  <c r="E908" i="40"/>
  <c r="E909" i="40"/>
  <c r="E910" i="40"/>
  <c r="E911" i="40"/>
  <c r="E912" i="40"/>
  <c r="E913" i="40"/>
  <c r="E914" i="40"/>
  <c r="E915" i="40"/>
  <c r="E916" i="40"/>
  <c r="E917" i="40"/>
  <c r="E918" i="40"/>
  <c r="E919" i="40"/>
  <c r="E920" i="40"/>
  <c r="E921" i="40"/>
  <c r="E922" i="40"/>
  <c r="E923" i="40"/>
  <c r="E924" i="40"/>
  <c r="E925" i="40"/>
  <c r="E926" i="40"/>
  <c r="E927" i="40"/>
  <c r="E928" i="40"/>
  <c r="E929" i="40"/>
  <c r="E930" i="40"/>
  <c r="E931" i="40"/>
  <c r="E932" i="40"/>
  <c r="E933" i="40"/>
  <c r="E934" i="40"/>
  <c r="E935" i="40"/>
  <c r="E936" i="40"/>
  <c r="E937" i="40"/>
  <c r="E938" i="40"/>
  <c r="E939" i="40"/>
  <c r="E940" i="40"/>
  <c r="E941" i="40"/>
  <c r="E942" i="40"/>
  <c r="E943" i="40"/>
  <c r="E944" i="40"/>
  <c r="E945" i="40"/>
  <c r="E946" i="40"/>
  <c r="E947" i="40"/>
  <c r="E948" i="40"/>
  <c r="E949" i="40"/>
  <c r="E950" i="40"/>
  <c r="E951" i="40"/>
  <c r="E952" i="40"/>
  <c r="E953" i="40"/>
  <c r="E954" i="40"/>
  <c r="E955" i="40"/>
  <c r="E956" i="40"/>
  <c r="E957" i="40"/>
  <c r="E958" i="40"/>
  <c r="E959" i="40"/>
  <c r="E960" i="40"/>
  <c r="E961" i="40"/>
  <c r="E962" i="40"/>
  <c r="E963" i="40"/>
  <c r="E964" i="40"/>
  <c r="E965" i="40"/>
  <c r="E966" i="40"/>
  <c r="E967" i="40"/>
  <c r="E968" i="40"/>
  <c r="E969" i="40"/>
  <c r="E970" i="40"/>
  <c r="E971" i="40"/>
  <c r="E972" i="40"/>
  <c r="E973" i="40"/>
  <c r="E974" i="40"/>
  <c r="E975" i="40"/>
  <c r="E976" i="40"/>
  <c r="E977" i="40"/>
  <c r="E978" i="40"/>
  <c r="E979" i="40"/>
  <c r="E980" i="40"/>
  <c r="E981" i="40"/>
  <c r="E982" i="40"/>
  <c r="E983" i="40"/>
  <c r="E984" i="40"/>
  <c r="E985" i="40"/>
  <c r="E986" i="40"/>
  <c r="E987" i="40"/>
  <c r="E988" i="40"/>
  <c r="E989" i="40"/>
  <c r="E990" i="40"/>
  <c r="E991" i="40"/>
  <c r="E992" i="40"/>
  <c r="E993" i="40"/>
  <c r="E994" i="40"/>
  <c r="E995" i="40"/>
  <c r="E996" i="40"/>
  <c r="E997" i="40"/>
  <c r="E998" i="40"/>
  <c r="E999" i="40"/>
  <c r="E1000" i="40"/>
  <c r="E1001" i="40"/>
  <c r="E1002" i="40"/>
  <c r="E1003" i="40"/>
  <c r="E893" i="40"/>
  <c r="E894" i="40"/>
  <c r="E895" i="40"/>
  <c r="E896" i="40"/>
  <c r="E897" i="40"/>
  <c r="E898" i="40"/>
  <c r="E899" i="40"/>
  <c r="B508" i="40" l="1"/>
  <c r="B227" i="65"/>
  <c r="J31" i="42"/>
  <c r="I30" i="42"/>
  <c r="K32" i="42"/>
  <c r="L33" i="42"/>
  <c r="M34" i="42"/>
  <c r="N35" i="42"/>
  <c r="H29" i="42"/>
  <c r="F26" i="42"/>
  <c r="F23" i="42"/>
  <c r="F20" i="42"/>
  <c r="BD60" i="42" s="1"/>
  <c r="I16" i="42"/>
  <c r="H16" i="42"/>
  <c r="F83" i="36"/>
  <c r="F75" i="36"/>
  <c r="F56" i="36"/>
  <c r="F57" i="36"/>
  <c r="F58" i="36"/>
  <c r="F59" i="36"/>
  <c r="F60" i="36"/>
  <c r="F61" i="36"/>
  <c r="F62" i="36"/>
  <c r="F63" i="36"/>
  <c r="F64" i="36"/>
  <c r="F65" i="36"/>
  <c r="F66" i="36"/>
  <c r="F55" i="36"/>
  <c r="F42" i="36"/>
  <c r="F43" i="36"/>
  <c r="F44" i="36"/>
  <c r="F45" i="36"/>
  <c r="F46" i="36"/>
  <c r="F47" i="36"/>
  <c r="F48" i="36"/>
  <c r="F49" i="36"/>
  <c r="F50" i="36"/>
  <c r="F51" i="36"/>
  <c r="F52" i="36"/>
  <c r="F41" i="36"/>
  <c r="F28" i="36"/>
  <c r="F29" i="36"/>
  <c r="F30" i="36"/>
  <c r="F31" i="36"/>
  <c r="F32" i="36"/>
  <c r="F33" i="36"/>
  <c r="F34" i="36"/>
  <c r="F35" i="36"/>
  <c r="F36" i="36"/>
  <c r="F37" i="36"/>
  <c r="F38" i="36"/>
  <c r="F27" i="36"/>
  <c r="F22" i="36"/>
  <c r="F23" i="36"/>
  <c r="F24" i="36"/>
  <c r="F21" i="36"/>
  <c r="F16" i="36"/>
  <c r="F17" i="36"/>
  <c r="F18" i="36"/>
  <c r="F15" i="36"/>
  <c r="F26" i="34"/>
  <c r="F22" i="34"/>
  <c r="F21" i="34"/>
  <c r="N37" i="50"/>
  <c r="M36" i="50"/>
  <c r="L35" i="50"/>
  <c r="K34" i="50"/>
  <c r="J33" i="50"/>
  <c r="I32" i="50"/>
  <c r="H31" i="50"/>
  <c r="F28" i="50"/>
  <c r="F25" i="50"/>
  <c r="F22" i="50"/>
  <c r="F19" i="50"/>
  <c r="K16" i="50"/>
  <c r="L16" i="50"/>
  <c r="M16" i="50"/>
  <c r="N16" i="50"/>
  <c r="AE334" i="50" l="1"/>
  <c r="Y335" i="50"/>
  <c r="Y331" i="50"/>
  <c r="AE325" i="50"/>
  <c r="Y325" i="50"/>
  <c r="AK325" i="50" s="1"/>
  <c r="AQ325" i="50" s="1"/>
  <c r="Z329" i="50"/>
  <c r="Y332" i="50"/>
  <c r="AE336" i="50"/>
  <c r="AF337" i="50"/>
  <c r="AE327" i="50"/>
  <c r="Y328" i="50"/>
  <c r="Y337" i="50"/>
  <c r="Z328" i="50"/>
  <c r="AF329" i="50"/>
  <c r="AE328" i="50"/>
  <c r="AF333" i="50"/>
  <c r="Y336" i="50"/>
  <c r="Z336" i="50"/>
  <c r="AE326" i="50"/>
  <c r="AF331" i="50"/>
  <c r="Z326" i="50"/>
  <c r="Y326" i="50"/>
  <c r="AF335" i="50"/>
  <c r="AE337" i="50"/>
  <c r="Z331" i="50"/>
  <c r="Z338" i="50"/>
  <c r="AF326" i="50"/>
  <c r="AF330" i="50"/>
  <c r="Z334" i="50"/>
  <c r="AF325" i="50"/>
  <c r="AF332" i="50"/>
  <c r="Z325" i="50"/>
  <c r="Z337" i="50"/>
  <c r="Z335" i="50"/>
  <c r="AL335" i="50" s="1"/>
  <c r="Z327" i="50"/>
  <c r="AL327" i="50" s="1"/>
  <c r="AE335" i="50"/>
  <c r="AK335" i="50" s="1"/>
  <c r="AQ335" i="50" s="1"/>
  <c r="Z330" i="50"/>
  <c r="AF334" i="50"/>
  <c r="AF338" i="50"/>
  <c r="AE329" i="50"/>
  <c r="AE333" i="50"/>
  <c r="Y329" i="50"/>
  <c r="AE331" i="50"/>
  <c r="AK331" i="50" s="1"/>
  <c r="AQ331" i="50" s="1"/>
  <c r="Z333" i="50"/>
  <c r="AF336" i="50"/>
  <c r="Y327" i="50"/>
  <c r="Y330" i="50"/>
  <c r="Y334" i="50"/>
  <c r="AK334" i="50" s="1"/>
  <c r="AQ334" i="50" s="1"/>
  <c r="AE338" i="50"/>
  <c r="Y333" i="50"/>
  <c r="AF327" i="50"/>
  <c r="AF328" i="50"/>
  <c r="AE332" i="50"/>
  <c r="AE330" i="50"/>
  <c r="Z332" i="50"/>
  <c r="Y338" i="50"/>
  <c r="Y91" i="42"/>
  <c r="Y96" i="42"/>
  <c r="AD97" i="42"/>
  <c r="AE97" i="42"/>
  <c r="Z91" i="42"/>
  <c r="AF98" i="42"/>
  <c r="Z98" i="42"/>
  <c r="Y98" i="42"/>
  <c r="Z94" i="42"/>
  <c r="AL94" i="42" s="1"/>
  <c r="AD96" i="42"/>
  <c r="X98" i="42"/>
  <c r="AJ98" i="42" s="1"/>
  <c r="Y93" i="42"/>
  <c r="X96" i="42"/>
  <c r="AE98" i="42"/>
  <c r="AE94" i="42"/>
  <c r="Y97" i="42"/>
  <c r="AE91" i="42"/>
  <c r="AF94" i="42"/>
  <c r="AF97" i="42"/>
  <c r="AF96" i="42"/>
  <c r="AD98" i="42"/>
  <c r="X91" i="42"/>
  <c r="AJ91" i="42" s="1"/>
  <c r="Z96" i="42"/>
  <c r="AE93" i="42"/>
  <c r="X94" i="42"/>
  <c r="Y94" i="42"/>
  <c r="AK94" i="42" s="1"/>
  <c r="X93" i="42"/>
  <c r="AD93" i="42"/>
  <c r="AD91" i="42"/>
  <c r="X97" i="42"/>
  <c r="AJ97" i="42" s="1"/>
  <c r="AE96" i="42"/>
  <c r="Z97" i="42"/>
  <c r="AD94" i="42"/>
  <c r="AF93" i="42"/>
  <c r="Z93" i="42"/>
  <c r="AF91" i="42"/>
  <c r="AH98" i="42"/>
  <c r="AG96" i="42"/>
  <c r="AH96" i="42"/>
  <c r="AH93" i="42"/>
  <c r="AG91" i="42"/>
  <c r="AG93" i="42"/>
  <c r="AH91" i="42"/>
  <c r="AH94" i="42"/>
  <c r="AH97" i="42"/>
  <c r="AG94" i="42"/>
  <c r="AG98" i="42"/>
  <c r="AG97" i="42"/>
  <c r="AB94" i="42"/>
  <c r="AN94" i="42" s="1"/>
  <c r="BJ94" i="42" s="1"/>
  <c r="AB96" i="42"/>
  <c r="AN96" i="42" s="1"/>
  <c r="BJ96" i="42" s="1"/>
  <c r="AA96" i="42"/>
  <c r="AB98" i="42"/>
  <c r="AN98" i="42" s="1"/>
  <c r="BJ98" i="42" s="1"/>
  <c r="AA93" i="42"/>
  <c r="AB91" i="42"/>
  <c r="AN91" i="42" s="1"/>
  <c r="BJ91" i="42" s="1"/>
  <c r="AA97" i="42"/>
  <c r="AA98" i="42"/>
  <c r="AB93" i="42"/>
  <c r="AA91" i="42"/>
  <c r="AA94" i="42"/>
  <c r="AB97" i="42"/>
  <c r="AN97" i="42" s="1"/>
  <c r="BJ97" i="42" s="1"/>
  <c r="AT333" i="50"/>
  <c r="AZ333" i="50" s="1"/>
  <c r="AU339" i="50"/>
  <c r="BA339" i="50" s="1"/>
  <c r="AX336" i="50"/>
  <c r="AX330" i="50"/>
  <c r="AU337" i="50"/>
  <c r="BA337" i="50" s="1"/>
  <c r="AX337" i="50"/>
  <c r="AV334" i="50"/>
  <c r="BB334" i="50" s="1"/>
  <c r="AX327" i="50"/>
  <c r="AV333" i="50"/>
  <c r="BB333" i="50" s="1"/>
  <c r="AU336" i="50"/>
  <c r="BA336" i="50" s="1"/>
  <c r="AU338" i="50"/>
  <c r="BA338" i="50" s="1"/>
  <c r="AT331" i="50"/>
  <c r="AZ331" i="50" s="1"/>
  <c r="AV328" i="50"/>
  <c r="BB328" i="50" s="1"/>
  <c r="AU328" i="50"/>
  <c r="BA328" i="50" s="1"/>
  <c r="AU325" i="50"/>
  <c r="BA325" i="50" s="1"/>
  <c r="AX325" i="50"/>
  <c r="AU335" i="50"/>
  <c r="BA335" i="50" s="1"/>
  <c r="AT332" i="50"/>
  <c r="AZ332" i="50" s="1"/>
  <c r="AW329" i="50"/>
  <c r="AU326" i="50"/>
  <c r="BA326" i="50" s="1"/>
  <c r="AW328" i="50"/>
  <c r="AV325" i="50"/>
  <c r="BB325" i="50" s="1"/>
  <c r="AV335" i="50"/>
  <c r="BB335" i="50" s="1"/>
  <c r="AX332" i="50"/>
  <c r="AV326" i="50"/>
  <c r="BB326" i="50" s="1"/>
  <c r="AT337" i="50"/>
  <c r="AZ337" i="50" s="1"/>
  <c r="AU333" i="50"/>
  <c r="BA333" i="50" s="1"/>
  <c r="AX338" i="50"/>
  <c r="AV331" i="50"/>
  <c r="BB331" i="50" s="1"/>
  <c r="AT325" i="50"/>
  <c r="AZ325" i="50" s="1"/>
  <c r="AX329" i="50"/>
  <c r="AW339" i="50"/>
  <c r="BC339" i="50" s="1"/>
  <c r="AV336" i="50"/>
  <c r="BB336" i="50" s="1"/>
  <c r="AU330" i="50"/>
  <c r="BA330" i="50" s="1"/>
  <c r="AV337" i="50"/>
  <c r="BB337" i="50" s="1"/>
  <c r="AT334" i="50"/>
  <c r="AZ334" i="50" s="1"/>
  <c r="AW334" i="50"/>
  <c r="AU327" i="50"/>
  <c r="BA327" i="50" s="1"/>
  <c r="AW333" i="50"/>
  <c r="AV338" i="50"/>
  <c r="BB338" i="50" s="1"/>
  <c r="AX331" i="50"/>
  <c r="AW335" i="50"/>
  <c r="AT329" i="50"/>
  <c r="AZ329" i="50" s="1"/>
  <c r="AV339" i="50"/>
  <c r="BB339" i="50" s="1"/>
  <c r="AT330" i="50"/>
  <c r="AZ330" i="50" s="1"/>
  <c r="AT327" i="50"/>
  <c r="AZ327" i="50" s="1"/>
  <c r="AX328" i="50"/>
  <c r="AX335" i="50"/>
  <c r="AV329" i="50"/>
  <c r="BB329" i="50" s="1"/>
  <c r="AT339" i="50"/>
  <c r="AZ339" i="50" s="1"/>
  <c r="AW336" i="50"/>
  <c r="AV330" i="50"/>
  <c r="BB330" i="50" s="1"/>
  <c r="AW337" i="50"/>
  <c r="AX334" i="50"/>
  <c r="AW327" i="50"/>
  <c r="AV327" i="50"/>
  <c r="BB327" i="50" s="1"/>
  <c r="AX333" i="50"/>
  <c r="AT338" i="50"/>
  <c r="AZ338" i="50" s="1"/>
  <c r="AW338" i="50"/>
  <c r="AU331" i="50"/>
  <c r="BA331" i="50" s="1"/>
  <c r="AT328" i="50"/>
  <c r="AZ328" i="50" s="1"/>
  <c r="AW325" i="50"/>
  <c r="AT335" i="50"/>
  <c r="AZ335" i="50" s="1"/>
  <c r="AV332" i="50"/>
  <c r="BB332" i="50" s="1"/>
  <c r="AU332" i="50"/>
  <c r="BA332" i="50" s="1"/>
  <c r="AU329" i="50"/>
  <c r="BA329" i="50" s="1"/>
  <c r="AT326" i="50"/>
  <c r="AZ326" i="50" s="1"/>
  <c r="AW326" i="50"/>
  <c r="AX339" i="50"/>
  <c r="BD339" i="50" s="1"/>
  <c r="AT336" i="50"/>
  <c r="AZ336" i="50" s="1"/>
  <c r="AW330" i="50"/>
  <c r="AU334" i="50"/>
  <c r="BA334" i="50" s="1"/>
  <c r="AW331" i="50"/>
  <c r="AW332" i="50"/>
  <c r="AX326" i="50"/>
  <c r="BA323" i="50"/>
  <c r="AA92" i="42"/>
  <c r="AB92" i="42"/>
  <c r="AV94" i="42"/>
  <c r="BL94" i="42" s="1"/>
  <c r="AV96" i="42"/>
  <c r="BL96" i="42" s="1"/>
  <c r="AV98" i="42"/>
  <c r="BL98" i="42" s="1"/>
  <c r="AV95" i="42"/>
  <c r="BL95" i="42" s="1"/>
  <c r="AV97" i="42"/>
  <c r="BL97" i="42" s="1"/>
  <c r="AV91" i="42"/>
  <c r="BL91" i="42" s="1"/>
  <c r="AV93" i="42"/>
  <c r="BL93" i="42" s="1"/>
  <c r="AV92" i="42"/>
  <c r="BL92" i="42" s="1"/>
  <c r="AD92" i="42"/>
  <c r="AE92" i="42"/>
  <c r="X92" i="42"/>
  <c r="Y92" i="42"/>
  <c r="AF92" i="42"/>
  <c r="Z92" i="42"/>
  <c r="AG92" i="42"/>
  <c r="AH92" i="42"/>
  <c r="AW92" i="42"/>
  <c r="BM92" i="42" s="1"/>
  <c r="AW93" i="42"/>
  <c r="BM93" i="42" s="1"/>
  <c r="AW98" i="42"/>
  <c r="BM98" i="42" s="1"/>
  <c r="AW95" i="42"/>
  <c r="BM95" i="42" s="1"/>
  <c r="AW96" i="42"/>
  <c r="BM96" i="42" s="1"/>
  <c r="AW91" i="42"/>
  <c r="BM91" i="42" s="1"/>
  <c r="AW97" i="42"/>
  <c r="BM97" i="42" s="1"/>
  <c r="AW94" i="42"/>
  <c r="BM94" i="42" s="1"/>
  <c r="AV66" i="42"/>
  <c r="BL66" i="42" s="1"/>
  <c r="AV90" i="42"/>
  <c r="BL90" i="42" s="1"/>
  <c r="AV88" i="42"/>
  <c r="BL88" i="42" s="1"/>
  <c r="AV89" i="42"/>
  <c r="BL89" i="42" s="1"/>
  <c r="AV87" i="42"/>
  <c r="BL87" i="42" s="1"/>
  <c r="AV85" i="42"/>
  <c r="BL85" i="42" s="1"/>
  <c r="AV80" i="42"/>
  <c r="BL80" i="42" s="1"/>
  <c r="AV83" i="42"/>
  <c r="BL83" i="42" s="1"/>
  <c r="AV81" i="42"/>
  <c r="BL81" i="42" s="1"/>
  <c r="AV86" i="42"/>
  <c r="BL86" i="42" s="1"/>
  <c r="AV82" i="42"/>
  <c r="BL82" i="42" s="1"/>
  <c r="AV84" i="42"/>
  <c r="BL84" i="42" s="1"/>
  <c r="Y81" i="42"/>
  <c r="AE80" i="42"/>
  <c r="AD86" i="42"/>
  <c r="Y90" i="42"/>
  <c r="Y84" i="42"/>
  <c r="X88" i="42"/>
  <c r="AE88" i="42"/>
  <c r="AE89" i="42"/>
  <c r="AD87" i="42"/>
  <c r="X82" i="42"/>
  <c r="Y80" i="42"/>
  <c r="AD85" i="42"/>
  <c r="X87" i="42"/>
  <c r="AE86" i="42"/>
  <c r="AD82" i="42"/>
  <c r="Y83" i="42"/>
  <c r="AD89" i="42"/>
  <c r="Y89" i="42"/>
  <c r="AD90" i="42"/>
  <c r="Y85" i="42"/>
  <c r="AE87" i="42"/>
  <c r="AE81" i="42"/>
  <c r="AH81" i="42"/>
  <c r="Y82" i="42"/>
  <c r="X81" i="42"/>
  <c r="Y87" i="42"/>
  <c r="AE82" i="42"/>
  <c r="AE83" i="42"/>
  <c r="AD83" i="42"/>
  <c r="AD84" i="42"/>
  <c r="Y88" i="42"/>
  <c r="AE90" i="42"/>
  <c r="AE85" i="42"/>
  <c r="X83" i="42"/>
  <c r="AD81" i="42"/>
  <c r="X86" i="42"/>
  <c r="Y86" i="42"/>
  <c r="X80" i="42"/>
  <c r="AD80" i="42"/>
  <c r="X84" i="42"/>
  <c r="AE84" i="42"/>
  <c r="AD88" i="42"/>
  <c r="X90" i="42"/>
  <c r="X89" i="42"/>
  <c r="X85" i="42"/>
  <c r="AF81" i="42"/>
  <c r="AG81" i="42"/>
  <c r="AH85" i="42"/>
  <c r="AG82" i="42"/>
  <c r="AG86" i="42"/>
  <c r="AF85" i="42"/>
  <c r="AH83" i="42"/>
  <c r="AF84" i="42"/>
  <c r="AF87" i="42"/>
  <c r="AH86" i="42"/>
  <c r="AG85" i="42"/>
  <c r="AG89" i="42"/>
  <c r="AF90" i="42"/>
  <c r="AH82" i="42"/>
  <c r="AG80" i="42"/>
  <c r="AG90" i="42"/>
  <c r="AF89" i="42"/>
  <c r="AH84" i="42"/>
  <c r="AH80" i="42"/>
  <c r="AG87" i="42"/>
  <c r="AG84" i="42"/>
  <c r="AH89" i="42"/>
  <c r="AF80" i="42"/>
  <c r="AF86" i="42"/>
  <c r="AH90" i="42"/>
  <c r="AH87" i="42"/>
  <c r="AF88" i="42"/>
  <c r="AG88" i="42"/>
  <c r="AF82" i="42"/>
  <c r="AF83" i="42"/>
  <c r="AH88" i="42"/>
  <c r="AG83" i="42"/>
  <c r="AD79" i="42"/>
  <c r="X79" i="42"/>
  <c r="AW87" i="42"/>
  <c r="BM87" i="42" s="1"/>
  <c r="AW90" i="42"/>
  <c r="BM90" i="42" s="1"/>
  <c r="AW85" i="42"/>
  <c r="BM85" i="42" s="1"/>
  <c r="AW86" i="42"/>
  <c r="BM86" i="42" s="1"/>
  <c r="AW88" i="42"/>
  <c r="BM88" i="42" s="1"/>
  <c r="AW83" i="42"/>
  <c r="BM83" i="42" s="1"/>
  <c r="AW89" i="42"/>
  <c r="BM89" i="42" s="1"/>
  <c r="AW82" i="42"/>
  <c r="BM82" i="42" s="1"/>
  <c r="AW81" i="42"/>
  <c r="BM81" i="42" s="1"/>
  <c r="AW80" i="42"/>
  <c r="BM80" i="42" s="1"/>
  <c r="AW84" i="42"/>
  <c r="BM84" i="42" s="1"/>
  <c r="Z323" i="50"/>
  <c r="AD323" i="50"/>
  <c r="AE323" i="50"/>
  <c r="Y323" i="50"/>
  <c r="AF323" i="50"/>
  <c r="X323" i="50"/>
  <c r="AV323" i="50"/>
  <c r="AW323" i="50"/>
  <c r="AX323" i="50"/>
  <c r="Y67" i="42"/>
  <c r="AA84" i="42"/>
  <c r="AA81" i="42"/>
  <c r="AB84" i="42"/>
  <c r="AB81" i="42"/>
  <c r="AB86" i="42"/>
  <c r="Z81" i="42"/>
  <c r="AA82" i="42"/>
  <c r="Z87" i="42"/>
  <c r="AA83" i="42"/>
  <c r="AM83" i="42" s="1"/>
  <c r="Z83" i="42"/>
  <c r="Z82" i="42"/>
  <c r="Z85" i="42"/>
  <c r="Z80" i="42"/>
  <c r="AB87" i="42"/>
  <c r="Z86" i="42"/>
  <c r="AB88" i="42"/>
  <c r="AN88" i="42" s="1"/>
  <c r="BJ88" i="42" s="1"/>
  <c r="Z90" i="42"/>
  <c r="AB85" i="42"/>
  <c r="AA90" i="42"/>
  <c r="AA88" i="42"/>
  <c r="Z89" i="42"/>
  <c r="AB80" i="42"/>
  <c r="AB82" i="42"/>
  <c r="AA80" i="42"/>
  <c r="AB90" i="42"/>
  <c r="AA85" i="42"/>
  <c r="AA87" i="42"/>
  <c r="AA86" i="42"/>
  <c r="AA89" i="42"/>
  <c r="AB83" i="42"/>
  <c r="Z84" i="42"/>
  <c r="Z88" i="42"/>
  <c r="AB89" i="42"/>
  <c r="AV308" i="50"/>
  <c r="AV324" i="50"/>
  <c r="BB324" i="50" s="1"/>
  <c r="AV313" i="50"/>
  <c r="AV315" i="50"/>
  <c r="AV314" i="50"/>
  <c r="AV317" i="50"/>
  <c r="AV309" i="50"/>
  <c r="AV311" i="50"/>
  <c r="AV316" i="50"/>
  <c r="AV318" i="50"/>
  <c r="AV320" i="50"/>
  <c r="AV310" i="50"/>
  <c r="AV312" i="50"/>
  <c r="AV321" i="50"/>
  <c r="AV322" i="50"/>
  <c r="AV319" i="50"/>
  <c r="AW312" i="50"/>
  <c r="AW310" i="50"/>
  <c r="AW317" i="50"/>
  <c r="AW308" i="50"/>
  <c r="AW315" i="50"/>
  <c r="AW320" i="50"/>
  <c r="AW321" i="50"/>
  <c r="AW324" i="50"/>
  <c r="BC324" i="50" s="1"/>
  <c r="AW319" i="50"/>
  <c r="AW309" i="50"/>
  <c r="AW318" i="50"/>
  <c r="AW313" i="50"/>
  <c r="AW322" i="50"/>
  <c r="AW314" i="50"/>
  <c r="AW316" i="50"/>
  <c r="AW311" i="50"/>
  <c r="AX310" i="50"/>
  <c r="AX315" i="50"/>
  <c r="AX317" i="50"/>
  <c r="AX309" i="50"/>
  <c r="AX314" i="50"/>
  <c r="AX312" i="50"/>
  <c r="AX324" i="50"/>
  <c r="BD324" i="50" s="1"/>
  <c r="AX322" i="50"/>
  <c r="AX313" i="50"/>
  <c r="AX318" i="50"/>
  <c r="AX320" i="50"/>
  <c r="AX311" i="50"/>
  <c r="AX319" i="50"/>
  <c r="AX321" i="50"/>
  <c r="AX308" i="50"/>
  <c r="AX316" i="50"/>
  <c r="BA324" i="50"/>
  <c r="BA317" i="50"/>
  <c r="BA312" i="50"/>
  <c r="BA313" i="50"/>
  <c r="BA311" i="50"/>
  <c r="BA320" i="50"/>
  <c r="BA310" i="50"/>
  <c r="BA315" i="50"/>
  <c r="BA314" i="50"/>
  <c r="BA322" i="50"/>
  <c r="BA308" i="50"/>
  <c r="BA319" i="50"/>
  <c r="BA309" i="50"/>
  <c r="BA318" i="50"/>
  <c r="BA321" i="50"/>
  <c r="BA316" i="50"/>
  <c r="X311" i="50"/>
  <c r="Z311" i="50"/>
  <c r="AE311" i="50"/>
  <c r="AD311" i="50"/>
  <c r="Z317" i="50"/>
  <c r="Y311" i="50"/>
  <c r="AE309" i="50"/>
  <c r="AE317" i="50"/>
  <c r="AE312" i="50"/>
  <c r="AD312" i="50"/>
  <c r="AF312" i="50"/>
  <c r="Z314" i="50"/>
  <c r="AD310" i="50"/>
  <c r="AF308" i="50"/>
  <c r="AD314" i="50"/>
  <c r="Z321" i="50"/>
  <c r="X320" i="50"/>
  <c r="AD319" i="50"/>
  <c r="AF319" i="50"/>
  <c r="Z308" i="50"/>
  <c r="Y321" i="50"/>
  <c r="AD315" i="50"/>
  <c r="AE320" i="50"/>
  <c r="AF313" i="50"/>
  <c r="AF317" i="50"/>
  <c r="X319" i="50"/>
  <c r="Y312" i="50"/>
  <c r="X312" i="50"/>
  <c r="AF311" i="50"/>
  <c r="AF321" i="50"/>
  <c r="Z310" i="50"/>
  <c r="AE318" i="50"/>
  <c r="AD322" i="50"/>
  <c r="AD316" i="50"/>
  <c r="AD321" i="50"/>
  <c r="AD308" i="50"/>
  <c r="Z318" i="50"/>
  <c r="Y316" i="50"/>
  <c r="Z316" i="50"/>
  <c r="Z322" i="50"/>
  <c r="X321" i="50"/>
  <c r="AF315" i="50"/>
  <c r="X322" i="50"/>
  <c r="AF314" i="50"/>
  <c r="Y313" i="50"/>
  <c r="X309" i="50"/>
  <c r="Y315" i="50"/>
  <c r="Y317" i="50"/>
  <c r="AK317" i="50" s="1"/>
  <c r="X317" i="50"/>
  <c r="Z312" i="50"/>
  <c r="AE310" i="50"/>
  <c r="Y310" i="50"/>
  <c r="X314" i="50"/>
  <c r="Y319" i="50"/>
  <c r="AE313" i="50"/>
  <c r="AE315" i="50"/>
  <c r="Y308" i="50"/>
  <c r="Z320" i="50"/>
  <c r="X308" i="50"/>
  <c r="X315" i="50"/>
  <c r="Z315" i="50"/>
  <c r="AF316" i="50"/>
  <c r="AD309" i="50"/>
  <c r="Y309" i="50"/>
  <c r="Y318" i="50"/>
  <c r="AD313" i="50"/>
  <c r="AF322" i="50"/>
  <c r="AD320" i="50"/>
  <c r="Z313" i="50"/>
  <c r="AD318" i="50"/>
  <c r="AD317" i="50"/>
  <c r="AF310" i="50"/>
  <c r="Z309" i="50"/>
  <c r="Z319" i="50"/>
  <c r="X310" i="50"/>
  <c r="AE314" i="50"/>
  <c r="Y314" i="50"/>
  <c r="AF320" i="50"/>
  <c r="Y322" i="50"/>
  <c r="AE308" i="50"/>
  <c r="AF318" i="50"/>
  <c r="Y320" i="50"/>
  <c r="X316" i="50"/>
  <c r="AE316" i="50"/>
  <c r="AE322" i="50"/>
  <c r="AE321" i="50"/>
  <c r="AF309" i="50"/>
  <c r="X313" i="50"/>
  <c r="AE319" i="50"/>
  <c r="X318" i="50"/>
  <c r="B509" i="40"/>
  <c r="B228" i="65"/>
  <c r="AE306" i="50"/>
  <c r="AC305" i="50"/>
  <c r="W306" i="50"/>
  <c r="Y305" i="50"/>
  <c r="AD302" i="50"/>
  <c r="Y300" i="50"/>
  <c r="AF302" i="50"/>
  <c r="AE301" i="50"/>
  <c r="AE302" i="50"/>
  <c r="Y302" i="50"/>
  <c r="Z302" i="50"/>
  <c r="X305" i="50"/>
  <c r="Y306" i="50"/>
  <c r="X302" i="50"/>
  <c r="AE305" i="50"/>
  <c r="Y301" i="50"/>
  <c r="AD306" i="50"/>
  <c r="Y304" i="50"/>
  <c r="AD301" i="50"/>
  <c r="AF303" i="50"/>
  <c r="X303" i="50"/>
  <c r="AD303" i="50"/>
  <c r="Z301" i="50"/>
  <c r="AD300" i="50"/>
  <c r="W300" i="50"/>
  <c r="AD305" i="50"/>
  <c r="X306" i="50"/>
  <c r="AF301" i="50"/>
  <c r="X300" i="50"/>
  <c r="Z303" i="50"/>
  <c r="Z305" i="50"/>
  <c r="Z304" i="50"/>
  <c r="AF304" i="50"/>
  <c r="W301" i="50"/>
  <c r="W302" i="50"/>
  <c r="AF306" i="50"/>
  <c r="AC303" i="50"/>
  <c r="W305" i="50"/>
  <c r="AC300" i="50"/>
  <c r="AE304" i="50"/>
  <c r="Y303" i="50"/>
  <c r="W303" i="50"/>
  <c r="AF305" i="50"/>
  <c r="AE303" i="50"/>
  <c r="AC301" i="50"/>
  <c r="X304" i="50"/>
  <c r="W304" i="50"/>
  <c r="AF300" i="50"/>
  <c r="AC306" i="50"/>
  <c r="AC304" i="50"/>
  <c r="Z300" i="50"/>
  <c r="AC302" i="50"/>
  <c r="Z306" i="50"/>
  <c r="AE300" i="50"/>
  <c r="AD304" i="50"/>
  <c r="X301" i="50"/>
  <c r="AU303" i="50"/>
  <c r="AU300" i="50"/>
  <c r="AU307" i="50"/>
  <c r="BA307" i="50" s="1"/>
  <c r="AU306" i="50"/>
  <c r="AU305" i="50"/>
  <c r="AU302" i="50"/>
  <c r="AU304" i="50"/>
  <c r="AU301" i="50"/>
  <c r="AV300" i="50"/>
  <c r="AV303" i="50"/>
  <c r="AV305" i="50"/>
  <c r="AV304" i="50"/>
  <c r="AV306" i="50"/>
  <c r="AV301" i="50"/>
  <c r="AV302" i="50"/>
  <c r="AV307" i="50"/>
  <c r="BB307" i="50" s="1"/>
  <c r="AW303" i="50"/>
  <c r="AW304" i="50"/>
  <c r="AW305" i="50"/>
  <c r="AW307" i="50"/>
  <c r="BC307" i="50" s="1"/>
  <c r="AW302" i="50"/>
  <c r="AW306" i="50"/>
  <c r="AW301" i="50"/>
  <c r="AW300" i="50"/>
  <c r="AX306" i="50"/>
  <c r="AX301" i="50"/>
  <c r="AX307" i="50"/>
  <c r="BD307" i="50" s="1"/>
  <c r="AX302" i="50"/>
  <c r="AX303" i="50"/>
  <c r="AX305" i="50"/>
  <c r="AX300" i="50"/>
  <c r="AX304" i="50"/>
  <c r="Z293" i="50"/>
  <c r="W292" i="50"/>
  <c r="AC292" i="50"/>
  <c r="AD297" i="50"/>
  <c r="AC297" i="50"/>
  <c r="Y295" i="50"/>
  <c r="AE293" i="50"/>
  <c r="Y291" i="50"/>
  <c r="AD291" i="50"/>
  <c r="AE298" i="50"/>
  <c r="Y296" i="50"/>
  <c r="AC299" i="50"/>
  <c r="W299" i="50"/>
  <c r="AD295" i="50"/>
  <c r="Z295" i="50"/>
  <c r="W293" i="50"/>
  <c r="Y293" i="50"/>
  <c r="AC293" i="50"/>
  <c r="AF291" i="50"/>
  <c r="W298" i="50"/>
  <c r="AF298" i="50"/>
  <c r="AF296" i="50"/>
  <c r="AC296" i="50"/>
  <c r="Y292" i="50"/>
  <c r="AF299" i="50"/>
  <c r="AE294" i="50"/>
  <c r="AC295" i="50"/>
  <c r="AF293" i="50"/>
  <c r="AE291" i="50"/>
  <c r="X298" i="50"/>
  <c r="Z298" i="50"/>
  <c r="AE296" i="50"/>
  <c r="AE292" i="50"/>
  <c r="Y299" i="50"/>
  <c r="AE297" i="50"/>
  <c r="W295" i="50"/>
  <c r="AD293" i="50"/>
  <c r="Z291" i="50"/>
  <c r="Z296" i="50"/>
  <c r="AF292" i="50"/>
  <c r="Z292" i="50"/>
  <c r="AF295" i="50"/>
  <c r="AF294" i="50"/>
  <c r="AF297" i="50"/>
  <c r="Z297" i="50"/>
  <c r="X293" i="50"/>
  <c r="W294" i="50"/>
  <c r="AC298" i="50"/>
  <c r="AD298" i="50"/>
  <c r="AD294" i="50"/>
  <c r="Z294" i="50"/>
  <c r="W297" i="50"/>
  <c r="X294" i="50"/>
  <c r="Y297" i="50"/>
  <c r="AD292" i="50"/>
  <c r="AC291" i="50"/>
  <c r="X295" i="50"/>
  <c r="AD299" i="50"/>
  <c r="W291" i="50"/>
  <c r="AD296" i="50"/>
  <c r="X299" i="50"/>
  <c r="X292" i="50"/>
  <c r="AC294" i="50"/>
  <c r="W296" i="50"/>
  <c r="Y298" i="50"/>
  <c r="X291" i="50"/>
  <c r="X297" i="50"/>
  <c r="AE299" i="50"/>
  <c r="Z299" i="50"/>
  <c r="AL299" i="50" s="1"/>
  <c r="X296" i="50"/>
  <c r="Y294" i="50"/>
  <c r="AE295" i="50"/>
  <c r="AU294" i="50"/>
  <c r="AU298" i="50"/>
  <c r="AU292" i="50"/>
  <c r="AU295" i="50"/>
  <c r="AU291" i="50"/>
  <c r="AU293" i="50"/>
  <c r="AU296" i="50"/>
  <c r="AU299" i="50"/>
  <c r="AU297" i="50"/>
  <c r="AV291" i="50"/>
  <c r="AV296" i="50"/>
  <c r="AV297" i="50"/>
  <c r="AV293" i="50"/>
  <c r="AV295" i="50"/>
  <c r="AV298" i="50"/>
  <c r="AV299" i="50"/>
  <c r="AV294" i="50"/>
  <c r="AV292" i="50"/>
  <c r="AW291" i="50"/>
  <c r="AW295" i="50"/>
  <c r="AW298" i="50"/>
  <c r="AW293" i="50"/>
  <c r="AW296" i="50"/>
  <c r="AW294" i="50"/>
  <c r="AW292" i="50"/>
  <c r="AW297" i="50"/>
  <c r="AW299" i="50"/>
  <c r="AX296" i="50"/>
  <c r="AX299" i="50"/>
  <c r="AX293" i="50"/>
  <c r="AX292" i="50"/>
  <c r="AX297" i="50"/>
  <c r="AX298" i="50"/>
  <c r="AX291" i="50"/>
  <c r="AX295" i="50"/>
  <c r="AX294" i="50"/>
  <c r="AV76" i="42"/>
  <c r="BL76" i="42" s="1"/>
  <c r="AV77" i="42"/>
  <c r="BL77" i="42" s="1"/>
  <c r="AV73" i="42"/>
  <c r="BL73" i="42" s="1"/>
  <c r="AV72" i="42"/>
  <c r="BL72" i="42" s="1"/>
  <c r="AV69" i="42"/>
  <c r="BL69" i="42" s="1"/>
  <c r="AV71" i="42"/>
  <c r="BL71" i="42" s="1"/>
  <c r="AV67" i="42"/>
  <c r="BL67" i="42" s="1"/>
  <c r="AV78" i="42"/>
  <c r="BL78" i="42" s="1"/>
  <c r="AV74" i="42"/>
  <c r="BL74" i="42" s="1"/>
  <c r="AV75" i="42"/>
  <c r="BL75" i="42" s="1"/>
  <c r="AV68" i="42"/>
  <c r="BL68" i="42" s="1"/>
  <c r="AV79" i="42"/>
  <c r="BL79" i="42" s="1"/>
  <c r="AV70" i="42"/>
  <c r="BL70" i="42" s="1"/>
  <c r="AD67" i="42"/>
  <c r="X73" i="42"/>
  <c r="AD68" i="42"/>
  <c r="X72" i="42"/>
  <c r="AG77" i="42"/>
  <c r="AG76" i="42"/>
  <c r="AH76" i="42"/>
  <c r="AD78" i="42"/>
  <c r="AE76" i="42"/>
  <c r="AD71" i="42"/>
  <c r="X67" i="42"/>
  <c r="X77" i="42"/>
  <c r="AD73" i="42"/>
  <c r="AF77" i="42"/>
  <c r="AE77" i="42"/>
  <c r="AD76" i="42"/>
  <c r="AD72" i="42"/>
  <c r="X71" i="42"/>
  <c r="AD70" i="42"/>
  <c r="X69" i="42"/>
  <c r="X70" i="42"/>
  <c r="AF76" i="42"/>
  <c r="AE79" i="42"/>
  <c r="AH79" i="42"/>
  <c r="AD75" i="42"/>
  <c r="AD77" i="42"/>
  <c r="X76" i="42"/>
  <c r="AD74" i="42"/>
  <c r="AH74" i="42"/>
  <c r="X75" i="42"/>
  <c r="X78" i="42"/>
  <c r="AH77" i="42"/>
  <c r="X74" i="42"/>
  <c r="AD69" i="42"/>
  <c r="X68" i="42"/>
  <c r="AG69" i="42"/>
  <c r="AG68" i="42"/>
  <c r="AG72" i="42"/>
  <c r="AE72" i="42"/>
  <c r="AH71" i="42"/>
  <c r="AH69" i="42"/>
  <c r="AG73" i="42"/>
  <c r="AE73" i="42"/>
  <c r="AH70" i="42"/>
  <c r="AG78" i="42"/>
  <c r="AH75" i="42"/>
  <c r="AG79" i="42"/>
  <c r="AF70" i="42"/>
  <c r="AE67" i="42"/>
  <c r="AF74" i="42"/>
  <c r="AE74" i="42"/>
  <c r="AG71" i="42"/>
  <c r="AF73" i="42"/>
  <c r="AE71" i="42"/>
  <c r="AH67" i="42"/>
  <c r="AF72" i="42"/>
  <c r="AF67" i="42"/>
  <c r="AG74" i="42"/>
  <c r="AH73" i="42"/>
  <c r="AG70" i="42"/>
  <c r="AF69" i="42"/>
  <c r="AF75" i="42"/>
  <c r="AE68" i="42"/>
  <c r="AE69" i="42"/>
  <c r="AE75" i="42"/>
  <c r="AF71" i="42"/>
  <c r="AH68" i="42"/>
  <c r="AG67" i="42"/>
  <c r="AF78" i="42"/>
  <c r="AE78" i="42"/>
  <c r="AH78" i="42"/>
  <c r="AH72" i="42"/>
  <c r="AF79" i="42"/>
  <c r="AE70" i="42"/>
  <c r="AF68" i="42"/>
  <c r="AG75" i="42"/>
  <c r="AW75" i="42"/>
  <c r="BM75" i="42" s="1"/>
  <c r="AW79" i="42"/>
  <c r="BM79" i="42" s="1"/>
  <c r="AW77" i="42"/>
  <c r="BM77" i="42" s="1"/>
  <c r="AW69" i="42"/>
  <c r="BM69" i="42" s="1"/>
  <c r="AW71" i="42"/>
  <c r="BM71" i="42" s="1"/>
  <c r="AW76" i="42"/>
  <c r="BM76" i="42" s="1"/>
  <c r="AW72" i="42"/>
  <c r="BM72" i="42" s="1"/>
  <c r="AW78" i="42"/>
  <c r="BM78" i="42" s="1"/>
  <c r="AW68" i="42"/>
  <c r="BM68" i="42" s="1"/>
  <c r="AW70" i="42"/>
  <c r="BM70" i="42" s="1"/>
  <c r="AW67" i="42"/>
  <c r="BM67" i="42" s="1"/>
  <c r="AW74" i="42"/>
  <c r="BM74" i="42" s="1"/>
  <c r="AW73" i="42"/>
  <c r="BM73" i="42" s="1"/>
  <c r="AW66" i="42"/>
  <c r="BM66" i="42" s="1"/>
  <c r="AB76" i="42"/>
  <c r="Y77" i="42"/>
  <c r="AB74" i="42"/>
  <c r="Z74" i="42"/>
  <c r="Z76" i="42"/>
  <c r="AA77" i="42"/>
  <c r="AA76" i="42"/>
  <c r="Z77" i="42"/>
  <c r="AL77" i="42" s="1"/>
  <c r="AB77" i="42"/>
  <c r="Y76" i="42"/>
  <c r="Z73" i="42"/>
  <c r="AB67" i="42"/>
  <c r="Y74" i="42"/>
  <c r="AA78" i="42"/>
  <c r="AB71" i="42"/>
  <c r="Y68" i="42"/>
  <c r="Z71" i="42"/>
  <c r="Y72" i="42"/>
  <c r="AA68" i="42"/>
  <c r="AA69" i="42"/>
  <c r="AB75" i="42"/>
  <c r="Y79" i="42"/>
  <c r="Z70" i="42"/>
  <c r="AA67" i="42"/>
  <c r="Z75" i="42"/>
  <c r="Z69" i="42"/>
  <c r="AA70" i="42"/>
  <c r="Y69" i="42"/>
  <c r="Y75" i="42"/>
  <c r="AB79" i="42"/>
  <c r="AB68" i="42"/>
  <c r="AB70" i="42"/>
  <c r="AB78" i="42"/>
  <c r="Z67" i="42"/>
  <c r="Y71" i="42"/>
  <c r="AB69" i="42"/>
  <c r="Z78" i="42"/>
  <c r="Z72" i="42"/>
  <c r="AA79" i="42"/>
  <c r="AB73" i="42"/>
  <c r="AA75" i="42"/>
  <c r="AB72" i="42"/>
  <c r="Y78" i="42"/>
  <c r="Z79" i="42"/>
  <c r="AA74" i="42"/>
  <c r="AA71" i="42"/>
  <c r="Z68" i="42"/>
  <c r="AA73" i="42"/>
  <c r="Y73" i="42"/>
  <c r="Y70" i="42"/>
  <c r="AA72" i="42"/>
  <c r="W274" i="50"/>
  <c r="AD290" i="50"/>
  <c r="AC286" i="50"/>
  <c r="W285" i="50"/>
  <c r="AF281" i="50"/>
  <c r="W281" i="50"/>
  <c r="Y277" i="50"/>
  <c r="Y285" i="50"/>
  <c r="Y281" i="50"/>
  <c r="Z284" i="50"/>
  <c r="W282" i="50"/>
  <c r="V282" i="50"/>
  <c r="V275" i="50"/>
  <c r="AF290" i="50"/>
  <c r="Y274" i="50"/>
  <c r="AE279" i="50"/>
  <c r="AF282" i="50"/>
  <c r="V285" i="50"/>
  <c r="AF286" i="50"/>
  <c r="X281" i="50"/>
  <c r="AD274" i="50"/>
  <c r="AF275" i="50"/>
  <c r="V288" i="50"/>
  <c r="AD275" i="50"/>
  <c r="Z285" i="50"/>
  <c r="V278" i="50"/>
  <c r="AC274" i="50"/>
  <c r="AD286" i="50"/>
  <c r="X280" i="50"/>
  <c r="V279" i="50"/>
  <c r="AE287" i="50"/>
  <c r="AB282" i="50"/>
  <c r="Z290" i="50"/>
  <c r="Z280" i="50"/>
  <c r="W284" i="50"/>
  <c r="AC277" i="50"/>
  <c r="V280" i="50"/>
  <c r="X288" i="50"/>
  <c r="Z281" i="50"/>
  <c r="X278" i="50"/>
  <c r="Z279" i="50"/>
  <c r="AC287" i="50"/>
  <c r="AE282" i="50"/>
  <c r="Z276" i="50"/>
  <c r="X284" i="50"/>
  <c r="AB275" i="50"/>
  <c r="AB281" i="50"/>
  <c r="AC284" i="50"/>
  <c r="AE281" i="50"/>
  <c r="Y276" i="50"/>
  <c r="AD279" i="50"/>
  <c r="AC278" i="50"/>
  <c r="V274" i="50"/>
  <c r="V281" i="50"/>
  <c r="Y290" i="50"/>
  <c r="AF285" i="50"/>
  <c r="Z275" i="50"/>
  <c r="X287" i="50"/>
  <c r="Y275" i="50"/>
  <c r="AF284" i="50"/>
  <c r="X285" i="50"/>
  <c r="AD287" i="50"/>
  <c r="AD276" i="50"/>
  <c r="AF279" i="50"/>
  <c r="Z287" i="50"/>
  <c r="AE277" i="50"/>
  <c r="V286" i="50"/>
  <c r="AB283" i="50"/>
  <c r="AC275" i="50"/>
  <c r="AE278" i="50"/>
  <c r="V290" i="50"/>
  <c r="X274" i="50"/>
  <c r="W275" i="50"/>
  <c r="AB286" i="50"/>
  <c r="AD277" i="50"/>
  <c r="AB285" i="50"/>
  <c r="Z286" i="50"/>
  <c r="AB274" i="50"/>
  <c r="X286" i="50"/>
  <c r="V284" i="50"/>
  <c r="X279" i="50"/>
  <c r="Z278" i="50"/>
  <c r="W286" i="50"/>
  <c r="AE290" i="50"/>
  <c r="AD280" i="50"/>
  <c r="AB288" i="50"/>
  <c r="AC276" i="50"/>
  <c r="AC281" i="50"/>
  <c r="AB278" i="50"/>
  <c r="Y280" i="50"/>
  <c r="AD282" i="50"/>
  <c r="AF283" i="50"/>
  <c r="AF280" i="50"/>
  <c r="AE275" i="50"/>
  <c r="AF287" i="50"/>
  <c r="AE288" i="50"/>
  <c r="Y278" i="50"/>
  <c r="W290" i="50"/>
  <c r="AF277" i="50"/>
  <c r="Z274" i="50"/>
  <c r="AE283" i="50"/>
  <c r="W283" i="50"/>
  <c r="X277" i="50"/>
  <c r="AJ277" i="50" s="1"/>
  <c r="AB287" i="50"/>
  <c r="AB280" i="50"/>
  <c r="W287" i="50"/>
  <c r="AB290" i="50"/>
  <c r="AB284" i="50"/>
  <c r="Z277" i="50"/>
  <c r="X276" i="50"/>
  <c r="AB277" i="50"/>
  <c r="Y287" i="50"/>
  <c r="W279" i="50"/>
  <c r="AD278" i="50"/>
  <c r="X290" i="50"/>
  <c r="X275" i="50"/>
  <c r="Z283" i="50"/>
  <c r="W278" i="50"/>
  <c r="Y286" i="50"/>
  <c r="AB276" i="50"/>
  <c r="AC280" i="50"/>
  <c r="AD288" i="50"/>
  <c r="AC285" i="50"/>
  <c r="Y283" i="50"/>
  <c r="X282" i="50"/>
  <c r="W276" i="50"/>
  <c r="AC288" i="50"/>
  <c r="AD285" i="50"/>
  <c r="X283" i="50"/>
  <c r="Z282" i="50"/>
  <c r="AB279" i="50"/>
  <c r="AC283" i="50"/>
  <c r="AE274" i="50"/>
  <c r="AE286" i="50"/>
  <c r="W280" i="50"/>
  <c r="AF288" i="50"/>
  <c r="W277" i="50"/>
  <c r="AE285" i="50"/>
  <c r="AE280" i="50"/>
  <c r="Z288" i="50"/>
  <c r="Y279" i="50"/>
  <c r="AD281" i="50"/>
  <c r="AE284" i="50"/>
  <c r="AF274" i="50"/>
  <c r="W288" i="50"/>
  <c r="AD284" i="50"/>
  <c r="V287" i="50"/>
  <c r="AC282" i="50"/>
  <c r="V276" i="50"/>
  <c r="AD283" i="50"/>
  <c r="Y282" i="50"/>
  <c r="AC290" i="50"/>
  <c r="AE276" i="50"/>
  <c r="AF276" i="50"/>
  <c r="V277" i="50"/>
  <c r="V283" i="50"/>
  <c r="AF278" i="50"/>
  <c r="Y284" i="50"/>
  <c r="AC279" i="50"/>
  <c r="Y288" i="50"/>
  <c r="AE266" i="50"/>
  <c r="AC266" i="50"/>
  <c r="X264" i="50"/>
  <c r="AB264" i="50"/>
  <c r="W255" i="50"/>
  <c r="AF255" i="50"/>
  <c r="AB255" i="50"/>
  <c r="AC262" i="50"/>
  <c r="AF262" i="50"/>
  <c r="AC257" i="50"/>
  <c r="Y257" i="50"/>
  <c r="W273" i="50"/>
  <c r="X273" i="50"/>
  <c r="AD273" i="50"/>
  <c r="W253" i="50"/>
  <c r="AE253" i="50"/>
  <c r="AE256" i="50"/>
  <c r="AF256" i="50"/>
  <c r="AB263" i="50"/>
  <c r="AC263" i="50"/>
  <c r="AE263" i="50"/>
  <c r="AC251" i="50"/>
  <c r="X251" i="50"/>
  <c r="W269" i="50"/>
  <c r="AC269" i="50"/>
  <c r="Y272" i="50"/>
  <c r="AE272" i="50"/>
  <c r="W272" i="50"/>
  <c r="X260" i="50"/>
  <c r="AB260" i="50"/>
  <c r="Y252" i="50"/>
  <c r="X252" i="50"/>
  <c r="AF252" i="50"/>
  <c r="AC261" i="50"/>
  <c r="V261" i="50"/>
  <c r="Z261" i="50"/>
  <c r="AF258" i="50"/>
  <c r="AB258" i="50"/>
  <c r="X270" i="50"/>
  <c r="W270" i="50"/>
  <c r="V259" i="50"/>
  <c r="W259" i="50"/>
  <c r="AE259" i="50"/>
  <c r="Z254" i="50"/>
  <c r="AF254" i="50"/>
  <c r="V254" i="50"/>
  <c r="AD267" i="50"/>
  <c r="AF267" i="50"/>
  <c r="Y265" i="50"/>
  <c r="V268" i="50"/>
  <c r="AC268" i="50"/>
  <c r="AB268" i="50"/>
  <c r="Y266" i="50"/>
  <c r="V266" i="50"/>
  <c r="AE264" i="50"/>
  <c r="Z264" i="50"/>
  <c r="W264" i="50"/>
  <c r="V255" i="50"/>
  <c r="AE255" i="50"/>
  <c r="V262" i="50"/>
  <c r="W262" i="50"/>
  <c r="AB257" i="50"/>
  <c r="W257" i="50"/>
  <c r="AF257" i="50"/>
  <c r="AE273" i="50"/>
  <c r="AB273" i="50"/>
  <c r="AC253" i="50"/>
  <c r="AF253" i="50"/>
  <c r="V256" i="50"/>
  <c r="Y256" i="50"/>
  <c r="AD256" i="50"/>
  <c r="V263" i="50"/>
  <c r="Y263" i="50"/>
  <c r="Z263" i="50"/>
  <c r="W251" i="50"/>
  <c r="V251" i="50"/>
  <c r="X269" i="50"/>
  <c r="Y269" i="50"/>
  <c r="AD269" i="50"/>
  <c r="AC272" i="50"/>
  <c r="AB272" i="50"/>
  <c r="AD272" i="50"/>
  <c r="AE260" i="50"/>
  <c r="Z260" i="50"/>
  <c r="AC260" i="50"/>
  <c r="Z252" i="50"/>
  <c r="AD252" i="50"/>
  <c r="AC252" i="50"/>
  <c r="AF261" i="50"/>
  <c r="AE261" i="50"/>
  <c r="AC258" i="50"/>
  <c r="Y258" i="50"/>
  <c r="AB270" i="50"/>
  <c r="V270" i="50"/>
  <c r="AF270" i="50"/>
  <c r="AC259" i="50"/>
  <c r="AD259" i="50"/>
  <c r="AF259" i="50"/>
  <c r="AB254" i="50"/>
  <c r="W254" i="50"/>
  <c r="X267" i="50"/>
  <c r="AC267" i="50"/>
  <c r="AD265" i="50"/>
  <c r="AC265" i="50"/>
  <c r="W265" i="50"/>
  <c r="AE268" i="50"/>
  <c r="AD268" i="50"/>
  <c r="X268" i="50"/>
  <c r="W266" i="50"/>
  <c r="AD266" i="50"/>
  <c r="X266" i="50"/>
  <c r="Y264" i="50"/>
  <c r="AF264" i="50"/>
  <c r="AD264" i="50"/>
  <c r="AC255" i="50"/>
  <c r="Y255" i="50"/>
  <c r="AE262" i="50"/>
  <c r="Z262" i="50"/>
  <c r="AD262" i="50"/>
  <c r="Z257" i="50"/>
  <c r="AL257" i="50" s="1"/>
  <c r="X257" i="50"/>
  <c r="AE257" i="50"/>
  <c r="V273" i="50"/>
  <c r="AF273" i="50"/>
  <c r="AD253" i="50"/>
  <c r="Y253" i="50"/>
  <c r="X253" i="50"/>
  <c r="AC256" i="50"/>
  <c r="W256" i="50"/>
  <c r="X256" i="50"/>
  <c r="AF263" i="50"/>
  <c r="W263" i="50"/>
  <c r="Z251" i="50"/>
  <c r="AE251" i="50"/>
  <c r="AB251" i="50"/>
  <c r="V269" i="50"/>
  <c r="AB269" i="50"/>
  <c r="AF269" i="50"/>
  <c r="AF272" i="50"/>
  <c r="V272" i="50"/>
  <c r="W260" i="50"/>
  <c r="Y260" i="50"/>
  <c r="AD260" i="50"/>
  <c r="V252" i="50"/>
  <c r="W252" i="50"/>
  <c r="W261" i="50"/>
  <c r="AB261" i="50"/>
  <c r="X258" i="50"/>
  <c r="W258" i="50"/>
  <c r="Z258" i="50"/>
  <c r="Z270" i="50"/>
  <c r="AL270" i="50" s="1"/>
  <c r="Y270" i="50"/>
  <c r="Y259" i="50"/>
  <c r="X259" i="50"/>
  <c r="AC254" i="50"/>
  <c r="AE254" i="50"/>
  <c r="AB267" i="50"/>
  <c r="Y267" i="50"/>
  <c r="AE267" i="50"/>
  <c r="AF265" i="50"/>
  <c r="AE265" i="50"/>
  <c r="Z265" i="50"/>
  <c r="W268" i="50"/>
  <c r="AI268" i="50" s="1"/>
  <c r="Y268" i="50"/>
  <c r="AF266" i="50"/>
  <c r="AB266" i="50"/>
  <c r="AH266" i="50" s="1"/>
  <c r="AN266" i="50" s="1"/>
  <c r="Z266" i="50"/>
  <c r="V264" i="50"/>
  <c r="AC264" i="50"/>
  <c r="X255" i="50"/>
  <c r="Z255" i="50"/>
  <c r="AD255" i="50"/>
  <c r="AB262" i="50"/>
  <c r="Y262" i="50"/>
  <c r="X262" i="50"/>
  <c r="V257" i="50"/>
  <c r="AD257" i="50"/>
  <c r="Z273" i="50"/>
  <c r="Y273" i="50"/>
  <c r="AC273" i="50"/>
  <c r="Z253" i="50"/>
  <c r="V253" i="50"/>
  <c r="AB253" i="50"/>
  <c r="AB256" i="50"/>
  <c r="Z256" i="50"/>
  <c r="X263" i="50"/>
  <c r="AD263" i="50"/>
  <c r="AF251" i="50"/>
  <c r="AD251" i="50"/>
  <c r="Y251" i="50"/>
  <c r="AK251" i="50" s="1"/>
  <c r="AE269" i="50"/>
  <c r="Z269" i="50"/>
  <c r="Z272" i="50"/>
  <c r="X272" i="50"/>
  <c r="AF260" i="50"/>
  <c r="V260" i="50"/>
  <c r="AB252" i="50"/>
  <c r="AE252" i="50"/>
  <c r="X261" i="50"/>
  <c r="Y261" i="50"/>
  <c r="AD261" i="50"/>
  <c r="AD258" i="50"/>
  <c r="AE258" i="50"/>
  <c r="V258" i="50"/>
  <c r="AE270" i="50"/>
  <c r="AC270" i="50"/>
  <c r="AD270" i="50"/>
  <c r="AJ270" i="50" s="1"/>
  <c r="Z259" i="50"/>
  <c r="AB259" i="50"/>
  <c r="AH259" i="50" s="1"/>
  <c r="AN259" i="50" s="1"/>
  <c r="X254" i="50"/>
  <c r="Y254" i="50"/>
  <c r="AD254" i="50"/>
  <c r="Z267" i="50"/>
  <c r="W267" i="50"/>
  <c r="V267" i="50"/>
  <c r="V265" i="50"/>
  <c r="AB265" i="50"/>
  <c r="X265" i="50"/>
  <c r="Z268" i="50"/>
  <c r="AF268" i="50"/>
  <c r="W244" i="50"/>
  <c r="AE238" i="50"/>
  <c r="Y238" i="50"/>
  <c r="Z250" i="50"/>
  <c r="AC245" i="50"/>
  <c r="AF245" i="50"/>
  <c r="AD217" i="50"/>
  <c r="AC217" i="50"/>
  <c r="Y217" i="50"/>
  <c r="AB220" i="50"/>
  <c r="AD220" i="50"/>
  <c r="AD248" i="50"/>
  <c r="X248" i="50"/>
  <c r="Z248" i="50"/>
  <c r="Y221" i="50"/>
  <c r="AF221" i="50"/>
  <c r="AE225" i="50"/>
  <c r="AC225" i="50"/>
  <c r="AC241" i="50"/>
  <c r="AF241" i="50"/>
  <c r="W241" i="50"/>
  <c r="AF249" i="50"/>
  <c r="Z249" i="50"/>
  <c r="X218" i="50"/>
  <c r="AF218" i="50"/>
  <c r="AE218" i="50"/>
  <c r="AF223" i="50"/>
  <c r="Z223" i="50"/>
  <c r="W239" i="50"/>
  <c r="Y239" i="50"/>
  <c r="AE239" i="50"/>
  <c r="Z243" i="50"/>
  <c r="Y243" i="50"/>
  <c r="AF222" i="50"/>
  <c r="Y222" i="50"/>
  <c r="X222" i="50"/>
  <c r="AC226" i="50"/>
  <c r="AD226" i="50"/>
  <c r="AF246" i="50"/>
  <c r="Y246" i="50"/>
  <c r="W246" i="50"/>
  <c r="AF227" i="50"/>
  <c r="V235" i="50"/>
  <c r="Y244" i="50"/>
  <c r="V250" i="50"/>
  <c r="W237" i="50"/>
  <c r="AD224" i="50"/>
  <c r="Z240" i="50"/>
  <c r="Y250" i="50"/>
  <c r="Y237" i="50"/>
  <c r="AB227" i="50"/>
  <c r="Y224" i="50"/>
  <c r="AD244" i="50"/>
  <c r="X227" i="50"/>
  <c r="AE244" i="50"/>
  <c r="X237" i="50"/>
  <c r="AF250" i="50"/>
  <c r="Z224" i="50"/>
  <c r="AE224" i="50"/>
  <c r="X238" i="50"/>
  <c r="AB245" i="50"/>
  <c r="AD245" i="50"/>
  <c r="Y245" i="50"/>
  <c r="X217" i="50"/>
  <c r="Z217" i="50"/>
  <c r="AF220" i="50"/>
  <c r="X220" i="50"/>
  <c r="W220" i="50"/>
  <c r="AB248" i="50"/>
  <c r="Y248" i="50"/>
  <c r="Z221" i="50"/>
  <c r="W221" i="50"/>
  <c r="AC221" i="50"/>
  <c r="Y225" i="50"/>
  <c r="W225" i="50"/>
  <c r="Z241" i="50"/>
  <c r="V241" i="50"/>
  <c r="AE241" i="50"/>
  <c r="AC249" i="50"/>
  <c r="W249" i="50"/>
  <c r="W218" i="50"/>
  <c r="Y218" i="50"/>
  <c r="AD218" i="50"/>
  <c r="AB223" i="50"/>
  <c r="W223" i="50"/>
  <c r="X239" i="50"/>
  <c r="AD239" i="50"/>
  <c r="V239" i="50"/>
  <c r="W243" i="50"/>
  <c r="X243" i="50"/>
  <c r="AD222" i="50"/>
  <c r="AB222" i="50"/>
  <c r="AC222" i="50"/>
  <c r="AE226" i="50"/>
  <c r="AF226" i="50"/>
  <c r="X246" i="50"/>
  <c r="AD246" i="50"/>
  <c r="AC246" i="50"/>
  <c r="W227" i="50"/>
  <c r="X244" i="50"/>
  <c r="AB237" i="50"/>
  <c r="X235" i="50"/>
  <c r="AF224" i="50"/>
  <c r="AC240" i="50"/>
  <c r="X250" i="50"/>
  <c r="AF237" i="50"/>
  <c r="AD238" i="50"/>
  <c r="AC244" i="50"/>
  <c r="Z227" i="50"/>
  <c r="AC250" i="50"/>
  <c r="AE240" i="50"/>
  <c r="V238" i="50"/>
  <c r="W240" i="50"/>
  <c r="Z245" i="50"/>
  <c r="V245" i="50"/>
  <c r="W245" i="50"/>
  <c r="V217" i="50"/>
  <c r="AF217" i="50"/>
  <c r="Z220" i="50"/>
  <c r="AC220" i="50"/>
  <c r="V220" i="50"/>
  <c r="V248" i="50"/>
  <c r="AF248" i="50"/>
  <c r="AB221" i="50"/>
  <c r="V221" i="50"/>
  <c r="AD221" i="50"/>
  <c r="AD225" i="50"/>
  <c r="AF225" i="50"/>
  <c r="Y241" i="50"/>
  <c r="X241" i="50"/>
  <c r="V249" i="50"/>
  <c r="AB249" i="50"/>
  <c r="X249" i="50"/>
  <c r="V218" i="50"/>
  <c r="AB218" i="50"/>
  <c r="Y223" i="50"/>
  <c r="AE223" i="50"/>
  <c r="AD223" i="50"/>
  <c r="Z239" i="50"/>
  <c r="AC239" i="50"/>
  <c r="AE243" i="50"/>
  <c r="AF243" i="50"/>
  <c r="AD243" i="50"/>
  <c r="Z222" i="50"/>
  <c r="V222" i="50"/>
  <c r="V226" i="50"/>
  <c r="W226" i="50"/>
  <c r="Y226" i="50"/>
  <c r="Z246" i="50"/>
  <c r="AB246" i="50"/>
  <c r="V240" i="50"/>
  <c r="AB235" i="50"/>
  <c r="AB240" i="50"/>
  <c r="AF244" i="50"/>
  <c r="W224" i="50"/>
  <c r="AC224" i="50"/>
  <c r="AB244" i="50"/>
  <c r="AB250" i="50"/>
  <c r="AD237" i="50"/>
  <c r="AC238" i="50"/>
  <c r="Y227" i="50"/>
  <c r="X224" i="50"/>
  <c r="AD240" i="50"/>
  <c r="AD250" i="50"/>
  <c r="AC237" i="50"/>
  <c r="W250" i="50"/>
  <c r="V244" i="50"/>
  <c r="V237" i="50"/>
  <c r="X245" i="50"/>
  <c r="AE245" i="50"/>
  <c r="AB217" i="50"/>
  <c r="AE217" i="50"/>
  <c r="W217" i="50"/>
  <c r="AE220" i="50"/>
  <c r="Y220" i="50"/>
  <c r="AC248" i="50"/>
  <c r="AE248" i="50"/>
  <c r="W248" i="50"/>
  <c r="X221" i="50"/>
  <c r="AE221" i="50"/>
  <c r="X225" i="50"/>
  <c r="Z225" i="50"/>
  <c r="V225" i="50"/>
  <c r="AD241" i="50"/>
  <c r="AB241" i="50"/>
  <c r="AE249" i="50"/>
  <c r="AD249" i="50"/>
  <c r="Y249" i="50"/>
  <c r="Z218" i="50"/>
  <c r="AC218" i="50"/>
  <c r="X223" i="50"/>
  <c r="V223" i="50"/>
  <c r="AC223" i="50"/>
  <c r="AB239" i="50"/>
  <c r="AF239" i="50"/>
  <c r="V243" i="50"/>
  <c r="AB243" i="50"/>
  <c r="AC243" i="50"/>
  <c r="AE222" i="50"/>
  <c r="W222" i="50"/>
  <c r="X226" i="50"/>
  <c r="AB226" i="50"/>
  <c r="Z226" i="50"/>
  <c r="V246" i="50"/>
  <c r="AE246" i="50"/>
  <c r="W235" i="50"/>
  <c r="X240" i="50"/>
  <c r="AE250" i="50"/>
  <c r="AE237" i="50"/>
  <c r="AB224" i="50"/>
  <c r="Z244" i="50"/>
  <c r="AB225" i="50"/>
  <c r="W238" i="50"/>
  <c r="V227" i="50"/>
  <c r="V224" i="50"/>
  <c r="AF240" i="50"/>
  <c r="Z237" i="50"/>
  <c r="Y235" i="50"/>
  <c r="Y240" i="50"/>
  <c r="AD227" i="50"/>
  <c r="AD235" i="50"/>
  <c r="V231" i="50"/>
  <c r="W231" i="50"/>
  <c r="AD231" i="50"/>
  <c r="V228" i="50"/>
  <c r="AF228" i="50"/>
  <c r="X228" i="50"/>
  <c r="AE234" i="50"/>
  <c r="AF234" i="50"/>
  <c r="V233" i="50"/>
  <c r="W233" i="50"/>
  <c r="AD232" i="50"/>
  <c r="AE232" i="50"/>
  <c r="AE230" i="50"/>
  <c r="AD230" i="50"/>
  <c r="X230" i="50"/>
  <c r="AF236" i="50"/>
  <c r="Y236" i="50"/>
  <c r="W229" i="50"/>
  <c r="AF229" i="50"/>
  <c r="AD229" i="50"/>
  <c r="AE227" i="50"/>
  <c r="AE235" i="50"/>
  <c r="AC228" i="50"/>
  <c r="X234" i="50"/>
  <c r="AF232" i="50"/>
  <c r="V230" i="50"/>
  <c r="Z236" i="50"/>
  <c r="AE229" i="50"/>
  <c r="AF233" i="50"/>
  <c r="AB238" i="50"/>
  <c r="AC235" i="50"/>
  <c r="AB231" i="50"/>
  <c r="X231" i="50"/>
  <c r="AE228" i="50"/>
  <c r="Y228" i="50"/>
  <c r="W234" i="50"/>
  <c r="V234" i="50"/>
  <c r="Z234" i="50"/>
  <c r="AB233" i="50"/>
  <c r="Z233" i="50"/>
  <c r="Z232" i="50"/>
  <c r="X232" i="50"/>
  <c r="AB230" i="50"/>
  <c r="Z230" i="50"/>
  <c r="AB236" i="50"/>
  <c r="X236" i="50"/>
  <c r="Z229" i="50"/>
  <c r="AC229" i="50"/>
  <c r="Y229" i="50"/>
  <c r="AF235" i="50"/>
  <c r="Z231" i="50"/>
  <c r="Z228" i="50"/>
  <c r="AD234" i="50"/>
  <c r="X233" i="50"/>
  <c r="AB232" i="50"/>
  <c r="AF230" i="50"/>
  <c r="V236" i="50"/>
  <c r="AC227" i="50"/>
  <c r="Z235" i="50"/>
  <c r="Y231" i="50"/>
  <c r="AF231" i="50"/>
  <c r="AB228" i="50"/>
  <c r="AD228" i="50"/>
  <c r="Y234" i="50"/>
  <c r="AC234" i="50"/>
  <c r="AB234" i="50"/>
  <c r="AD233" i="50"/>
  <c r="AE233" i="50"/>
  <c r="Y233" i="50"/>
  <c r="W232" i="50"/>
  <c r="V232" i="50"/>
  <c r="AC232" i="50"/>
  <c r="AC230" i="50"/>
  <c r="W230" i="50"/>
  <c r="W236" i="50"/>
  <c r="AC236" i="50"/>
  <c r="AE236" i="50"/>
  <c r="X229" i="50"/>
  <c r="AB229" i="50"/>
  <c r="AE231" i="50"/>
  <c r="AC231" i="50"/>
  <c r="W228" i="50"/>
  <c r="AC233" i="50"/>
  <c r="Y232" i="50"/>
  <c r="Y230" i="50"/>
  <c r="AD236" i="50"/>
  <c r="V229" i="50"/>
  <c r="AW160" i="50"/>
  <c r="AW162" i="50"/>
  <c r="AW163" i="50"/>
  <c r="BC163" i="50" s="1"/>
  <c r="AW151" i="50"/>
  <c r="BC151" i="50" s="1"/>
  <c r="AW192" i="50"/>
  <c r="AV137" i="50"/>
  <c r="AV143" i="50"/>
  <c r="AV136" i="50"/>
  <c r="AV148" i="50"/>
  <c r="AV138" i="50"/>
  <c r="AU124" i="50"/>
  <c r="AU117" i="50"/>
  <c r="AU122" i="50"/>
  <c r="AU127" i="50"/>
  <c r="AU197" i="50"/>
  <c r="AX175" i="50"/>
  <c r="BD175" i="50" s="1"/>
  <c r="AX174" i="50"/>
  <c r="AX172" i="50"/>
  <c r="AX186" i="50"/>
  <c r="AX173" i="50"/>
  <c r="AT101" i="50"/>
  <c r="AT98" i="50"/>
  <c r="AT106" i="50"/>
  <c r="AT104" i="50"/>
  <c r="AT100" i="50"/>
  <c r="AT281" i="50"/>
  <c r="AT278" i="50"/>
  <c r="AT275" i="50"/>
  <c r="AT280" i="50"/>
  <c r="AW164" i="50"/>
  <c r="AW166" i="50"/>
  <c r="AW165" i="50"/>
  <c r="AW159" i="50"/>
  <c r="AW153" i="50"/>
  <c r="AV141" i="50"/>
  <c r="AV144" i="50"/>
  <c r="AV133" i="50"/>
  <c r="AV150" i="50"/>
  <c r="AV140" i="50"/>
  <c r="AU128" i="50"/>
  <c r="AU118" i="50"/>
  <c r="AU123" i="50"/>
  <c r="AU129" i="50"/>
  <c r="AU190" i="50"/>
  <c r="AX179" i="50"/>
  <c r="AX180" i="50"/>
  <c r="AX170" i="50"/>
  <c r="AX193" i="50"/>
  <c r="AX178" i="50"/>
  <c r="AT105" i="50"/>
  <c r="AT110" i="50"/>
  <c r="AT107" i="50"/>
  <c r="AT196" i="50"/>
  <c r="AT189" i="50"/>
  <c r="AT285" i="50"/>
  <c r="AT282" i="50"/>
  <c r="AT279" i="50"/>
  <c r="AT284" i="50"/>
  <c r="AW152" i="50"/>
  <c r="AW168" i="50"/>
  <c r="AW155" i="50"/>
  <c r="AW158" i="50"/>
  <c r="AW167" i="50"/>
  <c r="AV145" i="50"/>
  <c r="BB145" i="50" s="1"/>
  <c r="AV146" i="50"/>
  <c r="AV134" i="50"/>
  <c r="AV191" i="50"/>
  <c r="AV139" i="50"/>
  <c r="BB139" i="50" s="1"/>
  <c r="AU116" i="50"/>
  <c r="AU132" i="50"/>
  <c r="AU119" i="50"/>
  <c r="AU125" i="50"/>
  <c r="AU130" i="50"/>
  <c r="AX183" i="50"/>
  <c r="AX185" i="50"/>
  <c r="AX176" i="50"/>
  <c r="AX177" i="50"/>
  <c r="AX184" i="50"/>
  <c r="AT109" i="50"/>
  <c r="AZ109" i="50" s="1"/>
  <c r="AT111" i="50"/>
  <c r="AT108" i="50"/>
  <c r="AT103" i="50"/>
  <c r="AZ103" i="50" s="1"/>
  <c r="AT114" i="50"/>
  <c r="AT289" i="50"/>
  <c r="AZ289" i="50" s="1"/>
  <c r="AT286" i="50"/>
  <c r="AT283" i="50"/>
  <c r="AT288" i="50"/>
  <c r="AW156" i="50"/>
  <c r="AW154" i="50"/>
  <c r="AW157" i="50"/>
  <c r="BC157" i="50" s="1"/>
  <c r="AW199" i="50"/>
  <c r="AW161" i="50"/>
  <c r="AV149" i="50"/>
  <c r="AV198" i="50"/>
  <c r="AV147" i="50"/>
  <c r="AV135" i="50"/>
  <c r="AV142" i="50"/>
  <c r="AU120" i="50"/>
  <c r="AU115" i="50"/>
  <c r="BA115" i="50" s="1"/>
  <c r="AU121" i="50"/>
  <c r="BA121" i="50" s="1"/>
  <c r="AU126" i="50"/>
  <c r="AU131" i="50"/>
  <c r="AX171" i="50"/>
  <c r="AX169" i="50"/>
  <c r="BD169" i="50" s="1"/>
  <c r="AX200" i="50"/>
  <c r="AX181" i="50"/>
  <c r="BD181" i="50" s="1"/>
  <c r="AX182" i="50"/>
  <c r="AT97" i="50"/>
  <c r="AZ97" i="50" s="1"/>
  <c r="AT113" i="50"/>
  <c r="AT112" i="50"/>
  <c r="AT102" i="50"/>
  <c r="AT99" i="50"/>
  <c r="AT277" i="50"/>
  <c r="AT274" i="50"/>
  <c r="AT290" i="50"/>
  <c r="AT276" i="50"/>
  <c r="AT287" i="50"/>
  <c r="AT88" i="50"/>
  <c r="AT85" i="50"/>
  <c r="AT90" i="50"/>
  <c r="AT94" i="50"/>
  <c r="AT86" i="50"/>
  <c r="AT253" i="50"/>
  <c r="AT269" i="50"/>
  <c r="AT254" i="50"/>
  <c r="AT270" i="50"/>
  <c r="AT259" i="50"/>
  <c r="AT244" i="50"/>
  <c r="AT260" i="50"/>
  <c r="AU108" i="50"/>
  <c r="AU114" i="50"/>
  <c r="AU111" i="50"/>
  <c r="AU102" i="50"/>
  <c r="AU101" i="50"/>
  <c r="AU284" i="50"/>
  <c r="AU285" i="50"/>
  <c r="AU282" i="50"/>
  <c r="AU283" i="50"/>
  <c r="AW148" i="50"/>
  <c r="AW147" i="50"/>
  <c r="AW146" i="50"/>
  <c r="AW137" i="50"/>
  <c r="AW141" i="50"/>
  <c r="AV127" i="50"/>
  <c r="AV124" i="50"/>
  <c r="AV121" i="50"/>
  <c r="BB121" i="50" s="1"/>
  <c r="AV118" i="50"/>
  <c r="AV130" i="50"/>
  <c r="AX163" i="50"/>
  <c r="BD163" i="50" s="1"/>
  <c r="AX192" i="50"/>
  <c r="AX162" i="50"/>
  <c r="AX152" i="50"/>
  <c r="AX166" i="50"/>
  <c r="AT92" i="50"/>
  <c r="AT89" i="50"/>
  <c r="AT79" i="50"/>
  <c r="AT83" i="50"/>
  <c r="AT195" i="50"/>
  <c r="AT257" i="50"/>
  <c r="AT273" i="50"/>
  <c r="AT258" i="50"/>
  <c r="AT247" i="50"/>
  <c r="AZ247" i="50" s="1"/>
  <c r="AT263" i="50"/>
  <c r="AT248" i="50"/>
  <c r="AT264" i="50"/>
  <c r="AU112" i="50"/>
  <c r="AU98" i="50"/>
  <c r="AU97" i="50"/>
  <c r="BA97" i="50" s="1"/>
  <c r="AU196" i="50"/>
  <c r="AU103" i="50"/>
  <c r="BA103" i="50" s="1"/>
  <c r="AU288" i="50"/>
  <c r="AU289" i="50"/>
  <c r="BA289" i="50" s="1"/>
  <c r="AU275" i="50"/>
  <c r="AU286" i="50"/>
  <c r="AW136" i="50"/>
  <c r="AW139" i="50"/>
  <c r="BC139" i="50" s="1"/>
  <c r="AW150" i="50"/>
  <c r="AW149" i="50"/>
  <c r="AW133" i="50"/>
  <c r="AV115" i="50"/>
  <c r="BB115" i="50" s="1"/>
  <c r="AV131" i="50"/>
  <c r="AV128" i="50"/>
  <c r="AV125" i="50"/>
  <c r="AV126" i="50"/>
  <c r="AX151" i="50"/>
  <c r="BD151" i="50" s="1"/>
  <c r="AX167" i="50"/>
  <c r="AX157" i="50"/>
  <c r="BD157" i="50" s="1"/>
  <c r="AX164" i="50"/>
  <c r="AX158" i="50"/>
  <c r="AT80" i="50"/>
  <c r="AT96" i="50"/>
  <c r="AT93" i="50"/>
  <c r="AT87" i="50"/>
  <c r="AT91" i="50"/>
  <c r="AZ91" i="50" s="1"/>
  <c r="AT245" i="50"/>
  <c r="AT261" i="50"/>
  <c r="AT246" i="50"/>
  <c r="AT262" i="50"/>
  <c r="AT251" i="50"/>
  <c r="AT267" i="50"/>
  <c r="AT252" i="50"/>
  <c r="AT268" i="50"/>
  <c r="AU100" i="50"/>
  <c r="AU99" i="50"/>
  <c r="AU109" i="50"/>
  <c r="BA109" i="50" s="1"/>
  <c r="AU106" i="50"/>
  <c r="AU105" i="50"/>
  <c r="AU276" i="50"/>
  <c r="AU277" i="50"/>
  <c r="AU274" i="50"/>
  <c r="AU279" i="50"/>
  <c r="AU290" i="50"/>
  <c r="AW140" i="50"/>
  <c r="AW142" i="50"/>
  <c r="AW191" i="50"/>
  <c r="AW198" i="50"/>
  <c r="AW135" i="50"/>
  <c r="AV119" i="50"/>
  <c r="AV116" i="50"/>
  <c r="AV132" i="50"/>
  <c r="AV129" i="50"/>
  <c r="AV197" i="50"/>
  <c r="AX155" i="50"/>
  <c r="AX153" i="50"/>
  <c r="AX154" i="50"/>
  <c r="AX165" i="50"/>
  <c r="AX168" i="50"/>
  <c r="AT84" i="50"/>
  <c r="AT81" i="50"/>
  <c r="AT82" i="50"/>
  <c r="AT95" i="50"/>
  <c r="AT188" i="50"/>
  <c r="AT249" i="50"/>
  <c r="AT265" i="50"/>
  <c r="AT250" i="50"/>
  <c r="AT266" i="50"/>
  <c r="AT255" i="50"/>
  <c r="AT271" i="50"/>
  <c r="AZ271" i="50" s="1"/>
  <c r="AT256" i="50"/>
  <c r="AT272" i="50"/>
  <c r="AU104" i="50"/>
  <c r="AU113" i="50"/>
  <c r="AU110" i="50"/>
  <c r="AU189" i="50"/>
  <c r="AU107" i="50"/>
  <c r="AU280" i="50"/>
  <c r="AU281" i="50"/>
  <c r="AU278" i="50"/>
  <c r="AU287" i="50"/>
  <c r="AW144" i="50"/>
  <c r="AW145" i="50"/>
  <c r="BC145" i="50" s="1"/>
  <c r="AW143" i="50"/>
  <c r="AW134" i="50"/>
  <c r="AW138" i="50"/>
  <c r="AV123" i="50"/>
  <c r="AV120" i="50"/>
  <c r="AV117" i="50"/>
  <c r="AV190" i="50"/>
  <c r="AV122" i="50"/>
  <c r="AX159" i="50"/>
  <c r="AX161" i="50"/>
  <c r="AX156" i="50"/>
  <c r="AX199" i="50"/>
  <c r="AX160" i="50"/>
  <c r="AU79" i="50"/>
  <c r="AU258" i="50"/>
  <c r="AU256" i="50"/>
  <c r="AU88" i="50"/>
  <c r="AU259" i="50"/>
  <c r="AU253" i="50"/>
  <c r="AU81" i="50"/>
  <c r="AW118" i="50"/>
  <c r="AW197" i="50"/>
  <c r="AW121" i="50"/>
  <c r="BC121" i="50" s="1"/>
  <c r="AW129" i="50"/>
  <c r="AW119" i="50"/>
  <c r="AV98" i="50"/>
  <c r="AV111" i="50"/>
  <c r="AV112" i="50"/>
  <c r="AV110" i="50"/>
  <c r="AV196" i="50"/>
  <c r="AV275" i="50"/>
  <c r="AV276" i="50"/>
  <c r="AV277" i="50"/>
  <c r="AV282" i="50"/>
  <c r="AV278" i="50"/>
  <c r="AU271" i="50"/>
  <c r="BA271" i="50" s="1"/>
  <c r="AU265" i="50"/>
  <c r="AU188" i="50"/>
  <c r="AU83" i="50"/>
  <c r="AX143" i="50"/>
  <c r="AX141" i="50"/>
  <c r="AX146" i="50"/>
  <c r="AX136" i="50"/>
  <c r="AX150" i="50"/>
  <c r="AV90" i="50"/>
  <c r="AV87" i="50"/>
  <c r="AV88" i="50"/>
  <c r="AV84" i="50"/>
  <c r="AV89" i="50"/>
  <c r="AV255" i="50"/>
  <c r="AV271" i="50"/>
  <c r="BB271" i="50" s="1"/>
  <c r="AV256" i="50"/>
  <c r="AV272" i="50"/>
  <c r="AV257" i="50"/>
  <c r="AV273" i="50"/>
  <c r="AV258" i="50"/>
  <c r="AT68" i="50"/>
  <c r="AT70" i="50"/>
  <c r="AT223" i="50"/>
  <c r="AT72" i="50"/>
  <c r="AT61" i="50"/>
  <c r="AT227" i="50"/>
  <c r="AT76" i="50"/>
  <c r="AT221" i="50"/>
  <c r="AT231" i="50"/>
  <c r="AT65" i="50"/>
  <c r="AT225" i="50"/>
  <c r="AT235" i="50"/>
  <c r="AU262" i="50"/>
  <c r="AU260" i="50"/>
  <c r="AU92" i="50"/>
  <c r="AU273" i="50"/>
  <c r="AU86" i="50"/>
  <c r="AU91" i="50"/>
  <c r="AU270" i="50"/>
  <c r="AU268" i="50"/>
  <c r="AU85" i="50"/>
  <c r="AW122" i="50"/>
  <c r="AW116" i="50"/>
  <c r="AW124" i="50"/>
  <c r="AW132" i="50"/>
  <c r="AW123" i="50"/>
  <c r="AV99" i="50"/>
  <c r="AV100" i="50"/>
  <c r="AV113" i="50"/>
  <c r="AV97" i="50"/>
  <c r="AV109" i="50"/>
  <c r="BB109" i="50" s="1"/>
  <c r="AV279" i="50"/>
  <c r="AV280" i="50"/>
  <c r="AV281" i="50"/>
  <c r="AV290" i="50"/>
  <c r="AU255" i="50"/>
  <c r="AU249" i="50"/>
  <c r="AU90" i="50"/>
  <c r="AX133" i="50"/>
  <c r="AX147" i="50"/>
  <c r="AX142" i="50"/>
  <c r="AX149" i="50"/>
  <c r="AX191" i="50"/>
  <c r="AV94" i="50"/>
  <c r="AV91" i="50"/>
  <c r="AV96" i="50"/>
  <c r="AV81" i="50"/>
  <c r="AV188" i="50"/>
  <c r="AV259" i="50"/>
  <c r="AV244" i="50"/>
  <c r="AV260" i="50"/>
  <c r="AV245" i="50"/>
  <c r="AV261" i="50"/>
  <c r="AV246" i="50"/>
  <c r="AV262" i="50"/>
  <c r="AT69" i="50"/>
  <c r="AT229" i="50"/>
  <c r="AT239" i="50"/>
  <c r="AT73" i="50"/>
  <c r="AT233" i="50"/>
  <c r="AT243" i="50"/>
  <c r="AT77" i="50"/>
  <c r="AT237" i="50"/>
  <c r="AT220" i="50"/>
  <c r="AT66" i="50"/>
  <c r="AT241" i="50"/>
  <c r="AT224" i="50"/>
  <c r="AU246" i="50"/>
  <c r="AU244" i="50"/>
  <c r="AU95" i="50"/>
  <c r="AU263" i="50"/>
  <c r="AU257" i="50"/>
  <c r="AU195" i="50"/>
  <c r="AU254" i="50"/>
  <c r="AU252" i="50"/>
  <c r="AU84" i="50"/>
  <c r="AW126" i="50"/>
  <c r="AW117" i="50"/>
  <c r="AW125" i="50"/>
  <c r="AW190" i="50"/>
  <c r="AW127" i="50"/>
  <c r="AV103" i="50"/>
  <c r="AV101" i="50"/>
  <c r="AV114" i="50"/>
  <c r="AV104" i="50"/>
  <c r="AV189" i="50"/>
  <c r="AV283" i="50"/>
  <c r="AV284" i="50"/>
  <c r="AV285" i="50"/>
  <c r="AV289" i="50"/>
  <c r="BB289" i="50" s="1"/>
  <c r="AU266" i="50"/>
  <c r="AU264" i="50"/>
  <c r="AU96" i="50"/>
  <c r="AX135" i="50"/>
  <c r="AX138" i="50"/>
  <c r="AX144" i="50"/>
  <c r="AX148" i="50"/>
  <c r="AX134" i="50"/>
  <c r="AV82" i="50"/>
  <c r="AV79" i="50"/>
  <c r="AV95" i="50"/>
  <c r="AV85" i="50"/>
  <c r="AV195" i="50"/>
  <c r="AV247" i="50"/>
  <c r="BB247" i="50" s="1"/>
  <c r="AV263" i="50"/>
  <c r="AV248" i="50"/>
  <c r="AV264" i="50"/>
  <c r="AV249" i="50"/>
  <c r="AV265" i="50"/>
  <c r="AV250" i="50"/>
  <c r="AV266" i="50"/>
  <c r="AT74" i="50"/>
  <c r="AT218" i="50"/>
  <c r="AT228" i="50"/>
  <c r="AT187" i="50"/>
  <c r="AT222" i="50"/>
  <c r="AT232" i="50"/>
  <c r="AT63" i="50"/>
  <c r="AT226" i="50"/>
  <c r="AT236" i="50"/>
  <c r="AT71" i="50"/>
  <c r="AT230" i="50"/>
  <c r="AT240" i="50"/>
  <c r="AU267" i="50"/>
  <c r="AU261" i="50"/>
  <c r="AU94" i="50"/>
  <c r="AU247" i="50"/>
  <c r="BA247" i="50" s="1"/>
  <c r="AU272" i="50"/>
  <c r="AU93" i="50"/>
  <c r="AU269" i="50"/>
  <c r="AU89" i="50"/>
  <c r="AU87" i="50"/>
  <c r="AW130" i="50"/>
  <c r="AW120" i="50"/>
  <c r="AW128" i="50"/>
  <c r="AW115" i="50"/>
  <c r="BC115" i="50" s="1"/>
  <c r="AW131" i="50"/>
  <c r="AV107" i="50"/>
  <c r="AV102" i="50"/>
  <c r="AV108" i="50"/>
  <c r="AV106" i="50"/>
  <c r="AV105" i="50"/>
  <c r="AV287" i="50"/>
  <c r="AV288" i="50"/>
  <c r="AV274" i="50"/>
  <c r="AV286" i="50"/>
  <c r="AU250" i="50"/>
  <c r="AU248" i="50"/>
  <c r="AU80" i="50"/>
  <c r="AX139" i="50"/>
  <c r="BD139" i="50" s="1"/>
  <c r="AX140" i="50"/>
  <c r="AX145" i="50"/>
  <c r="BD145" i="50" s="1"/>
  <c r="AX198" i="50"/>
  <c r="AX137" i="50"/>
  <c r="AV86" i="50"/>
  <c r="AV83" i="50"/>
  <c r="AV80" i="50"/>
  <c r="AV93" i="50"/>
  <c r="AV92" i="50"/>
  <c r="AV251" i="50"/>
  <c r="AV267" i="50"/>
  <c r="AV252" i="50"/>
  <c r="AV268" i="50"/>
  <c r="AV253" i="50"/>
  <c r="AV269" i="50"/>
  <c r="AV254" i="50"/>
  <c r="AV270" i="50"/>
  <c r="AT78" i="50"/>
  <c r="AT234" i="50"/>
  <c r="AT217" i="50"/>
  <c r="AT75" i="50"/>
  <c r="AT238" i="50"/>
  <c r="AT62" i="50"/>
  <c r="AT194" i="50"/>
  <c r="AT242" i="50"/>
  <c r="AZ242" i="50" s="1"/>
  <c r="AT64" i="50"/>
  <c r="AT67" i="50"/>
  <c r="AT219" i="50"/>
  <c r="AZ219" i="50" s="1"/>
  <c r="AU251" i="50"/>
  <c r="AU245" i="50"/>
  <c r="AU82" i="50"/>
  <c r="AU71" i="50"/>
  <c r="AW106" i="50"/>
  <c r="AW104" i="50"/>
  <c r="AW101" i="50"/>
  <c r="AW111" i="50"/>
  <c r="AW107" i="50"/>
  <c r="AW286" i="50"/>
  <c r="AW283" i="50"/>
  <c r="AW284" i="50"/>
  <c r="AW281" i="50"/>
  <c r="AU242" i="50"/>
  <c r="BA242" i="50" s="1"/>
  <c r="AU228" i="50"/>
  <c r="AU68" i="50"/>
  <c r="AU243" i="50"/>
  <c r="AU233" i="50"/>
  <c r="AU65" i="50"/>
  <c r="AU239" i="50"/>
  <c r="AU229" i="50"/>
  <c r="AU74" i="50"/>
  <c r="AX125" i="50"/>
  <c r="AX126" i="50"/>
  <c r="AX116" i="50"/>
  <c r="AX128" i="50"/>
  <c r="AX119" i="50"/>
  <c r="AU235" i="50"/>
  <c r="AU225" i="50"/>
  <c r="AU66" i="50"/>
  <c r="AW255" i="50"/>
  <c r="AX129" i="50"/>
  <c r="AX120" i="50"/>
  <c r="AX127" i="50"/>
  <c r="AU219" i="50"/>
  <c r="BA219" i="50" s="1"/>
  <c r="AU232" i="50"/>
  <c r="AW97" i="50"/>
  <c r="AW110" i="50"/>
  <c r="AW105" i="50"/>
  <c r="AW112" i="50"/>
  <c r="AW113" i="50"/>
  <c r="AW274" i="50"/>
  <c r="AW290" i="50"/>
  <c r="AW287" i="50"/>
  <c r="AW285" i="50"/>
  <c r="AW288" i="50"/>
  <c r="AU226" i="50"/>
  <c r="AU70" i="50"/>
  <c r="AU67" i="50"/>
  <c r="AU227" i="50"/>
  <c r="AU240" i="50"/>
  <c r="AU69" i="50"/>
  <c r="AW85" i="50"/>
  <c r="AW86" i="50"/>
  <c r="AW91" i="50"/>
  <c r="AW96" i="50"/>
  <c r="AW79" i="50"/>
  <c r="AW250" i="50"/>
  <c r="AW266" i="50"/>
  <c r="AW271" i="50"/>
  <c r="BC271" i="50" s="1"/>
  <c r="AW256" i="50"/>
  <c r="AW272" i="50"/>
  <c r="AW257" i="50"/>
  <c r="AW273" i="50"/>
  <c r="AU223" i="50"/>
  <c r="AU236" i="50"/>
  <c r="AU76" i="50"/>
  <c r="AX130" i="50"/>
  <c r="AX115" i="50"/>
  <c r="AU72" i="50"/>
  <c r="AW98" i="50"/>
  <c r="AW114" i="50"/>
  <c r="AW99" i="50"/>
  <c r="AW189" i="50"/>
  <c r="AW109" i="50"/>
  <c r="AW278" i="50"/>
  <c r="AW275" i="50"/>
  <c r="AW276" i="50"/>
  <c r="AW277" i="50"/>
  <c r="AU217" i="50"/>
  <c r="AU237" i="50"/>
  <c r="AU187" i="50"/>
  <c r="AU238" i="50"/>
  <c r="AU224" i="50"/>
  <c r="AU64" i="50"/>
  <c r="AU234" i="50"/>
  <c r="AU220" i="50"/>
  <c r="AU75" i="50"/>
  <c r="AX117" i="50"/>
  <c r="AX118" i="50"/>
  <c r="AX132" i="50"/>
  <c r="AX190" i="50"/>
  <c r="AX123" i="50"/>
  <c r="AU230" i="50"/>
  <c r="AU194" i="50"/>
  <c r="AW102" i="50"/>
  <c r="AW103" i="50"/>
  <c r="AW100" i="50"/>
  <c r="AW108" i="50"/>
  <c r="AW196" i="50"/>
  <c r="AW282" i="50"/>
  <c r="AW279" i="50"/>
  <c r="AW280" i="50"/>
  <c r="AW289" i="50"/>
  <c r="BC289" i="50" s="1"/>
  <c r="AU231" i="50"/>
  <c r="AU221" i="50"/>
  <c r="AU77" i="50"/>
  <c r="AU222" i="50"/>
  <c r="AU73" i="50"/>
  <c r="AU63" i="50"/>
  <c r="AU218" i="50"/>
  <c r="AU61" i="50"/>
  <c r="AU62" i="50"/>
  <c r="AX121" i="50"/>
  <c r="AX122" i="50"/>
  <c r="AX197" i="50"/>
  <c r="AX124" i="50"/>
  <c r="AX131" i="50"/>
  <c r="AU241" i="50"/>
  <c r="AU78" i="50"/>
  <c r="AW81" i="50"/>
  <c r="AX88" i="50"/>
  <c r="AX85" i="50"/>
  <c r="AX94" i="50"/>
  <c r="AX188" i="50"/>
  <c r="AX95" i="50"/>
  <c r="AX253" i="50"/>
  <c r="AX269" i="50"/>
  <c r="AX254" i="50"/>
  <c r="AX270" i="50"/>
  <c r="AX259" i="50"/>
  <c r="AX244" i="50"/>
  <c r="AX260" i="50"/>
  <c r="AV217" i="50"/>
  <c r="AV232" i="50"/>
  <c r="AV194" i="50"/>
  <c r="AW265" i="50"/>
  <c r="AW263" i="50"/>
  <c r="AW84" i="50"/>
  <c r="AX97" i="50"/>
  <c r="AX113" i="50"/>
  <c r="AX102" i="50"/>
  <c r="AX114" i="50"/>
  <c r="AX189" i="50"/>
  <c r="AX277" i="50"/>
  <c r="AX274" i="50"/>
  <c r="AX290" i="50"/>
  <c r="AX288" i="50"/>
  <c r="AX284" i="50"/>
  <c r="AV221" i="50"/>
  <c r="AV65" i="50"/>
  <c r="AV66" i="50"/>
  <c r="AW244" i="50"/>
  <c r="AW95" i="50"/>
  <c r="AW89" i="50"/>
  <c r="AV224" i="50"/>
  <c r="AV62" i="50"/>
  <c r="AV73" i="50"/>
  <c r="AV218" i="50"/>
  <c r="AV231" i="50"/>
  <c r="AV71" i="50"/>
  <c r="AW252" i="50"/>
  <c r="AW246" i="50"/>
  <c r="AW82" i="50"/>
  <c r="AW227" i="50"/>
  <c r="AV69" i="50"/>
  <c r="AV74" i="50"/>
  <c r="AX92" i="50"/>
  <c r="AX89" i="50"/>
  <c r="AX83" i="50"/>
  <c r="AX87" i="50"/>
  <c r="AX195" i="50"/>
  <c r="AX257" i="50"/>
  <c r="AX273" i="50"/>
  <c r="AX258" i="50"/>
  <c r="AX247" i="50"/>
  <c r="BD247" i="50" s="1"/>
  <c r="AX263" i="50"/>
  <c r="AX248" i="50"/>
  <c r="AX264" i="50"/>
  <c r="AV230" i="50"/>
  <c r="AV243" i="50"/>
  <c r="AV72" i="50"/>
  <c r="AW249" i="50"/>
  <c r="AW247" i="50"/>
  <c r="BC247" i="50" s="1"/>
  <c r="AW80" i="50"/>
  <c r="AX101" i="50"/>
  <c r="AX106" i="50"/>
  <c r="AX103" i="50"/>
  <c r="AX196" i="50"/>
  <c r="AX98" i="50"/>
  <c r="AX281" i="50"/>
  <c r="AX278" i="50"/>
  <c r="AX275" i="50"/>
  <c r="AX276" i="50"/>
  <c r="AV242" i="50"/>
  <c r="BB242" i="50" s="1"/>
  <c r="AV228" i="50"/>
  <c r="AV68" i="50"/>
  <c r="AW261" i="50"/>
  <c r="AW259" i="50"/>
  <c r="AW87" i="50"/>
  <c r="AV219" i="50"/>
  <c r="BB219" i="50" s="1"/>
  <c r="AV222" i="50"/>
  <c r="AV75" i="50"/>
  <c r="AV229" i="50"/>
  <c r="AV187" i="50"/>
  <c r="AW269" i="50"/>
  <c r="AW267" i="50"/>
  <c r="AW92" i="50"/>
  <c r="AW225" i="50"/>
  <c r="AV220" i="50"/>
  <c r="AW262" i="50"/>
  <c r="AX80" i="50"/>
  <c r="AX96" i="50"/>
  <c r="AX93" i="50"/>
  <c r="AX91" i="50"/>
  <c r="AX82" i="50"/>
  <c r="AX245" i="50"/>
  <c r="AX261" i="50"/>
  <c r="AX246" i="50"/>
  <c r="AX262" i="50"/>
  <c r="AX251" i="50"/>
  <c r="AX267" i="50"/>
  <c r="AX252" i="50"/>
  <c r="AX268" i="50"/>
  <c r="AV241" i="50"/>
  <c r="AV227" i="50"/>
  <c r="AV67" i="50"/>
  <c r="AW264" i="50"/>
  <c r="AW258" i="50"/>
  <c r="AW94" i="50"/>
  <c r="AX105" i="50"/>
  <c r="AX107" i="50"/>
  <c r="AX104" i="50"/>
  <c r="AX110" i="50"/>
  <c r="AX100" i="50"/>
  <c r="AX285" i="50"/>
  <c r="AX282" i="50"/>
  <c r="AX279" i="50"/>
  <c r="AX287" i="50"/>
  <c r="AV226" i="50"/>
  <c r="AV239" i="50"/>
  <c r="AV64" i="50"/>
  <c r="AW245" i="50"/>
  <c r="AW270" i="50"/>
  <c r="AW188" i="50"/>
  <c r="AV238" i="50"/>
  <c r="AV77" i="50"/>
  <c r="AV240" i="50"/>
  <c r="AW237" i="50"/>
  <c r="AV236" i="50"/>
  <c r="AV61" i="50"/>
  <c r="AW253" i="50"/>
  <c r="AW251" i="50"/>
  <c r="AW88" i="50"/>
  <c r="AW243" i="50"/>
  <c r="AV234" i="50"/>
  <c r="AW83" i="50"/>
  <c r="AX84" i="50"/>
  <c r="AX81" i="50"/>
  <c r="AX86" i="50"/>
  <c r="AX90" i="50"/>
  <c r="AX79" i="50"/>
  <c r="AX249" i="50"/>
  <c r="AX265" i="50"/>
  <c r="AX250" i="50"/>
  <c r="AX266" i="50"/>
  <c r="AX255" i="50"/>
  <c r="AX271" i="50"/>
  <c r="BD271" i="50" s="1"/>
  <c r="AX256" i="50"/>
  <c r="AX272" i="50"/>
  <c r="AV225" i="50"/>
  <c r="AV76" i="50"/>
  <c r="AV70" i="50"/>
  <c r="AW248" i="50"/>
  <c r="AW195" i="50"/>
  <c r="AW93" i="50"/>
  <c r="AX109" i="50"/>
  <c r="AX108" i="50"/>
  <c r="AX99" i="50"/>
  <c r="AX112" i="50"/>
  <c r="AX111" i="50"/>
  <c r="AX289" i="50"/>
  <c r="BD289" i="50" s="1"/>
  <c r="AX286" i="50"/>
  <c r="AX283" i="50"/>
  <c r="AX280" i="50"/>
  <c r="AV237" i="50"/>
  <c r="AV223" i="50"/>
  <c r="AV63" i="50"/>
  <c r="AW260" i="50"/>
  <c r="AW254" i="50"/>
  <c r="AW90" i="50"/>
  <c r="AV233" i="50"/>
  <c r="AV78" i="50"/>
  <c r="AV235" i="50"/>
  <c r="AW69" i="50"/>
  <c r="AW66" i="50"/>
  <c r="AW67" i="50"/>
  <c r="AW63" i="50"/>
  <c r="AW194" i="50"/>
  <c r="AW222" i="50"/>
  <c r="AW238" i="50"/>
  <c r="AW232" i="50"/>
  <c r="AW241" i="50"/>
  <c r="AW268" i="50"/>
  <c r="AW73" i="50"/>
  <c r="AW228" i="50"/>
  <c r="AW218" i="50"/>
  <c r="AW62" i="50"/>
  <c r="AW224" i="50"/>
  <c r="AW61" i="50"/>
  <c r="AW77" i="50"/>
  <c r="AW236" i="50"/>
  <c r="AW226" i="50"/>
  <c r="AW70" i="50"/>
  <c r="AW239" i="50"/>
  <c r="AW68" i="50"/>
  <c r="AW65" i="50"/>
  <c r="AW235" i="50"/>
  <c r="AW187" i="50"/>
  <c r="AW220" i="50"/>
  <c r="AW76" i="50"/>
  <c r="AW223" i="50"/>
  <c r="AW72" i="50"/>
  <c r="AW233" i="50"/>
  <c r="AW219" i="50"/>
  <c r="BC219" i="50" s="1"/>
  <c r="AW64" i="50"/>
  <c r="AW217" i="50"/>
  <c r="AW231" i="50"/>
  <c r="AW71" i="50"/>
  <c r="AW221" i="50"/>
  <c r="AW234" i="50"/>
  <c r="AW78" i="50"/>
  <c r="AW240" i="50"/>
  <c r="AW230" i="50"/>
  <c r="AW74" i="50"/>
  <c r="AW229" i="50"/>
  <c r="AW242" i="50"/>
  <c r="BC242" i="50" s="1"/>
  <c r="AW75" i="50"/>
  <c r="AX68" i="50"/>
  <c r="AX242" i="50"/>
  <c r="BD242" i="50" s="1"/>
  <c r="AX61" i="50"/>
  <c r="AX64" i="50"/>
  <c r="AX238" i="50"/>
  <c r="BD238" i="50" s="1"/>
  <c r="AX74" i="50"/>
  <c r="AX217" i="50"/>
  <c r="AX234" i="50"/>
  <c r="AX63" i="50"/>
  <c r="AX235" i="50"/>
  <c r="AX225" i="50"/>
  <c r="AX69" i="50"/>
  <c r="AX236" i="50"/>
  <c r="AX226" i="50"/>
  <c r="AX67" i="50"/>
  <c r="AX232" i="50"/>
  <c r="AX222" i="50"/>
  <c r="AX187" i="50"/>
  <c r="AX228" i="50"/>
  <c r="AX218" i="50"/>
  <c r="AX78" i="50"/>
  <c r="AX219" i="50"/>
  <c r="BD219" i="50" s="1"/>
  <c r="AX194" i="50"/>
  <c r="AX220" i="50"/>
  <c r="AX237" i="50"/>
  <c r="AX62" i="50"/>
  <c r="AX243" i="50"/>
  <c r="AX233" i="50"/>
  <c r="AX77" i="50"/>
  <c r="AX239" i="50"/>
  <c r="AX229" i="50"/>
  <c r="AX73" i="50"/>
  <c r="AX240" i="50"/>
  <c r="AX230" i="50"/>
  <c r="AX75" i="50"/>
  <c r="AX231" i="50"/>
  <c r="AX221" i="50"/>
  <c r="AX65" i="50"/>
  <c r="AX227" i="50"/>
  <c r="AX66" i="50"/>
  <c r="AX76" i="50"/>
  <c r="AX223" i="50"/>
  <c r="AX71" i="50"/>
  <c r="AX72" i="50"/>
  <c r="AX224" i="50"/>
  <c r="AX241" i="50"/>
  <c r="AX70" i="50"/>
  <c r="X60" i="42"/>
  <c r="AZ170" i="50"/>
  <c r="AZ171" i="50"/>
  <c r="AZ169" i="50"/>
  <c r="AZ172" i="50"/>
  <c r="AZ190" i="50"/>
  <c r="AZ174" i="50"/>
  <c r="AZ191" i="50"/>
  <c r="AZ173" i="50"/>
  <c r="AZ193" i="50"/>
  <c r="AZ192" i="50"/>
  <c r="BA173" i="50"/>
  <c r="BA163" i="50"/>
  <c r="BA180" i="50"/>
  <c r="BA200" i="50"/>
  <c r="BA171" i="50"/>
  <c r="BA178" i="50"/>
  <c r="BA193" i="50"/>
  <c r="BA169" i="50"/>
  <c r="BA164" i="50"/>
  <c r="BA175" i="50"/>
  <c r="BA181" i="50"/>
  <c r="BA166" i="50"/>
  <c r="BA160" i="50"/>
  <c r="BA176" i="50"/>
  <c r="BA177" i="50"/>
  <c r="BA172" i="50"/>
  <c r="BA186" i="50"/>
  <c r="BA162" i="50"/>
  <c r="BA198" i="50"/>
  <c r="BA184" i="50"/>
  <c r="BA199" i="50"/>
  <c r="BA191" i="50"/>
  <c r="BA174" i="50"/>
  <c r="BA182" i="50"/>
  <c r="BA165" i="50"/>
  <c r="BA170" i="50"/>
  <c r="BA183" i="50"/>
  <c r="BA185" i="50"/>
  <c r="BA168" i="50"/>
  <c r="BA179" i="50"/>
  <c r="BA167" i="50"/>
  <c r="BA159" i="50"/>
  <c r="BA161" i="50"/>
  <c r="BA192" i="50"/>
  <c r="BC181" i="50"/>
  <c r="BC182" i="50"/>
  <c r="BC200" i="50"/>
  <c r="BC174" i="50"/>
  <c r="BC193" i="50"/>
  <c r="BC175" i="50"/>
  <c r="BC185" i="50"/>
  <c r="BC169" i="50"/>
  <c r="BC179" i="50"/>
  <c r="BC183" i="50"/>
  <c r="BC178" i="50"/>
  <c r="BC172" i="50"/>
  <c r="BC177" i="50"/>
  <c r="BC186" i="50"/>
  <c r="BC173" i="50"/>
  <c r="BC180" i="50"/>
  <c r="BC176" i="50"/>
  <c r="BC184" i="50"/>
  <c r="BC170" i="50"/>
  <c r="BC171" i="50"/>
  <c r="BB164" i="50"/>
  <c r="BB183" i="50"/>
  <c r="BB161" i="50"/>
  <c r="BB199" i="50"/>
  <c r="BB169" i="50"/>
  <c r="BB180" i="50"/>
  <c r="BB200" i="50"/>
  <c r="BB177" i="50"/>
  <c r="BB175" i="50"/>
  <c r="BB165" i="50"/>
  <c r="BB192" i="50"/>
  <c r="BB167" i="50"/>
  <c r="BB162" i="50"/>
  <c r="BB163" i="50"/>
  <c r="BB185" i="50"/>
  <c r="BB171" i="50"/>
  <c r="BB176" i="50"/>
  <c r="BB178" i="50"/>
  <c r="BB181" i="50"/>
  <c r="BB173" i="50"/>
  <c r="BB160" i="50"/>
  <c r="BB168" i="50"/>
  <c r="BB186" i="50"/>
  <c r="BB170" i="50"/>
  <c r="BB166" i="50"/>
  <c r="BB179" i="50"/>
  <c r="BB184" i="50"/>
  <c r="BB182" i="50"/>
  <c r="BB172" i="50"/>
  <c r="BB159" i="50"/>
  <c r="BB174" i="50"/>
  <c r="BB193" i="50"/>
  <c r="AC197" i="50"/>
  <c r="Y162" i="50"/>
  <c r="X197" i="50"/>
  <c r="AF167" i="50"/>
  <c r="AE162" i="50"/>
  <c r="AF166" i="50"/>
  <c r="AF173" i="50"/>
  <c r="Y168" i="50"/>
  <c r="Y166" i="50"/>
  <c r="AE168" i="50"/>
  <c r="AE161" i="50"/>
  <c r="AF174" i="50"/>
  <c r="Z191" i="50"/>
  <c r="Z166" i="50"/>
  <c r="AF182" i="50"/>
  <c r="Z184" i="50"/>
  <c r="Z168" i="50"/>
  <c r="AF196" i="50"/>
  <c r="AE159" i="50"/>
  <c r="AF184" i="50"/>
  <c r="AC196" i="50"/>
  <c r="Y199" i="50"/>
  <c r="AE167" i="50"/>
  <c r="AE197" i="50"/>
  <c r="AF165" i="50"/>
  <c r="AF190" i="50"/>
  <c r="AD191" i="50"/>
  <c r="AF198" i="50"/>
  <c r="AF191" i="50"/>
  <c r="Z177" i="50"/>
  <c r="Z200" i="50"/>
  <c r="Z161" i="50"/>
  <c r="AE192" i="50"/>
  <c r="Z162" i="50"/>
  <c r="AF200" i="50"/>
  <c r="Z173" i="50"/>
  <c r="Z167" i="50"/>
  <c r="AF161" i="50"/>
  <c r="AF192" i="50"/>
  <c r="Z198" i="50"/>
  <c r="AF177" i="50"/>
  <c r="AD197" i="50"/>
  <c r="AB189" i="50"/>
  <c r="Y190" i="50"/>
  <c r="Y197" i="50"/>
  <c r="V189" i="50"/>
  <c r="Y189" i="50"/>
  <c r="X198" i="50"/>
  <c r="Y159" i="50"/>
  <c r="AE196" i="50"/>
  <c r="X189" i="50"/>
  <c r="Y167" i="50"/>
  <c r="AF171" i="50"/>
  <c r="Z165" i="50"/>
  <c r="AD190" i="50"/>
  <c r="AE198" i="50"/>
  <c r="AF162" i="50"/>
  <c r="Y192" i="50"/>
  <c r="Y191" i="50"/>
  <c r="AF168" i="50"/>
  <c r="Z178" i="50"/>
  <c r="Z199" i="50"/>
  <c r="AF172" i="50"/>
  <c r="Z186" i="50"/>
  <c r="W189" i="50"/>
  <c r="AB196" i="50"/>
  <c r="Z182" i="50"/>
  <c r="AL182" i="50" s="1"/>
  <c r="AR182" i="50" s="1"/>
  <c r="AF193" i="50"/>
  <c r="AE165" i="50"/>
  <c r="AE199" i="50"/>
  <c r="AD198" i="50"/>
  <c r="AF178" i="50"/>
  <c r="Y196" i="50"/>
  <c r="V196" i="50"/>
  <c r="AH196" i="50" s="1"/>
  <c r="AN196" i="50" s="1"/>
  <c r="AF189" i="50"/>
  <c r="Z192" i="50"/>
  <c r="Z172" i="50"/>
  <c r="AF199" i="50"/>
  <c r="X191" i="50"/>
  <c r="AJ191" i="50" s="1"/>
  <c r="AP191" i="50" s="1"/>
  <c r="AE191" i="50"/>
  <c r="AC190" i="50"/>
  <c r="AD189" i="50"/>
  <c r="Z171" i="50"/>
  <c r="AE166" i="50"/>
  <c r="W190" i="50"/>
  <c r="AD196" i="50"/>
  <c r="Z189" i="50"/>
  <c r="Y161" i="50"/>
  <c r="Y165" i="50"/>
  <c r="Z183" i="50"/>
  <c r="Z174" i="50"/>
  <c r="Z196" i="50"/>
  <c r="Z179" i="50"/>
  <c r="Z159" i="50"/>
  <c r="AF179" i="50"/>
  <c r="AE189" i="50"/>
  <c r="W196" i="50"/>
  <c r="AE190" i="50"/>
  <c r="Z197" i="50"/>
  <c r="Y198" i="50"/>
  <c r="AF183" i="50"/>
  <c r="AF197" i="50"/>
  <c r="AC189" i="50"/>
  <c r="W197" i="50"/>
  <c r="Z190" i="50"/>
  <c r="Z164" i="50"/>
  <c r="Z185" i="50"/>
  <c r="AE160" i="50"/>
  <c r="AF180" i="50"/>
  <c r="X196" i="50"/>
  <c r="Z170" i="50"/>
  <c r="Z180" i="50"/>
  <c r="Z193" i="50"/>
  <c r="AF159" i="50"/>
  <c r="AF185" i="50"/>
  <c r="Y164" i="50"/>
  <c r="AF170" i="50"/>
  <c r="Z160" i="50"/>
  <c r="Z176" i="50"/>
  <c r="AF186" i="50"/>
  <c r="AE164" i="50"/>
  <c r="AF160" i="50"/>
  <c r="AF176" i="50"/>
  <c r="AF164" i="50"/>
  <c r="Y160" i="50"/>
  <c r="X190" i="50"/>
  <c r="AC188" i="50"/>
  <c r="AD188" i="50"/>
  <c r="Y188" i="50"/>
  <c r="AC195" i="50"/>
  <c r="V195" i="50"/>
  <c r="W195" i="50"/>
  <c r="AF188" i="50"/>
  <c r="V188" i="50"/>
  <c r="X195" i="50"/>
  <c r="Y195" i="50"/>
  <c r="AF195" i="50"/>
  <c r="Z188" i="50"/>
  <c r="AB188" i="50"/>
  <c r="AB195" i="50"/>
  <c r="AE195" i="50"/>
  <c r="AE188" i="50"/>
  <c r="X188" i="50"/>
  <c r="W188" i="50"/>
  <c r="AD195" i="50"/>
  <c r="Z195" i="50"/>
  <c r="V194" i="50"/>
  <c r="AF194" i="50"/>
  <c r="AD194" i="50"/>
  <c r="AD187" i="50"/>
  <c r="X187" i="50"/>
  <c r="Y187" i="50"/>
  <c r="AB194" i="50"/>
  <c r="AE194" i="50"/>
  <c r="W194" i="50"/>
  <c r="AB187" i="50"/>
  <c r="V187" i="50"/>
  <c r="AC194" i="50"/>
  <c r="X194" i="50"/>
  <c r="Z187" i="50"/>
  <c r="AF187" i="50"/>
  <c r="Y194" i="50"/>
  <c r="Z194" i="50"/>
  <c r="W187" i="50"/>
  <c r="AC187" i="50"/>
  <c r="AE187" i="50"/>
  <c r="V113" i="50"/>
  <c r="V114" i="50"/>
  <c r="AB114" i="50"/>
  <c r="AZ151" i="50"/>
  <c r="AZ154" i="50"/>
  <c r="AZ152" i="50"/>
  <c r="AZ155" i="50"/>
  <c r="AZ137" i="50"/>
  <c r="AZ120" i="50"/>
  <c r="AZ134" i="50"/>
  <c r="AZ118" i="50"/>
  <c r="AZ136" i="50"/>
  <c r="AZ135" i="50"/>
  <c r="AZ119" i="50"/>
  <c r="X148" i="50"/>
  <c r="AE154" i="50"/>
  <c r="AF153" i="50"/>
  <c r="X146" i="50"/>
  <c r="Y155" i="50"/>
  <c r="Y148" i="50"/>
  <c r="Z152" i="50"/>
  <c r="AE148" i="50"/>
  <c r="AE147" i="50"/>
  <c r="AE150" i="50"/>
  <c r="Z148" i="50"/>
  <c r="AF152" i="50"/>
  <c r="Y152" i="50"/>
  <c r="Y150" i="50"/>
  <c r="Z146" i="50"/>
  <c r="AF149" i="50"/>
  <c r="Z153" i="50"/>
  <c r="Z150" i="50"/>
  <c r="Z144" i="50"/>
  <c r="Z149" i="50"/>
  <c r="Z155" i="50"/>
  <c r="Y144" i="50"/>
  <c r="Z154" i="50"/>
  <c r="AE149" i="50"/>
  <c r="AD144" i="50"/>
  <c r="AD149" i="50"/>
  <c r="X150" i="50"/>
  <c r="AF155" i="50"/>
  <c r="AE144" i="50"/>
  <c r="Y154" i="50"/>
  <c r="Y153" i="50"/>
  <c r="X147" i="50"/>
  <c r="Y147" i="50"/>
  <c r="AF154" i="50"/>
  <c r="AF144" i="50"/>
  <c r="AD148" i="50"/>
  <c r="AD147" i="50"/>
  <c r="AE156" i="50"/>
  <c r="AF156" i="50"/>
  <c r="Y146" i="50"/>
  <c r="AF150" i="50"/>
  <c r="Y156" i="50"/>
  <c r="Z156" i="50"/>
  <c r="Y158" i="50"/>
  <c r="Y149" i="50"/>
  <c r="X144" i="50"/>
  <c r="AE158" i="50"/>
  <c r="AD146" i="50"/>
  <c r="AE155" i="50"/>
  <c r="AF147" i="50"/>
  <c r="AF146" i="50"/>
  <c r="AE146" i="50"/>
  <c r="AD150" i="50"/>
  <c r="AE153" i="50"/>
  <c r="AF148" i="50"/>
  <c r="X149" i="50"/>
  <c r="Z147" i="50"/>
  <c r="Z158" i="50"/>
  <c r="AE152" i="50"/>
  <c r="AF158" i="50"/>
  <c r="Z141" i="50"/>
  <c r="Z143" i="50"/>
  <c r="AF142" i="50"/>
  <c r="X142" i="50"/>
  <c r="AF141" i="50"/>
  <c r="AE141" i="50"/>
  <c r="X143" i="50"/>
  <c r="AD143" i="50"/>
  <c r="Z142" i="50"/>
  <c r="Y142" i="50"/>
  <c r="Y141" i="50"/>
  <c r="AD141" i="50"/>
  <c r="Y143" i="50"/>
  <c r="AF143" i="50"/>
  <c r="AE142" i="50"/>
  <c r="X141" i="50"/>
  <c r="AE143" i="50"/>
  <c r="AD142" i="50"/>
  <c r="Z138" i="50"/>
  <c r="AD140" i="50"/>
  <c r="AE140" i="50"/>
  <c r="X138" i="50"/>
  <c r="AE138" i="50"/>
  <c r="Z140" i="50"/>
  <c r="AF140" i="50"/>
  <c r="Y138" i="50"/>
  <c r="AD138" i="50"/>
  <c r="X140" i="50"/>
  <c r="AF138" i="50"/>
  <c r="Y140" i="50"/>
  <c r="AD119" i="50"/>
  <c r="X119" i="50"/>
  <c r="AE117" i="50"/>
  <c r="AC101" i="50"/>
  <c r="AD130" i="50"/>
  <c r="V110" i="50"/>
  <c r="AE130" i="50"/>
  <c r="AB98" i="50"/>
  <c r="X112" i="50"/>
  <c r="X116" i="50"/>
  <c r="Y119" i="50"/>
  <c r="Y117" i="50"/>
  <c r="AB102" i="50"/>
  <c r="AC111" i="50"/>
  <c r="AD108" i="50"/>
  <c r="AE137" i="50"/>
  <c r="AB110" i="50"/>
  <c r="AD122" i="50"/>
  <c r="W102" i="50"/>
  <c r="AC110" i="50"/>
  <c r="Y122" i="50"/>
  <c r="AE118" i="50"/>
  <c r="AC99" i="50"/>
  <c r="W117" i="50"/>
  <c r="AE123" i="50"/>
  <c r="AC102" i="50"/>
  <c r="V112" i="50"/>
  <c r="W114" i="50"/>
  <c r="X118" i="50"/>
  <c r="AB105" i="50"/>
  <c r="X111" i="50"/>
  <c r="V100" i="50"/>
  <c r="X114" i="50"/>
  <c r="AD111" i="50"/>
  <c r="X108" i="50"/>
  <c r="Y130" i="50"/>
  <c r="AC107" i="50"/>
  <c r="W111" i="50"/>
  <c r="AI111" i="50" s="1"/>
  <c r="X117" i="50"/>
  <c r="V108" i="50"/>
  <c r="X107" i="50"/>
  <c r="V111" i="50"/>
  <c r="X137" i="50"/>
  <c r="AC108" i="50"/>
  <c r="V104" i="50"/>
  <c r="AC128" i="50"/>
  <c r="X129" i="50"/>
  <c r="X130" i="50"/>
  <c r="X110" i="50"/>
  <c r="W113" i="50"/>
  <c r="W122" i="50"/>
  <c r="AD120" i="50"/>
  <c r="X122" i="50"/>
  <c r="AB104" i="50"/>
  <c r="AE116" i="50"/>
  <c r="AE119" i="50"/>
  <c r="W106" i="50"/>
  <c r="AC118" i="50"/>
  <c r="W101" i="50"/>
  <c r="AC119" i="50"/>
  <c r="AC129" i="50"/>
  <c r="AC104" i="50"/>
  <c r="AC112" i="50"/>
  <c r="AD116" i="50"/>
  <c r="W130" i="50"/>
  <c r="AC105" i="50"/>
  <c r="AC117" i="50"/>
  <c r="X106" i="50"/>
  <c r="Y116" i="50"/>
  <c r="Y123" i="50"/>
  <c r="AC98" i="50"/>
  <c r="W108" i="50"/>
  <c r="AD136" i="50"/>
  <c r="W107" i="50"/>
  <c r="X113" i="50"/>
  <c r="AD129" i="50"/>
  <c r="V107" i="50"/>
  <c r="AD113" i="50"/>
  <c r="AD123" i="50"/>
  <c r="AB113" i="50"/>
  <c r="AB106" i="50"/>
  <c r="V101" i="50"/>
  <c r="W98" i="50"/>
  <c r="W118" i="50"/>
  <c r="V99" i="50"/>
  <c r="V98" i="50"/>
  <c r="AC120" i="50"/>
  <c r="AE122" i="50"/>
  <c r="AB108" i="50"/>
  <c r="Y120" i="50"/>
  <c r="AB112" i="50"/>
  <c r="W128" i="50"/>
  <c r="W119" i="50"/>
  <c r="W100" i="50"/>
  <c r="AC106" i="50"/>
  <c r="W112" i="50"/>
  <c r="AC116" i="50"/>
  <c r="W99" i="50"/>
  <c r="AD117" i="50"/>
  <c r="AD112" i="50"/>
  <c r="Y118" i="50"/>
  <c r="V102" i="50"/>
  <c r="AD110" i="50"/>
  <c r="AD137" i="50"/>
  <c r="AC123" i="50"/>
  <c r="AC113" i="50"/>
  <c r="AB107" i="50"/>
  <c r="W105" i="50"/>
  <c r="AC100" i="50"/>
  <c r="X136" i="50"/>
  <c r="AE120" i="50"/>
  <c r="W123" i="50"/>
  <c r="W104" i="50"/>
  <c r="W120" i="50"/>
  <c r="W129" i="50"/>
  <c r="W110" i="50"/>
  <c r="X120" i="50"/>
  <c r="AC122" i="50"/>
  <c r="AC130" i="50"/>
  <c r="V105" i="50"/>
  <c r="AB100" i="50"/>
  <c r="V106" i="50"/>
  <c r="AC114" i="50"/>
  <c r="W116" i="50"/>
  <c r="AB101" i="50"/>
  <c r="AB111" i="50"/>
  <c r="X123" i="50"/>
  <c r="AD114" i="50"/>
  <c r="AB99" i="50"/>
  <c r="AD106" i="50"/>
  <c r="AD118" i="50"/>
  <c r="AD107" i="50"/>
  <c r="Y137" i="50"/>
  <c r="AB93" i="50"/>
  <c r="AB89" i="50"/>
  <c r="AB92" i="50"/>
  <c r="AB94" i="50"/>
  <c r="V93" i="50"/>
  <c r="V89" i="50"/>
  <c r="V92" i="50"/>
  <c r="V94" i="50"/>
  <c r="V95" i="50"/>
  <c r="V90" i="50"/>
  <c r="V96" i="50"/>
  <c r="V88" i="50"/>
  <c r="AB95" i="50"/>
  <c r="AB90" i="50"/>
  <c r="AB96" i="50"/>
  <c r="AB88" i="50"/>
  <c r="AV65" i="42"/>
  <c r="BL65" i="42" s="1"/>
  <c r="Z65" i="42"/>
  <c r="X65" i="42"/>
  <c r="Y65" i="42"/>
  <c r="AV62" i="42"/>
  <c r="BL62" i="42" s="1"/>
  <c r="AV64" i="42"/>
  <c r="BL64" i="42" s="1"/>
  <c r="AV61" i="42"/>
  <c r="BL61" i="42" s="1"/>
  <c r="AV63" i="42"/>
  <c r="BL63" i="42" s="1"/>
  <c r="AG61" i="42"/>
  <c r="AG65" i="42"/>
  <c r="AH61" i="42"/>
  <c r="AD65" i="42"/>
  <c r="AF65" i="42"/>
  <c r="AH65" i="42"/>
  <c r="AF61" i="42"/>
  <c r="AE61" i="42"/>
  <c r="AE65" i="42"/>
  <c r="AD61" i="42"/>
  <c r="AF64" i="42"/>
  <c r="AH62" i="42"/>
  <c r="AF63" i="42"/>
  <c r="AE64" i="42"/>
  <c r="AH63" i="42"/>
  <c r="AG63" i="42"/>
  <c r="AD62" i="42"/>
  <c r="AE62" i="42"/>
  <c r="AF62" i="42"/>
  <c r="AG64" i="42"/>
  <c r="AG62" i="42"/>
  <c r="AD63" i="42"/>
  <c r="AH64" i="42"/>
  <c r="AE63" i="42"/>
  <c r="AD64" i="42"/>
  <c r="AD60" i="42"/>
  <c r="AF60" i="42"/>
  <c r="AG60" i="42"/>
  <c r="AE60" i="42"/>
  <c r="AH60" i="42"/>
  <c r="AW65" i="42"/>
  <c r="BM65" i="42" s="1"/>
  <c r="AW61" i="42"/>
  <c r="BM61" i="42" s="1"/>
  <c r="AW64" i="42"/>
  <c r="BM64" i="42" s="1"/>
  <c r="AW62" i="42"/>
  <c r="BM62" i="42" s="1"/>
  <c r="AW63" i="42"/>
  <c r="BM63" i="42" s="1"/>
  <c r="AB61" i="42"/>
  <c r="X61" i="42"/>
  <c r="Y61" i="42"/>
  <c r="AA61" i="42"/>
  <c r="AB65" i="42"/>
  <c r="Z61" i="42"/>
  <c r="AA65" i="42"/>
  <c r="AA63" i="42"/>
  <c r="X62" i="42"/>
  <c r="Y62" i="42"/>
  <c r="AA62" i="42"/>
  <c r="Z64" i="42"/>
  <c r="Z63" i="42"/>
  <c r="AB64" i="42"/>
  <c r="Y64" i="42"/>
  <c r="Y63" i="42"/>
  <c r="AB63" i="42"/>
  <c r="X63" i="42"/>
  <c r="X64" i="42"/>
  <c r="AA64" i="42"/>
  <c r="Z62" i="42"/>
  <c r="AB62" i="42"/>
  <c r="AB60" i="42"/>
  <c r="Y60" i="42"/>
  <c r="AA60" i="42"/>
  <c r="Z60" i="42"/>
  <c r="AZ153" i="50"/>
  <c r="AZ156" i="50"/>
  <c r="AZ147" i="50"/>
  <c r="AZ144" i="50"/>
  <c r="AZ150" i="50"/>
  <c r="AZ141" i="50"/>
  <c r="AZ138" i="50"/>
  <c r="BA158" i="50"/>
  <c r="BA144" i="50"/>
  <c r="BA155" i="50"/>
  <c r="BA151" i="50"/>
  <c r="BA147" i="50"/>
  <c r="BA150" i="50"/>
  <c r="BA143" i="50"/>
  <c r="BA157" i="50"/>
  <c r="BA156" i="50"/>
  <c r="BA141" i="50"/>
  <c r="BA148" i="50"/>
  <c r="BA153" i="50"/>
  <c r="BA145" i="50"/>
  <c r="BA149" i="50"/>
  <c r="BA146" i="50"/>
  <c r="BA154" i="50"/>
  <c r="BA142" i="50"/>
  <c r="BA152" i="50"/>
  <c r="BA140" i="50"/>
  <c r="BA139" i="50"/>
  <c r="BA138" i="50"/>
  <c r="BB154" i="50"/>
  <c r="BB158" i="50"/>
  <c r="BB155" i="50"/>
  <c r="BB152" i="50"/>
  <c r="BB156" i="50"/>
  <c r="BB157" i="50"/>
  <c r="BB153" i="50"/>
  <c r="BB151" i="50"/>
  <c r="AZ117" i="50"/>
  <c r="AZ115" i="50"/>
  <c r="AZ128" i="50"/>
  <c r="AZ127" i="50"/>
  <c r="AZ129" i="50"/>
  <c r="AZ116" i="50"/>
  <c r="AZ130" i="50"/>
  <c r="BA137" i="50"/>
  <c r="BA136" i="50"/>
  <c r="BA135" i="50"/>
  <c r="V133" i="50"/>
  <c r="AB133" i="50"/>
  <c r="Y129" i="50"/>
  <c r="AB125" i="50"/>
  <c r="Z125" i="50"/>
  <c r="Z123" i="50"/>
  <c r="AF123" i="50"/>
  <c r="AE111" i="50"/>
  <c r="AD103" i="50"/>
  <c r="AE103" i="50"/>
  <c r="AF103" i="50"/>
  <c r="Y95" i="50"/>
  <c r="AF95" i="50"/>
  <c r="X93" i="50"/>
  <c r="Z93" i="50"/>
  <c r="AD91" i="50"/>
  <c r="AC89" i="50"/>
  <c r="X89" i="50"/>
  <c r="Z89" i="50"/>
  <c r="AF89" i="50"/>
  <c r="AF87" i="50"/>
  <c r="AB87" i="50"/>
  <c r="Y87" i="50"/>
  <c r="X85" i="50"/>
  <c r="W85" i="50"/>
  <c r="AE83" i="50"/>
  <c r="X83" i="50"/>
  <c r="Y81" i="50"/>
  <c r="Z81" i="50"/>
  <c r="AF79" i="50"/>
  <c r="V79" i="50"/>
  <c r="Z137" i="50"/>
  <c r="Y135" i="50"/>
  <c r="AE133" i="50"/>
  <c r="AF133" i="50"/>
  <c r="AE127" i="50"/>
  <c r="AC127" i="50"/>
  <c r="AF125" i="50"/>
  <c r="W125" i="50"/>
  <c r="Z121" i="50"/>
  <c r="Y113" i="50"/>
  <c r="AE107" i="50"/>
  <c r="Y107" i="50"/>
  <c r="Y105" i="50"/>
  <c r="Z105" i="50"/>
  <c r="Y99" i="50"/>
  <c r="Z99" i="50"/>
  <c r="Y97" i="50"/>
  <c r="Z97" i="50"/>
  <c r="AC95" i="50"/>
  <c r="W93" i="50"/>
  <c r="AE93" i="50"/>
  <c r="W91" i="50"/>
  <c r="Y91" i="50"/>
  <c r="AE89" i="50"/>
  <c r="Y89" i="50"/>
  <c r="V87" i="50"/>
  <c r="AD87" i="50"/>
  <c r="AC85" i="50"/>
  <c r="V85" i="50"/>
  <c r="Z83" i="50"/>
  <c r="AD81" i="50"/>
  <c r="W81" i="50"/>
  <c r="AB81" i="50"/>
  <c r="Y79" i="50"/>
  <c r="X79" i="50"/>
  <c r="AD133" i="50"/>
  <c r="Y133" i="50"/>
  <c r="AC133" i="50"/>
  <c r="AF129" i="50"/>
  <c r="AC125" i="50"/>
  <c r="AE95" i="50"/>
  <c r="Z95" i="50"/>
  <c r="W95" i="50"/>
  <c r="AI95" i="50" s="1"/>
  <c r="AC93" i="50"/>
  <c r="Y93" i="50"/>
  <c r="W89" i="50"/>
  <c r="AC81" i="50"/>
  <c r="V81" i="50"/>
  <c r="AE81" i="50"/>
  <c r="X81" i="50"/>
  <c r="AF81" i="50"/>
  <c r="AD67" i="50"/>
  <c r="V67" i="50"/>
  <c r="AF136" i="50"/>
  <c r="AD134" i="50"/>
  <c r="AF134" i="50"/>
  <c r="AF128" i="50"/>
  <c r="AD126" i="50"/>
  <c r="AF126" i="50"/>
  <c r="Z112" i="50"/>
  <c r="Y104" i="50"/>
  <c r="AF104" i="50"/>
  <c r="AD102" i="50"/>
  <c r="Y102" i="50"/>
  <c r="AE102" i="50"/>
  <c r="AF100" i="50"/>
  <c r="Z98" i="50"/>
  <c r="X96" i="50"/>
  <c r="AE96" i="50"/>
  <c r="AF94" i="50"/>
  <c r="Z92" i="50"/>
  <c r="AF82" i="50"/>
  <c r="AE82" i="50"/>
  <c r="AF80" i="50"/>
  <c r="AC80" i="50"/>
  <c r="W78" i="50"/>
  <c r="Z78" i="50"/>
  <c r="Y78" i="50"/>
  <c r="Y72" i="50"/>
  <c r="AF72" i="50"/>
  <c r="AE72" i="50"/>
  <c r="W71" i="50"/>
  <c r="AC67" i="50"/>
  <c r="X126" i="50"/>
  <c r="Y126" i="50"/>
  <c r="Z116" i="50"/>
  <c r="AE112" i="50"/>
  <c r="AD100" i="50"/>
  <c r="AE100" i="50"/>
  <c r="Y98" i="50"/>
  <c r="AC96" i="50"/>
  <c r="AC82" i="50"/>
  <c r="V82" i="50"/>
  <c r="Y80" i="50"/>
  <c r="W80" i="50"/>
  <c r="AD80" i="50"/>
  <c r="X78" i="50"/>
  <c r="AB78" i="50"/>
  <c r="Z72" i="50"/>
  <c r="W72" i="50"/>
  <c r="Z73" i="50"/>
  <c r="V71" i="50"/>
  <c r="AE67" i="50"/>
  <c r="W67" i="50"/>
  <c r="Z134" i="50"/>
  <c r="W134" i="50"/>
  <c r="AD132" i="50"/>
  <c r="AC132" i="50"/>
  <c r="AB132" i="50"/>
  <c r="Z128" i="50"/>
  <c r="AD128" i="50"/>
  <c r="AE126" i="50"/>
  <c r="V126" i="50"/>
  <c r="AB126" i="50"/>
  <c r="W126" i="50"/>
  <c r="Y112" i="50"/>
  <c r="AE110" i="50"/>
  <c r="Y106" i="50"/>
  <c r="AE104" i="50"/>
  <c r="Z102" i="50"/>
  <c r="Z100" i="50"/>
  <c r="AD98" i="50"/>
  <c r="W96" i="50"/>
  <c r="AE94" i="50"/>
  <c r="Z94" i="50"/>
  <c r="AD94" i="50"/>
  <c r="W94" i="50"/>
  <c r="AF92" i="50"/>
  <c r="AE92" i="50"/>
  <c r="W88" i="50"/>
  <c r="AC88" i="50"/>
  <c r="AC86" i="50"/>
  <c r="V86" i="50"/>
  <c r="AD86" i="50"/>
  <c r="V84" i="50"/>
  <c r="Y84" i="50"/>
  <c r="AD84" i="50"/>
  <c r="AB82" i="50"/>
  <c r="X82" i="50"/>
  <c r="Z82" i="50"/>
  <c r="Z80" i="50"/>
  <c r="V80" i="50"/>
  <c r="AF78" i="50"/>
  <c r="V78" i="50"/>
  <c r="AE78" i="50"/>
  <c r="AD72" i="50"/>
  <c r="V72" i="50"/>
  <c r="AD104" i="50"/>
  <c r="Z104" i="50"/>
  <c r="AF102" i="50"/>
  <c r="Y100" i="50"/>
  <c r="AF98" i="50"/>
  <c r="AE98" i="50"/>
  <c r="AB80" i="50"/>
  <c r="X80" i="50"/>
  <c r="AE80" i="50"/>
  <c r="AC78" i="50"/>
  <c r="AD78" i="50"/>
  <c r="AB72" i="50"/>
  <c r="X72" i="50"/>
  <c r="AC72" i="50"/>
  <c r="Z62" i="50"/>
  <c r="X62" i="50"/>
  <c r="AB62" i="50"/>
  <c r="W66" i="50"/>
  <c r="AE66" i="50"/>
  <c r="AD66" i="50"/>
  <c r="X74" i="50"/>
  <c r="V74" i="50"/>
  <c r="AB74" i="50"/>
  <c r="AE106" i="50"/>
  <c r="W70" i="50"/>
  <c r="AB70" i="50"/>
  <c r="AC70" i="50"/>
  <c r="X76" i="50"/>
  <c r="Y76" i="50"/>
  <c r="AD76" i="50"/>
  <c r="Y108" i="50"/>
  <c r="X132" i="50"/>
  <c r="AE68" i="50"/>
  <c r="AC68" i="50"/>
  <c r="X68" i="50"/>
  <c r="AB63" i="50"/>
  <c r="AD63" i="50"/>
  <c r="AF64" i="50"/>
  <c r="Z64" i="50"/>
  <c r="X84" i="50"/>
  <c r="AB86" i="50"/>
  <c r="AE90" i="50"/>
  <c r="Y92" i="50"/>
  <c r="AC94" i="50"/>
  <c r="X128" i="50"/>
  <c r="AE132" i="50"/>
  <c r="AE134" i="50"/>
  <c r="AB71" i="50"/>
  <c r="Z117" i="50"/>
  <c r="AF118" i="50"/>
  <c r="W73" i="50"/>
  <c r="AC91" i="50"/>
  <c r="AD105" i="50"/>
  <c r="AE129" i="50"/>
  <c r="X61" i="50"/>
  <c r="AD61" i="50"/>
  <c r="AE61" i="50"/>
  <c r="Z84" i="50"/>
  <c r="AE88" i="50"/>
  <c r="Y94" i="50"/>
  <c r="Z110" i="50"/>
  <c r="AF122" i="50"/>
  <c r="AF132" i="50"/>
  <c r="AD71" i="50"/>
  <c r="AE75" i="50"/>
  <c r="AB75" i="50"/>
  <c r="AD77" i="50"/>
  <c r="AE77" i="50"/>
  <c r="Z101" i="50"/>
  <c r="X88" i="50"/>
  <c r="AF108" i="50"/>
  <c r="AF114" i="50"/>
  <c r="AF67" i="50"/>
  <c r="AE71" i="50"/>
  <c r="AD93" i="50"/>
  <c r="AD79" i="50"/>
  <c r="AF83" i="50"/>
  <c r="AE87" i="50"/>
  <c r="X91" i="50"/>
  <c r="AE109" i="50"/>
  <c r="Z119" i="50"/>
  <c r="Y125" i="50"/>
  <c r="AB79" i="50"/>
  <c r="Z85" i="50"/>
  <c r="AF101" i="50"/>
  <c r="X103" i="50"/>
  <c r="AE101" i="50"/>
  <c r="AF113" i="50"/>
  <c r="AF117" i="50"/>
  <c r="X97" i="50"/>
  <c r="AF107" i="50"/>
  <c r="X135" i="50"/>
  <c r="AD62" i="50"/>
  <c r="AE62" i="50"/>
  <c r="Y62" i="50"/>
  <c r="Z66" i="50"/>
  <c r="Y66" i="50"/>
  <c r="V66" i="50"/>
  <c r="Y74" i="50"/>
  <c r="X86" i="50"/>
  <c r="AE114" i="50"/>
  <c r="AF70" i="50"/>
  <c r="AD70" i="50"/>
  <c r="W82" i="50"/>
  <c r="W76" i="50"/>
  <c r="Z76" i="50"/>
  <c r="V76" i="50"/>
  <c r="Z122" i="50"/>
  <c r="AE136" i="50"/>
  <c r="AF71" i="50"/>
  <c r="Z68" i="50"/>
  <c r="AF68" i="50"/>
  <c r="W92" i="50"/>
  <c r="Y63" i="50"/>
  <c r="W63" i="50"/>
  <c r="AF63" i="50"/>
  <c r="AC64" i="50"/>
  <c r="Y64" i="50"/>
  <c r="X64" i="50"/>
  <c r="W84" i="50"/>
  <c r="Y88" i="50"/>
  <c r="X90" i="50"/>
  <c r="AC92" i="50"/>
  <c r="Z96" i="50"/>
  <c r="AC126" i="50"/>
  <c r="AF130" i="50"/>
  <c r="Z132" i="50"/>
  <c r="Y73" i="50"/>
  <c r="AE135" i="50"/>
  <c r="X104" i="50"/>
  <c r="Z106" i="50"/>
  <c r="Z118" i="50"/>
  <c r="Z120" i="50"/>
  <c r="Z136" i="50"/>
  <c r="AD73" i="50"/>
  <c r="V73" i="50"/>
  <c r="AD95" i="50"/>
  <c r="AE113" i="50"/>
  <c r="Z133" i="50"/>
  <c r="V61" i="50"/>
  <c r="Y61" i="50"/>
  <c r="AE86" i="50"/>
  <c r="AD88" i="50"/>
  <c r="Y114" i="50"/>
  <c r="W132" i="50"/>
  <c r="Z71" i="50"/>
  <c r="AF75" i="50"/>
  <c r="AD75" i="50"/>
  <c r="W75" i="50"/>
  <c r="V77" i="50"/>
  <c r="AB77" i="50"/>
  <c r="Y111" i="50"/>
  <c r="AC84" i="50"/>
  <c r="AE108" i="50"/>
  <c r="V132" i="50"/>
  <c r="AB67" i="50"/>
  <c r="AF73" i="50"/>
  <c r="AD99" i="50"/>
  <c r="V83" i="50"/>
  <c r="AB85" i="50"/>
  <c r="AF91" i="50"/>
  <c r="X95" i="50"/>
  <c r="AD101" i="50"/>
  <c r="Z103" i="50"/>
  <c r="Z111" i="50"/>
  <c r="AF127" i="50"/>
  <c r="Z129" i="50"/>
  <c r="Y83" i="50"/>
  <c r="Z87" i="50"/>
  <c r="AE97" i="50"/>
  <c r="Y101" i="50"/>
  <c r="AK101" i="50" s="1"/>
  <c r="AF115" i="50"/>
  <c r="Z127" i="50"/>
  <c r="W133" i="50"/>
  <c r="AC79" i="50"/>
  <c r="X99" i="50"/>
  <c r="AD127" i="50"/>
  <c r="AF62" i="50"/>
  <c r="V62" i="50"/>
  <c r="AC62" i="50"/>
  <c r="AC66" i="50"/>
  <c r="X66" i="50"/>
  <c r="AF74" i="50"/>
  <c r="W74" i="50"/>
  <c r="Z74" i="50"/>
  <c r="X94" i="50"/>
  <c r="Z70" i="50"/>
  <c r="X70" i="50"/>
  <c r="Y70" i="50"/>
  <c r="AF88" i="50"/>
  <c r="AB76" i="50"/>
  <c r="AC76" i="50"/>
  <c r="AF84" i="50"/>
  <c r="AE128" i="50"/>
  <c r="V68" i="50"/>
  <c r="W68" i="50"/>
  <c r="Y110" i="50"/>
  <c r="AE63" i="50"/>
  <c r="AC63" i="50"/>
  <c r="X63" i="50"/>
  <c r="AB64" i="50"/>
  <c r="W64" i="50"/>
  <c r="AE64" i="50"/>
  <c r="Y67" i="50"/>
  <c r="AK67" i="50" s="1"/>
  <c r="AD82" i="50"/>
  <c r="Z86" i="50"/>
  <c r="Z88" i="50"/>
  <c r="W90" i="50"/>
  <c r="X92" i="50"/>
  <c r="AF96" i="50"/>
  <c r="Z108" i="50"/>
  <c r="AF116" i="50"/>
  <c r="Y128" i="50"/>
  <c r="Z130" i="50"/>
  <c r="Y136" i="50"/>
  <c r="X67" i="50"/>
  <c r="AD89" i="50"/>
  <c r="X100" i="50"/>
  <c r="AF106" i="50"/>
  <c r="AF120" i="50"/>
  <c r="AE73" i="50"/>
  <c r="W83" i="50"/>
  <c r="AD97" i="50"/>
  <c r="V125" i="50"/>
  <c r="AF137" i="50"/>
  <c r="AF61" i="50"/>
  <c r="Z61" i="50"/>
  <c r="W86" i="50"/>
  <c r="Z90" i="50"/>
  <c r="AD96" i="50"/>
  <c r="X102" i="50"/>
  <c r="AF112" i="50"/>
  <c r="AC134" i="50"/>
  <c r="X71" i="50"/>
  <c r="V75" i="50"/>
  <c r="Z75" i="50"/>
  <c r="X77" i="50"/>
  <c r="AF77" i="50"/>
  <c r="Z77" i="50"/>
  <c r="AE84" i="50"/>
  <c r="AD90" i="50"/>
  <c r="AF110" i="50"/>
  <c r="Z114" i="50"/>
  <c r="Y132" i="50"/>
  <c r="Z67" i="50"/>
  <c r="W79" i="50"/>
  <c r="AD83" i="50"/>
  <c r="AD85" i="50"/>
  <c r="AE91" i="50"/>
  <c r="AF97" i="50"/>
  <c r="AF105" i="50"/>
  <c r="AF119" i="50"/>
  <c r="AE125" i="50"/>
  <c r="Y127" i="50"/>
  <c r="X133" i="50"/>
  <c r="Z79" i="50"/>
  <c r="AC83" i="50"/>
  <c r="X87" i="50"/>
  <c r="AE105" i="50"/>
  <c r="X127" i="50"/>
  <c r="AD135" i="50"/>
  <c r="AC87" i="50"/>
  <c r="W62" i="50"/>
  <c r="AB66" i="50"/>
  <c r="AF66" i="50"/>
  <c r="AD74" i="50"/>
  <c r="AC74" i="50"/>
  <c r="AE74" i="50"/>
  <c r="Y96" i="50"/>
  <c r="AE70" i="50"/>
  <c r="V70" i="50"/>
  <c r="Y134" i="50"/>
  <c r="AF76" i="50"/>
  <c r="AE76" i="50"/>
  <c r="AF90" i="50"/>
  <c r="AD68" i="50"/>
  <c r="Y68" i="50"/>
  <c r="AB68" i="50"/>
  <c r="Z63" i="50"/>
  <c r="V63" i="50"/>
  <c r="AC75" i="50"/>
  <c r="V64" i="50"/>
  <c r="AD64" i="50"/>
  <c r="Z126" i="50"/>
  <c r="AC73" i="50"/>
  <c r="Y82" i="50"/>
  <c r="AF86" i="50"/>
  <c r="Y90" i="50"/>
  <c r="AD92" i="50"/>
  <c r="X134" i="50"/>
  <c r="Y109" i="50"/>
  <c r="X98" i="50"/>
  <c r="AB73" i="50"/>
  <c r="Y103" i="50"/>
  <c r="W127" i="50"/>
  <c r="W61" i="50"/>
  <c r="AC61" i="50"/>
  <c r="AB61" i="50"/>
  <c r="AB84" i="50"/>
  <c r="AC90" i="50"/>
  <c r="Y71" i="50"/>
  <c r="X73" i="50"/>
  <c r="X75" i="50"/>
  <c r="Y75" i="50"/>
  <c r="W77" i="50"/>
  <c r="AC77" i="50"/>
  <c r="Y77" i="50"/>
  <c r="Y86" i="50"/>
  <c r="AC71" i="50"/>
  <c r="Y85" i="50"/>
  <c r="AB83" i="50"/>
  <c r="AE85" i="50"/>
  <c r="Z91" i="50"/>
  <c r="AF93" i="50"/>
  <c r="AF99" i="50"/>
  <c r="X101" i="50"/>
  <c r="AF121" i="50"/>
  <c r="X125" i="50"/>
  <c r="AF135" i="50"/>
  <c r="AE79" i="50"/>
  <c r="AF85" i="50"/>
  <c r="W87" i="50"/>
  <c r="AE99" i="50"/>
  <c r="Z109" i="50"/>
  <c r="AF111" i="50"/>
  <c r="Z115" i="50"/>
  <c r="Z135" i="50"/>
  <c r="AF109" i="50"/>
  <c r="Z113" i="50"/>
  <c r="X105" i="50"/>
  <c r="Z107" i="50"/>
  <c r="AD125" i="50"/>
  <c r="Y124" i="50"/>
  <c r="W124" i="50"/>
  <c r="Y69" i="50"/>
  <c r="AF69" i="50"/>
  <c r="AF65" i="50"/>
  <c r="Y65" i="50"/>
  <c r="Z131" i="50"/>
  <c r="AD131" i="50"/>
  <c r="AB131" i="50"/>
  <c r="Z124" i="50"/>
  <c r="V124" i="50"/>
  <c r="AF124" i="50"/>
  <c r="AC69" i="50"/>
  <c r="AB69" i="50"/>
  <c r="V69" i="50"/>
  <c r="AC65" i="50"/>
  <c r="AD65" i="50"/>
  <c r="W131" i="50"/>
  <c r="AE131" i="50"/>
  <c r="X124" i="50"/>
  <c r="AE124" i="50"/>
  <c r="X69" i="50"/>
  <c r="AE69" i="50"/>
  <c r="AD69" i="50"/>
  <c r="AE65" i="50"/>
  <c r="AB65" i="50"/>
  <c r="Z65" i="50"/>
  <c r="AF131" i="50"/>
  <c r="Y131" i="50"/>
  <c r="AD124" i="50"/>
  <c r="AB124" i="50"/>
  <c r="AC124" i="50"/>
  <c r="Z69" i="50"/>
  <c r="W69" i="50"/>
  <c r="V65" i="50"/>
  <c r="W65" i="50"/>
  <c r="X65" i="50"/>
  <c r="V131" i="50"/>
  <c r="AC131" i="50"/>
  <c r="X131" i="50"/>
  <c r="AJ131" i="50" s="1"/>
  <c r="AL82" i="50" l="1"/>
  <c r="AK337" i="50"/>
  <c r="AQ337" i="50" s="1"/>
  <c r="AL330" i="50"/>
  <c r="AL337" i="50"/>
  <c r="AL328" i="50"/>
  <c r="AI96" i="50"/>
  <c r="AK198" i="50"/>
  <c r="AR335" i="50"/>
  <c r="AL331" i="50"/>
  <c r="AK326" i="50"/>
  <c r="AQ326" i="50" s="1"/>
  <c r="AR326" i="50" s="1"/>
  <c r="BD326" i="50" s="1"/>
  <c r="AI196" i="50"/>
  <c r="BC335" i="50"/>
  <c r="AL336" i="50"/>
  <c r="AL338" i="50"/>
  <c r="AL156" i="50"/>
  <c r="BC334" i="50"/>
  <c r="AK338" i="50"/>
  <c r="AQ338" i="50" s="1"/>
  <c r="AR338" i="50" s="1"/>
  <c r="AL326" i="50"/>
  <c r="BD335" i="50"/>
  <c r="AJ108" i="50"/>
  <c r="AK330" i="50"/>
  <c r="AQ330" i="50" s="1"/>
  <c r="AR330" i="50" s="1"/>
  <c r="BD330" i="50" s="1"/>
  <c r="AK329" i="50"/>
  <c r="AQ329" i="50" s="1"/>
  <c r="AR329" i="50" s="1"/>
  <c r="BD329" i="50" s="1"/>
  <c r="AK232" i="50"/>
  <c r="AJ240" i="50"/>
  <c r="AK332" i="50"/>
  <c r="AQ332" i="50" s="1"/>
  <c r="AK333" i="50"/>
  <c r="AQ333" i="50" s="1"/>
  <c r="AR333" i="50" s="1"/>
  <c r="BC337" i="50"/>
  <c r="AL329" i="50"/>
  <c r="AK82" i="50"/>
  <c r="AI132" i="50"/>
  <c r="AO132" i="50" s="1"/>
  <c r="AK147" i="50"/>
  <c r="BC332" i="50"/>
  <c r="AK327" i="50"/>
  <c r="AQ327" i="50" s="1"/>
  <c r="AR327" i="50" s="1"/>
  <c r="BD327" i="50" s="1"/>
  <c r="AJ140" i="50"/>
  <c r="AP140" i="50" s="1"/>
  <c r="BC325" i="50"/>
  <c r="AL332" i="50"/>
  <c r="AK336" i="50"/>
  <c r="AQ336" i="50" s="1"/>
  <c r="AL325" i="50"/>
  <c r="AR325" i="50" s="1"/>
  <c r="BD325" i="50" s="1"/>
  <c r="AL333" i="50"/>
  <c r="AL166" i="50"/>
  <c r="BD338" i="50"/>
  <c r="AL334" i="50"/>
  <c r="AR334" i="50" s="1"/>
  <c r="AK328" i="50"/>
  <c r="AQ328" i="50" s="1"/>
  <c r="AR328" i="50" s="1"/>
  <c r="BD328" i="50" s="1"/>
  <c r="AK98" i="42"/>
  <c r="AM98" i="42"/>
  <c r="AL91" i="42"/>
  <c r="AL74" i="42"/>
  <c r="AK88" i="42"/>
  <c r="AM97" i="42"/>
  <c r="AJ93" i="42"/>
  <c r="AJ96" i="42"/>
  <c r="BI98" i="42"/>
  <c r="AS98" i="42"/>
  <c r="AT98" i="42" s="1"/>
  <c r="BB98" i="42" s="1"/>
  <c r="BR98" i="42" s="1"/>
  <c r="BZ98" i="42" s="1"/>
  <c r="BA98" i="42"/>
  <c r="BQ98" i="42" s="1"/>
  <c r="CA98" i="42" s="1"/>
  <c r="BG94" i="42"/>
  <c r="AY94" i="42"/>
  <c r="AK93" i="42"/>
  <c r="AM93" i="42"/>
  <c r="AJ94" i="42"/>
  <c r="BF98" i="42"/>
  <c r="AX98" i="42"/>
  <c r="BN98" i="42" s="1"/>
  <c r="BV98" i="42" s="1"/>
  <c r="AM96" i="42"/>
  <c r="AL96" i="42"/>
  <c r="BH94" i="42"/>
  <c r="AZ94" i="42"/>
  <c r="BP94" i="42" s="1"/>
  <c r="BX94" i="42" s="1"/>
  <c r="BF91" i="42"/>
  <c r="AX91" i="42"/>
  <c r="BG98" i="42"/>
  <c r="AY98" i="42"/>
  <c r="BO98" i="42" s="1"/>
  <c r="BW98" i="42" s="1"/>
  <c r="AL93" i="42"/>
  <c r="AL98" i="42"/>
  <c r="AM94" i="42"/>
  <c r="AL97" i="42"/>
  <c r="AM91" i="42"/>
  <c r="BF97" i="42"/>
  <c r="AX97" i="42"/>
  <c r="AK97" i="42"/>
  <c r="AK96" i="42"/>
  <c r="BH91" i="42"/>
  <c r="AZ91" i="42"/>
  <c r="AN93" i="42"/>
  <c r="BJ93" i="42" s="1"/>
  <c r="AK91" i="42"/>
  <c r="AL218" i="50"/>
  <c r="AK288" i="50"/>
  <c r="AL245" i="50"/>
  <c r="AH283" i="50"/>
  <c r="AN283" i="50" s="1"/>
  <c r="AL323" i="50"/>
  <c r="AI263" i="50"/>
  <c r="AI267" i="50"/>
  <c r="AL226" i="50"/>
  <c r="AK263" i="50"/>
  <c r="AK230" i="50"/>
  <c r="AH232" i="50"/>
  <c r="AN232" i="50" s="1"/>
  <c r="AK281" i="50"/>
  <c r="AJ319" i="50"/>
  <c r="AP319" i="50" s="1"/>
  <c r="AI227" i="50"/>
  <c r="AH277" i="50"/>
  <c r="AN277" i="50" s="1"/>
  <c r="AJ275" i="50"/>
  <c r="AH236" i="50"/>
  <c r="AN236" i="50" s="1"/>
  <c r="AH264" i="50"/>
  <c r="AN264" i="50" s="1"/>
  <c r="AI286" i="50"/>
  <c r="AJ318" i="50"/>
  <c r="AP318" i="50" s="1"/>
  <c r="AH223" i="50"/>
  <c r="AN223" i="50" s="1"/>
  <c r="AK240" i="50"/>
  <c r="AK282" i="50"/>
  <c r="BC331" i="50"/>
  <c r="P103" i="66"/>
  <c r="AM89" i="42"/>
  <c r="BI89" i="42" s="1"/>
  <c r="AJ90" i="42"/>
  <c r="BF90" i="42" s="1"/>
  <c r="AK74" i="42"/>
  <c r="AQ74" i="42" s="1"/>
  <c r="AR74" i="42" s="1"/>
  <c r="AJ71" i="42"/>
  <c r="BF71" i="42" s="1"/>
  <c r="AM80" i="42"/>
  <c r="BI80" i="42" s="1"/>
  <c r="AN82" i="42"/>
  <c r="BJ82" i="42" s="1"/>
  <c r="AM88" i="42"/>
  <c r="BI88" i="42" s="1"/>
  <c r="AL81" i="42"/>
  <c r="BH81" i="42" s="1"/>
  <c r="AL88" i="42"/>
  <c r="AR88" i="42" s="1"/>
  <c r="AM86" i="42"/>
  <c r="BI86" i="42" s="1"/>
  <c r="AL87" i="42"/>
  <c r="BH87" i="42" s="1"/>
  <c r="AM87" i="42"/>
  <c r="BI87" i="42" s="1"/>
  <c r="AM90" i="42"/>
  <c r="BI90" i="42" s="1"/>
  <c r="AL86" i="42"/>
  <c r="BH86" i="42" s="1"/>
  <c r="AL82" i="42"/>
  <c r="AR82" i="42" s="1"/>
  <c r="AS82" i="42" s="1"/>
  <c r="AM82" i="42"/>
  <c r="BI82" i="42" s="1"/>
  <c r="AL85" i="42"/>
  <c r="BH85" i="42" s="1"/>
  <c r="AN81" i="42"/>
  <c r="BJ81" i="42" s="1"/>
  <c r="AJ86" i="42"/>
  <c r="BF86" i="42" s="1"/>
  <c r="AJ84" i="42"/>
  <c r="BF84" i="42" s="1"/>
  <c r="AL229" i="50"/>
  <c r="AJ89" i="42"/>
  <c r="AX89" i="42" s="1"/>
  <c r="AL302" i="50"/>
  <c r="AK165" i="50"/>
  <c r="AQ165" i="50" s="1"/>
  <c r="AL67" i="42"/>
  <c r="BH67" i="42" s="1"/>
  <c r="AL69" i="42"/>
  <c r="BH69" i="42" s="1"/>
  <c r="AL92" i="42"/>
  <c r="AR92" i="42" s="1"/>
  <c r="AK323" i="50"/>
  <c r="AJ83" i="42"/>
  <c r="BF83" i="42" s="1"/>
  <c r="AK92" i="42"/>
  <c r="BG92" i="42" s="1"/>
  <c r="AJ92" i="42"/>
  <c r="BF92" i="42" s="1"/>
  <c r="AN92" i="42"/>
  <c r="BJ92" i="42" s="1"/>
  <c r="AM92" i="42"/>
  <c r="BI92" i="42" s="1"/>
  <c r="AK87" i="42"/>
  <c r="BG87" i="42" s="1"/>
  <c r="AK80" i="42"/>
  <c r="AY80" i="42" s="1"/>
  <c r="AN90" i="42"/>
  <c r="BJ90" i="42" s="1"/>
  <c r="AL89" i="42"/>
  <c r="AR89" i="42" s="1"/>
  <c r="AL90" i="42"/>
  <c r="BH90" i="42" s="1"/>
  <c r="AK86" i="42"/>
  <c r="AY86" i="42" s="1"/>
  <c r="AM75" i="42"/>
  <c r="BI75" i="42" s="1"/>
  <c r="AN73" i="42"/>
  <c r="BJ73" i="42" s="1"/>
  <c r="AN87" i="42"/>
  <c r="BJ87" i="42" s="1"/>
  <c r="AL83" i="42"/>
  <c r="BH83" i="42" s="1"/>
  <c r="AM81" i="42"/>
  <c r="BI81" i="42" s="1"/>
  <c r="AN89" i="42"/>
  <c r="BJ89" i="42" s="1"/>
  <c r="AK67" i="42"/>
  <c r="AQ67" i="42" s="1"/>
  <c r="AK82" i="42"/>
  <c r="AY82" i="42" s="1"/>
  <c r="AK85" i="42"/>
  <c r="BG85" i="42" s="1"/>
  <c r="AL306" i="50"/>
  <c r="AK314" i="50"/>
  <c r="AL313" i="50"/>
  <c r="AK318" i="50"/>
  <c r="AJ311" i="50"/>
  <c r="AP311" i="50" s="1"/>
  <c r="AM72" i="42"/>
  <c r="BI72" i="42" s="1"/>
  <c r="AK78" i="42"/>
  <c r="AQ78" i="42" s="1"/>
  <c r="AK71" i="42"/>
  <c r="AQ71" i="42" s="1"/>
  <c r="AM76" i="42"/>
  <c r="BI76" i="42" s="1"/>
  <c r="AJ308" i="50"/>
  <c r="AP308" i="50" s="1"/>
  <c r="AX86" i="42"/>
  <c r="AK83" i="42"/>
  <c r="AK90" i="42"/>
  <c r="AN84" i="42"/>
  <c r="BJ84" i="42" s="1"/>
  <c r="AN86" i="42"/>
  <c r="BJ86" i="42" s="1"/>
  <c r="BG88" i="42"/>
  <c r="AY88" i="42"/>
  <c r="AN83" i="42"/>
  <c r="BJ83" i="42" s="1"/>
  <c r="AM85" i="42"/>
  <c r="AN80" i="42"/>
  <c r="BJ80" i="42" s="1"/>
  <c r="AN85" i="42"/>
  <c r="BJ85" i="42" s="1"/>
  <c r="AM84" i="42"/>
  <c r="AJ80" i="42"/>
  <c r="AK89" i="42"/>
  <c r="AJ82" i="42"/>
  <c r="AJ88" i="42"/>
  <c r="AH92" i="50"/>
  <c r="AN92" i="50" s="1"/>
  <c r="AJ323" i="50"/>
  <c r="AL80" i="42"/>
  <c r="BI83" i="42"/>
  <c r="AL84" i="42"/>
  <c r="AJ85" i="42"/>
  <c r="AJ81" i="42"/>
  <c r="AJ87" i="42"/>
  <c r="AK84" i="42"/>
  <c r="AK81" i="42"/>
  <c r="AK319" i="50"/>
  <c r="AK316" i="50"/>
  <c r="AK308" i="50"/>
  <c r="AJ320" i="50"/>
  <c r="AP320" i="50" s="1"/>
  <c r="AK76" i="42"/>
  <c r="AQ76" i="42" s="1"/>
  <c r="AM77" i="42"/>
  <c r="BI77" i="42" s="1"/>
  <c r="AK320" i="50"/>
  <c r="AL319" i="50"/>
  <c r="AL312" i="50"/>
  <c r="AJ309" i="50"/>
  <c r="AP309" i="50" s="1"/>
  <c r="AK311" i="50"/>
  <c r="AL309" i="50"/>
  <c r="AJ314" i="50"/>
  <c r="AP314" i="50" s="1"/>
  <c r="AK313" i="50"/>
  <c r="AJ321" i="50"/>
  <c r="AP321" i="50" s="1"/>
  <c r="BB321" i="50" s="1"/>
  <c r="AJ301" i="50"/>
  <c r="AK309" i="50"/>
  <c r="AK310" i="50"/>
  <c r="AL320" i="50"/>
  <c r="AL315" i="50"/>
  <c r="AL318" i="50"/>
  <c r="AL311" i="50"/>
  <c r="AK321" i="50"/>
  <c r="AL317" i="50"/>
  <c r="AJ313" i="50"/>
  <c r="AJ315" i="50"/>
  <c r="AL322" i="50"/>
  <c r="AJ312" i="50"/>
  <c r="AL308" i="50"/>
  <c r="AL321" i="50"/>
  <c r="AL314" i="50"/>
  <c r="AJ316" i="50"/>
  <c r="AK322" i="50"/>
  <c r="AJ310" i="50"/>
  <c r="AJ317" i="50"/>
  <c r="AK315" i="50"/>
  <c r="AJ322" i="50"/>
  <c r="AL316" i="50"/>
  <c r="AL310" i="50"/>
  <c r="AK312" i="50"/>
  <c r="AH229" i="50"/>
  <c r="AN229" i="50" s="1"/>
  <c r="M98" i="66" s="1"/>
  <c r="AI275" i="50"/>
  <c r="AK306" i="50"/>
  <c r="AJ287" i="50"/>
  <c r="AJ300" i="50"/>
  <c r="AI305" i="50"/>
  <c r="AO305" i="50" s="1"/>
  <c r="AJ78" i="42"/>
  <c r="AX78" i="42" s="1"/>
  <c r="AH94" i="50"/>
  <c r="AN94" i="50" s="1"/>
  <c r="AJ220" i="50"/>
  <c r="AI294" i="50"/>
  <c r="AO294" i="50" s="1"/>
  <c r="AL294" i="50"/>
  <c r="AI260" i="50"/>
  <c r="AJ280" i="50"/>
  <c r="AJ146" i="50"/>
  <c r="AP146" i="50" s="1"/>
  <c r="AL241" i="50"/>
  <c r="AK301" i="50"/>
  <c r="AL282" i="50"/>
  <c r="AK266" i="50"/>
  <c r="AJ65" i="50"/>
  <c r="AI65" i="50"/>
  <c r="AL185" i="50"/>
  <c r="AR185" i="50" s="1"/>
  <c r="AI108" i="50"/>
  <c r="AK156" i="50"/>
  <c r="AQ156" i="50" s="1"/>
  <c r="AR156" i="50" s="1"/>
  <c r="AK154" i="50"/>
  <c r="AQ154" i="50" s="1"/>
  <c r="AK194" i="50"/>
  <c r="AL199" i="50"/>
  <c r="AL232" i="50"/>
  <c r="AI250" i="50"/>
  <c r="AK218" i="50"/>
  <c r="AI261" i="50"/>
  <c r="AK150" i="50"/>
  <c r="AH93" i="50"/>
  <c r="AN93" i="50" s="1"/>
  <c r="AL78" i="42"/>
  <c r="AK75" i="42"/>
  <c r="AQ75" i="42" s="1"/>
  <c r="AM78" i="42"/>
  <c r="BI78" i="42" s="1"/>
  <c r="AN69" i="42"/>
  <c r="BJ69" i="42" s="1"/>
  <c r="AL76" i="42"/>
  <c r="BH76" i="42" s="1"/>
  <c r="AK70" i="42"/>
  <c r="AQ70" i="42" s="1"/>
  <c r="AJ295" i="50"/>
  <c r="AM74" i="42"/>
  <c r="BI74" i="42" s="1"/>
  <c r="AK77" i="42"/>
  <c r="AQ77" i="42" s="1"/>
  <c r="AR77" i="42" s="1"/>
  <c r="AJ72" i="42"/>
  <c r="AX72" i="42" s="1"/>
  <c r="AK295" i="50"/>
  <c r="AM73" i="42"/>
  <c r="BI73" i="42" s="1"/>
  <c r="AN75" i="42"/>
  <c r="BJ75" i="42" s="1"/>
  <c r="AL71" i="42"/>
  <c r="AN76" i="42"/>
  <c r="BJ76" i="42" s="1"/>
  <c r="AL296" i="50"/>
  <c r="AJ274" i="50"/>
  <c r="AI226" i="50"/>
  <c r="AK273" i="50"/>
  <c r="AI255" i="50"/>
  <c r="AL258" i="50"/>
  <c r="AL262" i="50"/>
  <c r="AH275" i="50"/>
  <c r="AN275" i="50" s="1"/>
  <c r="AK73" i="42"/>
  <c r="AQ73" i="42" s="1"/>
  <c r="AN78" i="42"/>
  <c r="BJ78" i="42" s="1"/>
  <c r="AK72" i="42"/>
  <c r="AQ72" i="42" s="1"/>
  <c r="AI292" i="50"/>
  <c r="AO292" i="50" s="1"/>
  <c r="AK79" i="42"/>
  <c r="BG79" i="42" s="1"/>
  <c r="AK292" i="50"/>
  <c r="AL300" i="50"/>
  <c r="AL303" i="50"/>
  <c r="AL79" i="42"/>
  <c r="BH79" i="42" s="1"/>
  <c r="AK225" i="50"/>
  <c r="AK262" i="50"/>
  <c r="AJ259" i="50"/>
  <c r="AL298" i="50"/>
  <c r="AJ306" i="50"/>
  <c r="AI222" i="50"/>
  <c r="AI245" i="50"/>
  <c r="AI244" i="50"/>
  <c r="AJ296" i="50"/>
  <c r="AJ291" i="50"/>
  <c r="AJ293" i="50"/>
  <c r="AI293" i="50"/>
  <c r="AO293" i="50" s="1"/>
  <c r="AI303" i="50"/>
  <c r="AO303" i="50" s="1"/>
  <c r="AJ302" i="50"/>
  <c r="AK302" i="50"/>
  <c r="AM68" i="42"/>
  <c r="BI68" i="42" s="1"/>
  <c r="AJ68" i="42"/>
  <c r="AX68" i="42" s="1"/>
  <c r="B510" i="40"/>
  <c r="B229" i="65"/>
  <c r="AL304" i="50"/>
  <c r="AI295" i="50"/>
  <c r="AO295" i="50" s="1"/>
  <c r="AL70" i="42"/>
  <c r="AI291" i="50"/>
  <c r="AO291" i="50" s="1"/>
  <c r="AJ305" i="50"/>
  <c r="AK305" i="50"/>
  <c r="AJ69" i="42"/>
  <c r="BF69" i="42" s="1"/>
  <c r="AK297" i="50"/>
  <c r="AL295" i="50"/>
  <c r="AI304" i="50"/>
  <c r="AI302" i="50"/>
  <c r="AL305" i="50"/>
  <c r="AL301" i="50"/>
  <c r="AI306" i="50"/>
  <c r="AK283" i="50"/>
  <c r="AJ292" i="50"/>
  <c r="AJ304" i="50"/>
  <c r="AI301" i="50"/>
  <c r="AK304" i="50"/>
  <c r="AK300" i="50"/>
  <c r="AL281" i="50"/>
  <c r="AI274" i="50"/>
  <c r="AJ299" i="50"/>
  <c r="AJ294" i="50"/>
  <c r="AL297" i="50"/>
  <c r="AK303" i="50"/>
  <c r="AI300" i="50"/>
  <c r="AJ303" i="50"/>
  <c r="AL228" i="50"/>
  <c r="AJ235" i="50"/>
  <c r="AL237" i="50"/>
  <c r="AJ226" i="50"/>
  <c r="AJ245" i="50"/>
  <c r="AH220" i="50"/>
  <c r="AN220" i="50" s="1"/>
  <c r="AL227" i="50"/>
  <c r="AL256" i="50"/>
  <c r="AI266" i="50"/>
  <c r="AO266" i="50" s="1"/>
  <c r="BA266" i="50" s="1"/>
  <c r="AK276" i="50"/>
  <c r="AH278" i="50"/>
  <c r="AN278" i="50" s="1"/>
  <c r="AL275" i="50"/>
  <c r="AL290" i="50"/>
  <c r="AJ297" i="50"/>
  <c r="AL291" i="50"/>
  <c r="AK299" i="50"/>
  <c r="AJ298" i="50"/>
  <c r="AK294" i="50"/>
  <c r="AK298" i="50"/>
  <c r="AK293" i="50"/>
  <c r="AI296" i="50"/>
  <c r="AL235" i="50"/>
  <c r="AL259" i="50"/>
  <c r="AH258" i="50"/>
  <c r="AN258" i="50" s="1"/>
  <c r="M99" i="66" s="1"/>
  <c r="AK261" i="50"/>
  <c r="AH260" i="50"/>
  <c r="AN260" i="50" s="1"/>
  <c r="AH257" i="50"/>
  <c r="AN257" i="50" s="1"/>
  <c r="AK255" i="50"/>
  <c r="AK264" i="50"/>
  <c r="AH263" i="50"/>
  <c r="AN263" i="50" s="1"/>
  <c r="AI283" i="50"/>
  <c r="AK287" i="50"/>
  <c r="AI281" i="50"/>
  <c r="AK290" i="50"/>
  <c r="AL292" i="50"/>
  <c r="AK291" i="50"/>
  <c r="AI299" i="50"/>
  <c r="AL255" i="50"/>
  <c r="AI251" i="50"/>
  <c r="AI257" i="50"/>
  <c r="AJ290" i="50"/>
  <c r="AK296" i="50"/>
  <c r="AI298" i="50"/>
  <c r="AI297" i="50"/>
  <c r="AL293" i="50"/>
  <c r="AJ73" i="42"/>
  <c r="AN70" i="42"/>
  <c r="AK69" i="42"/>
  <c r="AQ69" i="42" s="1"/>
  <c r="AM67" i="42"/>
  <c r="AN77" i="42"/>
  <c r="BJ77" i="42" s="1"/>
  <c r="AL68" i="42"/>
  <c r="AM79" i="42"/>
  <c r="AN68" i="42"/>
  <c r="BJ68" i="42" s="1"/>
  <c r="AM70" i="42"/>
  <c r="AM69" i="42"/>
  <c r="AK68" i="42"/>
  <c r="AQ68" i="42" s="1"/>
  <c r="AN67" i="42"/>
  <c r="BJ67" i="42" s="1"/>
  <c r="BH77" i="42"/>
  <c r="BH74" i="42"/>
  <c r="AL75" i="42"/>
  <c r="AJ75" i="42"/>
  <c r="AJ76" i="42"/>
  <c r="AJ70" i="42"/>
  <c r="AJ67" i="42"/>
  <c r="AM71" i="42"/>
  <c r="AN72" i="42"/>
  <c r="BJ72" i="42" s="1"/>
  <c r="AL72" i="42"/>
  <c r="AN79" i="42"/>
  <c r="BJ79" i="42" s="1"/>
  <c r="AN71" i="42"/>
  <c r="AN74" i="42"/>
  <c r="BJ74" i="42" s="1"/>
  <c r="AL73" i="42"/>
  <c r="AJ74" i="42"/>
  <c r="AJ79" i="42"/>
  <c r="AJ77" i="42"/>
  <c r="AI235" i="50"/>
  <c r="AH246" i="50"/>
  <c r="AK249" i="50"/>
  <c r="AK226" i="50"/>
  <c r="AL222" i="50"/>
  <c r="AJ244" i="50"/>
  <c r="AI221" i="50"/>
  <c r="AH265" i="50"/>
  <c r="AN265" i="50" s="1"/>
  <c r="AL269" i="50"/>
  <c r="AK268" i="50"/>
  <c r="AL244" i="50"/>
  <c r="AJ223" i="50"/>
  <c r="AJ221" i="50"/>
  <c r="AL220" i="50"/>
  <c r="AL224" i="50"/>
  <c r="AI225" i="50"/>
  <c r="AH273" i="50"/>
  <c r="AN273" i="50" s="1"/>
  <c r="AK241" i="50"/>
  <c r="AJ229" i="50"/>
  <c r="AL234" i="50"/>
  <c r="AH245" i="50"/>
  <c r="AH267" i="50"/>
  <c r="AI279" i="50"/>
  <c r="AH248" i="50"/>
  <c r="AL252" i="50"/>
  <c r="AK256" i="50"/>
  <c r="AJ264" i="50"/>
  <c r="AK275" i="50"/>
  <c r="AH288" i="50"/>
  <c r="AN288" i="50" s="1"/>
  <c r="AK274" i="50"/>
  <c r="AL286" i="50"/>
  <c r="AH269" i="50"/>
  <c r="AN269" i="50" s="1"/>
  <c r="AL254" i="50"/>
  <c r="AL231" i="50"/>
  <c r="AH268" i="50"/>
  <c r="AI230" i="50"/>
  <c r="AK235" i="50"/>
  <c r="AH224" i="50"/>
  <c r="AK220" i="50"/>
  <c r="AL249" i="50"/>
  <c r="AK238" i="50"/>
  <c r="BC238" i="50" s="1"/>
  <c r="AJ261" i="50"/>
  <c r="AL266" i="50"/>
  <c r="AJ253" i="50"/>
  <c r="AJ269" i="50"/>
  <c r="AK272" i="50"/>
  <c r="AI280" i="50"/>
  <c r="AK278" i="50"/>
  <c r="AL277" i="50"/>
  <c r="AL233" i="50"/>
  <c r="AI236" i="50"/>
  <c r="AL236" i="50"/>
  <c r="AH243" i="50"/>
  <c r="AN243" i="50" s="1"/>
  <c r="AK223" i="50"/>
  <c r="AI240" i="50"/>
  <c r="AJ246" i="50"/>
  <c r="AI269" i="50"/>
  <c r="AI232" i="50"/>
  <c r="AI229" i="50"/>
  <c r="AH240" i="50"/>
  <c r="AN240" i="50" s="1"/>
  <c r="AK267" i="50"/>
  <c r="AI288" i="50"/>
  <c r="AK286" i="50"/>
  <c r="AH286" i="50"/>
  <c r="AH281" i="50"/>
  <c r="AN281" i="50" s="1"/>
  <c r="M100" i="66" s="1"/>
  <c r="AJ273" i="50"/>
  <c r="AI228" i="50"/>
  <c r="AJ232" i="50"/>
  <c r="AJ238" i="50"/>
  <c r="AL221" i="50"/>
  <c r="AK254" i="50"/>
  <c r="AH287" i="50"/>
  <c r="AI285" i="50"/>
  <c r="AJ286" i="50"/>
  <c r="AH89" i="50"/>
  <c r="AN89" i="50" s="1"/>
  <c r="AK229" i="50"/>
  <c r="AH227" i="50"/>
  <c r="AL225" i="50"/>
  <c r="AJ224" i="50"/>
  <c r="AJ265" i="50"/>
  <c r="AK260" i="50"/>
  <c r="AJ256" i="50"/>
  <c r="AK253" i="50"/>
  <c r="AK285" i="50"/>
  <c r="AI276" i="50"/>
  <c r="AI278" i="50"/>
  <c r="AK234" i="50"/>
  <c r="AI238" i="50"/>
  <c r="AJ225" i="50"/>
  <c r="AL246" i="50"/>
  <c r="AH222" i="50"/>
  <c r="AL267" i="50"/>
  <c r="AL272" i="50"/>
  <c r="AL253" i="50"/>
  <c r="AI258" i="50"/>
  <c r="AJ267" i="50"/>
  <c r="AI262" i="50"/>
  <c r="AH276" i="50"/>
  <c r="AN276" i="50" s="1"/>
  <c r="AK279" i="50"/>
  <c r="AI277" i="50"/>
  <c r="AJ282" i="50"/>
  <c r="AL283" i="50"/>
  <c r="AJ279" i="50"/>
  <c r="AK228" i="50"/>
  <c r="AJ230" i="50"/>
  <c r="AH238" i="50"/>
  <c r="AN238" i="50" s="1"/>
  <c r="AH239" i="50"/>
  <c r="AN239" i="50" s="1"/>
  <c r="AI249" i="50"/>
  <c r="AI220" i="50"/>
  <c r="AJ237" i="50"/>
  <c r="AK224" i="50"/>
  <c r="AL240" i="50"/>
  <c r="AK244" i="50"/>
  <c r="AK246" i="50"/>
  <c r="AJ222" i="50"/>
  <c r="AL243" i="50"/>
  <c r="AL223" i="50"/>
  <c r="AJ218" i="50"/>
  <c r="AL250" i="50"/>
  <c r="AL268" i="50"/>
  <c r="BD268" i="50" s="1"/>
  <c r="AZ264" i="50"/>
  <c r="AK270" i="50"/>
  <c r="AJ258" i="50"/>
  <c r="AH252" i="50"/>
  <c r="AN252" i="50" s="1"/>
  <c r="AL273" i="50"/>
  <c r="AJ268" i="50"/>
  <c r="AI254" i="50"/>
  <c r="AK258" i="50"/>
  <c r="AI252" i="50"/>
  <c r="AL260" i="50"/>
  <c r="AH251" i="50"/>
  <c r="AN251" i="50" s="1"/>
  <c r="AH262" i="50"/>
  <c r="AN262" i="50" s="1"/>
  <c r="AL264" i="50"/>
  <c r="AI270" i="50"/>
  <c r="AL261" i="50"/>
  <c r="AJ252" i="50"/>
  <c r="AI272" i="50"/>
  <c r="AI273" i="50"/>
  <c r="AL288" i="50"/>
  <c r="AL274" i="50"/>
  <c r="AH284" i="50"/>
  <c r="AN284" i="50" s="1"/>
  <c r="AL276" i="50"/>
  <c r="AJ278" i="50"/>
  <c r="AJ281" i="50"/>
  <c r="AH282" i="50"/>
  <c r="AN282" i="50" s="1"/>
  <c r="AJ233" i="50"/>
  <c r="AJ236" i="50"/>
  <c r="AH230" i="50"/>
  <c r="AN230" i="50" s="1"/>
  <c r="AI233" i="50"/>
  <c r="AJ228" i="50"/>
  <c r="AI231" i="50"/>
  <c r="AH225" i="50"/>
  <c r="AN225" i="50" s="1"/>
  <c r="AI224" i="50"/>
  <c r="AL239" i="50"/>
  <c r="AH249" i="50"/>
  <c r="AN249" i="50" s="1"/>
  <c r="AK245" i="50"/>
  <c r="AH235" i="50"/>
  <c r="AN235" i="50" s="1"/>
  <c r="AK222" i="50"/>
  <c r="AK221" i="50"/>
  <c r="AJ262" i="50"/>
  <c r="AK259" i="50"/>
  <c r="AH261" i="50"/>
  <c r="AN261" i="50" s="1"/>
  <c r="AK252" i="50"/>
  <c r="AJ251" i="50"/>
  <c r="AI253" i="50"/>
  <c r="AK257" i="50"/>
  <c r="AH255" i="50"/>
  <c r="AN255" i="50" s="1"/>
  <c r="AH290" i="50"/>
  <c r="AN290" i="50" s="1"/>
  <c r="AJ276" i="50"/>
  <c r="AI284" i="50"/>
  <c r="AI282" i="50"/>
  <c r="AK277" i="50"/>
  <c r="AK233" i="50"/>
  <c r="AH234" i="50"/>
  <c r="AN234" i="50" s="1"/>
  <c r="AJ231" i="50"/>
  <c r="AK236" i="50"/>
  <c r="AH233" i="50"/>
  <c r="AN233" i="50" s="1"/>
  <c r="AH231" i="50"/>
  <c r="AN231" i="50" s="1"/>
  <c r="AI248" i="50"/>
  <c r="AH226" i="50"/>
  <c r="AN226" i="50" s="1"/>
  <c r="AH218" i="50"/>
  <c r="AN218" i="50" s="1"/>
  <c r="AJ241" i="50"/>
  <c r="AJ243" i="50"/>
  <c r="AJ239" i="50"/>
  <c r="AK248" i="50"/>
  <c r="AJ227" i="50"/>
  <c r="AK237" i="50"/>
  <c r="AI237" i="50"/>
  <c r="AK239" i="50"/>
  <c r="AL248" i="50"/>
  <c r="AJ254" i="50"/>
  <c r="AJ263" i="50"/>
  <c r="AH253" i="50"/>
  <c r="AN253" i="50" s="1"/>
  <c r="AJ255" i="50"/>
  <c r="AL265" i="50"/>
  <c r="AJ266" i="50"/>
  <c r="AH270" i="50"/>
  <c r="AN270" i="50" s="1"/>
  <c r="AJ272" i="50"/>
  <c r="AK269" i="50"/>
  <c r="AL263" i="50"/>
  <c r="AH254" i="50"/>
  <c r="AN254" i="50" s="1"/>
  <c r="AI259" i="50"/>
  <c r="AK284" i="50"/>
  <c r="AI290" i="50"/>
  <c r="AK280" i="50"/>
  <c r="AL278" i="50"/>
  <c r="AI287" i="50"/>
  <c r="AJ288" i="50"/>
  <c r="AL280" i="50"/>
  <c r="AH279" i="50"/>
  <c r="AN279" i="50" s="1"/>
  <c r="AH285" i="50"/>
  <c r="AN285" i="50" s="1"/>
  <c r="AL284" i="50"/>
  <c r="AO196" i="50"/>
  <c r="AK231" i="50"/>
  <c r="AL230" i="50"/>
  <c r="AI234" i="50"/>
  <c r="AJ234" i="50"/>
  <c r="AH228" i="50"/>
  <c r="AN228" i="50" s="1"/>
  <c r="AK227" i="50"/>
  <c r="AH244" i="50"/>
  <c r="AN244" i="50" s="1"/>
  <c r="AJ249" i="50"/>
  <c r="AH221" i="50"/>
  <c r="AN221" i="50" s="1"/>
  <c r="AJ250" i="50"/>
  <c r="AH237" i="50"/>
  <c r="AN237" i="50" s="1"/>
  <c r="AI243" i="50"/>
  <c r="AI223" i="50"/>
  <c r="AI218" i="50"/>
  <c r="AH241" i="50"/>
  <c r="AN241" i="50" s="1"/>
  <c r="AK250" i="50"/>
  <c r="AH250" i="50"/>
  <c r="AN250" i="50" s="1"/>
  <c r="AI246" i="50"/>
  <c r="AK243" i="50"/>
  <c r="AI239" i="50"/>
  <c r="AI241" i="50"/>
  <c r="AJ248" i="50"/>
  <c r="AZ259" i="50"/>
  <c r="AL251" i="50"/>
  <c r="AI256" i="50"/>
  <c r="AJ257" i="50"/>
  <c r="AI265" i="50"/>
  <c r="AH272" i="50"/>
  <c r="AN272" i="50" s="1"/>
  <c r="AH256" i="50"/>
  <c r="AN256" i="50" s="1"/>
  <c r="AI264" i="50"/>
  <c r="AK265" i="50"/>
  <c r="AJ260" i="50"/>
  <c r="AJ283" i="50"/>
  <c r="AL287" i="50"/>
  <c r="AJ285" i="50"/>
  <c r="AH274" i="50"/>
  <c r="AN274" i="50" s="1"/>
  <c r="AJ284" i="50"/>
  <c r="AL279" i="50"/>
  <c r="AH280" i="50"/>
  <c r="AN280" i="50" s="1"/>
  <c r="AL285" i="50"/>
  <c r="AK188" i="50"/>
  <c r="AL190" i="50"/>
  <c r="AK196" i="50"/>
  <c r="AL162" i="50"/>
  <c r="AJ141" i="50"/>
  <c r="AP141" i="50" s="1"/>
  <c r="AL149" i="50"/>
  <c r="AI187" i="50"/>
  <c r="AL187" i="50"/>
  <c r="AK187" i="50"/>
  <c r="AI195" i="50"/>
  <c r="AI197" i="50"/>
  <c r="AO197" i="50" s="1"/>
  <c r="AL196" i="50"/>
  <c r="AK166" i="50"/>
  <c r="AQ166" i="50" s="1"/>
  <c r="AI129" i="50"/>
  <c r="AO129" i="50" s="1"/>
  <c r="AH113" i="50"/>
  <c r="AN113" i="50" s="1"/>
  <c r="AL194" i="50"/>
  <c r="AJ194" i="50"/>
  <c r="AI194" i="50"/>
  <c r="AJ187" i="50"/>
  <c r="AH194" i="50"/>
  <c r="AN194" i="50" s="1"/>
  <c r="AJ188" i="50"/>
  <c r="AJ195" i="50"/>
  <c r="AH195" i="50"/>
  <c r="AN195" i="50" s="1"/>
  <c r="AL170" i="50"/>
  <c r="AR170" i="50" s="1"/>
  <c r="AL197" i="50"/>
  <c r="AL174" i="50"/>
  <c r="AR174" i="50" s="1"/>
  <c r="AK191" i="50"/>
  <c r="AQ191" i="50" s="1"/>
  <c r="AJ190" i="50"/>
  <c r="AJ189" i="50"/>
  <c r="AH106" i="50"/>
  <c r="AN106" i="50" s="1"/>
  <c r="AK192" i="50"/>
  <c r="AQ192" i="50" s="1"/>
  <c r="AL165" i="50"/>
  <c r="AR165" i="50" s="1"/>
  <c r="AK160" i="50"/>
  <c r="AQ160" i="50" s="1"/>
  <c r="AL193" i="50"/>
  <c r="AR193" i="50" s="1"/>
  <c r="AK197" i="50"/>
  <c r="AL167" i="50"/>
  <c r="AK195" i="50"/>
  <c r="AK164" i="50"/>
  <c r="AQ164" i="50" s="1"/>
  <c r="AL180" i="50"/>
  <c r="AR180" i="50" s="1"/>
  <c r="AL176" i="50"/>
  <c r="AR176" i="50" s="1"/>
  <c r="AK137" i="50"/>
  <c r="AL195" i="50"/>
  <c r="AL188" i="50"/>
  <c r="AH188" i="50"/>
  <c r="AN188" i="50" s="1"/>
  <c r="AL160" i="50"/>
  <c r="AL164" i="50"/>
  <c r="AL159" i="50"/>
  <c r="AL183" i="50"/>
  <c r="AR183" i="50" s="1"/>
  <c r="AJ196" i="50"/>
  <c r="AH189" i="50"/>
  <c r="AN189" i="50" s="1"/>
  <c r="AJ197" i="50"/>
  <c r="AL177" i="50"/>
  <c r="AR177" i="50" s="1"/>
  <c r="AK199" i="50"/>
  <c r="AQ199" i="50" s="1"/>
  <c r="AK162" i="50"/>
  <c r="AQ162" i="50" s="1"/>
  <c r="AL189" i="50"/>
  <c r="AL200" i="50"/>
  <c r="AR200" i="50" s="1"/>
  <c r="AH187" i="50"/>
  <c r="AN187" i="50" s="1"/>
  <c r="AL179" i="50"/>
  <c r="AR179" i="50" s="1"/>
  <c r="AI190" i="50"/>
  <c r="AO190" i="50" s="1"/>
  <c r="AL172" i="50"/>
  <c r="AR172" i="50" s="1"/>
  <c r="AI189" i="50"/>
  <c r="AL171" i="50"/>
  <c r="AR171" i="50" s="1"/>
  <c r="AK159" i="50"/>
  <c r="AQ159" i="50" s="1"/>
  <c r="AL168" i="50"/>
  <c r="AL191" i="50"/>
  <c r="AI188" i="50"/>
  <c r="AK189" i="50"/>
  <c r="AK161" i="50"/>
  <c r="AQ161" i="50" s="1"/>
  <c r="AL192" i="50"/>
  <c r="AL178" i="50"/>
  <c r="AR178" i="50" s="1"/>
  <c r="AL186" i="50"/>
  <c r="AR186" i="50" s="1"/>
  <c r="AK167" i="50"/>
  <c r="AQ167" i="50" s="1"/>
  <c r="AJ198" i="50"/>
  <c r="AP198" i="50" s="1"/>
  <c r="AQ198" i="50" s="1"/>
  <c r="AK190" i="50"/>
  <c r="AL173" i="50"/>
  <c r="AR173" i="50" s="1"/>
  <c r="AL161" i="50"/>
  <c r="AL198" i="50"/>
  <c r="AL184" i="50"/>
  <c r="AR184" i="50" s="1"/>
  <c r="AK168" i="50"/>
  <c r="AQ168" i="50" s="1"/>
  <c r="AH105" i="50"/>
  <c r="AN105" i="50" s="1"/>
  <c r="AI123" i="50"/>
  <c r="AO123" i="50" s="1"/>
  <c r="AI105" i="50"/>
  <c r="AK118" i="50"/>
  <c r="AI116" i="50"/>
  <c r="AO116" i="50" s="1"/>
  <c r="AJ120" i="50"/>
  <c r="AI101" i="50"/>
  <c r="AL153" i="50"/>
  <c r="AI110" i="50"/>
  <c r="AH102" i="50"/>
  <c r="AN102" i="50" s="1"/>
  <c r="AI99" i="50"/>
  <c r="AH98" i="50"/>
  <c r="AN98" i="50" s="1"/>
  <c r="AI107" i="50"/>
  <c r="AK123" i="50"/>
  <c r="AJ149" i="50"/>
  <c r="AP149" i="50" s="1"/>
  <c r="AJ148" i="50"/>
  <c r="AP148" i="50" s="1"/>
  <c r="AI104" i="50"/>
  <c r="AK149" i="50"/>
  <c r="AI119" i="50"/>
  <c r="AO119" i="50" s="1"/>
  <c r="AJ122" i="50"/>
  <c r="AK141" i="50"/>
  <c r="AK116" i="50"/>
  <c r="AJ113" i="50"/>
  <c r="AJ143" i="50"/>
  <c r="AP143" i="50" s="1"/>
  <c r="AJ123" i="50"/>
  <c r="AI122" i="50"/>
  <c r="AO122" i="50" s="1"/>
  <c r="AJ111" i="50"/>
  <c r="AI102" i="50"/>
  <c r="AK119" i="50"/>
  <c r="AL147" i="50"/>
  <c r="AL155" i="50"/>
  <c r="AH101" i="50"/>
  <c r="AN101" i="50" s="1"/>
  <c r="AJ142" i="50"/>
  <c r="AP142" i="50" s="1"/>
  <c r="AH99" i="50"/>
  <c r="AN99" i="50" s="1"/>
  <c r="AJ136" i="50"/>
  <c r="AP136" i="50" s="1"/>
  <c r="AH104" i="50"/>
  <c r="AN104" i="50" s="1"/>
  <c r="AK153" i="50"/>
  <c r="AQ153" i="50" s="1"/>
  <c r="AL154" i="50"/>
  <c r="AH96" i="50"/>
  <c r="AN96" i="50" s="1"/>
  <c r="AI98" i="50"/>
  <c r="AJ137" i="50"/>
  <c r="AP137" i="50" s="1"/>
  <c r="AJ117" i="50"/>
  <c r="AH112" i="50"/>
  <c r="AN112" i="50" s="1"/>
  <c r="AK143" i="50"/>
  <c r="AL142" i="50"/>
  <c r="AL141" i="50"/>
  <c r="AK152" i="50"/>
  <c r="AQ152" i="50" s="1"/>
  <c r="AK155" i="50"/>
  <c r="AQ155" i="50" s="1"/>
  <c r="AH90" i="50"/>
  <c r="AN90" i="50" s="1"/>
  <c r="AI100" i="50"/>
  <c r="AK120" i="50"/>
  <c r="AI113" i="50"/>
  <c r="AH111" i="50"/>
  <c r="AN111" i="50" s="1"/>
  <c r="AO111" i="50" s="1"/>
  <c r="AJ116" i="50"/>
  <c r="AH110" i="50"/>
  <c r="AN110" i="50" s="1"/>
  <c r="AJ119" i="50"/>
  <c r="AL140" i="50"/>
  <c r="AK158" i="50"/>
  <c r="AQ158" i="50" s="1"/>
  <c r="AK146" i="50"/>
  <c r="AJ147" i="50"/>
  <c r="AP147" i="50" s="1"/>
  <c r="AQ147" i="50" s="1"/>
  <c r="AH95" i="50"/>
  <c r="AN95" i="50" s="1"/>
  <c r="AO95" i="50" s="1"/>
  <c r="AH107" i="50"/>
  <c r="AN107" i="50" s="1"/>
  <c r="AI130" i="50"/>
  <c r="AO130" i="50" s="1"/>
  <c r="AI106" i="50"/>
  <c r="AJ110" i="50"/>
  <c r="AJ107" i="50"/>
  <c r="AJ114" i="50"/>
  <c r="AJ118" i="50"/>
  <c r="AK122" i="50"/>
  <c r="AJ112" i="50"/>
  <c r="AL138" i="50"/>
  <c r="AJ150" i="50"/>
  <c r="AP150" i="50" s="1"/>
  <c r="AL144" i="50"/>
  <c r="AL146" i="50"/>
  <c r="AL148" i="50"/>
  <c r="AL152" i="50"/>
  <c r="AH88" i="50"/>
  <c r="AN88" i="50" s="1"/>
  <c r="AI120" i="50"/>
  <c r="AO120" i="50" s="1"/>
  <c r="AP120" i="50" s="1"/>
  <c r="AH114" i="50"/>
  <c r="AN114" i="50" s="1"/>
  <c r="AI112" i="50"/>
  <c r="AI128" i="50"/>
  <c r="AO128" i="50" s="1"/>
  <c r="AI118" i="50"/>
  <c r="AO118" i="50" s="1"/>
  <c r="AJ129" i="50"/>
  <c r="AJ106" i="50"/>
  <c r="AJ130" i="50"/>
  <c r="AH108" i="50"/>
  <c r="AN108" i="50" s="1"/>
  <c r="AK130" i="50"/>
  <c r="AH100" i="50"/>
  <c r="AN100" i="50" s="1"/>
  <c r="AI114" i="50"/>
  <c r="AI117" i="50"/>
  <c r="AO117" i="50" s="1"/>
  <c r="AP117" i="50" s="1"/>
  <c r="AK117" i="50"/>
  <c r="AK140" i="50"/>
  <c r="AQ140" i="50" s="1"/>
  <c r="AK138" i="50"/>
  <c r="AJ138" i="50"/>
  <c r="AP138" i="50" s="1"/>
  <c r="AK142" i="50"/>
  <c r="AL143" i="50"/>
  <c r="AL158" i="50"/>
  <c r="AJ144" i="50"/>
  <c r="AP144" i="50" s="1"/>
  <c r="AK144" i="50"/>
  <c r="AL150" i="50"/>
  <c r="AK148" i="50"/>
  <c r="AM61" i="42"/>
  <c r="BI61" i="42" s="1"/>
  <c r="AH124" i="50"/>
  <c r="AJ94" i="50"/>
  <c r="AK88" i="50"/>
  <c r="AJ101" i="50"/>
  <c r="AJ64" i="42"/>
  <c r="AM62" i="42"/>
  <c r="BI62" i="42" s="1"/>
  <c r="AJ105" i="50"/>
  <c r="AL104" i="50"/>
  <c r="AL134" i="50"/>
  <c r="AL62" i="42"/>
  <c r="BH62" i="42" s="1"/>
  <c r="AN63" i="42"/>
  <c r="BJ63" i="42" s="1"/>
  <c r="AK110" i="50"/>
  <c r="AK75" i="50"/>
  <c r="AJ127" i="50"/>
  <c r="AI86" i="50"/>
  <c r="AH125" i="50"/>
  <c r="AJ67" i="50"/>
  <c r="AJ63" i="50"/>
  <c r="AK111" i="50"/>
  <c r="AK94" i="50"/>
  <c r="AL72" i="50"/>
  <c r="AL137" i="50"/>
  <c r="AL99" i="50"/>
  <c r="AH70" i="50"/>
  <c r="AN70" i="50" s="1"/>
  <c r="AL133" i="50"/>
  <c r="AJ91" i="50"/>
  <c r="AN62" i="42"/>
  <c r="BJ62" i="42" s="1"/>
  <c r="AN65" i="42"/>
  <c r="BJ65" i="42" s="1"/>
  <c r="AL65" i="42"/>
  <c r="BH65" i="42" s="1"/>
  <c r="AL63" i="42"/>
  <c r="BH63" i="42" s="1"/>
  <c r="AJ62" i="42"/>
  <c r="AJ65" i="42"/>
  <c r="AP65" i="42" s="1"/>
  <c r="AM64" i="42"/>
  <c r="BI64" i="42" s="1"/>
  <c r="AK65" i="42"/>
  <c r="BG65" i="42" s="1"/>
  <c r="AM65" i="42"/>
  <c r="BI65" i="42" s="1"/>
  <c r="AJ61" i="42"/>
  <c r="AJ63" i="42"/>
  <c r="AP63" i="42" s="1"/>
  <c r="AL61" i="42"/>
  <c r="BH61" i="42" s="1"/>
  <c r="AN61" i="42"/>
  <c r="BJ61" i="42" s="1"/>
  <c r="AM63" i="42"/>
  <c r="BI63" i="42" s="1"/>
  <c r="AN64" i="42"/>
  <c r="BJ64" i="42" s="1"/>
  <c r="AK63" i="42"/>
  <c r="BG63" i="42" s="1"/>
  <c r="AL64" i="42"/>
  <c r="BH64" i="42" s="1"/>
  <c r="AK61" i="42"/>
  <c r="AK62" i="42"/>
  <c r="AK64" i="42"/>
  <c r="AI64" i="50"/>
  <c r="AK77" i="50"/>
  <c r="AL63" i="50"/>
  <c r="AI62" i="50"/>
  <c r="AL88" i="50"/>
  <c r="AK64" i="50"/>
  <c r="AL70" i="50"/>
  <c r="AL128" i="50"/>
  <c r="AH87" i="50"/>
  <c r="AN87" i="50" s="1"/>
  <c r="AJ87" i="50"/>
  <c r="AJ71" i="50"/>
  <c r="AK133" i="50"/>
  <c r="AL115" i="50"/>
  <c r="AJ66" i="50"/>
  <c r="AJ135" i="50"/>
  <c r="AP135" i="50" s="1"/>
  <c r="AJ90" i="50"/>
  <c r="AJ82" i="50"/>
  <c r="AL127" i="50"/>
  <c r="AK112" i="50"/>
  <c r="AK86" i="50"/>
  <c r="AK71" i="50"/>
  <c r="AJ134" i="50"/>
  <c r="AP134" i="50" s="1"/>
  <c r="AL79" i="50"/>
  <c r="AI79" i="50"/>
  <c r="AJ77" i="50"/>
  <c r="AK83" i="50"/>
  <c r="AK66" i="50"/>
  <c r="AI127" i="50"/>
  <c r="AL126" i="50"/>
  <c r="AH63" i="50"/>
  <c r="AN63" i="50" s="1"/>
  <c r="AJ133" i="50"/>
  <c r="AL105" i="50"/>
  <c r="AJ102" i="50"/>
  <c r="AK103" i="50"/>
  <c r="AK134" i="50"/>
  <c r="AL97" i="50"/>
  <c r="AL114" i="50"/>
  <c r="AJ89" i="50"/>
  <c r="AJ132" i="50"/>
  <c r="AP132" i="50" s="1"/>
  <c r="AH78" i="50"/>
  <c r="AN78" i="50" s="1"/>
  <c r="AL75" i="50"/>
  <c r="AL64" i="50"/>
  <c r="AK89" i="50"/>
  <c r="AI87" i="50"/>
  <c r="AI69" i="50"/>
  <c r="AH64" i="50"/>
  <c r="AN64" i="50" s="1"/>
  <c r="AJ95" i="50"/>
  <c r="AL71" i="50"/>
  <c r="AJ81" i="50"/>
  <c r="AJ75" i="50"/>
  <c r="AI133" i="50"/>
  <c r="AH132" i="50"/>
  <c r="AJ84" i="50"/>
  <c r="AJ80" i="50"/>
  <c r="AJ74" i="50"/>
  <c r="AH62" i="50"/>
  <c r="AN62" i="50" s="1"/>
  <c r="AL132" i="50"/>
  <c r="AI82" i="50"/>
  <c r="AL101" i="50"/>
  <c r="AH72" i="50"/>
  <c r="AN72" i="50" s="1"/>
  <c r="AK104" i="50"/>
  <c r="AL123" i="50"/>
  <c r="AJ124" i="50"/>
  <c r="AL124" i="50"/>
  <c r="AL90" i="50"/>
  <c r="AH77" i="50"/>
  <c r="AN77" i="50" s="1"/>
  <c r="AK109" i="50"/>
  <c r="AL67" i="50"/>
  <c r="AL108" i="50"/>
  <c r="AJ99" i="50"/>
  <c r="AK114" i="50"/>
  <c r="AL80" i="50"/>
  <c r="AL100" i="50"/>
  <c r="AI89" i="50"/>
  <c r="AK131" i="50"/>
  <c r="AL113" i="50"/>
  <c r="AL91" i="50"/>
  <c r="AK90" i="50"/>
  <c r="AK127" i="50"/>
  <c r="AH75" i="50"/>
  <c r="AN75" i="50" s="1"/>
  <c r="AI68" i="50"/>
  <c r="AJ103" i="50"/>
  <c r="AJ76" i="50"/>
  <c r="AK100" i="50"/>
  <c r="AL131" i="50"/>
  <c r="AL107" i="50"/>
  <c r="AL135" i="50"/>
  <c r="AJ73" i="50"/>
  <c r="AK128" i="50"/>
  <c r="AJ92" i="50"/>
  <c r="AJ70" i="50"/>
  <c r="AL87" i="50"/>
  <c r="AL118" i="50"/>
  <c r="AH81" i="50"/>
  <c r="AN81" i="50" s="1"/>
  <c r="AH65" i="50"/>
  <c r="AN65" i="50" s="1"/>
  <c r="AL65" i="50"/>
  <c r="AH69" i="50"/>
  <c r="AN69" i="50" s="1"/>
  <c r="AK69" i="50"/>
  <c r="AK85" i="50"/>
  <c r="AI77" i="50"/>
  <c r="AI90" i="50"/>
  <c r="AL111" i="50"/>
  <c r="AI75" i="50"/>
  <c r="AL106" i="50"/>
  <c r="AL130" i="50"/>
  <c r="AK63" i="50"/>
  <c r="AL76" i="50"/>
  <c r="AL85" i="50"/>
  <c r="AK132" i="50"/>
  <c r="AH74" i="50"/>
  <c r="AN74" i="50" s="1"/>
  <c r="AI66" i="50"/>
  <c r="AH80" i="50"/>
  <c r="AN80" i="50" s="1"/>
  <c r="AJ86" i="50"/>
  <c r="AI88" i="50"/>
  <c r="AJ98" i="50"/>
  <c r="AK106" i="50"/>
  <c r="AI134" i="50"/>
  <c r="AL73" i="50"/>
  <c r="AJ78" i="50"/>
  <c r="AH82" i="50"/>
  <c r="AN82" i="50" s="1"/>
  <c r="AK126" i="50"/>
  <c r="AI71" i="50"/>
  <c r="AK78" i="50"/>
  <c r="AL94" i="50"/>
  <c r="AL136" i="50"/>
  <c r="AL129" i="50"/>
  <c r="AH85" i="50"/>
  <c r="AK97" i="50"/>
  <c r="AK105" i="50"/>
  <c r="AL121" i="50"/>
  <c r="AL81" i="50"/>
  <c r="AI85" i="50"/>
  <c r="AL95" i="50"/>
  <c r="AL125" i="50"/>
  <c r="AH133" i="50"/>
  <c r="AJ69" i="50"/>
  <c r="AI131" i="50"/>
  <c r="AO131" i="50" s="1"/>
  <c r="AP131" i="50" s="1"/>
  <c r="AK65" i="50"/>
  <c r="AI124" i="50"/>
  <c r="AO124" i="50" s="1"/>
  <c r="AP124" i="50" s="1"/>
  <c r="AJ125" i="50"/>
  <c r="AL74" i="50"/>
  <c r="AK73" i="50"/>
  <c r="AL68" i="50"/>
  <c r="AK136" i="50"/>
  <c r="AI76" i="50"/>
  <c r="AL66" i="50"/>
  <c r="AJ97" i="50"/>
  <c r="AJ88" i="50"/>
  <c r="AK68" i="50"/>
  <c r="AK76" i="50"/>
  <c r="AI70" i="50"/>
  <c r="AJ72" i="50"/>
  <c r="AJ104" i="50"/>
  <c r="AH86" i="50"/>
  <c r="AN86" i="50" s="1"/>
  <c r="AK92" i="50"/>
  <c r="AH126" i="50"/>
  <c r="AI67" i="50"/>
  <c r="BA67" i="50" s="1"/>
  <c r="AI72" i="50"/>
  <c r="AJ100" i="50"/>
  <c r="AJ126" i="50"/>
  <c r="AK72" i="50"/>
  <c r="AL78" i="50"/>
  <c r="AK96" i="50"/>
  <c r="AK102" i="50"/>
  <c r="AI81" i="50"/>
  <c r="AI93" i="50"/>
  <c r="AK107" i="50"/>
  <c r="AI125" i="50"/>
  <c r="AO125" i="50" s="1"/>
  <c r="AP125" i="50" s="1"/>
  <c r="AK81" i="50"/>
  <c r="AJ85" i="50"/>
  <c r="AK95" i="50"/>
  <c r="AL69" i="50"/>
  <c r="AH131" i="50"/>
  <c r="AK124" i="50"/>
  <c r="AL109" i="50"/>
  <c r="AL77" i="50"/>
  <c r="AL86" i="50"/>
  <c r="AK70" i="50"/>
  <c r="AI74" i="50"/>
  <c r="AH83" i="50"/>
  <c r="AN83" i="50" s="1"/>
  <c r="AL120" i="50"/>
  <c r="AL96" i="50"/>
  <c r="AI84" i="50"/>
  <c r="AK74" i="50"/>
  <c r="AK62" i="50"/>
  <c r="AK125" i="50"/>
  <c r="AL122" i="50"/>
  <c r="AL84" i="50"/>
  <c r="AI73" i="50"/>
  <c r="AL117" i="50"/>
  <c r="AJ62" i="50"/>
  <c r="AK84" i="50"/>
  <c r="AL102" i="50"/>
  <c r="AI80" i="50"/>
  <c r="AI78" i="50"/>
  <c r="AJ96" i="50"/>
  <c r="AL112" i="50"/>
  <c r="AH67" i="50"/>
  <c r="AK93" i="50"/>
  <c r="AJ79" i="50"/>
  <c r="AK91" i="50"/>
  <c r="AK99" i="50"/>
  <c r="AH79" i="50"/>
  <c r="AJ83" i="50"/>
  <c r="AK87" i="50"/>
  <c r="AL89" i="50"/>
  <c r="AL93" i="50"/>
  <c r="AL103" i="50"/>
  <c r="AK129" i="50"/>
  <c r="AI83" i="50"/>
  <c r="AH68" i="50"/>
  <c r="AN68" i="50" s="1"/>
  <c r="AH73" i="50"/>
  <c r="AJ64" i="50"/>
  <c r="AI63" i="50"/>
  <c r="AI92" i="50"/>
  <c r="AH76" i="50"/>
  <c r="AN76" i="50" s="1"/>
  <c r="AH66" i="50"/>
  <c r="AN66" i="50" s="1"/>
  <c r="AL119" i="50"/>
  <c r="AL110" i="50"/>
  <c r="AJ68" i="50"/>
  <c r="AK108" i="50"/>
  <c r="AL62" i="50"/>
  <c r="AH84" i="50"/>
  <c r="AN84" i="50" s="1"/>
  <c r="AI94" i="50"/>
  <c r="AI126" i="50"/>
  <c r="AO126" i="50" s="1"/>
  <c r="AJ128" i="50"/>
  <c r="AH71" i="50"/>
  <c r="AN71" i="50" s="1"/>
  <c r="AK80" i="50"/>
  <c r="AK98" i="50"/>
  <c r="AL116" i="50"/>
  <c r="AL92" i="50"/>
  <c r="AL98" i="50"/>
  <c r="AK79" i="50"/>
  <c r="AL83" i="50"/>
  <c r="AI91" i="50"/>
  <c r="AK113" i="50"/>
  <c r="AK135" i="50"/>
  <c r="AJ93" i="50"/>
  <c r="BC326" i="50" l="1"/>
  <c r="AO96" i="50"/>
  <c r="BD334" i="50"/>
  <c r="AR331" i="50"/>
  <c r="BD331" i="50" s="1"/>
  <c r="AO84" i="50"/>
  <c r="BD333" i="50"/>
  <c r="AR336" i="50"/>
  <c r="BD336" i="50" s="1"/>
  <c r="AR337" i="50"/>
  <c r="BD337" i="50" s="1"/>
  <c r="AR166" i="50"/>
  <c r="BC336" i="50"/>
  <c r="BC329" i="50"/>
  <c r="AO69" i="50"/>
  <c r="AP69" i="50" s="1"/>
  <c r="AQ69" i="50" s="1"/>
  <c r="AR69" i="50" s="1"/>
  <c r="AR167" i="50"/>
  <c r="BC327" i="50"/>
  <c r="BC330" i="50"/>
  <c r="AR332" i="50"/>
  <c r="BD332" i="50" s="1"/>
  <c r="AO263" i="50"/>
  <c r="BC333" i="50"/>
  <c r="BC328" i="50"/>
  <c r="BC338" i="50"/>
  <c r="BP91" i="42"/>
  <c r="BX91" i="42" s="1"/>
  <c r="AS89" i="42"/>
  <c r="BN97" i="42"/>
  <c r="BV97" i="42" s="1"/>
  <c r="AS88" i="42"/>
  <c r="AT88" i="42" s="1"/>
  <c r="BB88" i="42" s="1"/>
  <c r="BR88" i="42" s="1"/>
  <c r="BI91" i="42"/>
  <c r="AS91" i="42"/>
  <c r="AT91" i="42" s="1"/>
  <c r="BB91" i="42" s="1"/>
  <c r="BR91" i="42" s="1"/>
  <c r="BZ91" i="42" s="1"/>
  <c r="BA91" i="42"/>
  <c r="BQ91" i="42" s="1"/>
  <c r="CA91" i="42" s="1"/>
  <c r="BH97" i="42"/>
  <c r="AZ97" i="42"/>
  <c r="BF94" i="42"/>
  <c r="AX94" i="42"/>
  <c r="BN94" i="42" s="1"/>
  <c r="BV94" i="42" s="1"/>
  <c r="BI94" i="42"/>
  <c r="AS94" i="42"/>
  <c r="AT94" i="42" s="1"/>
  <c r="BB94" i="42" s="1"/>
  <c r="BR94" i="42" s="1"/>
  <c r="BZ94" i="42" s="1"/>
  <c r="BI93" i="42"/>
  <c r="AS93" i="42"/>
  <c r="AT93" i="42" s="1"/>
  <c r="BB93" i="42" s="1"/>
  <c r="BR93" i="42" s="1"/>
  <c r="BZ93" i="42" s="1"/>
  <c r="BA93" i="42"/>
  <c r="BQ93" i="42" s="1"/>
  <c r="CA93" i="42" s="1"/>
  <c r="BH98" i="42"/>
  <c r="AZ98" i="42"/>
  <c r="BG93" i="42"/>
  <c r="AY93" i="42"/>
  <c r="BO93" i="42" s="1"/>
  <c r="BW93" i="42" s="1"/>
  <c r="BH93" i="42"/>
  <c r="AZ93" i="42"/>
  <c r="BO94" i="42"/>
  <c r="BW94" i="42" s="1"/>
  <c r="BG80" i="42"/>
  <c r="BO80" i="42" s="1"/>
  <c r="BN91" i="42"/>
  <c r="BV91" i="42" s="1"/>
  <c r="BI96" i="42"/>
  <c r="AS96" i="42"/>
  <c r="AT96" i="42" s="1"/>
  <c r="BB96" i="42" s="1"/>
  <c r="BR96" i="42" s="1"/>
  <c r="BZ96" i="42" s="1"/>
  <c r="BG91" i="42"/>
  <c r="AY91" i="42"/>
  <c r="BO91" i="42" s="1"/>
  <c r="BW91" i="42" s="1"/>
  <c r="BF96" i="42"/>
  <c r="AX96" i="42"/>
  <c r="AX71" i="42"/>
  <c r="AX90" i="42"/>
  <c r="BG96" i="42"/>
  <c r="AY96" i="42"/>
  <c r="BF93" i="42"/>
  <c r="AX93" i="42"/>
  <c r="BN93" i="42" s="1"/>
  <c r="BV93" i="42" s="1"/>
  <c r="BG74" i="42"/>
  <c r="BG97" i="42"/>
  <c r="AY97" i="42"/>
  <c r="BH96" i="42"/>
  <c r="AZ96" i="42"/>
  <c r="BI97" i="42"/>
  <c r="AS97" i="42"/>
  <c r="AT97" i="42" s="1"/>
  <c r="BB97" i="42" s="1"/>
  <c r="BR97" i="42" s="1"/>
  <c r="BZ97" i="42" s="1"/>
  <c r="AO232" i="50"/>
  <c r="AO283" i="50"/>
  <c r="BA283" i="50" s="1"/>
  <c r="AZ223" i="50"/>
  <c r="AR81" i="42"/>
  <c r="AS81" i="42" s="1"/>
  <c r="AT81" i="42" s="1"/>
  <c r="BB81" i="42" s="1"/>
  <c r="BR81" i="42" s="1"/>
  <c r="BH82" i="42"/>
  <c r="AR86" i="42"/>
  <c r="AS86" i="42" s="1"/>
  <c r="AT86" i="42" s="1"/>
  <c r="BB86" i="42" s="1"/>
  <c r="BR86" i="42" s="1"/>
  <c r="AR87" i="42"/>
  <c r="AS87" i="42" s="1"/>
  <c r="BH88" i="42"/>
  <c r="AR85" i="42"/>
  <c r="AS85" i="42" s="1"/>
  <c r="AT85" i="42" s="1"/>
  <c r="BB85" i="42" s="1"/>
  <c r="BR85" i="42" s="1"/>
  <c r="BF89" i="42"/>
  <c r="BN89" i="42" s="1"/>
  <c r="AX84" i="42"/>
  <c r="BN84" i="42" s="1"/>
  <c r="AX83" i="42"/>
  <c r="BN83" i="42" s="1"/>
  <c r="AR67" i="42"/>
  <c r="AZ67" i="42" s="1"/>
  <c r="BP67" i="42" s="1"/>
  <c r="BG71" i="42"/>
  <c r="AQ318" i="50"/>
  <c r="AR318" i="50" s="1"/>
  <c r="BD318" i="50" s="1"/>
  <c r="AR71" i="42"/>
  <c r="AZ71" i="42" s="1"/>
  <c r="AZ92" i="42"/>
  <c r="BH92" i="42"/>
  <c r="AR69" i="42"/>
  <c r="AS69" i="42" s="1"/>
  <c r="AT69" i="42" s="1"/>
  <c r="AR159" i="50"/>
  <c r="AO275" i="50"/>
  <c r="AP275" i="50" s="1"/>
  <c r="AQ275" i="50" s="1"/>
  <c r="AR275" i="50" s="1"/>
  <c r="BD275" i="50" s="1"/>
  <c r="AQ314" i="50"/>
  <c r="BC314" i="50" s="1"/>
  <c r="AY85" i="42"/>
  <c r="BO85" i="42" s="1"/>
  <c r="AQ311" i="50"/>
  <c r="AR311" i="50" s="1"/>
  <c r="BD311" i="50" s="1"/>
  <c r="AQ320" i="50"/>
  <c r="BC320" i="50" s="1"/>
  <c r="AY87" i="42"/>
  <c r="BO87" i="42" s="1"/>
  <c r="AS77" i="42"/>
  <c r="AT77" i="42" s="1"/>
  <c r="BB77" i="42" s="1"/>
  <c r="BR77" i="42" s="1"/>
  <c r="BZ77" i="42" s="1"/>
  <c r="AY92" i="42"/>
  <c r="BO92" i="42" s="1"/>
  <c r="BW92" i="42" s="1"/>
  <c r="AO94" i="50"/>
  <c r="AP94" i="50" s="1"/>
  <c r="AQ94" i="50" s="1"/>
  <c r="AR94" i="50" s="1"/>
  <c r="AO65" i="50"/>
  <c r="AP65" i="50" s="1"/>
  <c r="AQ65" i="50" s="1"/>
  <c r="AR65" i="50" s="1"/>
  <c r="AO93" i="50"/>
  <c r="AP93" i="50" s="1"/>
  <c r="AQ93" i="50" s="1"/>
  <c r="AR93" i="50" s="1"/>
  <c r="BD93" i="50" s="1"/>
  <c r="AR154" i="50"/>
  <c r="BD154" i="50" s="1"/>
  <c r="AQ308" i="50"/>
  <c r="BC308" i="50" s="1"/>
  <c r="AS92" i="42"/>
  <c r="AT92" i="42" s="1"/>
  <c r="BB92" i="42" s="1"/>
  <c r="BR92" i="42" s="1"/>
  <c r="BZ92" i="42" s="1"/>
  <c r="AQ309" i="50"/>
  <c r="BC309" i="50" s="1"/>
  <c r="AX92" i="42"/>
  <c r="BN92" i="42" s="1"/>
  <c r="BV92" i="42" s="1"/>
  <c r="BH89" i="42"/>
  <c r="AT89" i="42"/>
  <c r="BB89" i="42" s="1"/>
  <c r="BR89" i="42" s="1"/>
  <c r="BN86" i="42"/>
  <c r="AR90" i="42"/>
  <c r="AS90" i="42" s="1"/>
  <c r="AT90" i="42" s="1"/>
  <c r="BB90" i="42" s="1"/>
  <c r="BR90" i="42" s="1"/>
  <c r="BG86" i="42"/>
  <c r="BO86" i="42" s="1"/>
  <c r="BG67" i="42"/>
  <c r="BG78" i="42"/>
  <c r="AR78" i="42"/>
  <c r="AZ78" i="42" s="1"/>
  <c r="BG76" i="42"/>
  <c r="AR83" i="42"/>
  <c r="AS83" i="42" s="1"/>
  <c r="AT83" i="42" s="1"/>
  <c r="BB83" i="42" s="1"/>
  <c r="BR83" i="42" s="1"/>
  <c r="BG82" i="42"/>
  <c r="BO82" i="42" s="1"/>
  <c r="AZ89" i="42"/>
  <c r="BA89" i="42"/>
  <c r="BQ89" i="42" s="1"/>
  <c r="BO88" i="42"/>
  <c r="AX85" i="42"/>
  <c r="BF85" i="42"/>
  <c r="BF80" i="42"/>
  <c r="AX80" i="42"/>
  <c r="BA82" i="42"/>
  <c r="BQ82" i="42" s="1"/>
  <c r="AT82" i="42"/>
  <c r="BB82" i="42" s="1"/>
  <c r="BR82" i="42" s="1"/>
  <c r="BF81" i="42"/>
  <c r="AX81" i="42"/>
  <c r="BH84" i="42"/>
  <c r="AR84" i="42"/>
  <c r="AS84" i="42" s="1"/>
  <c r="AT84" i="42" s="1"/>
  <c r="BB84" i="42" s="1"/>
  <c r="BR84" i="42" s="1"/>
  <c r="BF88" i="42"/>
  <c r="AX88" i="42"/>
  <c r="BI84" i="42"/>
  <c r="BG90" i="42"/>
  <c r="AY90" i="42"/>
  <c r="AO92" i="50"/>
  <c r="AP92" i="50" s="1"/>
  <c r="AQ92" i="50" s="1"/>
  <c r="BG81" i="42"/>
  <c r="AY81" i="42"/>
  <c r="AX82" i="42"/>
  <c r="BF82" i="42"/>
  <c r="AZ81" i="42"/>
  <c r="BP81" i="42" s="1"/>
  <c r="BI85" i="42"/>
  <c r="BN90" i="42"/>
  <c r="AZ82" i="42"/>
  <c r="AY83" i="42"/>
  <c r="BG83" i="42"/>
  <c r="BF87" i="42"/>
  <c r="AX87" i="42"/>
  <c r="BH80" i="42"/>
  <c r="AR80" i="42"/>
  <c r="AS80" i="42" s="1"/>
  <c r="BG84" i="42"/>
  <c r="AY84" i="42"/>
  <c r="AP323" i="50"/>
  <c r="AQ323" i="50" s="1"/>
  <c r="BG89" i="42"/>
  <c r="AY89" i="42"/>
  <c r="AZ88" i="42"/>
  <c r="AQ319" i="50"/>
  <c r="AR319" i="50" s="1"/>
  <c r="BD319" i="50" s="1"/>
  <c r="BB309" i="50"/>
  <c r="BB319" i="50"/>
  <c r="AP316" i="50"/>
  <c r="AQ316" i="50" s="1"/>
  <c r="AP312" i="50"/>
  <c r="AQ312" i="50" s="1"/>
  <c r="AR312" i="50" s="1"/>
  <c r="BD312" i="50" s="1"/>
  <c r="BB320" i="50"/>
  <c r="BB314" i="50"/>
  <c r="AP310" i="50"/>
  <c r="AQ310" i="50" s="1"/>
  <c r="AP322" i="50"/>
  <c r="AQ322" i="50" s="1"/>
  <c r="AR322" i="50" s="1"/>
  <c r="BD322" i="50" s="1"/>
  <c r="AP317" i="50"/>
  <c r="AQ317" i="50" s="1"/>
  <c r="AP313" i="50"/>
  <c r="AQ313" i="50" s="1"/>
  <c r="BB311" i="50"/>
  <c r="AQ321" i="50"/>
  <c r="AR321" i="50" s="1"/>
  <c r="BD321" i="50" s="1"/>
  <c r="BB308" i="50"/>
  <c r="BB318" i="50"/>
  <c r="AP315" i="50"/>
  <c r="AO108" i="50"/>
  <c r="AP108" i="50" s="1"/>
  <c r="AQ108" i="50" s="1"/>
  <c r="AR108" i="50" s="1"/>
  <c r="AQ146" i="50"/>
  <c r="AR146" i="50" s="1"/>
  <c r="AY75" i="42"/>
  <c r="AO260" i="50"/>
  <c r="AP260" i="50" s="1"/>
  <c r="AQ260" i="50" s="1"/>
  <c r="AR260" i="50" s="1"/>
  <c r="BD260" i="50" s="1"/>
  <c r="AS74" i="42"/>
  <c r="BA74" i="42" s="1"/>
  <c r="BQ74" i="42" s="1"/>
  <c r="BH78" i="42"/>
  <c r="AR73" i="42"/>
  <c r="AS73" i="42" s="1"/>
  <c r="AT73" i="42" s="1"/>
  <c r="BF78" i="42"/>
  <c r="BN78" i="42" s="1"/>
  <c r="AR75" i="42"/>
  <c r="AS75" i="42" s="1"/>
  <c r="AT75" i="42" s="1"/>
  <c r="AR76" i="42"/>
  <c r="AS76" i="42" s="1"/>
  <c r="AT76" i="42" s="1"/>
  <c r="BB76" i="42" s="1"/>
  <c r="BR76" i="42" s="1"/>
  <c r="BZ76" i="42" s="1"/>
  <c r="AP295" i="50"/>
  <c r="AQ295" i="50" s="1"/>
  <c r="BC295" i="50" s="1"/>
  <c r="AP293" i="50"/>
  <c r="AQ293" i="50" s="1"/>
  <c r="AR293" i="50" s="1"/>
  <c r="BD293" i="50" s="1"/>
  <c r="AR199" i="50"/>
  <c r="BD199" i="50" s="1"/>
  <c r="AO62" i="50"/>
  <c r="AP62" i="50" s="1"/>
  <c r="AQ150" i="50"/>
  <c r="AR150" i="50" s="1"/>
  <c r="BA303" i="50"/>
  <c r="BF72" i="42"/>
  <c r="BN72" i="42" s="1"/>
  <c r="BG70" i="42"/>
  <c r="AX69" i="42"/>
  <c r="BN69" i="42" s="1"/>
  <c r="AR72" i="42"/>
  <c r="AS72" i="42" s="1"/>
  <c r="AT72" i="42" s="1"/>
  <c r="AR68" i="42"/>
  <c r="AS68" i="42" s="1"/>
  <c r="AT68" i="42" s="1"/>
  <c r="BF68" i="42"/>
  <c r="BN68" i="42" s="1"/>
  <c r="BG72" i="42"/>
  <c r="BH71" i="42"/>
  <c r="BG75" i="42"/>
  <c r="AR70" i="42"/>
  <c r="AS70" i="42" s="1"/>
  <c r="AT70" i="42" s="1"/>
  <c r="BB70" i="42" s="1"/>
  <c r="AY73" i="42"/>
  <c r="BG73" i="42"/>
  <c r="BG77" i="42"/>
  <c r="AP294" i="50"/>
  <c r="AQ294" i="50" s="1"/>
  <c r="AR294" i="50" s="1"/>
  <c r="BD294" i="50" s="1"/>
  <c r="AP291" i="50"/>
  <c r="BB291" i="50" s="1"/>
  <c r="AP305" i="50"/>
  <c r="AQ305" i="50" s="1"/>
  <c r="AR305" i="50" s="1"/>
  <c r="BD305" i="50" s="1"/>
  <c r="AQ79" i="42"/>
  <c r="AP232" i="50"/>
  <c r="AQ232" i="50" s="1"/>
  <c r="AR232" i="50" s="1"/>
  <c r="BD232" i="50" s="1"/>
  <c r="O105" i="66"/>
  <c r="BH70" i="42"/>
  <c r="AQ63" i="42"/>
  <c r="AR63" i="42" s="1"/>
  <c r="AS63" i="42" s="1"/>
  <c r="AT63" i="42" s="1"/>
  <c r="BF64" i="42"/>
  <c r="AP64" i="42"/>
  <c r="AQ64" i="42" s="1"/>
  <c r="AR64" i="42" s="1"/>
  <c r="AS64" i="42" s="1"/>
  <c r="AT64" i="42" s="1"/>
  <c r="BF61" i="42"/>
  <c r="AP61" i="42"/>
  <c r="AQ61" i="42" s="1"/>
  <c r="AR61" i="42" s="1"/>
  <c r="AS61" i="42" s="1"/>
  <c r="AT61" i="42" s="1"/>
  <c r="AQ65" i="42"/>
  <c r="AR65" i="42" s="1"/>
  <c r="AS65" i="42" s="1"/>
  <c r="AT65" i="42" s="1"/>
  <c r="AS67" i="42"/>
  <c r="AP62" i="42"/>
  <c r="AQ62" i="42" s="1"/>
  <c r="AR62" i="42" s="1"/>
  <c r="AS62" i="42" s="1"/>
  <c r="AT62" i="42" s="1"/>
  <c r="B511" i="40"/>
  <c r="B230" i="65"/>
  <c r="AZ74" i="42"/>
  <c r="BP74" i="42" s="1"/>
  <c r="AZ243" i="50"/>
  <c r="AN222" i="50"/>
  <c r="AZ222" i="50" s="1"/>
  <c r="AN286" i="50"/>
  <c r="AO286" i="50" s="1"/>
  <c r="AN248" i="50"/>
  <c r="AZ248" i="50" s="1"/>
  <c r="AP292" i="50"/>
  <c r="AQ292" i="50" s="1"/>
  <c r="AR292" i="50" s="1"/>
  <c r="BD292" i="50" s="1"/>
  <c r="BA305" i="50"/>
  <c r="AO306" i="50"/>
  <c r="AP306" i="50" s="1"/>
  <c r="AN268" i="50"/>
  <c r="AO268" i="50" s="1"/>
  <c r="AO302" i="50"/>
  <c r="AP302" i="50" s="1"/>
  <c r="AN287" i="50"/>
  <c r="AZ287" i="50" s="1"/>
  <c r="AN227" i="50"/>
  <c r="AO227" i="50" s="1"/>
  <c r="BA227" i="50" s="1"/>
  <c r="AN224" i="50"/>
  <c r="AZ224" i="50" s="1"/>
  <c r="AN267" i="50"/>
  <c r="AO267" i="50" s="1"/>
  <c r="AN246" i="50"/>
  <c r="AZ246" i="50" s="1"/>
  <c r="AY78" i="42"/>
  <c r="AP303" i="50"/>
  <c r="AQ303" i="50" s="1"/>
  <c r="AR303" i="50" s="1"/>
  <c r="BD303" i="50" s="1"/>
  <c r="AO304" i="50"/>
  <c r="AP304" i="50" s="1"/>
  <c r="AQ304" i="50" s="1"/>
  <c r="AR304" i="50" s="1"/>
  <c r="BD304" i="50" s="1"/>
  <c r="AN245" i="50"/>
  <c r="AO245" i="50" s="1"/>
  <c r="AO300" i="50"/>
  <c r="AP300" i="50" s="1"/>
  <c r="AO301" i="50"/>
  <c r="AP301" i="50" s="1"/>
  <c r="BA294" i="50"/>
  <c r="BA295" i="50"/>
  <c r="AZ258" i="50"/>
  <c r="AO281" i="50"/>
  <c r="N100" i="66" s="1"/>
  <c r="AO257" i="50"/>
  <c r="BA257" i="50" s="1"/>
  <c r="AZ229" i="50"/>
  <c r="BA292" i="50"/>
  <c r="BA293" i="50"/>
  <c r="AO298" i="50"/>
  <c r="N101" i="66" s="1"/>
  <c r="AO296" i="50"/>
  <c r="AP296" i="50" s="1"/>
  <c r="BA291" i="50"/>
  <c r="AO297" i="50"/>
  <c r="AP297" i="50" s="1"/>
  <c r="AQ297" i="50" s="1"/>
  <c r="AO299" i="50"/>
  <c r="AP299" i="50" s="1"/>
  <c r="BF74" i="42"/>
  <c r="AX74" i="42"/>
  <c r="AY67" i="42"/>
  <c r="BH72" i="42"/>
  <c r="BF67" i="42"/>
  <c r="AX67" i="42"/>
  <c r="BH75" i="42"/>
  <c r="BI70" i="42"/>
  <c r="BJ70" i="42"/>
  <c r="BN71" i="42"/>
  <c r="BH73" i="42"/>
  <c r="BJ71" i="42"/>
  <c r="BF70" i="42"/>
  <c r="AX70" i="42"/>
  <c r="BI79" i="42"/>
  <c r="BH68" i="42"/>
  <c r="AY77" i="42"/>
  <c r="AY76" i="42"/>
  <c r="BF77" i="42"/>
  <c r="AX77" i="42"/>
  <c r="BI71" i="42"/>
  <c r="AX76" i="42"/>
  <c r="BF76" i="42"/>
  <c r="BG68" i="42"/>
  <c r="BI67" i="42"/>
  <c r="BF79" i="42"/>
  <c r="AX79" i="42"/>
  <c r="AY70" i="42"/>
  <c r="BF75" i="42"/>
  <c r="AX75" i="42"/>
  <c r="AZ77" i="42"/>
  <c r="BP77" i="42" s="1"/>
  <c r="BI69" i="42"/>
  <c r="AY71" i="42"/>
  <c r="AY74" i="42"/>
  <c r="BG69" i="42"/>
  <c r="AX73" i="42"/>
  <c r="BF73" i="42"/>
  <c r="AY72" i="42"/>
  <c r="AO89" i="50"/>
  <c r="AP89" i="50" s="1"/>
  <c r="AQ89" i="50" s="1"/>
  <c r="AR89" i="50" s="1"/>
  <c r="AO277" i="50"/>
  <c r="AP277" i="50" s="1"/>
  <c r="BB277" i="50" s="1"/>
  <c r="AO269" i="50"/>
  <c r="AP269" i="50" s="1"/>
  <c r="BB269" i="50" s="1"/>
  <c r="AO236" i="50"/>
  <c r="BA236" i="50" s="1"/>
  <c r="AO220" i="50"/>
  <c r="AP220" i="50" s="1"/>
  <c r="AQ220" i="50" s="1"/>
  <c r="AR220" i="50" s="1"/>
  <c r="BD220" i="50" s="1"/>
  <c r="AO288" i="50"/>
  <c r="BA288" i="50" s="1"/>
  <c r="AO240" i="50"/>
  <c r="AP240" i="50" s="1"/>
  <c r="AQ240" i="50" s="1"/>
  <c r="AR240" i="50" s="1"/>
  <c r="BD240" i="50" s="1"/>
  <c r="AZ236" i="50"/>
  <c r="BA232" i="50"/>
  <c r="AZ275" i="50"/>
  <c r="AO66" i="50"/>
  <c r="AP66" i="50" s="1"/>
  <c r="AQ66" i="50" s="1"/>
  <c r="AR66" i="50" s="1"/>
  <c r="AQ131" i="50"/>
  <c r="AR131" i="50" s="1"/>
  <c r="AP111" i="50"/>
  <c r="AQ111" i="50" s="1"/>
  <c r="AR111" i="50" s="1"/>
  <c r="AO105" i="50"/>
  <c r="AP105" i="50" s="1"/>
  <c r="AQ105" i="50" s="1"/>
  <c r="AR105" i="50" s="1"/>
  <c r="BD105" i="50" s="1"/>
  <c r="AO194" i="50"/>
  <c r="AP194" i="50" s="1"/>
  <c r="AQ194" i="50" s="1"/>
  <c r="AR194" i="50" s="1"/>
  <c r="BD194" i="50" s="1"/>
  <c r="AQ142" i="50"/>
  <c r="AR142" i="50" s="1"/>
  <c r="AO188" i="50"/>
  <c r="AP188" i="50" s="1"/>
  <c r="AQ188" i="50" s="1"/>
  <c r="AR188" i="50" s="1"/>
  <c r="AO75" i="50"/>
  <c r="AP75" i="50" s="1"/>
  <c r="AQ75" i="50" s="1"/>
  <c r="AR75" i="50" s="1"/>
  <c r="AO78" i="50"/>
  <c r="AP78" i="50" s="1"/>
  <c r="AQ78" i="50" s="1"/>
  <c r="AR78" i="50" s="1"/>
  <c r="AR155" i="50"/>
  <c r="BD155" i="50" s="1"/>
  <c r="AO101" i="50"/>
  <c r="BA101" i="50" s="1"/>
  <c r="AO195" i="50"/>
  <c r="AP195" i="50" s="1"/>
  <c r="AQ195" i="50" s="1"/>
  <c r="AR195" i="50" s="1"/>
  <c r="AZ288" i="50"/>
  <c r="AZ281" i="50"/>
  <c r="AZ240" i="50"/>
  <c r="AZ257" i="50"/>
  <c r="AZ232" i="50"/>
  <c r="AO276" i="50"/>
  <c r="AP276" i="50" s="1"/>
  <c r="AQ276" i="50" s="1"/>
  <c r="AR276" i="50" s="1"/>
  <c r="BD276" i="50" s="1"/>
  <c r="AO88" i="50"/>
  <c r="AP88" i="50" s="1"/>
  <c r="AQ88" i="50" s="1"/>
  <c r="AR88" i="50" s="1"/>
  <c r="AQ137" i="50"/>
  <c r="AR137" i="50" s="1"/>
  <c r="AP116" i="50"/>
  <c r="AQ116" i="50" s="1"/>
  <c r="AR116" i="50" s="1"/>
  <c r="AO80" i="50"/>
  <c r="AP80" i="50" s="1"/>
  <c r="AQ80" i="50" s="1"/>
  <c r="AO104" i="50"/>
  <c r="AP104" i="50" s="1"/>
  <c r="AQ104" i="50" s="1"/>
  <c r="AR104" i="50" s="1"/>
  <c r="AR168" i="50"/>
  <c r="AR192" i="50"/>
  <c r="BD192" i="50" s="1"/>
  <c r="AR191" i="50"/>
  <c r="AO278" i="50"/>
  <c r="AP278" i="50" s="1"/>
  <c r="AQ278" i="50" s="1"/>
  <c r="BC278" i="50" s="1"/>
  <c r="AP196" i="50"/>
  <c r="AQ196" i="50" s="1"/>
  <c r="AR196" i="50" s="1"/>
  <c r="BD196" i="50" s="1"/>
  <c r="AP263" i="50"/>
  <c r="AQ263" i="50" s="1"/>
  <c r="AR263" i="50" s="1"/>
  <c r="BD263" i="50" s="1"/>
  <c r="AO76" i="50"/>
  <c r="AP76" i="50" s="1"/>
  <c r="AQ76" i="50" s="1"/>
  <c r="AR76" i="50" s="1"/>
  <c r="AO83" i="50"/>
  <c r="AP83" i="50" s="1"/>
  <c r="AQ83" i="50" s="1"/>
  <c r="AR83" i="50" s="1"/>
  <c r="AQ125" i="50"/>
  <c r="AR125" i="50" s="1"/>
  <c r="BD125" i="50" s="1"/>
  <c r="AO82" i="50"/>
  <c r="AP82" i="50" s="1"/>
  <c r="AQ82" i="50" s="1"/>
  <c r="AR82" i="50" s="1"/>
  <c r="AO72" i="50"/>
  <c r="AP72" i="50" s="1"/>
  <c r="AQ72" i="50" s="1"/>
  <c r="AR72" i="50" s="1"/>
  <c r="BD72" i="50" s="1"/>
  <c r="AR140" i="50"/>
  <c r="BD140" i="50" s="1"/>
  <c r="AO100" i="50"/>
  <c r="AP100" i="50" s="1"/>
  <c r="AQ100" i="50" s="1"/>
  <c r="AR100" i="50" s="1"/>
  <c r="AR147" i="50"/>
  <c r="AQ143" i="50"/>
  <c r="AR143" i="50" s="1"/>
  <c r="AQ148" i="50"/>
  <c r="AR148" i="50" s="1"/>
  <c r="AP190" i="50"/>
  <c r="AQ190" i="50" s="1"/>
  <c r="AR190" i="50" s="1"/>
  <c r="AO71" i="50"/>
  <c r="AP71" i="50" s="1"/>
  <c r="AQ71" i="50" s="1"/>
  <c r="AR71" i="50" s="1"/>
  <c r="AQ124" i="50"/>
  <c r="AR124" i="50" s="1"/>
  <c r="AQ132" i="50"/>
  <c r="AR132" i="50" s="1"/>
  <c r="BD132" i="50" s="1"/>
  <c r="AQ149" i="50"/>
  <c r="AR149" i="50" s="1"/>
  <c r="AR162" i="50"/>
  <c r="AO189" i="50"/>
  <c r="AP189" i="50" s="1"/>
  <c r="AQ189" i="50" s="1"/>
  <c r="AR189" i="50" s="1"/>
  <c r="AO259" i="50"/>
  <c r="AP259" i="50" s="1"/>
  <c r="AQ259" i="50" s="1"/>
  <c r="AR259" i="50" s="1"/>
  <c r="BD259" i="50" s="1"/>
  <c r="AZ277" i="50"/>
  <c r="AO273" i="50"/>
  <c r="AP273" i="50" s="1"/>
  <c r="AZ269" i="50"/>
  <c r="AO98" i="50"/>
  <c r="AP98" i="50" s="1"/>
  <c r="AQ98" i="50" s="1"/>
  <c r="AR98" i="50" s="1"/>
  <c r="BD98" i="50" s="1"/>
  <c r="AO113" i="50"/>
  <c r="AP113" i="50" s="1"/>
  <c r="AQ113" i="50" s="1"/>
  <c r="AR113" i="50" s="1"/>
  <c r="BD113" i="50" s="1"/>
  <c r="AP197" i="50"/>
  <c r="AQ197" i="50" s="1"/>
  <c r="AR197" i="50" s="1"/>
  <c r="BD197" i="50" s="1"/>
  <c r="AO280" i="50"/>
  <c r="AO274" i="50"/>
  <c r="AO256" i="50"/>
  <c r="AP256" i="50" s="1"/>
  <c r="AO241" i="50"/>
  <c r="AP241" i="50" s="1"/>
  <c r="AQ241" i="50" s="1"/>
  <c r="AO237" i="50"/>
  <c r="AP237" i="50" s="1"/>
  <c r="AQ237" i="50" s="1"/>
  <c r="AR237" i="50" s="1"/>
  <c r="BD237" i="50" s="1"/>
  <c r="AO221" i="50"/>
  <c r="AO285" i="50"/>
  <c r="AO270" i="50"/>
  <c r="AP270" i="50" s="1"/>
  <c r="AO226" i="50"/>
  <c r="AO290" i="50"/>
  <c r="AP290" i="50" s="1"/>
  <c r="AO255" i="50"/>
  <c r="AO230" i="50"/>
  <c r="AO282" i="50"/>
  <c r="AP282" i="50" s="1"/>
  <c r="AP84" i="50"/>
  <c r="AQ84" i="50" s="1"/>
  <c r="AR84" i="50" s="1"/>
  <c r="AQ135" i="50"/>
  <c r="AR135" i="50" s="1"/>
  <c r="BD135" i="50" s="1"/>
  <c r="AO114" i="50"/>
  <c r="AP114" i="50" s="1"/>
  <c r="AQ114" i="50" s="1"/>
  <c r="AR114" i="50" s="1"/>
  <c r="AP130" i="50"/>
  <c r="AQ130" i="50" s="1"/>
  <c r="AR130" i="50" s="1"/>
  <c r="AO110" i="50"/>
  <c r="AP110" i="50" s="1"/>
  <c r="AQ110" i="50" s="1"/>
  <c r="AR110" i="50" s="1"/>
  <c r="AR152" i="50"/>
  <c r="AO112" i="50"/>
  <c r="AP112" i="50" s="1"/>
  <c r="AQ112" i="50" s="1"/>
  <c r="AR112" i="50" s="1"/>
  <c r="AP96" i="50"/>
  <c r="AQ96" i="50" s="1"/>
  <c r="AR96" i="50" s="1"/>
  <c r="BD96" i="50" s="1"/>
  <c r="AQ136" i="50"/>
  <c r="AR136" i="50" s="1"/>
  <c r="BD136" i="50" s="1"/>
  <c r="AP119" i="50"/>
  <c r="AQ119" i="50" s="1"/>
  <c r="AR119" i="50" s="1"/>
  <c r="AR164" i="50"/>
  <c r="AO106" i="50"/>
  <c r="AP106" i="50" s="1"/>
  <c r="AQ106" i="50" s="1"/>
  <c r="AR106" i="50" s="1"/>
  <c r="BD106" i="50" s="1"/>
  <c r="AP129" i="50"/>
  <c r="AQ129" i="50" s="1"/>
  <c r="AR129" i="50" s="1"/>
  <c r="BD129" i="50" s="1"/>
  <c r="AO244" i="50"/>
  <c r="AO228" i="50"/>
  <c r="AO279" i="50"/>
  <c r="AP266" i="50"/>
  <c r="AQ266" i="50" s="1"/>
  <c r="AO253" i="50"/>
  <c r="AP253" i="50" s="1"/>
  <c r="AO249" i="50"/>
  <c r="AP249" i="50" s="1"/>
  <c r="AQ249" i="50" s="1"/>
  <c r="AO225" i="50"/>
  <c r="BA225" i="50" s="1"/>
  <c r="AZ284" i="50"/>
  <c r="AO251" i="50"/>
  <c r="AO252" i="50"/>
  <c r="AP252" i="50" s="1"/>
  <c r="AQ252" i="50" s="1"/>
  <c r="AR252" i="50" s="1"/>
  <c r="BD252" i="50" s="1"/>
  <c r="AZ260" i="50"/>
  <c r="AO265" i="50"/>
  <c r="AP265" i="50" s="1"/>
  <c r="AO239" i="50"/>
  <c r="AP239" i="50" s="1"/>
  <c r="AQ239" i="50" s="1"/>
  <c r="AR239" i="50" s="1"/>
  <c r="BD239" i="50" s="1"/>
  <c r="AO229" i="50"/>
  <c r="N98" i="66" s="1"/>
  <c r="AO68" i="50"/>
  <c r="AP68" i="50" s="1"/>
  <c r="AO86" i="50"/>
  <c r="AP86" i="50" s="1"/>
  <c r="AQ86" i="50" s="1"/>
  <c r="AO74" i="50"/>
  <c r="AP74" i="50" s="1"/>
  <c r="AO81" i="50"/>
  <c r="AP81" i="50" s="1"/>
  <c r="AQ81" i="50" s="1"/>
  <c r="AR81" i="50" s="1"/>
  <c r="AO77" i="50"/>
  <c r="AP77" i="50" s="1"/>
  <c r="AQ77" i="50" s="1"/>
  <c r="AR77" i="50" s="1"/>
  <c r="BD77" i="50" s="1"/>
  <c r="AO64" i="50"/>
  <c r="AP64" i="50" s="1"/>
  <c r="AQ64" i="50" s="1"/>
  <c r="AR64" i="50" s="1"/>
  <c r="AO63" i="50"/>
  <c r="AP63" i="50" s="1"/>
  <c r="AQ63" i="50" s="1"/>
  <c r="AR63" i="50" s="1"/>
  <c r="AQ134" i="50"/>
  <c r="AR134" i="50" s="1"/>
  <c r="AO70" i="50"/>
  <c r="AP70" i="50" s="1"/>
  <c r="AQ70" i="50" s="1"/>
  <c r="AR70" i="50" s="1"/>
  <c r="AQ144" i="50"/>
  <c r="AR144" i="50" s="1"/>
  <c r="AQ138" i="50"/>
  <c r="AR138" i="50" s="1"/>
  <c r="AQ117" i="50"/>
  <c r="AR117" i="50" s="1"/>
  <c r="AP118" i="50"/>
  <c r="AQ118" i="50" s="1"/>
  <c r="AR118" i="50" s="1"/>
  <c r="AQ120" i="50"/>
  <c r="AR120" i="50" s="1"/>
  <c r="AO107" i="50"/>
  <c r="AP107" i="50" s="1"/>
  <c r="AQ107" i="50" s="1"/>
  <c r="AR107" i="50" s="1"/>
  <c r="AR158" i="50"/>
  <c r="AO99" i="50"/>
  <c r="AP99" i="50" s="1"/>
  <c r="AQ99" i="50" s="1"/>
  <c r="AR99" i="50" s="1"/>
  <c r="AP122" i="50"/>
  <c r="AQ122" i="50" s="1"/>
  <c r="AR122" i="50" s="1"/>
  <c r="AO102" i="50"/>
  <c r="AP102" i="50" s="1"/>
  <c r="AQ102" i="50" s="1"/>
  <c r="AR102" i="50" s="1"/>
  <c r="AP123" i="50"/>
  <c r="AQ123" i="50" s="1"/>
  <c r="AR123" i="50" s="1"/>
  <c r="AR198" i="50"/>
  <c r="AO187" i="50"/>
  <c r="AP187" i="50" s="1"/>
  <c r="AQ187" i="50" s="1"/>
  <c r="AR187" i="50" s="1"/>
  <c r="AR160" i="50"/>
  <c r="BD160" i="50" s="1"/>
  <c r="AQ141" i="50"/>
  <c r="AR141" i="50" s="1"/>
  <c r="AZ278" i="50"/>
  <c r="AO264" i="50"/>
  <c r="AP264" i="50" s="1"/>
  <c r="AO272" i="50"/>
  <c r="AP272" i="50" s="1"/>
  <c r="AQ272" i="50" s="1"/>
  <c r="AO250" i="50"/>
  <c r="AZ220" i="50"/>
  <c r="AZ266" i="50"/>
  <c r="AO231" i="50"/>
  <c r="AP231" i="50" s="1"/>
  <c r="AQ231" i="50" s="1"/>
  <c r="AR231" i="50" s="1"/>
  <c r="BD231" i="50" s="1"/>
  <c r="AO234" i="50"/>
  <c r="AP234" i="50" s="1"/>
  <c r="AQ234" i="50" s="1"/>
  <c r="AO261" i="50"/>
  <c r="AZ273" i="50"/>
  <c r="AZ283" i="50"/>
  <c r="AO262" i="50"/>
  <c r="BA263" i="50"/>
  <c r="AZ265" i="50"/>
  <c r="AO238" i="50"/>
  <c r="AO243" i="50"/>
  <c r="AP243" i="50" s="1"/>
  <c r="AQ243" i="50" s="1"/>
  <c r="AR243" i="50" s="1"/>
  <c r="BD243" i="50" s="1"/>
  <c r="AP126" i="50"/>
  <c r="AQ126" i="50" s="1"/>
  <c r="AR126" i="50" s="1"/>
  <c r="BD126" i="50" s="1"/>
  <c r="AO87" i="50"/>
  <c r="AP87" i="50" s="1"/>
  <c r="AQ87" i="50" s="1"/>
  <c r="AR87" i="50" s="1"/>
  <c r="BD87" i="50" s="1"/>
  <c r="AP128" i="50"/>
  <c r="AQ128" i="50" s="1"/>
  <c r="AR128" i="50" s="1"/>
  <c r="AP95" i="50"/>
  <c r="AQ95" i="50" s="1"/>
  <c r="AR95" i="50" s="1"/>
  <c r="BD95" i="50" s="1"/>
  <c r="AO90" i="50"/>
  <c r="AP90" i="50" s="1"/>
  <c r="AQ90" i="50" s="1"/>
  <c r="AR90" i="50" s="1"/>
  <c r="AR153" i="50"/>
  <c r="BD153" i="50" s="1"/>
  <c r="AR161" i="50"/>
  <c r="BD161" i="50" s="1"/>
  <c r="AZ276" i="50"/>
  <c r="AO254" i="50"/>
  <c r="AP254" i="50" s="1"/>
  <c r="AQ254" i="50" s="1"/>
  <c r="AO218" i="50"/>
  <c r="AP218" i="50" s="1"/>
  <c r="AQ218" i="50" s="1"/>
  <c r="AO233" i="50"/>
  <c r="AP233" i="50" s="1"/>
  <c r="AQ233" i="50" s="1"/>
  <c r="AR233" i="50" s="1"/>
  <c r="BD233" i="50" s="1"/>
  <c r="AO235" i="50"/>
  <c r="AP283" i="50"/>
  <c r="AQ283" i="50" s="1"/>
  <c r="AZ263" i="50"/>
  <c r="AO258" i="50"/>
  <c r="N99" i="66" s="1"/>
  <c r="AO223" i="50"/>
  <c r="AZ124" i="50"/>
  <c r="BD193" i="50"/>
  <c r="BC164" i="50"/>
  <c r="BD174" i="50"/>
  <c r="BC166" i="50"/>
  <c r="BD180" i="50"/>
  <c r="BD166" i="50"/>
  <c r="BD182" i="50"/>
  <c r="BC191" i="50"/>
  <c r="BD170" i="50"/>
  <c r="BD185" i="50"/>
  <c r="BB191" i="50"/>
  <c r="BD165" i="50"/>
  <c r="BC192" i="50"/>
  <c r="BC160" i="50"/>
  <c r="AZ196" i="50"/>
  <c r="BD167" i="50"/>
  <c r="AZ194" i="50"/>
  <c r="BA123" i="50"/>
  <c r="BD159" i="50"/>
  <c r="AZ195" i="50"/>
  <c r="BB143" i="50"/>
  <c r="AZ98" i="50"/>
  <c r="BA197" i="50"/>
  <c r="BC165" i="50"/>
  <c r="BA196" i="50"/>
  <c r="AZ102" i="50"/>
  <c r="AZ101" i="50"/>
  <c r="AZ94" i="50"/>
  <c r="AZ93" i="50"/>
  <c r="AZ105" i="50"/>
  <c r="AZ92" i="50"/>
  <c r="AZ113" i="50"/>
  <c r="BA129" i="50"/>
  <c r="BB146" i="50"/>
  <c r="BB140" i="50"/>
  <c r="BC154" i="50"/>
  <c r="BB149" i="50"/>
  <c r="BB141" i="50"/>
  <c r="BC153" i="50"/>
  <c r="AZ106" i="50"/>
  <c r="AZ89" i="50"/>
  <c r="BD156" i="50"/>
  <c r="BC156" i="50"/>
  <c r="BA119" i="50"/>
  <c r="BA122" i="50"/>
  <c r="BA116" i="50"/>
  <c r="BF62" i="42"/>
  <c r="BF63" i="42"/>
  <c r="AZ125" i="50"/>
  <c r="AZ87" i="50"/>
  <c r="BD115" i="50"/>
  <c r="BA127" i="50"/>
  <c r="AZ78" i="50"/>
  <c r="BD97" i="50"/>
  <c r="AZ70" i="50"/>
  <c r="BC109" i="50"/>
  <c r="BB127" i="50"/>
  <c r="BF65" i="42"/>
  <c r="AX65" i="42"/>
  <c r="AX63" i="42"/>
  <c r="BG61" i="42"/>
  <c r="BG62" i="42"/>
  <c r="BG64" i="42"/>
  <c r="AZ64" i="50"/>
  <c r="AZ62" i="50"/>
  <c r="AZ72" i="50"/>
  <c r="BB135" i="50"/>
  <c r="AZ63" i="50"/>
  <c r="AZ81" i="50"/>
  <c r="BD85" i="50"/>
  <c r="BD133" i="50"/>
  <c r="BD109" i="50"/>
  <c r="AZ77" i="50"/>
  <c r="AZ133" i="50"/>
  <c r="AZ126" i="50"/>
  <c r="F48" i="25"/>
  <c r="L40" i="25"/>
  <c r="M41" i="25"/>
  <c r="N42" i="25"/>
  <c r="O43" i="25"/>
  <c r="P44" i="25"/>
  <c r="Q45" i="25"/>
  <c r="K39" i="25"/>
  <c r="M349" i="50" l="1"/>
  <c r="N349" i="50"/>
  <c r="AR320" i="50"/>
  <c r="BD320" i="50" s="1"/>
  <c r="BC311" i="50"/>
  <c r="BA87" i="42"/>
  <c r="BQ87" i="42" s="1"/>
  <c r="AT87" i="42"/>
  <c r="BB87" i="42" s="1"/>
  <c r="BR87" i="42" s="1"/>
  <c r="BO97" i="42"/>
  <c r="BW97" i="42" s="1"/>
  <c r="BA94" i="42"/>
  <c r="BQ94" i="42" s="1"/>
  <c r="CA94" i="42" s="1"/>
  <c r="BO96" i="42"/>
  <c r="BW96" i="42" s="1"/>
  <c r="BP93" i="42"/>
  <c r="BX93" i="42" s="1"/>
  <c r="BO74" i="42"/>
  <c r="AZ87" i="42"/>
  <c r="BP87" i="42" s="1"/>
  <c r="BA96" i="42"/>
  <c r="BQ96" i="42" s="1"/>
  <c r="CA96" i="42" s="1"/>
  <c r="BP96" i="42"/>
  <c r="BX96" i="42" s="1"/>
  <c r="BA86" i="42"/>
  <c r="BQ86" i="42" s="1"/>
  <c r="AZ85" i="42"/>
  <c r="BP85" i="42" s="1"/>
  <c r="BP97" i="42"/>
  <c r="BX97" i="42" s="1"/>
  <c r="BA88" i="42"/>
  <c r="BQ88" i="42" s="1"/>
  <c r="BP82" i="42"/>
  <c r="AZ86" i="42"/>
  <c r="BP86" i="42" s="1"/>
  <c r="BA97" i="42"/>
  <c r="BQ97" i="42" s="1"/>
  <c r="CA97" i="42" s="1"/>
  <c r="O104" i="42" s="1"/>
  <c r="N20" i="32" s="1"/>
  <c r="BN96" i="42"/>
  <c r="BV96" i="42" s="1"/>
  <c r="BP98" i="42"/>
  <c r="BX98" i="42" s="1"/>
  <c r="BP88" i="42"/>
  <c r="BO75" i="42"/>
  <c r="BA81" i="42"/>
  <c r="BQ81" i="42" s="1"/>
  <c r="AQ315" i="50"/>
  <c r="P102" i="66" s="1"/>
  <c r="O102" i="66"/>
  <c r="BO71" i="42"/>
  <c r="AS71" i="42"/>
  <c r="AT71" i="42" s="1"/>
  <c r="BB71" i="42" s="1"/>
  <c r="BR71" i="42" s="1"/>
  <c r="BZ71" i="42" s="1"/>
  <c r="BP71" i="42"/>
  <c r="AR314" i="50"/>
  <c r="BD314" i="50" s="1"/>
  <c r="BC318" i="50"/>
  <c r="AR308" i="50"/>
  <c r="BD308" i="50" s="1"/>
  <c r="BP92" i="42"/>
  <c r="BX92" i="42" s="1"/>
  <c r="BB275" i="50"/>
  <c r="BA275" i="50"/>
  <c r="BO78" i="42"/>
  <c r="AR309" i="50"/>
  <c r="BD309" i="50" s="1"/>
  <c r="BC116" i="50"/>
  <c r="AO224" i="50"/>
  <c r="AP224" i="50" s="1"/>
  <c r="AQ224" i="50" s="1"/>
  <c r="BA77" i="42"/>
  <c r="BQ77" i="42" s="1"/>
  <c r="BP89" i="42"/>
  <c r="BA92" i="42"/>
  <c r="BQ92" i="42" s="1"/>
  <c r="CA92" i="42" s="1"/>
  <c r="AS78" i="42"/>
  <c r="AT78" i="42" s="1"/>
  <c r="BB78" i="42" s="1"/>
  <c r="BR78" i="42" s="1"/>
  <c r="BZ78" i="42" s="1"/>
  <c r="AZ90" i="42"/>
  <c r="BP90" i="42" s="1"/>
  <c r="BA83" i="42"/>
  <c r="BQ83" i="42" s="1"/>
  <c r="BO76" i="42"/>
  <c r="BO67" i="42"/>
  <c r="BO84" i="42"/>
  <c r="BA90" i="42"/>
  <c r="BQ90" i="42" s="1"/>
  <c r="BA84" i="42"/>
  <c r="BQ84" i="42" s="1"/>
  <c r="AZ84" i="42"/>
  <c r="BP84" i="42" s="1"/>
  <c r="AZ83" i="42"/>
  <c r="BP83" i="42" s="1"/>
  <c r="BO81" i="42"/>
  <c r="BO90" i="42"/>
  <c r="BB323" i="50"/>
  <c r="AZ80" i="42"/>
  <c r="BP80" i="42" s="1"/>
  <c r="BN85" i="42"/>
  <c r="BN81" i="42"/>
  <c r="BN80" i="42"/>
  <c r="AT74" i="42"/>
  <c r="BB74" i="42" s="1"/>
  <c r="BR74" i="42" s="1"/>
  <c r="BZ74" i="42" s="1"/>
  <c r="AT80" i="42"/>
  <c r="BB80" i="42" s="1"/>
  <c r="BR80" i="42" s="1"/>
  <c r="BA80" i="42"/>
  <c r="BQ80" i="42" s="1"/>
  <c r="BA85" i="42"/>
  <c r="BQ85" i="42" s="1"/>
  <c r="AR323" i="50"/>
  <c r="BD323" i="50" s="1"/>
  <c r="BC323" i="50"/>
  <c r="BN82" i="42"/>
  <c r="BA62" i="50"/>
  <c r="BA260" i="50"/>
  <c r="BC319" i="50"/>
  <c r="BO89" i="42"/>
  <c r="BN87" i="42"/>
  <c r="BO83" i="42"/>
  <c r="BN88" i="42"/>
  <c r="BB322" i="50"/>
  <c r="BB310" i="50"/>
  <c r="BC321" i="50"/>
  <c r="BC322" i="50"/>
  <c r="BC312" i="50"/>
  <c r="BB317" i="50"/>
  <c r="BB315" i="50"/>
  <c r="BB312" i="50"/>
  <c r="BB313" i="50"/>
  <c r="BC317" i="50"/>
  <c r="AR317" i="50"/>
  <c r="BD317" i="50" s="1"/>
  <c r="AR313" i="50"/>
  <c r="BD313" i="50" s="1"/>
  <c r="BC313" i="50"/>
  <c r="AR316" i="50"/>
  <c r="BD316" i="50" s="1"/>
  <c r="BC316" i="50"/>
  <c r="AR310" i="50"/>
  <c r="BD310" i="50" s="1"/>
  <c r="BC310" i="50"/>
  <c r="BB316" i="50"/>
  <c r="BP78" i="42"/>
  <c r="AR295" i="50"/>
  <c r="BD295" i="50" s="1"/>
  <c r="BA76" i="42"/>
  <c r="BQ76" i="42" s="1"/>
  <c r="BC294" i="50"/>
  <c r="AZ76" i="42"/>
  <c r="BP76" i="42" s="1"/>
  <c r="AZ268" i="50"/>
  <c r="BO70" i="42"/>
  <c r="AO248" i="50"/>
  <c r="AP248" i="50" s="1"/>
  <c r="AQ248" i="50" s="1"/>
  <c r="AR248" i="50" s="1"/>
  <c r="BD248" i="50" s="1"/>
  <c r="BA194" i="50"/>
  <c r="BB295" i="50"/>
  <c r="BA281" i="50"/>
  <c r="BO73" i="42"/>
  <c r="BB293" i="50"/>
  <c r="AT67" i="42"/>
  <c r="BB294" i="50"/>
  <c r="BC220" i="50"/>
  <c r="AZ286" i="50"/>
  <c r="AZ227" i="50"/>
  <c r="P105" i="66"/>
  <c r="AQ291" i="50"/>
  <c r="AR291" i="50" s="1"/>
  <c r="BD291" i="50" s="1"/>
  <c r="AP257" i="50"/>
  <c r="AQ257" i="50" s="1"/>
  <c r="AR257" i="50" s="1"/>
  <c r="BD257" i="50" s="1"/>
  <c r="BC232" i="50"/>
  <c r="AO287" i="50"/>
  <c r="AP287" i="50" s="1"/>
  <c r="BB287" i="50" s="1"/>
  <c r="AZ245" i="50"/>
  <c r="AZ267" i="50"/>
  <c r="BB232" i="50"/>
  <c r="BA105" i="50"/>
  <c r="BA89" i="50"/>
  <c r="AR79" i="42"/>
  <c r="AS79" i="42" s="1"/>
  <c r="AZ70" i="42"/>
  <c r="BP70" i="42" s="1"/>
  <c r="BO72" i="42"/>
  <c r="BO77" i="42"/>
  <c r="BC305" i="50"/>
  <c r="BB305" i="50"/>
  <c r="BA276" i="50"/>
  <c r="BA220" i="50"/>
  <c r="AP281" i="50"/>
  <c r="O100" i="66" s="1"/>
  <c r="AP227" i="50"/>
  <c r="AQ227" i="50" s="1"/>
  <c r="AR227" i="50" s="1"/>
  <c r="BD227" i="50" s="1"/>
  <c r="BA267" i="50"/>
  <c r="AP267" i="50"/>
  <c r="AQ267" i="50" s="1"/>
  <c r="AR267" i="50" s="1"/>
  <c r="BD267" i="50" s="1"/>
  <c r="BB220" i="50"/>
  <c r="BC293" i="50"/>
  <c r="AY79" i="42"/>
  <c r="BO79" i="42" s="1"/>
  <c r="BC292" i="50"/>
  <c r="BB292" i="50"/>
  <c r="AY61" i="42"/>
  <c r="BO61" i="42" s="1"/>
  <c r="BW61" i="42" s="1"/>
  <c r="AX64" i="42"/>
  <c r="BN64" i="42" s="1"/>
  <c r="AP236" i="50"/>
  <c r="AQ236" i="50" s="1"/>
  <c r="AR236" i="50" s="1"/>
  <c r="BD236" i="50" s="1"/>
  <c r="AO222" i="50"/>
  <c r="AO246" i="50"/>
  <c r="AP246" i="50" s="1"/>
  <c r="AQ246" i="50" s="1"/>
  <c r="BB278" i="50"/>
  <c r="BB260" i="50"/>
  <c r="BB303" i="50"/>
  <c r="AX62" i="42"/>
  <c r="BN62" i="42" s="1"/>
  <c r="BV62" i="42" s="1"/>
  <c r="BN74" i="42"/>
  <c r="B512" i="40"/>
  <c r="B231" i="65"/>
  <c r="BC303" i="50"/>
  <c r="BR70" i="42"/>
  <c r="BZ70" i="42" s="1"/>
  <c r="AZ72" i="42"/>
  <c r="BP72" i="42" s="1"/>
  <c r="AP245" i="50"/>
  <c r="BA245" i="50"/>
  <c r="BA268" i="50"/>
  <c r="AP268" i="50"/>
  <c r="AQ268" i="50" s="1"/>
  <c r="BC268" i="50" s="1"/>
  <c r="BA286" i="50"/>
  <c r="AP286" i="50"/>
  <c r="AQ286" i="50" s="1"/>
  <c r="AR286" i="50" s="1"/>
  <c r="BD286" i="50" s="1"/>
  <c r="AZ73" i="42"/>
  <c r="BP73" i="42" s="1"/>
  <c r="BA300" i="50"/>
  <c r="BA302" i="50"/>
  <c r="BA301" i="50"/>
  <c r="AQ300" i="50"/>
  <c r="BB300" i="50"/>
  <c r="BC304" i="50"/>
  <c r="AQ302" i="50"/>
  <c r="BB302" i="50"/>
  <c r="BA306" i="50"/>
  <c r="BN75" i="42"/>
  <c r="BN79" i="42"/>
  <c r="BX79" i="42" s="1"/>
  <c r="BN76" i="42"/>
  <c r="BN77" i="42"/>
  <c r="BN67" i="42"/>
  <c r="AP298" i="50"/>
  <c r="O101" i="66" s="1"/>
  <c r="AQ301" i="50"/>
  <c r="BB301" i="50"/>
  <c r="BA304" i="50"/>
  <c r="AQ306" i="50"/>
  <c r="BB306" i="50"/>
  <c r="BB72" i="42"/>
  <c r="BR72" i="42" s="1"/>
  <c r="BZ72" i="42" s="1"/>
  <c r="BA72" i="42"/>
  <c r="BQ72" i="42" s="1"/>
  <c r="BA70" i="42"/>
  <c r="BQ70" i="42" s="1"/>
  <c r="BB304" i="50"/>
  <c r="BA252" i="50"/>
  <c r="AP288" i="50"/>
  <c r="AQ288" i="50" s="1"/>
  <c r="BC288" i="50" s="1"/>
  <c r="BB276" i="50"/>
  <c r="BA298" i="50"/>
  <c r="BA277" i="50"/>
  <c r="BA297" i="50"/>
  <c r="BA256" i="50"/>
  <c r="AQ299" i="50"/>
  <c r="BB299" i="50"/>
  <c r="AQ296" i="50"/>
  <c r="BB296" i="50"/>
  <c r="AR297" i="50"/>
  <c r="BD297" i="50" s="1"/>
  <c r="BC297" i="50"/>
  <c r="AQ277" i="50"/>
  <c r="AR277" i="50" s="1"/>
  <c r="BD277" i="50" s="1"/>
  <c r="BC275" i="50"/>
  <c r="BA299" i="50"/>
  <c r="BA296" i="50"/>
  <c r="BB297" i="50"/>
  <c r="AZ69" i="42"/>
  <c r="BP69" i="42" s="1"/>
  <c r="BB68" i="42"/>
  <c r="BR68" i="42" s="1"/>
  <c r="BZ68" i="42" s="1"/>
  <c r="BA68" i="42"/>
  <c r="BQ68" i="42" s="1"/>
  <c r="BB75" i="42"/>
  <c r="BR75" i="42" s="1"/>
  <c r="BZ75" i="42" s="1"/>
  <c r="BA75" i="42"/>
  <c r="BQ75" i="42" s="1"/>
  <c r="BN73" i="42"/>
  <c r="BN70" i="42"/>
  <c r="BB73" i="42"/>
  <c r="BR73" i="42" s="1"/>
  <c r="BZ73" i="42" s="1"/>
  <c r="BA73" i="42"/>
  <c r="BQ73" i="42" s="1"/>
  <c r="AY69" i="42"/>
  <c r="BO69" i="42" s="1"/>
  <c r="AY68" i="42"/>
  <c r="BO68" i="42" s="1"/>
  <c r="AZ68" i="42"/>
  <c r="BP68" i="42" s="1"/>
  <c r="AZ75" i="42"/>
  <c r="BP75" i="42" s="1"/>
  <c r="BC260" i="50"/>
  <c r="BA272" i="50"/>
  <c r="BA253" i="50"/>
  <c r="BB249" i="50"/>
  <c r="BC239" i="50"/>
  <c r="BA239" i="50"/>
  <c r="BA241" i="50"/>
  <c r="BB263" i="50"/>
  <c r="AP101" i="50"/>
  <c r="AQ101" i="50" s="1"/>
  <c r="AR101" i="50" s="1"/>
  <c r="Q132" i="25" s="1"/>
  <c r="BB240" i="50"/>
  <c r="BA64" i="50"/>
  <c r="BC118" i="50"/>
  <c r="AQ269" i="50"/>
  <c r="AR269" i="50" s="1"/>
  <c r="BD269" i="50" s="1"/>
  <c r="BA269" i="50"/>
  <c r="AR278" i="50"/>
  <c r="BD278" i="50" s="1"/>
  <c r="BB237" i="50"/>
  <c r="BC137" i="50"/>
  <c r="BB197" i="50"/>
  <c r="BC197" i="50"/>
  <c r="BA195" i="50"/>
  <c r="BA102" i="50"/>
  <c r="BC240" i="50"/>
  <c r="BC276" i="50"/>
  <c r="BA243" i="50"/>
  <c r="BA278" i="50"/>
  <c r="BA240" i="50"/>
  <c r="AZ221" i="50"/>
  <c r="AZ226" i="50"/>
  <c r="BC259" i="50"/>
  <c r="BB239" i="50"/>
  <c r="BA259" i="50"/>
  <c r="BA290" i="50"/>
  <c r="BB259" i="50"/>
  <c r="BC263" i="50"/>
  <c r="BB105" i="50"/>
  <c r="AZ279" i="50"/>
  <c r="BB233" i="50"/>
  <c r="AZ261" i="50"/>
  <c r="AZ249" i="50"/>
  <c r="AZ274" i="50"/>
  <c r="BA231" i="50"/>
  <c r="BC231" i="50"/>
  <c r="AZ252" i="50"/>
  <c r="AZ280" i="50"/>
  <c r="BC233" i="50"/>
  <c r="BA249" i="50"/>
  <c r="AQ273" i="50"/>
  <c r="BB273" i="50"/>
  <c r="BB283" i="50"/>
  <c r="AZ262" i="50"/>
  <c r="AZ250" i="50"/>
  <c r="BA273" i="50"/>
  <c r="AZ225" i="50"/>
  <c r="AZ253" i="50"/>
  <c r="AZ230" i="50"/>
  <c r="AZ290" i="50"/>
  <c r="AZ270" i="50"/>
  <c r="BA265" i="50"/>
  <c r="BA70" i="50"/>
  <c r="AZ233" i="50"/>
  <c r="BC119" i="50"/>
  <c r="BA104" i="50"/>
  <c r="AZ218" i="50"/>
  <c r="BA270" i="50"/>
  <c r="BB241" i="50"/>
  <c r="BC252" i="50"/>
  <c r="BB252" i="50"/>
  <c r="AZ285" i="50"/>
  <c r="AP235" i="50"/>
  <c r="BA235" i="50"/>
  <c r="BB234" i="50"/>
  <c r="AP229" i="50"/>
  <c r="O98" i="66" s="1"/>
  <c r="BA229" i="50"/>
  <c r="AP251" i="50"/>
  <c r="BA251" i="50"/>
  <c r="AP244" i="50"/>
  <c r="BA244" i="50"/>
  <c r="AR254" i="50"/>
  <c r="BD254" i="50" s="1"/>
  <c r="BC254" i="50"/>
  <c r="AR234" i="50"/>
  <c r="BD234" i="50" s="1"/>
  <c r="BC234" i="50"/>
  <c r="AR272" i="50"/>
  <c r="BD272" i="50" s="1"/>
  <c r="BC272" i="50"/>
  <c r="AP258" i="50"/>
  <c r="O99" i="66" s="1"/>
  <c r="BA258" i="50"/>
  <c r="AR283" i="50"/>
  <c r="BD283" i="50" s="1"/>
  <c r="BC283" i="50"/>
  <c r="AR218" i="50"/>
  <c r="BD218" i="50" s="1"/>
  <c r="BC218" i="50"/>
  <c r="AZ254" i="50"/>
  <c r="BA234" i="50"/>
  <c r="AZ238" i="50"/>
  <c r="AP262" i="50"/>
  <c r="BA262" i="50"/>
  <c r="AO284" i="50"/>
  <c r="AZ231" i="50"/>
  <c r="AP250" i="50"/>
  <c r="BA250" i="50"/>
  <c r="AZ272" i="50"/>
  <c r="AZ251" i="50"/>
  <c r="AP225" i="50"/>
  <c r="AR266" i="50"/>
  <c r="BD266" i="50" s="1"/>
  <c r="BC266" i="50"/>
  <c r="AZ228" i="50"/>
  <c r="AZ282" i="50"/>
  <c r="AP255" i="50"/>
  <c r="BA255" i="50"/>
  <c r="BA282" i="50"/>
  <c r="BA237" i="50"/>
  <c r="AR241" i="50"/>
  <c r="BD241" i="50" s="1"/>
  <c r="BC241" i="50"/>
  <c r="AQ256" i="50"/>
  <c r="BB256" i="50"/>
  <c r="AP274" i="50"/>
  <c r="BA274" i="50"/>
  <c r="BB243" i="50"/>
  <c r="AP238" i="50"/>
  <c r="BB238" i="50" s="1"/>
  <c r="BA238" i="50"/>
  <c r="AP261" i="50"/>
  <c r="BA261" i="50"/>
  <c r="BA264" i="50"/>
  <c r="BB218" i="50"/>
  <c r="BA233" i="50"/>
  <c r="BC237" i="50"/>
  <c r="AP228" i="50"/>
  <c r="BA228" i="50"/>
  <c r="BA218" i="50"/>
  <c r="AQ282" i="50"/>
  <c r="BB282" i="50"/>
  <c r="AZ255" i="50"/>
  <c r="BB254" i="50"/>
  <c r="AP221" i="50"/>
  <c r="BA221" i="50"/>
  <c r="AZ241" i="50"/>
  <c r="AZ256" i="50"/>
  <c r="BA223" i="50"/>
  <c r="AP223" i="50"/>
  <c r="AZ235" i="50"/>
  <c r="BB272" i="50"/>
  <c r="AZ234" i="50"/>
  <c r="AQ264" i="50"/>
  <c r="BB264" i="50"/>
  <c r="AZ239" i="50"/>
  <c r="BB265" i="50"/>
  <c r="AQ265" i="50"/>
  <c r="BA254" i="50"/>
  <c r="AR249" i="50"/>
  <c r="BD249" i="50" s="1"/>
  <c r="BC249" i="50"/>
  <c r="BB231" i="50"/>
  <c r="AQ253" i="50"/>
  <c r="BB253" i="50"/>
  <c r="BB266" i="50"/>
  <c r="AP279" i="50"/>
  <c r="BA279" i="50"/>
  <c r="AZ244" i="50"/>
  <c r="AP230" i="50"/>
  <c r="BA230" i="50"/>
  <c r="AQ290" i="50"/>
  <c r="BB290" i="50"/>
  <c r="AP226" i="50"/>
  <c r="BA226" i="50"/>
  <c r="AQ270" i="50"/>
  <c r="BB270" i="50"/>
  <c r="AP285" i="50"/>
  <c r="BA285" i="50"/>
  <c r="AZ237" i="50"/>
  <c r="BC243" i="50"/>
  <c r="AP280" i="50"/>
  <c r="BA280" i="50"/>
  <c r="BB194" i="50"/>
  <c r="BC194" i="50"/>
  <c r="BD164" i="50"/>
  <c r="BB142" i="50"/>
  <c r="BD168" i="50"/>
  <c r="BD191" i="50"/>
  <c r="BD179" i="50"/>
  <c r="AZ189" i="50"/>
  <c r="BA100" i="50"/>
  <c r="BD176" i="50"/>
  <c r="BB196" i="50"/>
  <c r="BC196" i="50"/>
  <c r="BD152" i="50"/>
  <c r="AZ104" i="50"/>
  <c r="BC140" i="50"/>
  <c r="BB136" i="50"/>
  <c r="BD178" i="50"/>
  <c r="BD173" i="50"/>
  <c r="BD183" i="50"/>
  <c r="BA190" i="50"/>
  <c r="BD186" i="50"/>
  <c r="BD177" i="50"/>
  <c r="BB198" i="50"/>
  <c r="BB148" i="50"/>
  <c r="BD102" i="50"/>
  <c r="BD171" i="50"/>
  <c r="AZ188" i="50"/>
  <c r="BC199" i="50"/>
  <c r="BB102" i="50"/>
  <c r="BA96" i="50"/>
  <c r="BD200" i="50"/>
  <c r="BD184" i="50"/>
  <c r="BC168" i="50"/>
  <c r="BA188" i="50"/>
  <c r="BA187" i="50"/>
  <c r="AZ63" i="42"/>
  <c r="BP63" i="42" s="1"/>
  <c r="BC161" i="50"/>
  <c r="AZ187" i="50"/>
  <c r="BA189" i="50"/>
  <c r="BD172" i="50"/>
  <c r="BC162" i="50"/>
  <c r="BD162" i="50"/>
  <c r="BD142" i="50"/>
  <c r="BB189" i="50"/>
  <c r="BB190" i="50"/>
  <c r="BC159" i="50"/>
  <c r="BC167" i="50"/>
  <c r="BB188" i="50"/>
  <c r="BB195" i="50"/>
  <c r="BD198" i="50"/>
  <c r="BC198" i="50"/>
  <c r="AZ64" i="42"/>
  <c r="BP64" i="42" s="1"/>
  <c r="BA95" i="50"/>
  <c r="BC146" i="50"/>
  <c r="BD146" i="50"/>
  <c r="BD148" i="50"/>
  <c r="BA113" i="50"/>
  <c r="AZ99" i="50"/>
  <c r="BB113" i="50"/>
  <c r="BB114" i="50"/>
  <c r="BB61" i="42"/>
  <c r="BR61" i="42" s="1"/>
  <c r="BZ61" i="42" s="1"/>
  <c r="BA99" i="50"/>
  <c r="BD99" i="50"/>
  <c r="BD144" i="50"/>
  <c r="BB130" i="50"/>
  <c r="BD143" i="50"/>
  <c r="AZ88" i="50"/>
  <c r="BB147" i="50"/>
  <c r="BC130" i="50"/>
  <c r="BC158" i="50"/>
  <c r="AZ112" i="50"/>
  <c r="AZ90" i="50"/>
  <c r="AZ110" i="50"/>
  <c r="BA128" i="50"/>
  <c r="BB112" i="50"/>
  <c r="AZ95" i="50"/>
  <c r="BD118" i="50"/>
  <c r="BD137" i="50"/>
  <c r="BC117" i="50"/>
  <c r="BA130" i="50"/>
  <c r="BB129" i="50"/>
  <c r="BA106" i="50"/>
  <c r="AZ100" i="50"/>
  <c r="BD130" i="50"/>
  <c r="BD158" i="50"/>
  <c r="BC138" i="50"/>
  <c r="BB137" i="50"/>
  <c r="AZ111" i="50"/>
  <c r="BD138" i="50"/>
  <c r="BB138" i="50"/>
  <c r="AZ114" i="50"/>
  <c r="BB106" i="50"/>
  <c r="BB96" i="50"/>
  <c r="BC152" i="50"/>
  <c r="BA112" i="50"/>
  <c r="BC155" i="50"/>
  <c r="BB119" i="50"/>
  <c r="BC148" i="50"/>
  <c r="BA118" i="50"/>
  <c r="BA108" i="50"/>
  <c r="BB144" i="50"/>
  <c r="BB117" i="50"/>
  <c r="BB116" i="50"/>
  <c r="BD150" i="50"/>
  <c r="BC150" i="50"/>
  <c r="BA120" i="50"/>
  <c r="BC144" i="50"/>
  <c r="BD114" i="50"/>
  <c r="BB122" i="50"/>
  <c r="BA107" i="50"/>
  <c r="BD141" i="50"/>
  <c r="BC141" i="50"/>
  <c r="BB123" i="50"/>
  <c r="BB118" i="50"/>
  <c r="BB120" i="50"/>
  <c r="BD116" i="50"/>
  <c r="BB95" i="50"/>
  <c r="BA110" i="50"/>
  <c r="BD100" i="50"/>
  <c r="BC143" i="50"/>
  <c r="BD147" i="50"/>
  <c r="BC147" i="50"/>
  <c r="BA114" i="50"/>
  <c r="BA117" i="50"/>
  <c r="BA98" i="50"/>
  <c r="BC142" i="50"/>
  <c r="BD112" i="50"/>
  <c r="AZ96" i="50"/>
  <c r="AZ107" i="50"/>
  <c r="BA111" i="50"/>
  <c r="BD149" i="50"/>
  <c r="BC149" i="50"/>
  <c r="AZ108" i="50"/>
  <c r="BB150" i="50"/>
  <c r="BD119" i="50"/>
  <c r="BN63" i="42"/>
  <c r="BV63" i="42" s="1"/>
  <c r="BC97" i="50"/>
  <c r="BB87" i="50"/>
  <c r="BA87" i="50"/>
  <c r="BD127" i="50"/>
  <c r="BB83" i="50"/>
  <c r="BB133" i="50"/>
  <c r="BA78" i="50"/>
  <c r="BC96" i="50"/>
  <c r="BD89" i="50"/>
  <c r="BC89" i="50"/>
  <c r="BD81" i="50"/>
  <c r="BC103" i="50"/>
  <c r="BA77" i="50"/>
  <c r="BA81" i="50"/>
  <c r="BB89" i="50"/>
  <c r="BB64" i="50"/>
  <c r="BB99" i="50"/>
  <c r="AY63" i="42"/>
  <c r="BO63" i="42" s="1"/>
  <c r="BN65" i="42"/>
  <c r="BV65" i="42" s="1"/>
  <c r="AX61" i="42"/>
  <c r="BN61" i="42" s="1"/>
  <c r="BV61" i="42" s="1"/>
  <c r="AY62" i="42"/>
  <c r="BO62" i="42" s="1"/>
  <c r="BW62" i="42" s="1"/>
  <c r="BB63" i="42"/>
  <c r="BR63" i="42" s="1"/>
  <c r="BZ63" i="42" s="1"/>
  <c r="BA63" i="42"/>
  <c r="BQ63" i="42" s="1"/>
  <c r="BY63" i="42" s="1"/>
  <c r="BW63" i="42"/>
  <c r="AY65" i="42"/>
  <c r="BO65" i="42" s="1"/>
  <c r="BW65" i="42" s="1"/>
  <c r="AZ62" i="42"/>
  <c r="BP62" i="42" s="1"/>
  <c r="BC133" i="50"/>
  <c r="BA132" i="50"/>
  <c r="BB78" i="50"/>
  <c r="BB77" i="50"/>
  <c r="BC87" i="50"/>
  <c r="BC77" i="50"/>
  <c r="BA133" i="50"/>
  <c r="AZ132" i="50"/>
  <c r="AZ131" i="50"/>
  <c r="BB132" i="50"/>
  <c r="BA72" i="50"/>
  <c r="BB72" i="50"/>
  <c r="BB103" i="50"/>
  <c r="BC72" i="50"/>
  <c r="BB85" i="50"/>
  <c r="AZ75" i="50"/>
  <c r="BB75" i="50"/>
  <c r="BA73" i="50"/>
  <c r="BB70" i="50"/>
  <c r="BD70" i="50"/>
  <c r="AZ71" i="50"/>
  <c r="BC78" i="50"/>
  <c r="BC95" i="50"/>
  <c r="BA71" i="50"/>
  <c r="AZ83" i="50"/>
  <c r="AZ65" i="50"/>
  <c r="AZ68" i="50"/>
  <c r="BC81" i="50"/>
  <c r="BB81" i="50"/>
  <c r="AZ76" i="50"/>
  <c r="BA94" i="50"/>
  <c r="BD78" i="50"/>
  <c r="BC132" i="50"/>
  <c r="AZ66" i="50"/>
  <c r="BC113" i="50"/>
  <c r="BC99" i="50"/>
  <c r="BC136" i="50"/>
  <c r="BD103" i="50"/>
  <c r="BA75" i="50"/>
  <c r="BA88" i="50"/>
  <c r="AZ82" i="50"/>
  <c r="BB128" i="50"/>
  <c r="AZ67" i="50"/>
  <c r="BA66" i="50"/>
  <c r="BB74" i="50"/>
  <c r="AZ80" i="50"/>
  <c r="BC106" i="50"/>
  <c r="AZ74" i="50"/>
  <c r="BA134" i="50"/>
  <c r="AZ79" i="50"/>
  <c r="BA63" i="50"/>
  <c r="BA126" i="50"/>
  <c r="BA82" i="50"/>
  <c r="BB97" i="50"/>
  <c r="BB104" i="50"/>
  <c r="BB126" i="50"/>
  <c r="BD75" i="50"/>
  <c r="BC75" i="50"/>
  <c r="BA92" i="50"/>
  <c r="AZ84" i="50"/>
  <c r="BB71" i="50"/>
  <c r="BC105" i="50"/>
  <c r="BA124" i="50"/>
  <c r="BB94" i="50"/>
  <c r="BB93" i="50"/>
  <c r="BB67" i="50"/>
  <c r="BA69" i="50"/>
  <c r="BB131" i="50"/>
  <c r="BA74" i="50"/>
  <c r="BC135" i="50"/>
  <c r="BA76" i="50"/>
  <c r="BB91" i="50"/>
  <c r="BA85" i="50"/>
  <c r="BB124" i="50"/>
  <c r="BA84" i="50"/>
  <c r="BC125" i="50"/>
  <c r="BB73" i="50"/>
  <c r="BB80" i="50"/>
  <c r="BD121" i="50"/>
  <c r="BA93" i="50"/>
  <c r="BA65" i="50"/>
  <c r="AZ69" i="50"/>
  <c r="BA131" i="50"/>
  <c r="BB76" i="50"/>
  <c r="BB66" i="50"/>
  <c r="BD88" i="50"/>
  <c r="BC88" i="50"/>
  <c r="BB88" i="50"/>
  <c r="BA125" i="50"/>
  <c r="BA68" i="50"/>
  <c r="BD128" i="50"/>
  <c r="BC128" i="50"/>
  <c r="BA91" i="50"/>
  <c r="BC98" i="50"/>
  <c r="BC85" i="50"/>
  <c r="BB98" i="50"/>
  <c r="BC126" i="50"/>
  <c r="BA86" i="50"/>
  <c r="BD83" i="50"/>
  <c r="BC83" i="50"/>
  <c r="BD117" i="50"/>
  <c r="BC129" i="50"/>
  <c r="AZ73" i="50"/>
  <c r="BB134" i="50"/>
  <c r="BC93" i="50"/>
  <c r="BA79" i="50"/>
  <c r="BB63" i="50"/>
  <c r="BD104" i="50"/>
  <c r="BC104" i="50"/>
  <c r="BA80" i="50"/>
  <c r="BB92" i="50"/>
  <c r="BB84" i="50"/>
  <c r="AZ85" i="50"/>
  <c r="BB125" i="50"/>
  <c r="AZ86" i="50"/>
  <c r="BA83" i="50"/>
  <c r="BC315" i="50" l="1"/>
  <c r="AR315" i="50"/>
  <c r="BD315" i="50" s="1"/>
  <c r="BA224" i="50"/>
  <c r="BA78" i="42"/>
  <c r="BQ78" i="42" s="1"/>
  <c r="BA71" i="42"/>
  <c r="BQ71" i="42" s="1"/>
  <c r="O103" i="42"/>
  <c r="N19" i="32" s="1"/>
  <c r="BB224" i="50"/>
  <c r="M348" i="50"/>
  <c r="L348" i="50"/>
  <c r="K347" i="50"/>
  <c r="J346" i="50"/>
  <c r="N348" i="50"/>
  <c r="J345" i="50"/>
  <c r="N210" i="50"/>
  <c r="N359" i="50" s="1"/>
  <c r="M210" i="50"/>
  <c r="M359" i="50" s="1"/>
  <c r="BY92" i="42"/>
  <c r="BB236" i="50"/>
  <c r="BB248" i="50"/>
  <c r="BA248" i="50"/>
  <c r="AQ287" i="50"/>
  <c r="AR287" i="50" s="1"/>
  <c r="BD287" i="50" s="1"/>
  <c r="BB246" i="50"/>
  <c r="BC248" i="50"/>
  <c r="BC291" i="50"/>
  <c r="BB257" i="50"/>
  <c r="BB267" i="50"/>
  <c r="BC257" i="50"/>
  <c r="AQ281" i="50"/>
  <c r="P100" i="66" s="1"/>
  <c r="Q105" i="66"/>
  <c r="L209" i="50"/>
  <c r="BA287" i="50"/>
  <c r="BC227" i="50"/>
  <c r="BB281" i="50"/>
  <c r="BC267" i="50"/>
  <c r="AT79" i="42"/>
  <c r="AZ79" i="42"/>
  <c r="BP79" i="42" s="1"/>
  <c r="BC236" i="50"/>
  <c r="BB286" i="50"/>
  <c r="BB227" i="50"/>
  <c r="BC277" i="50"/>
  <c r="BA79" i="42"/>
  <c r="BQ79" i="42" s="1"/>
  <c r="AR288" i="50"/>
  <c r="BD288" i="50" s="1"/>
  <c r="BA246" i="50"/>
  <c r="BA222" i="50"/>
  <c r="AP222" i="50"/>
  <c r="BB288" i="50"/>
  <c r="BB268" i="50"/>
  <c r="BC286" i="50"/>
  <c r="B513" i="40"/>
  <c r="B232" i="65"/>
  <c r="AR306" i="50"/>
  <c r="BD306" i="50" s="1"/>
  <c r="BC306" i="50"/>
  <c r="AQ298" i="50"/>
  <c r="P101" i="66" s="1"/>
  <c r="BB298" i="50"/>
  <c r="L347" i="50" s="1"/>
  <c r="BA67" i="42"/>
  <c r="BQ67" i="42" s="1"/>
  <c r="AR301" i="50"/>
  <c r="BD301" i="50" s="1"/>
  <c r="BC301" i="50"/>
  <c r="AR302" i="50"/>
  <c r="BD302" i="50" s="1"/>
  <c r="BC302" i="50"/>
  <c r="BB245" i="50"/>
  <c r="AQ245" i="50"/>
  <c r="AR300" i="50"/>
  <c r="BD300" i="50" s="1"/>
  <c r="BC300" i="50"/>
  <c r="AR299" i="50"/>
  <c r="BD299" i="50" s="1"/>
  <c r="BC299" i="50"/>
  <c r="AR296" i="50"/>
  <c r="BD296" i="50" s="1"/>
  <c r="BC296" i="50"/>
  <c r="BB69" i="42"/>
  <c r="BR69" i="42" s="1"/>
  <c r="BZ69" i="42" s="1"/>
  <c r="BA69" i="42"/>
  <c r="BQ69" i="42" s="1"/>
  <c r="BC269" i="50"/>
  <c r="AR273" i="50"/>
  <c r="BD273" i="50" s="1"/>
  <c r="BC273" i="50"/>
  <c r="AQ221" i="50"/>
  <c r="BB221" i="50"/>
  <c r="AQ228" i="50"/>
  <c r="BB228" i="50"/>
  <c r="AQ255" i="50"/>
  <c r="BB255" i="50"/>
  <c r="AQ250" i="50"/>
  <c r="BB250" i="50"/>
  <c r="AQ229" i="50"/>
  <c r="P98" i="66" s="1"/>
  <c r="BB229" i="50"/>
  <c r="AQ280" i="50"/>
  <c r="BB280" i="50"/>
  <c r="AQ285" i="50"/>
  <c r="BB285" i="50"/>
  <c r="AQ226" i="50"/>
  <c r="BB226" i="50"/>
  <c r="AR253" i="50"/>
  <c r="BD253" i="50" s="1"/>
  <c r="BC253" i="50"/>
  <c r="AR265" i="50"/>
  <c r="BD265" i="50" s="1"/>
  <c r="BC265" i="50"/>
  <c r="BC287" i="50"/>
  <c r="AR282" i="50"/>
  <c r="BD282" i="50" s="1"/>
  <c r="BC282" i="50"/>
  <c r="AR256" i="50"/>
  <c r="BD256" i="50" s="1"/>
  <c r="BC256" i="50"/>
  <c r="AR246" i="50"/>
  <c r="BD246" i="50" s="1"/>
  <c r="BC246" i="50"/>
  <c r="AQ262" i="50"/>
  <c r="BB262" i="50"/>
  <c r="AQ251" i="50"/>
  <c r="BB251" i="50"/>
  <c r="AQ230" i="50"/>
  <c r="BB230" i="50"/>
  <c r="AQ279" i="50"/>
  <c r="BB279" i="50"/>
  <c r="AR264" i="50"/>
  <c r="BD264" i="50" s="1"/>
  <c r="BC264" i="50"/>
  <c r="AQ261" i="50"/>
  <c r="BB261" i="50"/>
  <c r="AQ225" i="50"/>
  <c r="BB225" i="50"/>
  <c r="AR270" i="50"/>
  <c r="BD270" i="50" s="1"/>
  <c r="BC270" i="50"/>
  <c r="AR290" i="50"/>
  <c r="BD290" i="50" s="1"/>
  <c r="BC290" i="50"/>
  <c r="AR224" i="50"/>
  <c r="BD224" i="50" s="1"/>
  <c r="BC224" i="50"/>
  <c r="AQ223" i="50"/>
  <c r="BB223" i="50"/>
  <c r="AQ274" i="50"/>
  <c r="BB274" i="50"/>
  <c r="AP284" i="50"/>
  <c r="BA284" i="50"/>
  <c r="K346" i="50" s="1"/>
  <c r="AQ258" i="50"/>
  <c r="P99" i="66" s="1"/>
  <c r="BB258" i="50"/>
  <c r="AQ244" i="50"/>
  <c r="BB244" i="50"/>
  <c r="AQ235" i="50"/>
  <c r="BB235" i="50"/>
  <c r="BA90" i="50"/>
  <c r="K206" i="50" s="1"/>
  <c r="BB90" i="50"/>
  <c r="BA61" i="42"/>
  <c r="BQ61" i="42" s="1"/>
  <c r="AY64" i="42"/>
  <c r="BO64" i="42" s="1"/>
  <c r="BW64" i="42" s="1"/>
  <c r="BC102" i="50"/>
  <c r="BA64" i="42"/>
  <c r="BQ64" i="42" s="1"/>
  <c r="K208" i="50"/>
  <c r="J207" i="50"/>
  <c r="K207" i="50"/>
  <c r="BB101" i="50"/>
  <c r="BD195" i="50"/>
  <c r="BC195" i="50"/>
  <c r="BD189" i="50"/>
  <c r="BC189" i="50"/>
  <c r="L208" i="50"/>
  <c r="BD188" i="50"/>
  <c r="BC188" i="50"/>
  <c r="BD190" i="50"/>
  <c r="BC190" i="50"/>
  <c r="BB187" i="50"/>
  <c r="J206" i="50"/>
  <c r="AZ61" i="42"/>
  <c r="BP61" i="42" s="1"/>
  <c r="BC100" i="50"/>
  <c r="BB100" i="50"/>
  <c r="BC101" i="50"/>
  <c r="BD101" i="50"/>
  <c r="BC114" i="50"/>
  <c r="BC120" i="50"/>
  <c r="BD120" i="50"/>
  <c r="BB110" i="50"/>
  <c r="BD122" i="50"/>
  <c r="BC122" i="50"/>
  <c r="BB111" i="50"/>
  <c r="BC112" i="50"/>
  <c r="BC123" i="50"/>
  <c r="BD123" i="50"/>
  <c r="BB107" i="50"/>
  <c r="BB108" i="50"/>
  <c r="BB62" i="50"/>
  <c r="BC127" i="50"/>
  <c r="BB62" i="42"/>
  <c r="BR62" i="42" s="1"/>
  <c r="BZ62" i="42" s="1"/>
  <c r="BA62" i="42"/>
  <c r="BQ62" i="42" s="1"/>
  <c r="BY62" i="42" s="1"/>
  <c r="AZ65" i="42"/>
  <c r="BP65" i="42" s="1"/>
  <c r="BC70" i="50"/>
  <c r="BD62" i="50"/>
  <c r="BC62" i="50"/>
  <c r="BD92" i="50"/>
  <c r="BC92" i="50"/>
  <c r="BD84" i="50"/>
  <c r="BC84" i="50"/>
  <c r="BD66" i="50"/>
  <c r="BC66" i="50"/>
  <c r="BD131" i="50"/>
  <c r="BC131" i="50"/>
  <c r="BD80" i="50"/>
  <c r="BC80" i="50"/>
  <c r="BD73" i="50"/>
  <c r="BC73" i="50"/>
  <c r="BD94" i="50"/>
  <c r="BC94" i="50"/>
  <c r="BD63" i="50"/>
  <c r="BC63" i="50"/>
  <c r="BB79" i="50"/>
  <c r="BB86" i="50"/>
  <c r="BD76" i="50"/>
  <c r="BC76" i="50"/>
  <c r="BD91" i="50"/>
  <c r="BC91" i="50"/>
  <c r="BD90" i="50"/>
  <c r="BC90" i="50"/>
  <c r="BB69" i="50"/>
  <c r="BD67" i="50"/>
  <c r="BC67" i="50"/>
  <c r="BD71" i="50"/>
  <c r="BC71" i="50"/>
  <c r="BB82" i="50"/>
  <c r="BD134" i="50"/>
  <c r="N209" i="50" s="1"/>
  <c r="BC134" i="50"/>
  <c r="M209" i="50" s="1"/>
  <c r="BB68" i="50"/>
  <c r="BB65" i="50"/>
  <c r="BD124" i="50"/>
  <c r="BC124" i="50"/>
  <c r="BD74" i="50"/>
  <c r="BC74" i="50"/>
  <c r="AV60" i="42"/>
  <c r="K357" i="50" l="1"/>
  <c r="K345" i="50"/>
  <c r="L345" i="50"/>
  <c r="R105" i="66"/>
  <c r="O362" i="50"/>
  <c r="N26" i="32" s="1"/>
  <c r="L358" i="50"/>
  <c r="M358" i="50"/>
  <c r="N358" i="50"/>
  <c r="BC281" i="50"/>
  <c r="AR281" i="50"/>
  <c r="BD281" i="50" s="1"/>
  <c r="BB79" i="42"/>
  <c r="BR79" i="42" s="1"/>
  <c r="BZ79" i="42" s="1"/>
  <c r="BY64" i="42"/>
  <c r="BY61" i="42"/>
  <c r="AQ222" i="50"/>
  <c r="BB222" i="50"/>
  <c r="L357" i="50"/>
  <c r="B514" i="40"/>
  <c r="B233" i="65"/>
  <c r="AR298" i="50"/>
  <c r="BD298" i="50" s="1"/>
  <c r="N347" i="50" s="1"/>
  <c r="BC298" i="50"/>
  <c r="M347" i="50" s="1"/>
  <c r="AR245" i="50"/>
  <c r="BD245" i="50" s="1"/>
  <c r="BC245" i="50"/>
  <c r="BB67" i="42"/>
  <c r="BR67" i="42" s="1"/>
  <c r="BZ67" i="42" s="1"/>
  <c r="AR235" i="50"/>
  <c r="BD235" i="50" s="1"/>
  <c r="BC235" i="50"/>
  <c r="AR258" i="50"/>
  <c r="BD258" i="50" s="1"/>
  <c r="BC258" i="50"/>
  <c r="AR274" i="50"/>
  <c r="BD274" i="50" s="1"/>
  <c r="BC274" i="50"/>
  <c r="AR261" i="50"/>
  <c r="BD261" i="50" s="1"/>
  <c r="BC261" i="50"/>
  <c r="AR279" i="50"/>
  <c r="BD279" i="50" s="1"/>
  <c r="BC279" i="50"/>
  <c r="AR251" i="50"/>
  <c r="BD251" i="50" s="1"/>
  <c r="BC251" i="50"/>
  <c r="AR226" i="50"/>
  <c r="BD226" i="50" s="1"/>
  <c r="BC226" i="50"/>
  <c r="AR280" i="50"/>
  <c r="BD280" i="50" s="1"/>
  <c r="BC280" i="50"/>
  <c r="AR250" i="50"/>
  <c r="BD250" i="50" s="1"/>
  <c r="BC250" i="50"/>
  <c r="AR228" i="50"/>
  <c r="BD228" i="50" s="1"/>
  <c r="BC228" i="50"/>
  <c r="AR244" i="50"/>
  <c r="BD244" i="50" s="1"/>
  <c r="BC244" i="50"/>
  <c r="AQ284" i="50"/>
  <c r="BB284" i="50"/>
  <c r="L346" i="50" s="1"/>
  <c r="AR223" i="50"/>
  <c r="BD223" i="50" s="1"/>
  <c r="BC223" i="50"/>
  <c r="AR225" i="50"/>
  <c r="BD225" i="50" s="1"/>
  <c r="BC225" i="50"/>
  <c r="AR230" i="50"/>
  <c r="BD230" i="50" s="1"/>
  <c r="BC230" i="50"/>
  <c r="AR262" i="50"/>
  <c r="BD262" i="50" s="1"/>
  <c r="BC262" i="50"/>
  <c r="AR285" i="50"/>
  <c r="BD285" i="50" s="1"/>
  <c r="BC285" i="50"/>
  <c r="AR229" i="50"/>
  <c r="BD229" i="50" s="1"/>
  <c r="BC229" i="50"/>
  <c r="AR255" i="50"/>
  <c r="BD255" i="50" s="1"/>
  <c r="BC255" i="50"/>
  <c r="AR221" i="50"/>
  <c r="BD221" i="50" s="1"/>
  <c r="BC221" i="50"/>
  <c r="BB64" i="42"/>
  <c r="BR64" i="42" s="1"/>
  <c r="BZ64" i="42" s="1"/>
  <c r="N208" i="50"/>
  <c r="L207" i="50"/>
  <c r="M208" i="50"/>
  <c r="BD187" i="50"/>
  <c r="BC187" i="50"/>
  <c r="L206" i="50"/>
  <c r="BD108" i="50"/>
  <c r="BC108" i="50"/>
  <c r="BD110" i="50"/>
  <c r="BC110" i="50"/>
  <c r="BD107" i="50"/>
  <c r="BC107" i="50"/>
  <c r="BD111" i="50"/>
  <c r="BC111" i="50"/>
  <c r="J356" i="50"/>
  <c r="BC64" i="50"/>
  <c r="BB65" i="42"/>
  <c r="BR65" i="42" s="1"/>
  <c r="BZ65" i="42" s="1"/>
  <c r="BA65" i="42"/>
  <c r="BQ65" i="42" s="1"/>
  <c r="BY65" i="42" s="1"/>
  <c r="BD65" i="50"/>
  <c r="BC65" i="50"/>
  <c r="BD82" i="50"/>
  <c r="BC82" i="50"/>
  <c r="BD86" i="50"/>
  <c r="BC86" i="50"/>
  <c r="BD68" i="50"/>
  <c r="BC68" i="50"/>
  <c r="BD69" i="50"/>
  <c r="BC69" i="50"/>
  <c r="BD79" i="50"/>
  <c r="BC79" i="50"/>
  <c r="BL60" i="42"/>
  <c r="N345" i="50" l="1"/>
  <c r="M345" i="50"/>
  <c r="M357" i="50"/>
  <c r="AR222" i="50"/>
  <c r="BD222" i="50" s="1"/>
  <c r="BC222" i="50"/>
  <c r="B515" i="40"/>
  <c r="B234" i="65"/>
  <c r="N357" i="50"/>
  <c r="AR284" i="50"/>
  <c r="BD284" i="50" s="1"/>
  <c r="N346" i="50" s="1"/>
  <c r="BC284" i="50"/>
  <c r="M346" i="50" s="1"/>
  <c r="M207" i="50"/>
  <c r="N207" i="50"/>
  <c r="M206" i="50"/>
  <c r="N206" i="50"/>
  <c r="BD64" i="50"/>
  <c r="F172" i="24"/>
  <c r="F72" i="36" s="1"/>
  <c r="F171" i="24"/>
  <c r="F71" i="36" s="1"/>
  <c r="F70" i="36"/>
  <c r="F169" i="24"/>
  <c r="F69" i="36" s="1"/>
  <c r="F101" i="24"/>
  <c r="F27" i="34" s="1"/>
  <c r="L38" i="65"/>
  <c r="K37" i="65"/>
  <c r="J36" i="65"/>
  <c r="I35" i="65"/>
  <c r="B516" i="40" l="1"/>
  <c r="B235" i="65"/>
  <c r="H31" i="37"/>
  <c r="L35" i="37"/>
  <c r="I32" i="37"/>
  <c r="M36" i="37"/>
  <c r="J18" i="68"/>
  <c r="J33" i="37"/>
  <c r="K19" i="68"/>
  <c r="K34" i="37"/>
  <c r="N36" i="50"/>
  <c r="N34" i="42"/>
  <c r="Q44" i="25"/>
  <c r="I29" i="42"/>
  <c r="I31" i="50"/>
  <c r="L39" i="25"/>
  <c r="J30" i="42"/>
  <c r="J32" i="50"/>
  <c r="M40" i="25"/>
  <c r="F77" i="36"/>
  <c r="F76" i="36"/>
  <c r="L32" i="42"/>
  <c r="L34" i="50"/>
  <c r="O42" i="25"/>
  <c r="K33" i="50"/>
  <c r="K31" i="42"/>
  <c r="N41" i="25"/>
  <c r="M33" i="42"/>
  <c r="M35" i="50"/>
  <c r="P43" i="25"/>
  <c r="B517" i="40" l="1"/>
  <c r="B236" i="65"/>
  <c r="L37" i="65"/>
  <c r="L20" i="68"/>
  <c r="K36" i="65"/>
  <c r="J35" i="65"/>
  <c r="L31" i="42"/>
  <c r="M32" i="42"/>
  <c r="O41" i="25"/>
  <c r="L33" i="50"/>
  <c r="P42" i="25"/>
  <c r="M34" i="50"/>
  <c r="I31" i="37"/>
  <c r="J32" i="37"/>
  <c r="J881" i="37" s="1"/>
  <c r="L34" i="37"/>
  <c r="K33" i="37"/>
  <c r="M35" i="37"/>
  <c r="M881" i="37" s="1"/>
  <c r="M34" i="37"/>
  <c r="BE60" i="42"/>
  <c r="K32" i="50"/>
  <c r="K30" i="42"/>
  <c r="N40" i="25"/>
  <c r="N35" i="50"/>
  <c r="N33" i="42"/>
  <c r="Q43" i="25"/>
  <c r="J29" i="42"/>
  <c r="J31" i="50"/>
  <c r="M39" i="25"/>
  <c r="P41" i="25"/>
  <c r="N32" i="42"/>
  <c r="N34" i="50"/>
  <c r="Q42" i="25"/>
  <c r="E892" i="40"/>
  <c r="G804" i="40"/>
  <c r="G808" i="40" s="1"/>
  <c r="H804" i="40"/>
  <c r="H809" i="40" s="1"/>
  <c r="I804" i="40"/>
  <c r="I810" i="40" s="1"/>
  <c r="J804" i="40"/>
  <c r="J811" i="40" s="1"/>
  <c r="K804" i="40"/>
  <c r="K812" i="40" s="1"/>
  <c r="L804" i="40"/>
  <c r="L813" i="40" s="1"/>
  <c r="M804" i="40"/>
  <c r="M814" i="40" s="1"/>
  <c r="N804" i="40"/>
  <c r="N815" i="40" s="1"/>
  <c r="O804" i="40"/>
  <c r="O816" i="40" s="1"/>
  <c r="P804" i="40"/>
  <c r="P817" i="40" s="1"/>
  <c r="Q804" i="40"/>
  <c r="Q818" i="40" s="1"/>
  <c r="R804" i="40"/>
  <c r="R819" i="40" s="1"/>
  <c r="S804" i="40"/>
  <c r="S820" i="40" s="1"/>
  <c r="T804" i="40"/>
  <c r="T821" i="40" s="1"/>
  <c r="U804" i="40"/>
  <c r="U822" i="40" s="1"/>
  <c r="V804" i="40"/>
  <c r="V823" i="40" s="1"/>
  <c r="W804" i="40"/>
  <c r="W824" i="40" s="1"/>
  <c r="X804" i="40"/>
  <c r="X825" i="40" s="1"/>
  <c r="Y804" i="40"/>
  <c r="Y826" i="40" s="1"/>
  <c r="Z804" i="40"/>
  <c r="Z827" i="40" s="1"/>
  <c r="AA804" i="40"/>
  <c r="AA828" i="40" s="1"/>
  <c r="AB804" i="40"/>
  <c r="AB829" i="40" s="1"/>
  <c r="AC804" i="40"/>
  <c r="AC830" i="40" s="1"/>
  <c r="AD804" i="40"/>
  <c r="AD831" i="40" s="1"/>
  <c r="AE804" i="40"/>
  <c r="AE832" i="40" s="1"/>
  <c r="AF804" i="40"/>
  <c r="AF833" i="40" s="1"/>
  <c r="AG804" i="40"/>
  <c r="AG834" i="40" s="1"/>
  <c r="AH804" i="40"/>
  <c r="AH835" i="40" s="1"/>
  <c r="AI804" i="40"/>
  <c r="AI836" i="40" s="1"/>
  <c r="AJ804" i="40"/>
  <c r="AJ837" i="40" s="1"/>
  <c r="AK804" i="40"/>
  <c r="AK838" i="40" s="1"/>
  <c r="AL804" i="40"/>
  <c r="AL839" i="40" s="1"/>
  <c r="AM804" i="40"/>
  <c r="AM840" i="40" s="1"/>
  <c r="AN804" i="40"/>
  <c r="AN841" i="40" s="1"/>
  <c r="AO804" i="40"/>
  <c r="AO842" i="40" s="1"/>
  <c r="AP804" i="40"/>
  <c r="AP843" i="40" s="1"/>
  <c r="AQ804" i="40"/>
  <c r="AQ844" i="40" s="1"/>
  <c r="AR804" i="40"/>
  <c r="AR845" i="40" s="1"/>
  <c r="AS804" i="40"/>
  <c r="AS846" i="40" s="1"/>
  <c r="AT804" i="40"/>
  <c r="AT847" i="40" s="1"/>
  <c r="AU804" i="40"/>
  <c r="AU848" i="40" s="1"/>
  <c r="AV804" i="40"/>
  <c r="AV849" i="40" s="1"/>
  <c r="AW804" i="40"/>
  <c r="AW850" i="40" s="1"/>
  <c r="AX804" i="40"/>
  <c r="AX851" i="40" s="1"/>
  <c r="AY804" i="40"/>
  <c r="AY852" i="40" s="1"/>
  <c r="AZ804" i="40"/>
  <c r="AZ853" i="40" s="1"/>
  <c r="BA804" i="40"/>
  <c r="BA854" i="40" s="1"/>
  <c r="BB804" i="40"/>
  <c r="BB855" i="40" s="1"/>
  <c r="BC804" i="40"/>
  <c r="BC856" i="40" s="1"/>
  <c r="BE804" i="40"/>
  <c r="BE858" i="40" s="1"/>
  <c r="BF804" i="40"/>
  <c r="BF859" i="40" s="1"/>
  <c r="BG804" i="40"/>
  <c r="BG860" i="40" s="1"/>
  <c r="BH804" i="40"/>
  <c r="BH861" i="40" s="1"/>
  <c r="BI804" i="40"/>
  <c r="BI862" i="40" s="1"/>
  <c r="BJ804" i="40"/>
  <c r="BJ863" i="40" s="1"/>
  <c r="BL804" i="40"/>
  <c r="BL865" i="40" s="1"/>
  <c r="BM804" i="40"/>
  <c r="BM866" i="40" s="1"/>
  <c r="BN804" i="40"/>
  <c r="BN867" i="40" s="1"/>
  <c r="BO804" i="40"/>
  <c r="BO868" i="40" s="1"/>
  <c r="BP804" i="40"/>
  <c r="BP869" i="40" s="1"/>
  <c r="BQ804" i="40"/>
  <c r="BQ870" i="40" s="1"/>
  <c r="BR804" i="40"/>
  <c r="BS804" i="40"/>
  <c r="BT804" i="40"/>
  <c r="BU804" i="40"/>
  <c r="BV804" i="40"/>
  <c r="BW804" i="40"/>
  <c r="BX804" i="40"/>
  <c r="BY804" i="40"/>
  <c r="BZ804" i="40"/>
  <c r="CA804" i="40"/>
  <c r="CB804" i="40"/>
  <c r="F804" i="40"/>
  <c r="F807" i="40" s="1"/>
  <c r="E804" i="40"/>
  <c r="BK804" i="40"/>
  <c r="BK864" i="40" s="1"/>
  <c r="BD804" i="40"/>
  <c r="BD857" i="40" s="1"/>
  <c r="BZ90" i="42" l="1"/>
  <c r="BZ82" i="42"/>
  <c r="BZ88" i="42"/>
  <c r="BZ84" i="42"/>
  <c r="BZ86" i="42"/>
  <c r="BZ83" i="42"/>
  <c r="BZ85" i="42"/>
  <c r="BZ89" i="42"/>
  <c r="BZ87" i="42"/>
  <c r="BZ81" i="42"/>
  <c r="BZ80" i="42"/>
  <c r="B518" i="40"/>
  <c r="B237" i="65"/>
  <c r="BY66" i="42"/>
  <c r="BY73" i="42"/>
  <c r="BY78" i="42"/>
  <c r="BY79" i="42"/>
  <c r="BY67" i="42"/>
  <c r="BY71" i="42"/>
  <c r="BY75" i="42"/>
  <c r="BY74" i="42"/>
  <c r="BY70" i="42"/>
  <c r="BY76" i="42"/>
  <c r="BY72" i="42"/>
  <c r="BY77" i="42"/>
  <c r="BY68" i="42"/>
  <c r="BY69" i="42"/>
  <c r="L36" i="65"/>
  <c r="L19" i="68"/>
  <c r="L35" i="65"/>
  <c r="L18" i="68"/>
  <c r="K35" i="65"/>
  <c r="K18" i="68"/>
  <c r="M31" i="42"/>
  <c r="M33" i="50"/>
  <c r="BX61" i="42"/>
  <c r="BX63" i="42"/>
  <c r="BX62" i="42"/>
  <c r="BX64" i="42"/>
  <c r="BX65" i="42"/>
  <c r="AZ123" i="50"/>
  <c r="L33" i="37"/>
  <c r="L881" i="37" s="1"/>
  <c r="M33" i="37"/>
  <c r="K32" i="37"/>
  <c r="J31" i="37"/>
  <c r="K356" i="50"/>
  <c r="K31" i="50"/>
  <c r="K29" i="42"/>
  <c r="N39" i="25"/>
  <c r="N31" i="42"/>
  <c r="N33" i="50"/>
  <c r="Q41" i="25"/>
  <c r="AW60" i="42"/>
  <c r="L32" i="50"/>
  <c r="L30" i="42"/>
  <c r="O40" i="25"/>
  <c r="CB881" i="40"/>
  <c r="BX877" i="40"/>
  <c r="BY877" i="40" s="1"/>
  <c r="BT873" i="40"/>
  <c r="BU873" i="40" s="1"/>
  <c r="CA880" i="40"/>
  <c r="CB880" i="40" s="1"/>
  <c r="BW876" i="40"/>
  <c r="BX876" i="40" s="1"/>
  <c r="BS872" i="40"/>
  <c r="BT872" i="40" s="1"/>
  <c r="BV875" i="40"/>
  <c r="BW875" i="40" s="1"/>
  <c r="BZ879" i="40"/>
  <c r="CA879" i="40" s="1"/>
  <c r="BR871" i="40"/>
  <c r="BS871" i="40" s="1"/>
  <c r="BT871" i="40" s="1"/>
  <c r="BU871" i="40" s="1"/>
  <c r="BV871" i="40" s="1"/>
  <c r="BW871" i="40" s="1"/>
  <c r="BX871" i="40" s="1"/>
  <c r="BY871" i="40" s="1"/>
  <c r="BZ871" i="40" s="1"/>
  <c r="CA871" i="40" s="1"/>
  <c r="BY878" i="40"/>
  <c r="BZ878" i="40" s="1"/>
  <c r="BU874" i="40"/>
  <c r="BV874" i="40" s="1"/>
  <c r="I809" i="40"/>
  <c r="J809" i="40" s="1"/>
  <c r="K809" i="40" s="1"/>
  <c r="L809" i="40" s="1"/>
  <c r="M809" i="40" s="1"/>
  <c r="N809" i="40" s="1"/>
  <c r="O809" i="40" s="1"/>
  <c r="P809" i="40" s="1"/>
  <c r="Q809" i="40" s="1"/>
  <c r="R809" i="40" s="1"/>
  <c r="S809" i="40" s="1"/>
  <c r="T809" i="40" s="1"/>
  <c r="U809" i="40" s="1"/>
  <c r="V809" i="40" s="1"/>
  <c r="W809" i="40" s="1"/>
  <c r="X809" i="40" s="1"/>
  <c r="Y809" i="40" s="1"/>
  <c r="Z809" i="40" s="1"/>
  <c r="AA809" i="40" s="1"/>
  <c r="AB809" i="40" s="1"/>
  <c r="AC809" i="40" s="1"/>
  <c r="AD809" i="40" s="1"/>
  <c r="AE809" i="40" s="1"/>
  <c r="AF809" i="40" s="1"/>
  <c r="AG809" i="40" s="1"/>
  <c r="AH809" i="40" s="1"/>
  <c r="AI809" i="40" s="1"/>
  <c r="AJ809" i="40" s="1"/>
  <c r="AK809" i="40" s="1"/>
  <c r="AL809" i="40" s="1"/>
  <c r="AM809" i="40" s="1"/>
  <c r="AN809" i="40" s="1"/>
  <c r="AO809" i="40" s="1"/>
  <c r="AP809" i="40" s="1"/>
  <c r="AQ809" i="40" s="1"/>
  <c r="AR809" i="40" s="1"/>
  <c r="AS809" i="40" s="1"/>
  <c r="AT809" i="40" s="1"/>
  <c r="AU809" i="40" s="1"/>
  <c r="AV809" i="40" s="1"/>
  <c r="AW809" i="40" s="1"/>
  <c r="AX809" i="40" s="1"/>
  <c r="AY809" i="40" s="1"/>
  <c r="AZ809" i="40" s="1"/>
  <c r="BA809" i="40" s="1"/>
  <c r="BB809" i="40" s="1"/>
  <c r="BC809" i="40" s="1"/>
  <c r="BD809" i="40" s="1"/>
  <c r="BE809" i="40" s="1"/>
  <c r="BF809" i="40" s="1"/>
  <c r="BG809" i="40" s="1"/>
  <c r="BH809" i="40" s="1"/>
  <c r="BI809" i="40" s="1"/>
  <c r="BJ809" i="40" s="1"/>
  <c r="BK809" i="40" s="1"/>
  <c r="BL809" i="40" s="1"/>
  <c r="BM809" i="40" s="1"/>
  <c r="BN809" i="40" s="1"/>
  <c r="BO809" i="40" s="1"/>
  <c r="BP809" i="40" s="1"/>
  <c r="BQ809" i="40" s="1"/>
  <c r="BR809" i="40" s="1"/>
  <c r="BS809" i="40" s="1"/>
  <c r="BT809" i="40" s="1"/>
  <c r="BU809" i="40" s="1"/>
  <c r="BV809" i="40" s="1"/>
  <c r="BW809" i="40" s="1"/>
  <c r="BX809" i="40" s="1"/>
  <c r="BY809" i="40" s="1"/>
  <c r="BZ809" i="40" s="1"/>
  <c r="CA809" i="40" s="1"/>
  <c r="CB809" i="40" s="1"/>
  <c r="AO841" i="40"/>
  <c r="AP841" i="40" s="1"/>
  <c r="AQ841" i="40" s="1"/>
  <c r="AR841" i="40" s="1"/>
  <c r="AS841" i="40" s="1"/>
  <c r="AT841" i="40" s="1"/>
  <c r="AU841" i="40" s="1"/>
  <c r="AV841" i="40" s="1"/>
  <c r="AW841" i="40" s="1"/>
  <c r="AX841" i="40" s="1"/>
  <c r="AY841" i="40" s="1"/>
  <c r="AZ841" i="40" s="1"/>
  <c r="BA841" i="40" s="1"/>
  <c r="BB841" i="40" s="1"/>
  <c r="BC841" i="40" s="1"/>
  <c r="BD841" i="40" s="1"/>
  <c r="BE841" i="40" s="1"/>
  <c r="BF841" i="40" s="1"/>
  <c r="BG841" i="40" s="1"/>
  <c r="BH841" i="40" s="1"/>
  <c r="BI841" i="40" s="1"/>
  <c r="BJ841" i="40" s="1"/>
  <c r="BK841" i="40" s="1"/>
  <c r="BL841" i="40" s="1"/>
  <c r="BM841" i="40" s="1"/>
  <c r="BN841" i="40" s="1"/>
  <c r="BO841" i="40" s="1"/>
  <c r="BP841" i="40" s="1"/>
  <c r="BQ841" i="40" s="1"/>
  <c r="BR841" i="40" s="1"/>
  <c r="BS841" i="40" s="1"/>
  <c r="BT841" i="40" s="1"/>
  <c r="BU841" i="40" s="1"/>
  <c r="BV841" i="40" s="1"/>
  <c r="BW841" i="40" s="1"/>
  <c r="BX841" i="40" s="1"/>
  <c r="BY841" i="40" s="1"/>
  <c r="BZ841" i="40" s="1"/>
  <c r="CA841" i="40" s="1"/>
  <c r="U821" i="40"/>
  <c r="V821" i="40" s="1"/>
  <c r="W821" i="40" s="1"/>
  <c r="X821" i="40" s="1"/>
  <c r="Y821" i="40" s="1"/>
  <c r="Z821" i="40" s="1"/>
  <c r="AA821" i="40" s="1"/>
  <c r="AB821" i="40" s="1"/>
  <c r="AC821" i="40" s="1"/>
  <c r="AD821" i="40" s="1"/>
  <c r="AE821" i="40" s="1"/>
  <c r="AF821" i="40" s="1"/>
  <c r="AG821" i="40" s="1"/>
  <c r="AH821" i="40" s="1"/>
  <c r="AI821" i="40" s="1"/>
  <c r="AJ821" i="40" s="1"/>
  <c r="AK821" i="40" s="1"/>
  <c r="AL821" i="40" s="1"/>
  <c r="AM821" i="40" s="1"/>
  <c r="AN821" i="40" s="1"/>
  <c r="AO821" i="40" s="1"/>
  <c r="AP821" i="40" s="1"/>
  <c r="AQ821" i="40" s="1"/>
  <c r="AR821" i="40" s="1"/>
  <c r="AS821" i="40" s="1"/>
  <c r="AT821" i="40" s="1"/>
  <c r="AU821" i="40" s="1"/>
  <c r="AV821" i="40" s="1"/>
  <c r="AW821" i="40" s="1"/>
  <c r="AX821" i="40" s="1"/>
  <c r="AY821" i="40" s="1"/>
  <c r="AZ821" i="40" s="1"/>
  <c r="BA821" i="40" s="1"/>
  <c r="BB821" i="40" s="1"/>
  <c r="BC821" i="40" s="1"/>
  <c r="BD821" i="40" s="1"/>
  <c r="BE821" i="40" s="1"/>
  <c r="BF821" i="40" s="1"/>
  <c r="BG821" i="40" s="1"/>
  <c r="BH821" i="40" s="1"/>
  <c r="BI821" i="40" s="1"/>
  <c r="BJ821" i="40" s="1"/>
  <c r="BK821" i="40" s="1"/>
  <c r="BL821" i="40" s="1"/>
  <c r="BM821" i="40" s="1"/>
  <c r="BN821" i="40" s="1"/>
  <c r="BO821" i="40" s="1"/>
  <c r="BP821" i="40" s="1"/>
  <c r="BQ821" i="40" s="1"/>
  <c r="BR821" i="40" s="1"/>
  <c r="BS821" i="40" s="1"/>
  <c r="BT821" i="40" s="1"/>
  <c r="BU821" i="40" s="1"/>
  <c r="BV821" i="40" s="1"/>
  <c r="BW821" i="40" s="1"/>
  <c r="BX821" i="40" s="1"/>
  <c r="BY821" i="40" s="1"/>
  <c r="BZ821" i="40" s="1"/>
  <c r="CA821" i="40" s="1"/>
  <c r="BE857" i="40"/>
  <c r="BF857" i="40" s="1"/>
  <c r="BG857" i="40" s="1"/>
  <c r="BH857" i="40" s="1"/>
  <c r="BI857" i="40" s="1"/>
  <c r="BJ857" i="40" s="1"/>
  <c r="BK857" i="40" s="1"/>
  <c r="BL857" i="40" s="1"/>
  <c r="BM857" i="40" s="1"/>
  <c r="BN857" i="40" s="1"/>
  <c r="BO857" i="40" s="1"/>
  <c r="BP857" i="40" s="1"/>
  <c r="BQ857" i="40" s="1"/>
  <c r="BR857" i="40" s="1"/>
  <c r="BS857" i="40" s="1"/>
  <c r="BT857" i="40" s="1"/>
  <c r="BU857" i="40" s="1"/>
  <c r="BV857" i="40" s="1"/>
  <c r="BW857" i="40" s="1"/>
  <c r="BX857" i="40" s="1"/>
  <c r="BY857" i="40" s="1"/>
  <c r="BZ857" i="40" s="1"/>
  <c r="CA857" i="40" s="1"/>
  <c r="AK837" i="40"/>
  <c r="AL837" i="40" s="1"/>
  <c r="AM837" i="40" s="1"/>
  <c r="AN837" i="40" s="1"/>
  <c r="AO837" i="40" s="1"/>
  <c r="AP837" i="40" s="1"/>
  <c r="AQ837" i="40" s="1"/>
  <c r="AR837" i="40" s="1"/>
  <c r="AS837" i="40" s="1"/>
  <c r="AT837" i="40" s="1"/>
  <c r="AU837" i="40" s="1"/>
  <c r="AV837" i="40" s="1"/>
  <c r="AW837" i="40" s="1"/>
  <c r="AX837" i="40" s="1"/>
  <c r="AY837" i="40" s="1"/>
  <c r="AZ837" i="40" s="1"/>
  <c r="BA837" i="40" s="1"/>
  <c r="BB837" i="40" s="1"/>
  <c r="BC837" i="40" s="1"/>
  <c r="BD837" i="40" s="1"/>
  <c r="BE837" i="40" s="1"/>
  <c r="BF837" i="40" s="1"/>
  <c r="BG837" i="40" s="1"/>
  <c r="BH837" i="40" s="1"/>
  <c r="BI837" i="40" s="1"/>
  <c r="BJ837" i="40" s="1"/>
  <c r="BK837" i="40" s="1"/>
  <c r="BL837" i="40" s="1"/>
  <c r="BM837" i="40" s="1"/>
  <c r="BN837" i="40" s="1"/>
  <c r="BO837" i="40" s="1"/>
  <c r="BP837" i="40" s="1"/>
  <c r="BQ837" i="40" s="1"/>
  <c r="BR837" i="40" s="1"/>
  <c r="BS837" i="40" s="1"/>
  <c r="BT837" i="40" s="1"/>
  <c r="BU837" i="40" s="1"/>
  <c r="BV837" i="40" s="1"/>
  <c r="BW837" i="40" s="1"/>
  <c r="BX837" i="40" s="1"/>
  <c r="BY837" i="40" s="1"/>
  <c r="BZ837" i="40" s="1"/>
  <c r="CA837" i="40" s="1"/>
  <c r="BQ869" i="40"/>
  <c r="BR869" i="40" s="1"/>
  <c r="BS869" i="40" s="1"/>
  <c r="BT869" i="40" s="1"/>
  <c r="BU869" i="40" s="1"/>
  <c r="BV869" i="40" s="1"/>
  <c r="BW869" i="40" s="1"/>
  <c r="BX869" i="40" s="1"/>
  <c r="BY869" i="40" s="1"/>
  <c r="BZ869" i="40" s="1"/>
  <c r="CA869" i="40" s="1"/>
  <c r="Q817" i="40"/>
  <c r="R817" i="40" s="1"/>
  <c r="S817" i="40" s="1"/>
  <c r="T817" i="40" s="1"/>
  <c r="U817" i="40" s="1"/>
  <c r="V817" i="40" s="1"/>
  <c r="W817" i="40" s="1"/>
  <c r="X817" i="40" s="1"/>
  <c r="Y817" i="40" s="1"/>
  <c r="Z817" i="40" s="1"/>
  <c r="AA817" i="40" s="1"/>
  <c r="AB817" i="40" s="1"/>
  <c r="AC817" i="40" s="1"/>
  <c r="AD817" i="40" s="1"/>
  <c r="AE817" i="40" s="1"/>
  <c r="AF817" i="40" s="1"/>
  <c r="AG817" i="40" s="1"/>
  <c r="AH817" i="40" s="1"/>
  <c r="AI817" i="40" s="1"/>
  <c r="AJ817" i="40" s="1"/>
  <c r="AK817" i="40" s="1"/>
  <c r="AL817" i="40" s="1"/>
  <c r="AM817" i="40" s="1"/>
  <c r="AN817" i="40" s="1"/>
  <c r="AO817" i="40" s="1"/>
  <c r="AP817" i="40" s="1"/>
  <c r="AQ817" i="40" s="1"/>
  <c r="AR817" i="40" s="1"/>
  <c r="AS817" i="40" s="1"/>
  <c r="AT817" i="40" s="1"/>
  <c r="AU817" i="40" s="1"/>
  <c r="AV817" i="40" s="1"/>
  <c r="AW817" i="40" s="1"/>
  <c r="AX817" i="40" s="1"/>
  <c r="AY817" i="40" s="1"/>
  <c r="AZ817" i="40" s="1"/>
  <c r="BA817" i="40" s="1"/>
  <c r="BB817" i="40" s="1"/>
  <c r="BC817" i="40" s="1"/>
  <c r="BD817" i="40" s="1"/>
  <c r="BE817" i="40" s="1"/>
  <c r="BF817" i="40" s="1"/>
  <c r="BG817" i="40" s="1"/>
  <c r="BH817" i="40" s="1"/>
  <c r="BI817" i="40" s="1"/>
  <c r="BJ817" i="40" s="1"/>
  <c r="BK817" i="40" s="1"/>
  <c r="BL817" i="40" s="1"/>
  <c r="BM817" i="40" s="1"/>
  <c r="BN817" i="40" s="1"/>
  <c r="BO817" i="40" s="1"/>
  <c r="BP817" i="40" s="1"/>
  <c r="BQ817" i="40" s="1"/>
  <c r="BR817" i="40" s="1"/>
  <c r="BS817" i="40" s="1"/>
  <c r="BT817" i="40" s="1"/>
  <c r="BU817" i="40" s="1"/>
  <c r="BV817" i="40" s="1"/>
  <c r="BW817" i="40" s="1"/>
  <c r="BX817" i="40" s="1"/>
  <c r="BY817" i="40" s="1"/>
  <c r="BZ817" i="40" s="1"/>
  <c r="CA817" i="40" s="1"/>
  <c r="CB817" i="40" s="1"/>
  <c r="AG833" i="40"/>
  <c r="AH833" i="40" s="1"/>
  <c r="AI833" i="40" s="1"/>
  <c r="AJ833" i="40" s="1"/>
  <c r="AK833" i="40" s="1"/>
  <c r="AL833" i="40" s="1"/>
  <c r="AM833" i="40" s="1"/>
  <c r="AN833" i="40" s="1"/>
  <c r="AO833" i="40" s="1"/>
  <c r="AP833" i="40" s="1"/>
  <c r="AQ833" i="40" s="1"/>
  <c r="AR833" i="40" s="1"/>
  <c r="AS833" i="40" s="1"/>
  <c r="AT833" i="40" s="1"/>
  <c r="AU833" i="40" s="1"/>
  <c r="AV833" i="40" s="1"/>
  <c r="AW833" i="40" s="1"/>
  <c r="AX833" i="40" s="1"/>
  <c r="AY833" i="40" s="1"/>
  <c r="AZ833" i="40" s="1"/>
  <c r="BA833" i="40" s="1"/>
  <c r="BB833" i="40" s="1"/>
  <c r="BC833" i="40" s="1"/>
  <c r="BD833" i="40" s="1"/>
  <c r="BE833" i="40" s="1"/>
  <c r="BF833" i="40" s="1"/>
  <c r="BG833" i="40" s="1"/>
  <c r="BH833" i="40" s="1"/>
  <c r="BI833" i="40" s="1"/>
  <c r="BJ833" i="40" s="1"/>
  <c r="BK833" i="40" s="1"/>
  <c r="BL833" i="40" s="1"/>
  <c r="BM833" i="40" s="1"/>
  <c r="BN833" i="40" s="1"/>
  <c r="BO833" i="40" s="1"/>
  <c r="BP833" i="40" s="1"/>
  <c r="BQ833" i="40" s="1"/>
  <c r="BR833" i="40" s="1"/>
  <c r="BS833" i="40" s="1"/>
  <c r="BT833" i="40" s="1"/>
  <c r="BU833" i="40" s="1"/>
  <c r="BV833" i="40" s="1"/>
  <c r="BW833" i="40" s="1"/>
  <c r="BX833" i="40" s="1"/>
  <c r="BY833" i="40" s="1"/>
  <c r="BZ833" i="40" s="1"/>
  <c r="CA833" i="40" s="1"/>
  <c r="AW849" i="40"/>
  <c r="AX849" i="40" s="1"/>
  <c r="AY849" i="40" s="1"/>
  <c r="AZ849" i="40" s="1"/>
  <c r="BA849" i="40" s="1"/>
  <c r="BB849" i="40" s="1"/>
  <c r="BC849" i="40" s="1"/>
  <c r="BD849" i="40" s="1"/>
  <c r="BE849" i="40" s="1"/>
  <c r="BF849" i="40" s="1"/>
  <c r="BG849" i="40" s="1"/>
  <c r="BH849" i="40" s="1"/>
  <c r="BI849" i="40" s="1"/>
  <c r="BJ849" i="40" s="1"/>
  <c r="BK849" i="40" s="1"/>
  <c r="BL849" i="40" s="1"/>
  <c r="BM849" i="40" s="1"/>
  <c r="BN849" i="40" s="1"/>
  <c r="BO849" i="40" s="1"/>
  <c r="BP849" i="40" s="1"/>
  <c r="BQ849" i="40" s="1"/>
  <c r="BR849" i="40" s="1"/>
  <c r="BS849" i="40" s="1"/>
  <c r="BT849" i="40" s="1"/>
  <c r="BU849" i="40" s="1"/>
  <c r="BV849" i="40" s="1"/>
  <c r="BW849" i="40" s="1"/>
  <c r="BX849" i="40" s="1"/>
  <c r="BY849" i="40" s="1"/>
  <c r="BZ849" i="40" s="1"/>
  <c r="CA849" i="40" s="1"/>
  <c r="BM865" i="40"/>
  <c r="BN865" i="40" s="1"/>
  <c r="BO865" i="40" s="1"/>
  <c r="BP865" i="40" s="1"/>
  <c r="BQ865" i="40" s="1"/>
  <c r="BR865" i="40" s="1"/>
  <c r="BS865" i="40" s="1"/>
  <c r="BT865" i="40" s="1"/>
  <c r="BU865" i="40" s="1"/>
  <c r="BV865" i="40" s="1"/>
  <c r="BW865" i="40" s="1"/>
  <c r="BX865" i="40" s="1"/>
  <c r="BY865" i="40" s="1"/>
  <c r="BZ865" i="40" s="1"/>
  <c r="CA865" i="40" s="1"/>
  <c r="Y825" i="40"/>
  <c r="Z825" i="40" s="1"/>
  <c r="AA825" i="40" s="1"/>
  <c r="AB825" i="40" s="1"/>
  <c r="AC825" i="40" s="1"/>
  <c r="AD825" i="40" s="1"/>
  <c r="AE825" i="40" s="1"/>
  <c r="AF825" i="40" s="1"/>
  <c r="AG825" i="40" s="1"/>
  <c r="AH825" i="40" s="1"/>
  <c r="AI825" i="40" s="1"/>
  <c r="AJ825" i="40" s="1"/>
  <c r="AK825" i="40" s="1"/>
  <c r="AL825" i="40" s="1"/>
  <c r="AM825" i="40" s="1"/>
  <c r="AN825" i="40" s="1"/>
  <c r="AO825" i="40" s="1"/>
  <c r="AP825" i="40" s="1"/>
  <c r="AQ825" i="40" s="1"/>
  <c r="AR825" i="40" s="1"/>
  <c r="AS825" i="40" s="1"/>
  <c r="AT825" i="40" s="1"/>
  <c r="AU825" i="40" s="1"/>
  <c r="AV825" i="40" s="1"/>
  <c r="AW825" i="40" s="1"/>
  <c r="AX825" i="40" s="1"/>
  <c r="AY825" i="40" s="1"/>
  <c r="AZ825" i="40" s="1"/>
  <c r="BA825" i="40" s="1"/>
  <c r="BB825" i="40" s="1"/>
  <c r="BC825" i="40" s="1"/>
  <c r="BD825" i="40" s="1"/>
  <c r="BE825" i="40" s="1"/>
  <c r="BF825" i="40" s="1"/>
  <c r="BG825" i="40" s="1"/>
  <c r="BH825" i="40" s="1"/>
  <c r="BI825" i="40" s="1"/>
  <c r="BJ825" i="40" s="1"/>
  <c r="BK825" i="40" s="1"/>
  <c r="BL825" i="40" s="1"/>
  <c r="BM825" i="40" s="1"/>
  <c r="BN825" i="40" s="1"/>
  <c r="BO825" i="40" s="1"/>
  <c r="BP825" i="40" s="1"/>
  <c r="BQ825" i="40" s="1"/>
  <c r="BR825" i="40" s="1"/>
  <c r="BS825" i="40" s="1"/>
  <c r="BT825" i="40" s="1"/>
  <c r="BU825" i="40" s="1"/>
  <c r="BV825" i="40" s="1"/>
  <c r="BW825" i="40" s="1"/>
  <c r="BX825" i="40" s="1"/>
  <c r="BY825" i="40" s="1"/>
  <c r="BZ825" i="40" s="1"/>
  <c r="CA825" i="40" s="1"/>
  <c r="BJ862" i="40"/>
  <c r="BK862" i="40" s="1"/>
  <c r="BL862" i="40" s="1"/>
  <c r="BM862" i="40" s="1"/>
  <c r="BN862" i="40" s="1"/>
  <c r="BO862" i="40" s="1"/>
  <c r="BP862" i="40" s="1"/>
  <c r="BQ862" i="40" s="1"/>
  <c r="BR862" i="40" s="1"/>
  <c r="BS862" i="40" s="1"/>
  <c r="BT862" i="40" s="1"/>
  <c r="BU862" i="40" s="1"/>
  <c r="BV862" i="40" s="1"/>
  <c r="BW862" i="40" s="1"/>
  <c r="BX862" i="40" s="1"/>
  <c r="BY862" i="40" s="1"/>
  <c r="BZ862" i="40" s="1"/>
  <c r="CA862" i="40" s="1"/>
  <c r="BA853" i="40"/>
  <c r="BB853" i="40" s="1"/>
  <c r="BC853" i="40" s="1"/>
  <c r="BD853" i="40" s="1"/>
  <c r="BE853" i="40" s="1"/>
  <c r="BF853" i="40" s="1"/>
  <c r="BG853" i="40" s="1"/>
  <c r="BH853" i="40" s="1"/>
  <c r="BI853" i="40" s="1"/>
  <c r="BJ853" i="40" s="1"/>
  <c r="BK853" i="40" s="1"/>
  <c r="BL853" i="40" s="1"/>
  <c r="BM853" i="40" s="1"/>
  <c r="BN853" i="40" s="1"/>
  <c r="BO853" i="40" s="1"/>
  <c r="BP853" i="40" s="1"/>
  <c r="BQ853" i="40" s="1"/>
  <c r="BR853" i="40" s="1"/>
  <c r="BS853" i="40" s="1"/>
  <c r="BT853" i="40" s="1"/>
  <c r="BU853" i="40" s="1"/>
  <c r="BV853" i="40" s="1"/>
  <c r="BW853" i="40" s="1"/>
  <c r="BX853" i="40" s="1"/>
  <c r="BY853" i="40" s="1"/>
  <c r="BZ853" i="40" s="1"/>
  <c r="CA853" i="40" s="1"/>
  <c r="M813" i="40"/>
  <c r="N813" i="40" s="1"/>
  <c r="O813" i="40" s="1"/>
  <c r="P813" i="40" s="1"/>
  <c r="Q813" i="40" s="1"/>
  <c r="R813" i="40" s="1"/>
  <c r="S813" i="40" s="1"/>
  <c r="T813" i="40" s="1"/>
  <c r="U813" i="40" s="1"/>
  <c r="V813" i="40" s="1"/>
  <c r="W813" i="40" s="1"/>
  <c r="X813" i="40" s="1"/>
  <c r="Y813" i="40" s="1"/>
  <c r="Z813" i="40" s="1"/>
  <c r="AA813" i="40" s="1"/>
  <c r="AB813" i="40" s="1"/>
  <c r="AC813" i="40" s="1"/>
  <c r="AD813" i="40" s="1"/>
  <c r="AE813" i="40" s="1"/>
  <c r="AF813" i="40" s="1"/>
  <c r="AG813" i="40" s="1"/>
  <c r="AH813" i="40" s="1"/>
  <c r="AI813" i="40" s="1"/>
  <c r="AJ813" i="40" s="1"/>
  <c r="AK813" i="40" s="1"/>
  <c r="AL813" i="40" s="1"/>
  <c r="AM813" i="40" s="1"/>
  <c r="AN813" i="40" s="1"/>
  <c r="AO813" i="40" s="1"/>
  <c r="AP813" i="40" s="1"/>
  <c r="AQ813" i="40" s="1"/>
  <c r="AR813" i="40" s="1"/>
  <c r="AS813" i="40" s="1"/>
  <c r="AT813" i="40" s="1"/>
  <c r="AU813" i="40" s="1"/>
  <c r="AV813" i="40" s="1"/>
  <c r="AW813" i="40" s="1"/>
  <c r="AX813" i="40" s="1"/>
  <c r="AY813" i="40" s="1"/>
  <c r="AZ813" i="40" s="1"/>
  <c r="BA813" i="40" s="1"/>
  <c r="BB813" i="40" s="1"/>
  <c r="BC813" i="40" s="1"/>
  <c r="BD813" i="40" s="1"/>
  <c r="BE813" i="40" s="1"/>
  <c r="BF813" i="40" s="1"/>
  <c r="BG813" i="40" s="1"/>
  <c r="BH813" i="40" s="1"/>
  <c r="BI813" i="40" s="1"/>
  <c r="BJ813" i="40" s="1"/>
  <c r="BK813" i="40" s="1"/>
  <c r="BL813" i="40" s="1"/>
  <c r="BM813" i="40" s="1"/>
  <c r="BN813" i="40" s="1"/>
  <c r="BO813" i="40" s="1"/>
  <c r="BP813" i="40" s="1"/>
  <c r="BQ813" i="40" s="1"/>
  <c r="BR813" i="40" s="1"/>
  <c r="BS813" i="40" s="1"/>
  <c r="BT813" i="40" s="1"/>
  <c r="BU813" i="40" s="1"/>
  <c r="BV813" i="40" s="1"/>
  <c r="BW813" i="40" s="1"/>
  <c r="BX813" i="40" s="1"/>
  <c r="BY813" i="40" s="1"/>
  <c r="BZ813" i="40" s="1"/>
  <c r="CA813" i="40" s="1"/>
  <c r="CB813" i="40" s="1"/>
  <c r="AC829" i="40"/>
  <c r="AD829" i="40" s="1"/>
  <c r="AE829" i="40" s="1"/>
  <c r="AF829" i="40" s="1"/>
  <c r="AG829" i="40" s="1"/>
  <c r="AH829" i="40" s="1"/>
  <c r="AI829" i="40" s="1"/>
  <c r="AJ829" i="40" s="1"/>
  <c r="AK829" i="40" s="1"/>
  <c r="AL829" i="40" s="1"/>
  <c r="AM829" i="40" s="1"/>
  <c r="AN829" i="40" s="1"/>
  <c r="AO829" i="40" s="1"/>
  <c r="AP829" i="40" s="1"/>
  <c r="AQ829" i="40" s="1"/>
  <c r="AR829" i="40" s="1"/>
  <c r="AS829" i="40" s="1"/>
  <c r="AT829" i="40" s="1"/>
  <c r="AU829" i="40" s="1"/>
  <c r="AV829" i="40" s="1"/>
  <c r="AW829" i="40" s="1"/>
  <c r="AX829" i="40" s="1"/>
  <c r="AY829" i="40" s="1"/>
  <c r="AZ829" i="40" s="1"/>
  <c r="BA829" i="40" s="1"/>
  <c r="BB829" i="40" s="1"/>
  <c r="BC829" i="40" s="1"/>
  <c r="BD829" i="40" s="1"/>
  <c r="BE829" i="40" s="1"/>
  <c r="BF829" i="40" s="1"/>
  <c r="BG829" i="40" s="1"/>
  <c r="BH829" i="40" s="1"/>
  <c r="BI829" i="40" s="1"/>
  <c r="BJ829" i="40" s="1"/>
  <c r="BK829" i="40" s="1"/>
  <c r="BL829" i="40" s="1"/>
  <c r="BM829" i="40" s="1"/>
  <c r="BN829" i="40" s="1"/>
  <c r="BO829" i="40" s="1"/>
  <c r="BP829" i="40" s="1"/>
  <c r="BQ829" i="40" s="1"/>
  <c r="BR829" i="40" s="1"/>
  <c r="BS829" i="40" s="1"/>
  <c r="BT829" i="40" s="1"/>
  <c r="BU829" i="40" s="1"/>
  <c r="BV829" i="40" s="1"/>
  <c r="BW829" i="40" s="1"/>
  <c r="BX829" i="40" s="1"/>
  <c r="BY829" i="40" s="1"/>
  <c r="BZ829" i="40" s="1"/>
  <c r="CA829" i="40" s="1"/>
  <c r="AS845" i="40"/>
  <c r="AT845" i="40" s="1"/>
  <c r="AU845" i="40" s="1"/>
  <c r="AV845" i="40" s="1"/>
  <c r="AW845" i="40" s="1"/>
  <c r="AX845" i="40" s="1"/>
  <c r="AY845" i="40" s="1"/>
  <c r="AZ845" i="40" s="1"/>
  <c r="BA845" i="40" s="1"/>
  <c r="BB845" i="40" s="1"/>
  <c r="BC845" i="40" s="1"/>
  <c r="BD845" i="40" s="1"/>
  <c r="BE845" i="40" s="1"/>
  <c r="BF845" i="40" s="1"/>
  <c r="BG845" i="40" s="1"/>
  <c r="BH845" i="40" s="1"/>
  <c r="BI845" i="40" s="1"/>
  <c r="BJ845" i="40" s="1"/>
  <c r="BK845" i="40" s="1"/>
  <c r="BL845" i="40" s="1"/>
  <c r="BM845" i="40" s="1"/>
  <c r="BN845" i="40" s="1"/>
  <c r="BO845" i="40" s="1"/>
  <c r="BP845" i="40" s="1"/>
  <c r="BQ845" i="40" s="1"/>
  <c r="BR845" i="40" s="1"/>
  <c r="BS845" i="40" s="1"/>
  <c r="BT845" i="40" s="1"/>
  <c r="BU845" i="40" s="1"/>
  <c r="BV845" i="40" s="1"/>
  <c r="BW845" i="40" s="1"/>
  <c r="BX845" i="40" s="1"/>
  <c r="BY845" i="40" s="1"/>
  <c r="BZ845" i="40" s="1"/>
  <c r="CA845" i="40" s="1"/>
  <c r="CB845" i="40" s="1"/>
  <c r="BI861" i="40"/>
  <c r="BJ861" i="40" s="1"/>
  <c r="BK861" i="40" s="1"/>
  <c r="BL861" i="40" s="1"/>
  <c r="BM861" i="40" s="1"/>
  <c r="BN861" i="40" s="1"/>
  <c r="BO861" i="40" s="1"/>
  <c r="BP861" i="40" s="1"/>
  <c r="BQ861" i="40" s="1"/>
  <c r="BR861" i="40" s="1"/>
  <c r="BS861" i="40" s="1"/>
  <c r="BT861" i="40" s="1"/>
  <c r="BU861" i="40" s="1"/>
  <c r="BV861" i="40" s="1"/>
  <c r="BW861" i="40" s="1"/>
  <c r="BX861" i="40" s="1"/>
  <c r="BY861" i="40" s="1"/>
  <c r="BZ861" i="40" s="1"/>
  <c r="CA861" i="40" s="1"/>
  <c r="H808" i="40"/>
  <c r="I808" i="40" s="1"/>
  <c r="J808" i="40" s="1"/>
  <c r="K808" i="40" s="1"/>
  <c r="L808" i="40" s="1"/>
  <c r="M808" i="40" s="1"/>
  <c r="N808" i="40" s="1"/>
  <c r="O808" i="40" s="1"/>
  <c r="P808" i="40" s="1"/>
  <c r="Q808" i="40" s="1"/>
  <c r="R808" i="40" s="1"/>
  <c r="S808" i="40" s="1"/>
  <c r="T808" i="40" s="1"/>
  <c r="U808" i="40" s="1"/>
  <c r="V808" i="40" s="1"/>
  <c r="W808" i="40" s="1"/>
  <c r="X808" i="40" s="1"/>
  <c r="Y808" i="40" s="1"/>
  <c r="Z808" i="40" s="1"/>
  <c r="AA808" i="40" s="1"/>
  <c r="AB808" i="40" s="1"/>
  <c r="AC808" i="40" s="1"/>
  <c r="AD808" i="40" s="1"/>
  <c r="AE808" i="40" s="1"/>
  <c r="AF808" i="40" s="1"/>
  <c r="AG808" i="40" s="1"/>
  <c r="AH808" i="40" s="1"/>
  <c r="AI808" i="40" s="1"/>
  <c r="AJ808" i="40" s="1"/>
  <c r="AK808" i="40" s="1"/>
  <c r="AL808" i="40" s="1"/>
  <c r="AM808" i="40" s="1"/>
  <c r="AN808" i="40" s="1"/>
  <c r="AO808" i="40" s="1"/>
  <c r="AP808" i="40" s="1"/>
  <c r="AQ808" i="40" s="1"/>
  <c r="AR808" i="40" s="1"/>
  <c r="AS808" i="40" s="1"/>
  <c r="AT808" i="40" s="1"/>
  <c r="AU808" i="40" s="1"/>
  <c r="AV808" i="40" s="1"/>
  <c r="AW808" i="40" s="1"/>
  <c r="AX808" i="40" s="1"/>
  <c r="AY808" i="40" s="1"/>
  <c r="AZ808" i="40" s="1"/>
  <c r="BA808" i="40" s="1"/>
  <c r="BB808" i="40" s="1"/>
  <c r="BC808" i="40" s="1"/>
  <c r="BD808" i="40" s="1"/>
  <c r="BE808" i="40" s="1"/>
  <c r="BF808" i="40" s="1"/>
  <c r="BG808" i="40" s="1"/>
  <c r="BH808" i="40" s="1"/>
  <c r="BI808" i="40" s="1"/>
  <c r="BJ808" i="40" s="1"/>
  <c r="BK808" i="40" s="1"/>
  <c r="BL808" i="40" s="1"/>
  <c r="BM808" i="40" s="1"/>
  <c r="BN808" i="40" s="1"/>
  <c r="BO808" i="40" s="1"/>
  <c r="BP808" i="40" s="1"/>
  <c r="BQ808" i="40" s="1"/>
  <c r="BR808" i="40" s="1"/>
  <c r="BS808" i="40" s="1"/>
  <c r="BT808" i="40" s="1"/>
  <c r="BU808" i="40" s="1"/>
  <c r="BV808" i="40" s="1"/>
  <c r="BW808" i="40" s="1"/>
  <c r="BX808" i="40" s="1"/>
  <c r="BY808" i="40" s="1"/>
  <c r="BZ808" i="40" s="1"/>
  <c r="CA808" i="40" s="1"/>
  <c r="CB808" i="40" s="1"/>
  <c r="L812" i="40"/>
  <c r="M812" i="40" s="1"/>
  <c r="N812" i="40" s="1"/>
  <c r="O812" i="40" s="1"/>
  <c r="P812" i="40" s="1"/>
  <c r="Q812" i="40" s="1"/>
  <c r="R812" i="40" s="1"/>
  <c r="S812" i="40" s="1"/>
  <c r="T812" i="40" s="1"/>
  <c r="U812" i="40" s="1"/>
  <c r="V812" i="40" s="1"/>
  <c r="W812" i="40" s="1"/>
  <c r="X812" i="40" s="1"/>
  <c r="Y812" i="40" s="1"/>
  <c r="Z812" i="40" s="1"/>
  <c r="AA812" i="40" s="1"/>
  <c r="AB812" i="40" s="1"/>
  <c r="AC812" i="40" s="1"/>
  <c r="AD812" i="40" s="1"/>
  <c r="AE812" i="40" s="1"/>
  <c r="AF812" i="40" s="1"/>
  <c r="AG812" i="40" s="1"/>
  <c r="AH812" i="40" s="1"/>
  <c r="AI812" i="40" s="1"/>
  <c r="AJ812" i="40" s="1"/>
  <c r="AK812" i="40" s="1"/>
  <c r="AL812" i="40" s="1"/>
  <c r="AM812" i="40" s="1"/>
  <c r="AN812" i="40" s="1"/>
  <c r="AO812" i="40" s="1"/>
  <c r="AP812" i="40" s="1"/>
  <c r="AQ812" i="40" s="1"/>
  <c r="AR812" i="40" s="1"/>
  <c r="AS812" i="40" s="1"/>
  <c r="AT812" i="40" s="1"/>
  <c r="AU812" i="40" s="1"/>
  <c r="AV812" i="40" s="1"/>
  <c r="AW812" i="40" s="1"/>
  <c r="AX812" i="40" s="1"/>
  <c r="AY812" i="40" s="1"/>
  <c r="AZ812" i="40" s="1"/>
  <c r="BA812" i="40" s="1"/>
  <c r="BB812" i="40" s="1"/>
  <c r="BC812" i="40" s="1"/>
  <c r="BD812" i="40" s="1"/>
  <c r="BE812" i="40" s="1"/>
  <c r="BF812" i="40" s="1"/>
  <c r="BG812" i="40" s="1"/>
  <c r="BH812" i="40" s="1"/>
  <c r="BI812" i="40" s="1"/>
  <c r="BJ812" i="40" s="1"/>
  <c r="BK812" i="40" s="1"/>
  <c r="BL812" i="40" s="1"/>
  <c r="BM812" i="40" s="1"/>
  <c r="BN812" i="40" s="1"/>
  <c r="BO812" i="40" s="1"/>
  <c r="BP812" i="40" s="1"/>
  <c r="BQ812" i="40" s="1"/>
  <c r="BR812" i="40" s="1"/>
  <c r="BS812" i="40" s="1"/>
  <c r="BT812" i="40" s="1"/>
  <c r="BU812" i="40" s="1"/>
  <c r="BV812" i="40" s="1"/>
  <c r="BW812" i="40" s="1"/>
  <c r="BX812" i="40" s="1"/>
  <c r="BY812" i="40" s="1"/>
  <c r="BZ812" i="40" s="1"/>
  <c r="CA812" i="40" s="1"/>
  <c r="CB812" i="40" s="1"/>
  <c r="P816" i="40"/>
  <c r="Q816" i="40" s="1"/>
  <c r="R816" i="40" s="1"/>
  <c r="S816" i="40" s="1"/>
  <c r="T816" i="40" s="1"/>
  <c r="U816" i="40" s="1"/>
  <c r="V816" i="40" s="1"/>
  <c r="W816" i="40" s="1"/>
  <c r="X816" i="40" s="1"/>
  <c r="Y816" i="40" s="1"/>
  <c r="Z816" i="40" s="1"/>
  <c r="AA816" i="40" s="1"/>
  <c r="AB816" i="40" s="1"/>
  <c r="AC816" i="40" s="1"/>
  <c r="AD816" i="40" s="1"/>
  <c r="AE816" i="40" s="1"/>
  <c r="AF816" i="40" s="1"/>
  <c r="AG816" i="40" s="1"/>
  <c r="AH816" i="40" s="1"/>
  <c r="AI816" i="40" s="1"/>
  <c r="AJ816" i="40" s="1"/>
  <c r="AK816" i="40" s="1"/>
  <c r="AL816" i="40" s="1"/>
  <c r="AM816" i="40" s="1"/>
  <c r="AN816" i="40" s="1"/>
  <c r="AO816" i="40" s="1"/>
  <c r="AP816" i="40" s="1"/>
  <c r="AQ816" i="40" s="1"/>
  <c r="AR816" i="40" s="1"/>
  <c r="AS816" i="40" s="1"/>
  <c r="AT816" i="40" s="1"/>
  <c r="AU816" i="40" s="1"/>
  <c r="AV816" i="40" s="1"/>
  <c r="AW816" i="40" s="1"/>
  <c r="AX816" i="40" s="1"/>
  <c r="AY816" i="40" s="1"/>
  <c r="AZ816" i="40" s="1"/>
  <c r="BA816" i="40" s="1"/>
  <c r="BB816" i="40" s="1"/>
  <c r="BC816" i="40" s="1"/>
  <c r="BD816" i="40" s="1"/>
  <c r="BE816" i="40" s="1"/>
  <c r="BF816" i="40" s="1"/>
  <c r="BG816" i="40" s="1"/>
  <c r="BH816" i="40" s="1"/>
  <c r="BI816" i="40" s="1"/>
  <c r="BJ816" i="40" s="1"/>
  <c r="BK816" i="40" s="1"/>
  <c r="BL816" i="40" s="1"/>
  <c r="BM816" i="40" s="1"/>
  <c r="BN816" i="40" s="1"/>
  <c r="BO816" i="40" s="1"/>
  <c r="BP816" i="40" s="1"/>
  <c r="BQ816" i="40" s="1"/>
  <c r="BR816" i="40" s="1"/>
  <c r="BS816" i="40" s="1"/>
  <c r="BT816" i="40" s="1"/>
  <c r="BU816" i="40" s="1"/>
  <c r="BV816" i="40" s="1"/>
  <c r="BW816" i="40" s="1"/>
  <c r="BX816" i="40" s="1"/>
  <c r="BY816" i="40" s="1"/>
  <c r="BZ816" i="40" s="1"/>
  <c r="CA816" i="40" s="1"/>
  <c r="T820" i="40"/>
  <c r="U820" i="40" s="1"/>
  <c r="V820" i="40" s="1"/>
  <c r="W820" i="40" s="1"/>
  <c r="X820" i="40" s="1"/>
  <c r="Y820" i="40" s="1"/>
  <c r="Z820" i="40" s="1"/>
  <c r="AA820" i="40" s="1"/>
  <c r="AB820" i="40" s="1"/>
  <c r="AC820" i="40" s="1"/>
  <c r="AD820" i="40" s="1"/>
  <c r="AE820" i="40" s="1"/>
  <c r="AF820" i="40" s="1"/>
  <c r="AG820" i="40" s="1"/>
  <c r="AH820" i="40" s="1"/>
  <c r="AI820" i="40" s="1"/>
  <c r="AJ820" i="40" s="1"/>
  <c r="AK820" i="40" s="1"/>
  <c r="AL820" i="40" s="1"/>
  <c r="AM820" i="40" s="1"/>
  <c r="AN820" i="40" s="1"/>
  <c r="AO820" i="40" s="1"/>
  <c r="AP820" i="40" s="1"/>
  <c r="AQ820" i="40" s="1"/>
  <c r="AR820" i="40" s="1"/>
  <c r="AS820" i="40" s="1"/>
  <c r="AT820" i="40" s="1"/>
  <c r="AU820" i="40" s="1"/>
  <c r="AV820" i="40" s="1"/>
  <c r="AW820" i="40" s="1"/>
  <c r="AX820" i="40" s="1"/>
  <c r="AY820" i="40" s="1"/>
  <c r="AZ820" i="40" s="1"/>
  <c r="BA820" i="40" s="1"/>
  <c r="BB820" i="40" s="1"/>
  <c r="BC820" i="40" s="1"/>
  <c r="BD820" i="40" s="1"/>
  <c r="BE820" i="40" s="1"/>
  <c r="BF820" i="40" s="1"/>
  <c r="BG820" i="40" s="1"/>
  <c r="BH820" i="40" s="1"/>
  <c r="BI820" i="40" s="1"/>
  <c r="BJ820" i="40" s="1"/>
  <c r="BK820" i="40" s="1"/>
  <c r="BL820" i="40" s="1"/>
  <c r="BM820" i="40" s="1"/>
  <c r="BN820" i="40" s="1"/>
  <c r="BO820" i="40" s="1"/>
  <c r="BP820" i="40" s="1"/>
  <c r="BQ820" i="40" s="1"/>
  <c r="BR820" i="40" s="1"/>
  <c r="BS820" i="40" s="1"/>
  <c r="BT820" i="40" s="1"/>
  <c r="BU820" i="40" s="1"/>
  <c r="BV820" i="40" s="1"/>
  <c r="BW820" i="40" s="1"/>
  <c r="BX820" i="40" s="1"/>
  <c r="BY820" i="40" s="1"/>
  <c r="BZ820" i="40" s="1"/>
  <c r="CA820" i="40" s="1"/>
  <c r="X824" i="40"/>
  <c r="Y824" i="40" s="1"/>
  <c r="Z824" i="40" s="1"/>
  <c r="AA824" i="40" s="1"/>
  <c r="AB824" i="40" s="1"/>
  <c r="AC824" i="40" s="1"/>
  <c r="AD824" i="40" s="1"/>
  <c r="AE824" i="40" s="1"/>
  <c r="AF824" i="40" s="1"/>
  <c r="AG824" i="40" s="1"/>
  <c r="AH824" i="40" s="1"/>
  <c r="AI824" i="40" s="1"/>
  <c r="AJ824" i="40" s="1"/>
  <c r="AK824" i="40" s="1"/>
  <c r="AL824" i="40" s="1"/>
  <c r="AM824" i="40" s="1"/>
  <c r="AN824" i="40" s="1"/>
  <c r="AO824" i="40" s="1"/>
  <c r="AP824" i="40" s="1"/>
  <c r="AQ824" i="40" s="1"/>
  <c r="AR824" i="40" s="1"/>
  <c r="AS824" i="40" s="1"/>
  <c r="AT824" i="40" s="1"/>
  <c r="AU824" i="40" s="1"/>
  <c r="AV824" i="40" s="1"/>
  <c r="AW824" i="40" s="1"/>
  <c r="AX824" i="40" s="1"/>
  <c r="AY824" i="40" s="1"/>
  <c r="AZ824" i="40" s="1"/>
  <c r="BA824" i="40" s="1"/>
  <c r="BB824" i="40" s="1"/>
  <c r="BC824" i="40" s="1"/>
  <c r="BD824" i="40" s="1"/>
  <c r="BE824" i="40" s="1"/>
  <c r="BF824" i="40" s="1"/>
  <c r="BG824" i="40" s="1"/>
  <c r="BH824" i="40" s="1"/>
  <c r="BI824" i="40" s="1"/>
  <c r="BJ824" i="40" s="1"/>
  <c r="BK824" i="40" s="1"/>
  <c r="BL824" i="40" s="1"/>
  <c r="BM824" i="40" s="1"/>
  <c r="BN824" i="40" s="1"/>
  <c r="BO824" i="40" s="1"/>
  <c r="BP824" i="40" s="1"/>
  <c r="BQ824" i="40" s="1"/>
  <c r="BR824" i="40" s="1"/>
  <c r="BS824" i="40" s="1"/>
  <c r="BT824" i="40" s="1"/>
  <c r="BU824" i="40" s="1"/>
  <c r="BV824" i="40" s="1"/>
  <c r="BW824" i="40" s="1"/>
  <c r="BX824" i="40" s="1"/>
  <c r="BY824" i="40" s="1"/>
  <c r="BZ824" i="40" s="1"/>
  <c r="CA824" i="40" s="1"/>
  <c r="AB828" i="40"/>
  <c r="AC828" i="40" s="1"/>
  <c r="AD828" i="40" s="1"/>
  <c r="AE828" i="40" s="1"/>
  <c r="AF828" i="40" s="1"/>
  <c r="AG828" i="40" s="1"/>
  <c r="AH828" i="40" s="1"/>
  <c r="AI828" i="40" s="1"/>
  <c r="AJ828" i="40" s="1"/>
  <c r="AK828" i="40" s="1"/>
  <c r="AL828" i="40" s="1"/>
  <c r="AM828" i="40" s="1"/>
  <c r="AN828" i="40" s="1"/>
  <c r="AO828" i="40" s="1"/>
  <c r="AP828" i="40" s="1"/>
  <c r="AQ828" i="40" s="1"/>
  <c r="AR828" i="40" s="1"/>
  <c r="AS828" i="40" s="1"/>
  <c r="AT828" i="40" s="1"/>
  <c r="AU828" i="40" s="1"/>
  <c r="AV828" i="40" s="1"/>
  <c r="AW828" i="40" s="1"/>
  <c r="AX828" i="40" s="1"/>
  <c r="AY828" i="40" s="1"/>
  <c r="AZ828" i="40" s="1"/>
  <c r="BA828" i="40" s="1"/>
  <c r="BB828" i="40" s="1"/>
  <c r="BC828" i="40" s="1"/>
  <c r="BD828" i="40" s="1"/>
  <c r="BE828" i="40" s="1"/>
  <c r="BF828" i="40" s="1"/>
  <c r="BG828" i="40" s="1"/>
  <c r="BH828" i="40" s="1"/>
  <c r="BI828" i="40" s="1"/>
  <c r="BJ828" i="40" s="1"/>
  <c r="BK828" i="40" s="1"/>
  <c r="BL828" i="40" s="1"/>
  <c r="BM828" i="40" s="1"/>
  <c r="BN828" i="40" s="1"/>
  <c r="BO828" i="40" s="1"/>
  <c r="BP828" i="40" s="1"/>
  <c r="BQ828" i="40" s="1"/>
  <c r="BR828" i="40" s="1"/>
  <c r="BS828" i="40" s="1"/>
  <c r="BT828" i="40" s="1"/>
  <c r="BU828" i="40" s="1"/>
  <c r="BV828" i="40" s="1"/>
  <c r="BW828" i="40" s="1"/>
  <c r="BX828" i="40" s="1"/>
  <c r="BY828" i="40" s="1"/>
  <c r="BZ828" i="40" s="1"/>
  <c r="CA828" i="40" s="1"/>
  <c r="AF832" i="40"/>
  <c r="AG832" i="40" s="1"/>
  <c r="AH832" i="40" s="1"/>
  <c r="AI832" i="40" s="1"/>
  <c r="AJ832" i="40" s="1"/>
  <c r="AK832" i="40" s="1"/>
  <c r="AL832" i="40" s="1"/>
  <c r="AM832" i="40" s="1"/>
  <c r="AN832" i="40" s="1"/>
  <c r="AO832" i="40" s="1"/>
  <c r="AP832" i="40" s="1"/>
  <c r="AQ832" i="40" s="1"/>
  <c r="AR832" i="40" s="1"/>
  <c r="AS832" i="40" s="1"/>
  <c r="AT832" i="40" s="1"/>
  <c r="AU832" i="40" s="1"/>
  <c r="AV832" i="40" s="1"/>
  <c r="AW832" i="40" s="1"/>
  <c r="AX832" i="40" s="1"/>
  <c r="AY832" i="40" s="1"/>
  <c r="AZ832" i="40" s="1"/>
  <c r="BA832" i="40" s="1"/>
  <c r="BB832" i="40" s="1"/>
  <c r="BC832" i="40" s="1"/>
  <c r="BD832" i="40" s="1"/>
  <c r="BE832" i="40" s="1"/>
  <c r="BF832" i="40" s="1"/>
  <c r="BG832" i="40" s="1"/>
  <c r="BH832" i="40" s="1"/>
  <c r="BI832" i="40" s="1"/>
  <c r="BJ832" i="40" s="1"/>
  <c r="BK832" i="40" s="1"/>
  <c r="BL832" i="40" s="1"/>
  <c r="BM832" i="40" s="1"/>
  <c r="BN832" i="40" s="1"/>
  <c r="BO832" i="40" s="1"/>
  <c r="BP832" i="40" s="1"/>
  <c r="BQ832" i="40" s="1"/>
  <c r="BR832" i="40" s="1"/>
  <c r="BS832" i="40" s="1"/>
  <c r="BT832" i="40" s="1"/>
  <c r="BU832" i="40" s="1"/>
  <c r="BV832" i="40" s="1"/>
  <c r="BW832" i="40" s="1"/>
  <c r="BX832" i="40" s="1"/>
  <c r="BY832" i="40" s="1"/>
  <c r="BZ832" i="40" s="1"/>
  <c r="CA832" i="40" s="1"/>
  <c r="AJ836" i="40"/>
  <c r="AK836" i="40" s="1"/>
  <c r="AL836" i="40" s="1"/>
  <c r="AM836" i="40" s="1"/>
  <c r="AN836" i="40" s="1"/>
  <c r="AO836" i="40" s="1"/>
  <c r="AP836" i="40" s="1"/>
  <c r="AQ836" i="40" s="1"/>
  <c r="AR836" i="40" s="1"/>
  <c r="AS836" i="40" s="1"/>
  <c r="AT836" i="40" s="1"/>
  <c r="AU836" i="40" s="1"/>
  <c r="AV836" i="40" s="1"/>
  <c r="AW836" i="40" s="1"/>
  <c r="AX836" i="40" s="1"/>
  <c r="AY836" i="40" s="1"/>
  <c r="AZ836" i="40" s="1"/>
  <c r="BA836" i="40" s="1"/>
  <c r="BB836" i="40" s="1"/>
  <c r="BC836" i="40" s="1"/>
  <c r="BD836" i="40" s="1"/>
  <c r="BE836" i="40" s="1"/>
  <c r="BF836" i="40" s="1"/>
  <c r="BG836" i="40" s="1"/>
  <c r="BH836" i="40" s="1"/>
  <c r="BI836" i="40" s="1"/>
  <c r="BJ836" i="40" s="1"/>
  <c r="BK836" i="40" s="1"/>
  <c r="BL836" i="40" s="1"/>
  <c r="BM836" i="40" s="1"/>
  <c r="BN836" i="40" s="1"/>
  <c r="BO836" i="40" s="1"/>
  <c r="BP836" i="40" s="1"/>
  <c r="BQ836" i="40" s="1"/>
  <c r="BR836" i="40" s="1"/>
  <c r="BS836" i="40" s="1"/>
  <c r="BT836" i="40" s="1"/>
  <c r="BU836" i="40" s="1"/>
  <c r="BV836" i="40" s="1"/>
  <c r="BW836" i="40" s="1"/>
  <c r="BX836" i="40" s="1"/>
  <c r="BY836" i="40" s="1"/>
  <c r="BZ836" i="40" s="1"/>
  <c r="CA836" i="40" s="1"/>
  <c r="AN840" i="40"/>
  <c r="AO840" i="40" s="1"/>
  <c r="AP840" i="40" s="1"/>
  <c r="AQ840" i="40" s="1"/>
  <c r="AR840" i="40" s="1"/>
  <c r="AS840" i="40" s="1"/>
  <c r="AT840" i="40" s="1"/>
  <c r="AU840" i="40" s="1"/>
  <c r="AV840" i="40" s="1"/>
  <c r="AW840" i="40" s="1"/>
  <c r="AX840" i="40" s="1"/>
  <c r="AY840" i="40" s="1"/>
  <c r="AZ840" i="40" s="1"/>
  <c r="BA840" i="40" s="1"/>
  <c r="BB840" i="40" s="1"/>
  <c r="BC840" i="40" s="1"/>
  <c r="BD840" i="40" s="1"/>
  <c r="BE840" i="40" s="1"/>
  <c r="BF840" i="40" s="1"/>
  <c r="BG840" i="40" s="1"/>
  <c r="BH840" i="40" s="1"/>
  <c r="BI840" i="40" s="1"/>
  <c r="BJ840" i="40" s="1"/>
  <c r="BK840" i="40" s="1"/>
  <c r="BL840" i="40" s="1"/>
  <c r="BM840" i="40" s="1"/>
  <c r="BN840" i="40" s="1"/>
  <c r="BO840" i="40" s="1"/>
  <c r="BP840" i="40" s="1"/>
  <c r="BQ840" i="40" s="1"/>
  <c r="BR840" i="40" s="1"/>
  <c r="BS840" i="40" s="1"/>
  <c r="BT840" i="40" s="1"/>
  <c r="BU840" i="40" s="1"/>
  <c r="BV840" i="40" s="1"/>
  <c r="BW840" i="40" s="1"/>
  <c r="BX840" i="40" s="1"/>
  <c r="BY840" i="40" s="1"/>
  <c r="BZ840" i="40" s="1"/>
  <c r="CA840" i="40" s="1"/>
  <c r="AR844" i="40"/>
  <c r="AS844" i="40" s="1"/>
  <c r="AT844" i="40" s="1"/>
  <c r="AU844" i="40" s="1"/>
  <c r="AV844" i="40" s="1"/>
  <c r="AW844" i="40" s="1"/>
  <c r="AX844" i="40" s="1"/>
  <c r="AY844" i="40" s="1"/>
  <c r="AZ844" i="40" s="1"/>
  <c r="BA844" i="40" s="1"/>
  <c r="BB844" i="40" s="1"/>
  <c r="BC844" i="40" s="1"/>
  <c r="BD844" i="40" s="1"/>
  <c r="BE844" i="40" s="1"/>
  <c r="BF844" i="40" s="1"/>
  <c r="BG844" i="40" s="1"/>
  <c r="BH844" i="40" s="1"/>
  <c r="BI844" i="40" s="1"/>
  <c r="BJ844" i="40" s="1"/>
  <c r="BK844" i="40" s="1"/>
  <c r="BL844" i="40" s="1"/>
  <c r="BM844" i="40" s="1"/>
  <c r="BN844" i="40" s="1"/>
  <c r="BO844" i="40" s="1"/>
  <c r="BP844" i="40" s="1"/>
  <c r="BQ844" i="40" s="1"/>
  <c r="BR844" i="40" s="1"/>
  <c r="BS844" i="40" s="1"/>
  <c r="BT844" i="40" s="1"/>
  <c r="BU844" i="40" s="1"/>
  <c r="BV844" i="40" s="1"/>
  <c r="BW844" i="40" s="1"/>
  <c r="BX844" i="40" s="1"/>
  <c r="BY844" i="40" s="1"/>
  <c r="BZ844" i="40" s="1"/>
  <c r="CA844" i="40" s="1"/>
  <c r="AV848" i="40"/>
  <c r="AW848" i="40" s="1"/>
  <c r="AX848" i="40" s="1"/>
  <c r="AY848" i="40" s="1"/>
  <c r="AZ848" i="40" s="1"/>
  <c r="BA848" i="40" s="1"/>
  <c r="BB848" i="40" s="1"/>
  <c r="BC848" i="40" s="1"/>
  <c r="BD848" i="40" s="1"/>
  <c r="BE848" i="40" s="1"/>
  <c r="BF848" i="40" s="1"/>
  <c r="BG848" i="40" s="1"/>
  <c r="BH848" i="40" s="1"/>
  <c r="BI848" i="40" s="1"/>
  <c r="BJ848" i="40" s="1"/>
  <c r="BK848" i="40" s="1"/>
  <c r="BL848" i="40" s="1"/>
  <c r="BM848" i="40" s="1"/>
  <c r="BN848" i="40" s="1"/>
  <c r="BO848" i="40" s="1"/>
  <c r="BP848" i="40" s="1"/>
  <c r="BQ848" i="40" s="1"/>
  <c r="BR848" i="40" s="1"/>
  <c r="BS848" i="40" s="1"/>
  <c r="BT848" i="40" s="1"/>
  <c r="BU848" i="40" s="1"/>
  <c r="BV848" i="40" s="1"/>
  <c r="BW848" i="40" s="1"/>
  <c r="BX848" i="40" s="1"/>
  <c r="BY848" i="40" s="1"/>
  <c r="BZ848" i="40" s="1"/>
  <c r="CA848" i="40" s="1"/>
  <c r="AZ852" i="40"/>
  <c r="BA852" i="40" s="1"/>
  <c r="BB852" i="40" s="1"/>
  <c r="BC852" i="40" s="1"/>
  <c r="BD852" i="40" s="1"/>
  <c r="BE852" i="40" s="1"/>
  <c r="BF852" i="40" s="1"/>
  <c r="BG852" i="40" s="1"/>
  <c r="BH852" i="40" s="1"/>
  <c r="BI852" i="40" s="1"/>
  <c r="BJ852" i="40" s="1"/>
  <c r="BK852" i="40" s="1"/>
  <c r="BL852" i="40" s="1"/>
  <c r="BM852" i="40" s="1"/>
  <c r="BN852" i="40" s="1"/>
  <c r="BO852" i="40" s="1"/>
  <c r="BP852" i="40" s="1"/>
  <c r="BQ852" i="40" s="1"/>
  <c r="BR852" i="40" s="1"/>
  <c r="BS852" i="40" s="1"/>
  <c r="BT852" i="40" s="1"/>
  <c r="BU852" i="40" s="1"/>
  <c r="BV852" i="40" s="1"/>
  <c r="BW852" i="40" s="1"/>
  <c r="BX852" i="40" s="1"/>
  <c r="BY852" i="40" s="1"/>
  <c r="BZ852" i="40" s="1"/>
  <c r="CA852" i="40" s="1"/>
  <c r="CB852" i="40" s="1"/>
  <c r="BD856" i="40"/>
  <c r="BE856" i="40" s="1"/>
  <c r="BF856" i="40" s="1"/>
  <c r="BG856" i="40" s="1"/>
  <c r="BH856" i="40" s="1"/>
  <c r="BI856" i="40" s="1"/>
  <c r="BJ856" i="40" s="1"/>
  <c r="BK856" i="40" s="1"/>
  <c r="BL856" i="40" s="1"/>
  <c r="BM856" i="40" s="1"/>
  <c r="BN856" i="40" s="1"/>
  <c r="BO856" i="40" s="1"/>
  <c r="BP856" i="40" s="1"/>
  <c r="BQ856" i="40" s="1"/>
  <c r="BR856" i="40" s="1"/>
  <c r="BS856" i="40" s="1"/>
  <c r="BT856" i="40" s="1"/>
  <c r="BU856" i="40" s="1"/>
  <c r="BV856" i="40" s="1"/>
  <c r="BW856" i="40" s="1"/>
  <c r="BX856" i="40" s="1"/>
  <c r="BY856" i="40" s="1"/>
  <c r="BZ856" i="40" s="1"/>
  <c r="CA856" i="40" s="1"/>
  <c r="BH860" i="40"/>
  <c r="BI860" i="40" s="1"/>
  <c r="BJ860" i="40" s="1"/>
  <c r="BK860" i="40" s="1"/>
  <c r="BL860" i="40" s="1"/>
  <c r="BM860" i="40" s="1"/>
  <c r="BN860" i="40" s="1"/>
  <c r="BO860" i="40" s="1"/>
  <c r="BP860" i="40" s="1"/>
  <c r="BQ860" i="40" s="1"/>
  <c r="BR860" i="40" s="1"/>
  <c r="BS860" i="40" s="1"/>
  <c r="BT860" i="40" s="1"/>
  <c r="BU860" i="40" s="1"/>
  <c r="BV860" i="40" s="1"/>
  <c r="BW860" i="40" s="1"/>
  <c r="BX860" i="40" s="1"/>
  <c r="BY860" i="40" s="1"/>
  <c r="BZ860" i="40" s="1"/>
  <c r="CA860" i="40" s="1"/>
  <c r="BL864" i="40"/>
  <c r="BM864" i="40" s="1"/>
  <c r="BN864" i="40" s="1"/>
  <c r="BO864" i="40" s="1"/>
  <c r="BP864" i="40" s="1"/>
  <c r="BQ864" i="40" s="1"/>
  <c r="BR864" i="40" s="1"/>
  <c r="BS864" i="40" s="1"/>
  <c r="BT864" i="40" s="1"/>
  <c r="BU864" i="40" s="1"/>
  <c r="BV864" i="40" s="1"/>
  <c r="BW864" i="40" s="1"/>
  <c r="BX864" i="40" s="1"/>
  <c r="BY864" i="40" s="1"/>
  <c r="BZ864" i="40" s="1"/>
  <c r="CA864" i="40" s="1"/>
  <c r="BP868" i="40"/>
  <c r="BQ868" i="40" s="1"/>
  <c r="BR868" i="40" s="1"/>
  <c r="BS868" i="40" s="1"/>
  <c r="BT868" i="40" s="1"/>
  <c r="BU868" i="40" s="1"/>
  <c r="BV868" i="40" s="1"/>
  <c r="BW868" i="40" s="1"/>
  <c r="BX868" i="40" s="1"/>
  <c r="BY868" i="40" s="1"/>
  <c r="BZ868" i="40" s="1"/>
  <c r="CA868" i="40" s="1"/>
  <c r="CB868" i="40" s="1"/>
  <c r="J810" i="40"/>
  <c r="K810" i="40" s="1"/>
  <c r="L810" i="40" s="1"/>
  <c r="M810" i="40" s="1"/>
  <c r="N810" i="40" s="1"/>
  <c r="O810" i="40" s="1"/>
  <c r="P810" i="40" s="1"/>
  <c r="Q810" i="40" s="1"/>
  <c r="R810" i="40" s="1"/>
  <c r="S810" i="40" s="1"/>
  <c r="T810" i="40" s="1"/>
  <c r="U810" i="40" s="1"/>
  <c r="V810" i="40" s="1"/>
  <c r="W810" i="40" s="1"/>
  <c r="X810" i="40" s="1"/>
  <c r="Y810" i="40" s="1"/>
  <c r="Z810" i="40" s="1"/>
  <c r="AA810" i="40" s="1"/>
  <c r="AB810" i="40" s="1"/>
  <c r="AC810" i="40" s="1"/>
  <c r="AD810" i="40" s="1"/>
  <c r="AE810" i="40" s="1"/>
  <c r="AF810" i="40" s="1"/>
  <c r="AG810" i="40" s="1"/>
  <c r="AH810" i="40" s="1"/>
  <c r="AI810" i="40" s="1"/>
  <c r="AJ810" i="40" s="1"/>
  <c r="AK810" i="40" s="1"/>
  <c r="AL810" i="40" s="1"/>
  <c r="AM810" i="40" s="1"/>
  <c r="AN810" i="40" s="1"/>
  <c r="AO810" i="40" s="1"/>
  <c r="AP810" i="40" s="1"/>
  <c r="AQ810" i="40" s="1"/>
  <c r="AR810" i="40" s="1"/>
  <c r="AS810" i="40" s="1"/>
  <c r="AT810" i="40" s="1"/>
  <c r="AU810" i="40" s="1"/>
  <c r="AV810" i="40" s="1"/>
  <c r="AW810" i="40" s="1"/>
  <c r="AX810" i="40" s="1"/>
  <c r="AY810" i="40" s="1"/>
  <c r="AZ810" i="40" s="1"/>
  <c r="BA810" i="40" s="1"/>
  <c r="BB810" i="40" s="1"/>
  <c r="BC810" i="40" s="1"/>
  <c r="BD810" i="40" s="1"/>
  <c r="BE810" i="40" s="1"/>
  <c r="BF810" i="40" s="1"/>
  <c r="BG810" i="40" s="1"/>
  <c r="BH810" i="40" s="1"/>
  <c r="BI810" i="40" s="1"/>
  <c r="BJ810" i="40" s="1"/>
  <c r="BK810" i="40" s="1"/>
  <c r="BL810" i="40" s="1"/>
  <c r="BM810" i="40" s="1"/>
  <c r="BN810" i="40" s="1"/>
  <c r="BO810" i="40" s="1"/>
  <c r="BP810" i="40" s="1"/>
  <c r="BQ810" i="40" s="1"/>
  <c r="BR810" i="40" s="1"/>
  <c r="BS810" i="40" s="1"/>
  <c r="BT810" i="40" s="1"/>
  <c r="BU810" i="40" s="1"/>
  <c r="BV810" i="40" s="1"/>
  <c r="BW810" i="40" s="1"/>
  <c r="BX810" i="40" s="1"/>
  <c r="BY810" i="40" s="1"/>
  <c r="BZ810" i="40" s="1"/>
  <c r="CA810" i="40" s="1"/>
  <c r="CB810" i="40" s="1"/>
  <c r="Z826" i="40"/>
  <c r="AA826" i="40" s="1"/>
  <c r="AB826" i="40" s="1"/>
  <c r="AC826" i="40" s="1"/>
  <c r="AD826" i="40" s="1"/>
  <c r="AE826" i="40" s="1"/>
  <c r="AF826" i="40" s="1"/>
  <c r="AG826" i="40" s="1"/>
  <c r="AH826" i="40" s="1"/>
  <c r="AI826" i="40" s="1"/>
  <c r="AJ826" i="40" s="1"/>
  <c r="AK826" i="40" s="1"/>
  <c r="AL826" i="40" s="1"/>
  <c r="AM826" i="40" s="1"/>
  <c r="AN826" i="40" s="1"/>
  <c r="AO826" i="40" s="1"/>
  <c r="AP826" i="40" s="1"/>
  <c r="AQ826" i="40" s="1"/>
  <c r="AR826" i="40" s="1"/>
  <c r="AS826" i="40" s="1"/>
  <c r="AT826" i="40" s="1"/>
  <c r="AU826" i="40" s="1"/>
  <c r="AV826" i="40" s="1"/>
  <c r="AW826" i="40" s="1"/>
  <c r="AX826" i="40" s="1"/>
  <c r="AY826" i="40" s="1"/>
  <c r="AZ826" i="40" s="1"/>
  <c r="BA826" i="40" s="1"/>
  <c r="BB826" i="40" s="1"/>
  <c r="BC826" i="40" s="1"/>
  <c r="BD826" i="40" s="1"/>
  <c r="BE826" i="40" s="1"/>
  <c r="BF826" i="40" s="1"/>
  <c r="BG826" i="40" s="1"/>
  <c r="BH826" i="40" s="1"/>
  <c r="BI826" i="40" s="1"/>
  <c r="BJ826" i="40" s="1"/>
  <c r="BK826" i="40" s="1"/>
  <c r="BL826" i="40" s="1"/>
  <c r="BM826" i="40" s="1"/>
  <c r="BN826" i="40" s="1"/>
  <c r="BO826" i="40" s="1"/>
  <c r="BP826" i="40" s="1"/>
  <c r="BQ826" i="40" s="1"/>
  <c r="BR826" i="40" s="1"/>
  <c r="BS826" i="40" s="1"/>
  <c r="BT826" i="40" s="1"/>
  <c r="BU826" i="40" s="1"/>
  <c r="BV826" i="40" s="1"/>
  <c r="BW826" i="40" s="1"/>
  <c r="BX826" i="40" s="1"/>
  <c r="BY826" i="40" s="1"/>
  <c r="BZ826" i="40" s="1"/>
  <c r="CA826" i="40" s="1"/>
  <c r="AP842" i="40"/>
  <c r="AQ842" i="40" s="1"/>
  <c r="AR842" i="40" s="1"/>
  <c r="AS842" i="40" s="1"/>
  <c r="AT842" i="40" s="1"/>
  <c r="AU842" i="40" s="1"/>
  <c r="AV842" i="40" s="1"/>
  <c r="AW842" i="40" s="1"/>
  <c r="AX842" i="40" s="1"/>
  <c r="AY842" i="40" s="1"/>
  <c r="AZ842" i="40" s="1"/>
  <c r="BA842" i="40" s="1"/>
  <c r="BB842" i="40" s="1"/>
  <c r="BC842" i="40" s="1"/>
  <c r="BD842" i="40" s="1"/>
  <c r="BE842" i="40" s="1"/>
  <c r="BF842" i="40" s="1"/>
  <c r="BG842" i="40" s="1"/>
  <c r="BH842" i="40" s="1"/>
  <c r="BI842" i="40" s="1"/>
  <c r="BJ842" i="40" s="1"/>
  <c r="BK842" i="40" s="1"/>
  <c r="BL842" i="40" s="1"/>
  <c r="BM842" i="40" s="1"/>
  <c r="BN842" i="40" s="1"/>
  <c r="BO842" i="40" s="1"/>
  <c r="BP842" i="40" s="1"/>
  <c r="BQ842" i="40" s="1"/>
  <c r="BR842" i="40" s="1"/>
  <c r="BS842" i="40" s="1"/>
  <c r="BT842" i="40" s="1"/>
  <c r="BU842" i="40" s="1"/>
  <c r="BV842" i="40" s="1"/>
  <c r="BW842" i="40" s="1"/>
  <c r="BX842" i="40" s="1"/>
  <c r="BY842" i="40" s="1"/>
  <c r="BZ842" i="40" s="1"/>
  <c r="CA842" i="40" s="1"/>
  <c r="CB842" i="40" s="1"/>
  <c r="BF858" i="40"/>
  <c r="BG858" i="40" s="1"/>
  <c r="BH858" i="40" s="1"/>
  <c r="BI858" i="40" s="1"/>
  <c r="BJ858" i="40" s="1"/>
  <c r="BK858" i="40" s="1"/>
  <c r="BL858" i="40" s="1"/>
  <c r="BM858" i="40" s="1"/>
  <c r="BN858" i="40" s="1"/>
  <c r="BO858" i="40" s="1"/>
  <c r="BP858" i="40" s="1"/>
  <c r="BQ858" i="40" s="1"/>
  <c r="BR858" i="40" s="1"/>
  <c r="BS858" i="40" s="1"/>
  <c r="BT858" i="40" s="1"/>
  <c r="BU858" i="40" s="1"/>
  <c r="BV858" i="40" s="1"/>
  <c r="BW858" i="40" s="1"/>
  <c r="BX858" i="40" s="1"/>
  <c r="BY858" i="40" s="1"/>
  <c r="BZ858" i="40" s="1"/>
  <c r="CA858" i="40" s="1"/>
  <c r="N814" i="40"/>
  <c r="O814" i="40" s="1"/>
  <c r="P814" i="40" s="1"/>
  <c r="Q814" i="40" s="1"/>
  <c r="R814" i="40" s="1"/>
  <c r="S814" i="40" s="1"/>
  <c r="T814" i="40" s="1"/>
  <c r="U814" i="40" s="1"/>
  <c r="V814" i="40" s="1"/>
  <c r="W814" i="40" s="1"/>
  <c r="X814" i="40" s="1"/>
  <c r="Y814" i="40" s="1"/>
  <c r="Z814" i="40" s="1"/>
  <c r="AA814" i="40" s="1"/>
  <c r="AB814" i="40" s="1"/>
  <c r="AC814" i="40" s="1"/>
  <c r="AD814" i="40" s="1"/>
  <c r="AE814" i="40" s="1"/>
  <c r="AF814" i="40" s="1"/>
  <c r="AG814" i="40" s="1"/>
  <c r="AH814" i="40" s="1"/>
  <c r="AI814" i="40" s="1"/>
  <c r="AJ814" i="40" s="1"/>
  <c r="AK814" i="40" s="1"/>
  <c r="AL814" i="40" s="1"/>
  <c r="AM814" i="40" s="1"/>
  <c r="AN814" i="40" s="1"/>
  <c r="AO814" i="40" s="1"/>
  <c r="AP814" i="40" s="1"/>
  <c r="AQ814" i="40" s="1"/>
  <c r="AR814" i="40" s="1"/>
  <c r="AS814" i="40" s="1"/>
  <c r="AT814" i="40" s="1"/>
  <c r="AU814" i="40" s="1"/>
  <c r="AV814" i="40" s="1"/>
  <c r="AW814" i="40" s="1"/>
  <c r="AX814" i="40" s="1"/>
  <c r="AY814" i="40" s="1"/>
  <c r="AZ814" i="40" s="1"/>
  <c r="BA814" i="40" s="1"/>
  <c r="BB814" i="40" s="1"/>
  <c r="BC814" i="40" s="1"/>
  <c r="BD814" i="40" s="1"/>
  <c r="BE814" i="40" s="1"/>
  <c r="BF814" i="40" s="1"/>
  <c r="BG814" i="40" s="1"/>
  <c r="BH814" i="40" s="1"/>
  <c r="BI814" i="40" s="1"/>
  <c r="BJ814" i="40" s="1"/>
  <c r="BK814" i="40" s="1"/>
  <c r="BL814" i="40" s="1"/>
  <c r="BM814" i="40" s="1"/>
  <c r="BN814" i="40" s="1"/>
  <c r="BO814" i="40" s="1"/>
  <c r="BP814" i="40" s="1"/>
  <c r="BQ814" i="40" s="1"/>
  <c r="BR814" i="40" s="1"/>
  <c r="BS814" i="40" s="1"/>
  <c r="BT814" i="40" s="1"/>
  <c r="BU814" i="40" s="1"/>
  <c r="BV814" i="40" s="1"/>
  <c r="BW814" i="40" s="1"/>
  <c r="BX814" i="40" s="1"/>
  <c r="BY814" i="40" s="1"/>
  <c r="BZ814" i="40" s="1"/>
  <c r="CA814" i="40" s="1"/>
  <c r="CB814" i="40" s="1"/>
  <c r="AD830" i="40"/>
  <c r="AE830" i="40" s="1"/>
  <c r="AF830" i="40" s="1"/>
  <c r="AG830" i="40" s="1"/>
  <c r="AH830" i="40" s="1"/>
  <c r="AI830" i="40" s="1"/>
  <c r="AJ830" i="40" s="1"/>
  <c r="AK830" i="40" s="1"/>
  <c r="AL830" i="40" s="1"/>
  <c r="AM830" i="40" s="1"/>
  <c r="AN830" i="40" s="1"/>
  <c r="AO830" i="40" s="1"/>
  <c r="AP830" i="40" s="1"/>
  <c r="AQ830" i="40" s="1"/>
  <c r="AR830" i="40" s="1"/>
  <c r="AS830" i="40" s="1"/>
  <c r="AT830" i="40" s="1"/>
  <c r="AU830" i="40" s="1"/>
  <c r="AV830" i="40" s="1"/>
  <c r="AW830" i="40" s="1"/>
  <c r="AX830" i="40" s="1"/>
  <c r="AY830" i="40" s="1"/>
  <c r="AZ830" i="40" s="1"/>
  <c r="BA830" i="40" s="1"/>
  <c r="BB830" i="40" s="1"/>
  <c r="BC830" i="40" s="1"/>
  <c r="BD830" i="40" s="1"/>
  <c r="BE830" i="40" s="1"/>
  <c r="BF830" i="40" s="1"/>
  <c r="BG830" i="40" s="1"/>
  <c r="BH830" i="40" s="1"/>
  <c r="BI830" i="40" s="1"/>
  <c r="BJ830" i="40" s="1"/>
  <c r="BK830" i="40" s="1"/>
  <c r="BL830" i="40" s="1"/>
  <c r="BM830" i="40" s="1"/>
  <c r="BN830" i="40" s="1"/>
  <c r="BO830" i="40" s="1"/>
  <c r="BP830" i="40" s="1"/>
  <c r="BQ830" i="40" s="1"/>
  <c r="BR830" i="40" s="1"/>
  <c r="BS830" i="40" s="1"/>
  <c r="BT830" i="40" s="1"/>
  <c r="BU830" i="40" s="1"/>
  <c r="BV830" i="40" s="1"/>
  <c r="BW830" i="40" s="1"/>
  <c r="BX830" i="40" s="1"/>
  <c r="BY830" i="40" s="1"/>
  <c r="BZ830" i="40" s="1"/>
  <c r="CA830" i="40" s="1"/>
  <c r="AT846" i="40"/>
  <c r="AU846" i="40" s="1"/>
  <c r="AV846" i="40" s="1"/>
  <c r="AW846" i="40" s="1"/>
  <c r="AX846" i="40" s="1"/>
  <c r="AY846" i="40" s="1"/>
  <c r="AZ846" i="40" s="1"/>
  <c r="BA846" i="40" s="1"/>
  <c r="BB846" i="40" s="1"/>
  <c r="BC846" i="40" s="1"/>
  <c r="BD846" i="40" s="1"/>
  <c r="BE846" i="40" s="1"/>
  <c r="BF846" i="40" s="1"/>
  <c r="BG846" i="40" s="1"/>
  <c r="BH846" i="40" s="1"/>
  <c r="BI846" i="40" s="1"/>
  <c r="BJ846" i="40" s="1"/>
  <c r="BK846" i="40" s="1"/>
  <c r="BL846" i="40" s="1"/>
  <c r="BM846" i="40" s="1"/>
  <c r="BN846" i="40" s="1"/>
  <c r="BO846" i="40" s="1"/>
  <c r="BP846" i="40" s="1"/>
  <c r="BQ846" i="40" s="1"/>
  <c r="BR846" i="40" s="1"/>
  <c r="BS846" i="40" s="1"/>
  <c r="BT846" i="40" s="1"/>
  <c r="BU846" i="40" s="1"/>
  <c r="BV846" i="40" s="1"/>
  <c r="BW846" i="40" s="1"/>
  <c r="BX846" i="40" s="1"/>
  <c r="BY846" i="40" s="1"/>
  <c r="BZ846" i="40" s="1"/>
  <c r="CA846" i="40" s="1"/>
  <c r="R818" i="40"/>
  <c r="S818" i="40" s="1"/>
  <c r="T818" i="40" s="1"/>
  <c r="U818" i="40" s="1"/>
  <c r="V818" i="40" s="1"/>
  <c r="W818" i="40" s="1"/>
  <c r="X818" i="40" s="1"/>
  <c r="Y818" i="40" s="1"/>
  <c r="Z818" i="40" s="1"/>
  <c r="AA818" i="40" s="1"/>
  <c r="AB818" i="40" s="1"/>
  <c r="AC818" i="40" s="1"/>
  <c r="AD818" i="40" s="1"/>
  <c r="AE818" i="40" s="1"/>
  <c r="AF818" i="40" s="1"/>
  <c r="AG818" i="40" s="1"/>
  <c r="AH818" i="40" s="1"/>
  <c r="AI818" i="40" s="1"/>
  <c r="AJ818" i="40" s="1"/>
  <c r="AK818" i="40" s="1"/>
  <c r="AL818" i="40" s="1"/>
  <c r="AM818" i="40" s="1"/>
  <c r="AN818" i="40" s="1"/>
  <c r="AO818" i="40" s="1"/>
  <c r="AP818" i="40" s="1"/>
  <c r="AQ818" i="40" s="1"/>
  <c r="AR818" i="40" s="1"/>
  <c r="AS818" i="40" s="1"/>
  <c r="AT818" i="40" s="1"/>
  <c r="AU818" i="40" s="1"/>
  <c r="AV818" i="40" s="1"/>
  <c r="AW818" i="40" s="1"/>
  <c r="AX818" i="40" s="1"/>
  <c r="AY818" i="40" s="1"/>
  <c r="AZ818" i="40" s="1"/>
  <c r="BA818" i="40" s="1"/>
  <c r="BB818" i="40" s="1"/>
  <c r="BC818" i="40" s="1"/>
  <c r="BD818" i="40" s="1"/>
  <c r="BE818" i="40" s="1"/>
  <c r="BF818" i="40" s="1"/>
  <c r="BG818" i="40" s="1"/>
  <c r="BH818" i="40" s="1"/>
  <c r="BI818" i="40" s="1"/>
  <c r="BJ818" i="40" s="1"/>
  <c r="BK818" i="40" s="1"/>
  <c r="BL818" i="40" s="1"/>
  <c r="BM818" i="40" s="1"/>
  <c r="BN818" i="40" s="1"/>
  <c r="BO818" i="40" s="1"/>
  <c r="BP818" i="40" s="1"/>
  <c r="BQ818" i="40" s="1"/>
  <c r="BR818" i="40" s="1"/>
  <c r="BS818" i="40" s="1"/>
  <c r="BT818" i="40" s="1"/>
  <c r="BU818" i="40" s="1"/>
  <c r="BV818" i="40" s="1"/>
  <c r="BW818" i="40" s="1"/>
  <c r="BX818" i="40" s="1"/>
  <c r="BY818" i="40" s="1"/>
  <c r="BZ818" i="40" s="1"/>
  <c r="CA818" i="40" s="1"/>
  <c r="AH834" i="40"/>
  <c r="AI834" i="40" s="1"/>
  <c r="AJ834" i="40" s="1"/>
  <c r="AK834" i="40" s="1"/>
  <c r="AL834" i="40" s="1"/>
  <c r="AM834" i="40" s="1"/>
  <c r="AN834" i="40" s="1"/>
  <c r="AO834" i="40" s="1"/>
  <c r="AP834" i="40" s="1"/>
  <c r="AQ834" i="40" s="1"/>
  <c r="AR834" i="40" s="1"/>
  <c r="AS834" i="40" s="1"/>
  <c r="AT834" i="40" s="1"/>
  <c r="AU834" i="40" s="1"/>
  <c r="AV834" i="40" s="1"/>
  <c r="AW834" i="40" s="1"/>
  <c r="AX834" i="40" s="1"/>
  <c r="AY834" i="40" s="1"/>
  <c r="AZ834" i="40" s="1"/>
  <c r="BA834" i="40" s="1"/>
  <c r="BB834" i="40" s="1"/>
  <c r="BC834" i="40" s="1"/>
  <c r="BD834" i="40" s="1"/>
  <c r="BE834" i="40" s="1"/>
  <c r="BF834" i="40" s="1"/>
  <c r="BG834" i="40" s="1"/>
  <c r="BH834" i="40" s="1"/>
  <c r="BI834" i="40" s="1"/>
  <c r="BJ834" i="40" s="1"/>
  <c r="BK834" i="40" s="1"/>
  <c r="BL834" i="40" s="1"/>
  <c r="BM834" i="40" s="1"/>
  <c r="BN834" i="40" s="1"/>
  <c r="BO834" i="40" s="1"/>
  <c r="BP834" i="40" s="1"/>
  <c r="BQ834" i="40" s="1"/>
  <c r="BR834" i="40" s="1"/>
  <c r="BS834" i="40" s="1"/>
  <c r="BT834" i="40" s="1"/>
  <c r="BU834" i="40" s="1"/>
  <c r="BV834" i="40" s="1"/>
  <c r="BW834" i="40" s="1"/>
  <c r="BX834" i="40" s="1"/>
  <c r="BY834" i="40" s="1"/>
  <c r="BZ834" i="40" s="1"/>
  <c r="CA834" i="40" s="1"/>
  <c r="AX850" i="40"/>
  <c r="AY850" i="40" s="1"/>
  <c r="AZ850" i="40" s="1"/>
  <c r="BA850" i="40" s="1"/>
  <c r="BB850" i="40" s="1"/>
  <c r="BC850" i="40" s="1"/>
  <c r="BD850" i="40" s="1"/>
  <c r="BE850" i="40" s="1"/>
  <c r="BF850" i="40" s="1"/>
  <c r="BG850" i="40" s="1"/>
  <c r="BH850" i="40" s="1"/>
  <c r="BI850" i="40" s="1"/>
  <c r="BJ850" i="40" s="1"/>
  <c r="BK850" i="40" s="1"/>
  <c r="BL850" i="40" s="1"/>
  <c r="BM850" i="40" s="1"/>
  <c r="BN850" i="40" s="1"/>
  <c r="BO850" i="40" s="1"/>
  <c r="BP850" i="40" s="1"/>
  <c r="BQ850" i="40" s="1"/>
  <c r="BR850" i="40" s="1"/>
  <c r="BS850" i="40" s="1"/>
  <c r="BT850" i="40" s="1"/>
  <c r="BU850" i="40" s="1"/>
  <c r="BV850" i="40" s="1"/>
  <c r="BW850" i="40" s="1"/>
  <c r="BX850" i="40" s="1"/>
  <c r="BY850" i="40" s="1"/>
  <c r="BZ850" i="40" s="1"/>
  <c r="CA850" i="40" s="1"/>
  <c r="G807" i="40"/>
  <c r="H807" i="40" s="1"/>
  <c r="I807" i="40" s="1"/>
  <c r="J807" i="40" s="1"/>
  <c r="K807" i="40" s="1"/>
  <c r="L807" i="40" s="1"/>
  <c r="M807" i="40" s="1"/>
  <c r="N807" i="40" s="1"/>
  <c r="O807" i="40" s="1"/>
  <c r="P807" i="40" s="1"/>
  <c r="Q807" i="40" s="1"/>
  <c r="R807" i="40" s="1"/>
  <c r="S807" i="40" s="1"/>
  <c r="T807" i="40" s="1"/>
  <c r="U807" i="40" s="1"/>
  <c r="V807" i="40" s="1"/>
  <c r="W807" i="40" s="1"/>
  <c r="X807" i="40" s="1"/>
  <c r="Y807" i="40" s="1"/>
  <c r="Z807" i="40" s="1"/>
  <c r="AA807" i="40" s="1"/>
  <c r="AB807" i="40" s="1"/>
  <c r="AC807" i="40" s="1"/>
  <c r="AD807" i="40" s="1"/>
  <c r="AE807" i="40" s="1"/>
  <c r="AF807" i="40" s="1"/>
  <c r="AG807" i="40" s="1"/>
  <c r="AH807" i="40" s="1"/>
  <c r="AI807" i="40" s="1"/>
  <c r="AJ807" i="40" s="1"/>
  <c r="AK807" i="40" s="1"/>
  <c r="AL807" i="40" s="1"/>
  <c r="AM807" i="40" s="1"/>
  <c r="AN807" i="40" s="1"/>
  <c r="AO807" i="40" s="1"/>
  <c r="AP807" i="40" s="1"/>
  <c r="AQ807" i="40" s="1"/>
  <c r="AR807" i="40" s="1"/>
  <c r="AS807" i="40" s="1"/>
  <c r="AT807" i="40" s="1"/>
  <c r="AU807" i="40" s="1"/>
  <c r="AV807" i="40" s="1"/>
  <c r="AW807" i="40" s="1"/>
  <c r="AX807" i="40" s="1"/>
  <c r="AY807" i="40" s="1"/>
  <c r="AZ807" i="40" s="1"/>
  <c r="BA807" i="40" s="1"/>
  <c r="BB807" i="40" s="1"/>
  <c r="BC807" i="40" s="1"/>
  <c r="BD807" i="40" s="1"/>
  <c r="BE807" i="40" s="1"/>
  <c r="BF807" i="40" s="1"/>
  <c r="BG807" i="40" s="1"/>
  <c r="BH807" i="40" s="1"/>
  <c r="BI807" i="40" s="1"/>
  <c r="BJ807" i="40" s="1"/>
  <c r="BK807" i="40" s="1"/>
  <c r="BL807" i="40" s="1"/>
  <c r="BM807" i="40" s="1"/>
  <c r="BN807" i="40" s="1"/>
  <c r="BO807" i="40" s="1"/>
  <c r="BP807" i="40" s="1"/>
  <c r="BQ807" i="40" s="1"/>
  <c r="BR807" i="40" s="1"/>
  <c r="BS807" i="40" s="1"/>
  <c r="BT807" i="40" s="1"/>
  <c r="BU807" i="40" s="1"/>
  <c r="BV807" i="40" s="1"/>
  <c r="BW807" i="40" s="1"/>
  <c r="BX807" i="40" s="1"/>
  <c r="BY807" i="40" s="1"/>
  <c r="BZ807" i="40" s="1"/>
  <c r="CA807" i="40" s="1"/>
  <c r="CB807" i="40" s="1"/>
  <c r="K811" i="40"/>
  <c r="L811" i="40" s="1"/>
  <c r="M811" i="40" s="1"/>
  <c r="N811" i="40" s="1"/>
  <c r="O811" i="40" s="1"/>
  <c r="P811" i="40" s="1"/>
  <c r="Q811" i="40" s="1"/>
  <c r="R811" i="40" s="1"/>
  <c r="S811" i="40" s="1"/>
  <c r="T811" i="40" s="1"/>
  <c r="U811" i="40" s="1"/>
  <c r="V811" i="40" s="1"/>
  <c r="W811" i="40" s="1"/>
  <c r="X811" i="40" s="1"/>
  <c r="Y811" i="40" s="1"/>
  <c r="Z811" i="40" s="1"/>
  <c r="AA811" i="40" s="1"/>
  <c r="AB811" i="40" s="1"/>
  <c r="AC811" i="40" s="1"/>
  <c r="AD811" i="40" s="1"/>
  <c r="AE811" i="40" s="1"/>
  <c r="AF811" i="40" s="1"/>
  <c r="AG811" i="40" s="1"/>
  <c r="AH811" i="40" s="1"/>
  <c r="AI811" i="40" s="1"/>
  <c r="AJ811" i="40" s="1"/>
  <c r="AK811" i="40" s="1"/>
  <c r="AL811" i="40" s="1"/>
  <c r="AM811" i="40" s="1"/>
  <c r="AN811" i="40" s="1"/>
  <c r="AO811" i="40" s="1"/>
  <c r="AP811" i="40" s="1"/>
  <c r="AQ811" i="40" s="1"/>
  <c r="AR811" i="40" s="1"/>
  <c r="AS811" i="40" s="1"/>
  <c r="AT811" i="40" s="1"/>
  <c r="AU811" i="40" s="1"/>
  <c r="AV811" i="40" s="1"/>
  <c r="AW811" i="40" s="1"/>
  <c r="AX811" i="40" s="1"/>
  <c r="AY811" i="40" s="1"/>
  <c r="AZ811" i="40" s="1"/>
  <c r="BA811" i="40" s="1"/>
  <c r="BB811" i="40" s="1"/>
  <c r="BC811" i="40" s="1"/>
  <c r="BD811" i="40" s="1"/>
  <c r="BE811" i="40" s="1"/>
  <c r="BF811" i="40" s="1"/>
  <c r="BG811" i="40" s="1"/>
  <c r="BH811" i="40" s="1"/>
  <c r="BI811" i="40" s="1"/>
  <c r="BJ811" i="40" s="1"/>
  <c r="BK811" i="40" s="1"/>
  <c r="BL811" i="40" s="1"/>
  <c r="BM811" i="40" s="1"/>
  <c r="BN811" i="40" s="1"/>
  <c r="BO811" i="40" s="1"/>
  <c r="BP811" i="40" s="1"/>
  <c r="BQ811" i="40" s="1"/>
  <c r="BR811" i="40" s="1"/>
  <c r="BS811" i="40" s="1"/>
  <c r="BT811" i="40" s="1"/>
  <c r="BU811" i="40" s="1"/>
  <c r="BV811" i="40" s="1"/>
  <c r="BW811" i="40" s="1"/>
  <c r="BX811" i="40" s="1"/>
  <c r="BY811" i="40" s="1"/>
  <c r="BZ811" i="40" s="1"/>
  <c r="CA811" i="40" s="1"/>
  <c r="CB811" i="40" s="1"/>
  <c r="O815" i="40"/>
  <c r="P815" i="40" s="1"/>
  <c r="Q815" i="40" s="1"/>
  <c r="R815" i="40" s="1"/>
  <c r="S815" i="40" s="1"/>
  <c r="T815" i="40" s="1"/>
  <c r="U815" i="40" s="1"/>
  <c r="V815" i="40" s="1"/>
  <c r="W815" i="40" s="1"/>
  <c r="X815" i="40" s="1"/>
  <c r="Y815" i="40" s="1"/>
  <c r="Z815" i="40" s="1"/>
  <c r="AA815" i="40" s="1"/>
  <c r="AB815" i="40" s="1"/>
  <c r="AC815" i="40" s="1"/>
  <c r="AD815" i="40" s="1"/>
  <c r="AE815" i="40" s="1"/>
  <c r="AF815" i="40" s="1"/>
  <c r="AG815" i="40" s="1"/>
  <c r="AH815" i="40" s="1"/>
  <c r="AI815" i="40" s="1"/>
  <c r="AJ815" i="40" s="1"/>
  <c r="AK815" i="40" s="1"/>
  <c r="AL815" i="40" s="1"/>
  <c r="AM815" i="40" s="1"/>
  <c r="AN815" i="40" s="1"/>
  <c r="AO815" i="40" s="1"/>
  <c r="AP815" i="40" s="1"/>
  <c r="AQ815" i="40" s="1"/>
  <c r="AR815" i="40" s="1"/>
  <c r="AS815" i="40" s="1"/>
  <c r="AT815" i="40" s="1"/>
  <c r="AU815" i="40" s="1"/>
  <c r="AV815" i="40" s="1"/>
  <c r="AW815" i="40" s="1"/>
  <c r="AX815" i="40" s="1"/>
  <c r="AY815" i="40" s="1"/>
  <c r="AZ815" i="40" s="1"/>
  <c r="BA815" i="40" s="1"/>
  <c r="BB815" i="40" s="1"/>
  <c r="BC815" i="40" s="1"/>
  <c r="BD815" i="40" s="1"/>
  <c r="BE815" i="40" s="1"/>
  <c r="BF815" i="40" s="1"/>
  <c r="BG815" i="40" s="1"/>
  <c r="BH815" i="40" s="1"/>
  <c r="BI815" i="40" s="1"/>
  <c r="BJ815" i="40" s="1"/>
  <c r="BK815" i="40" s="1"/>
  <c r="BL815" i="40" s="1"/>
  <c r="BM815" i="40" s="1"/>
  <c r="BN815" i="40" s="1"/>
  <c r="BO815" i="40" s="1"/>
  <c r="BP815" i="40" s="1"/>
  <c r="BQ815" i="40" s="1"/>
  <c r="BR815" i="40" s="1"/>
  <c r="BS815" i="40" s="1"/>
  <c r="BT815" i="40" s="1"/>
  <c r="BU815" i="40" s="1"/>
  <c r="BV815" i="40" s="1"/>
  <c r="BW815" i="40" s="1"/>
  <c r="BX815" i="40" s="1"/>
  <c r="BY815" i="40" s="1"/>
  <c r="BZ815" i="40" s="1"/>
  <c r="CA815" i="40" s="1"/>
  <c r="CB815" i="40" s="1"/>
  <c r="S819" i="40"/>
  <c r="T819" i="40" s="1"/>
  <c r="U819" i="40" s="1"/>
  <c r="V819" i="40" s="1"/>
  <c r="W819" i="40" s="1"/>
  <c r="X819" i="40" s="1"/>
  <c r="Y819" i="40" s="1"/>
  <c r="Z819" i="40" s="1"/>
  <c r="AA819" i="40" s="1"/>
  <c r="AB819" i="40" s="1"/>
  <c r="AC819" i="40" s="1"/>
  <c r="AD819" i="40" s="1"/>
  <c r="AE819" i="40" s="1"/>
  <c r="AF819" i="40" s="1"/>
  <c r="AG819" i="40" s="1"/>
  <c r="AH819" i="40" s="1"/>
  <c r="AI819" i="40" s="1"/>
  <c r="AJ819" i="40" s="1"/>
  <c r="AK819" i="40" s="1"/>
  <c r="AL819" i="40" s="1"/>
  <c r="AM819" i="40" s="1"/>
  <c r="AN819" i="40" s="1"/>
  <c r="AO819" i="40" s="1"/>
  <c r="AP819" i="40" s="1"/>
  <c r="AQ819" i="40" s="1"/>
  <c r="AR819" i="40" s="1"/>
  <c r="AS819" i="40" s="1"/>
  <c r="AT819" i="40" s="1"/>
  <c r="AU819" i="40" s="1"/>
  <c r="AV819" i="40" s="1"/>
  <c r="AW819" i="40" s="1"/>
  <c r="AX819" i="40" s="1"/>
  <c r="AY819" i="40" s="1"/>
  <c r="AZ819" i="40" s="1"/>
  <c r="BA819" i="40" s="1"/>
  <c r="BB819" i="40" s="1"/>
  <c r="BC819" i="40" s="1"/>
  <c r="BD819" i="40" s="1"/>
  <c r="BE819" i="40" s="1"/>
  <c r="BF819" i="40" s="1"/>
  <c r="BG819" i="40" s="1"/>
  <c r="BH819" i="40" s="1"/>
  <c r="BI819" i="40" s="1"/>
  <c r="BJ819" i="40" s="1"/>
  <c r="BK819" i="40" s="1"/>
  <c r="BL819" i="40" s="1"/>
  <c r="BM819" i="40" s="1"/>
  <c r="BN819" i="40" s="1"/>
  <c r="BO819" i="40" s="1"/>
  <c r="BP819" i="40" s="1"/>
  <c r="BQ819" i="40" s="1"/>
  <c r="BR819" i="40" s="1"/>
  <c r="BS819" i="40" s="1"/>
  <c r="BT819" i="40" s="1"/>
  <c r="BU819" i="40" s="1"/>
  <c r="BV819" i="40" s="1"/>
  <c r="BW819" i="40" s="1"/>
  <c r="BX819" i="40" s="1"/>
  <c r="BY819" i="40" s="1"/>
  <c r="BZ819" i="40" s="1"/>
  <c r="CA819" i="40" s="1"/>
  <c r="W823" i="40"/>
  <c r="X823" i="40" s="1"/>
  <c r="Y823" i="40" s="1"/>
  <c r="Z823" i="40" s="1"/>
  <c r="AA823" i="40" s="1"/>
  <c r="AB823" i="40" s="1"/>
  <c r="AC823" i="40" s="1"/>
  <c r="AD823" i="40" s="1"/>
  <c r="AE823" i="40" s="1"/>
  <c r="AF823" i="40" s="1"/>
  <c r="AG823" i="40" s="1"/>
  <c r="AH823" i="40" s="1"/>
  <c r="AI823" i="40" s="1"/>
  <c r="AJ823" i="40" s="1"/>
  <c r="AK823" i="40" s="1"/>
  <c r="AL823" i="40" s="1"/>
  <c r="AM823" i="40" s="1"/>
  <c r="AN823" i="40" s="1"/>
  <c r="AO823" i="40" s="1"/>
  <c r="AP823" i="40" s="1"/>
  <c r="AQ823" i="40" s="1"/>
  <c r="AR823" i="40" s="1"/>
  <c r="AS823" i="40" s="1"/>
  <c r="AT823" i="40" s="1"/>
  <c r="AU823" i="40" s="1"/>
  <c r="AV823" i="40" s="1"/>
  <c r="AW823" i="40" s="1"/>
  <c r="AX823" i="40" s="1"/>
  <c r="AY823" i="40" s="1"/>
  <c r="AZ823" i="40" s="1"/>
  <c r="BA823" i="40" s="1"/>
  <c r="BB823" i="40" s="1"/>
  <c r="BC823" i="40" s="1"/>
  <c r="BD823" i="40" s="1"/>
  <c r="BE823" i="40" s="1"/>
  <c r="BF823" i="40" s="1"/>
  <c r="BG823" i="40" s="1"/>
  <c r="BH823" i="40" s="1"/>
  <c r="BI823" i="40" s="1"/>
  <c r="BJ823" i="40" s="1"/>
  <c r="BK823" i="40" s="1"/>
  <c r="BL823" i="40" s="1"/>
  <c r="BM823" i="40" s="1"/>
  <c r="BN823" i="40" s="1"/>
  <c r="BO823" i="40" s="1"/>
  <c r="BP823" i="40" s="1"/>
  <c r="BQ823" i="40" s="1"/>
  <c r="BR823" i="40" s="1"/>
  <c r="BS823" i="40" s="1"/>
  <c r="BT823" i="40" s="1"/>
  <c r="BU823" i="40" s="1"/>
  <c r="BV823" i="40" s="1"/>
  <c r="BW823" i="40" s="1"/>
  <c r="BX823" i="40" s="1"/>
  <c r="BY823" i="40" s="1"/>
  <c r="BZ823" i="40" s="1"/>
  <c r="CA823" i="40" s="1"/>
  <c r="CB823" i="40" s="1"/>
  <c r="AA827" i="40"/>
  <c r="AB827" i="40" s="1"/>
  <c r="AC827" i="40" s="1"/>
  <c r="AD827" i="40" s="1"/>
  <c r="AE827" i="40" s="1"/>
  <c r="AF827" i="40" s="1"/>
  <c r="AG827" i="40" s="1"/>
  <c r="AH827" i="40" s="1"/>
  <c r="AI827" i="40" s="1"/>
  <c r="AJ827" i="40" s="1"/>
  <c r="AK827" i="40" s="1"/>
  <c r="AL827" i="40" s="1"/>
  <c r="AM827" i="40" s="1"/>
  <c r="AN827" i="40" s="1"/>
  <c r="AO827" i="40" s="1"/>
  <c r="AP827" i="40" s="1"/>
  <c r="AQ827" i="40" s="1"/>
  <c r="AR827" i="40" s="1"/>
  <c r="AS827" i="40" s="1"/>
  <c r="AT827" i="40" s="1"/>
  <c r="AU827" i="40" s="1"/>
  <c r="AV827" i="40" s="1"/>
  <c r="AW827" i="40" s="1"/>
  <c r="AX827" i="40" s="1"/>
  <c r="AY827" i="40" s="1"/>
  <c r="AZ827" i="40" s="1"/>
  <c r="BA827" i="40" s="1"/>
  <c r="BB827" i="40" s="1"/>
  <c r="BC827" i="40" s="1"/>
  <c r="BD827" i="40" s="1"/>
  <c r="BE827" i="40" s="1"/>
  <c r="BF827" i="40" s="1"/>
  <c r="BG827" i="40" s="1"/>
  <c r="BH827" i="40" s="1"/>
  <c r="BI827" i="40" s="1"/>
  <c r="BJ827" i="40" s="1"/>
  <c r="BK827" i="40" s="1"/>
  <c r="BL827" i="40" s="1"/>
  <c r="BM827" i="40" s="1"/>
  <c r="BN827" i="40" s="1"/>
  <c r="BO827" i="40" s="1"/>
  <c r="BP827" i="40" s="1"/>
  <c r="BQ827" i="40" s="1"/>
  <c r="BR827" i="40" s="1"/>
  <c r="BS827" i="40" s="1"/>
  <c r="BT827" i="40" s="1"/>
  <c r="BU827" i="40" s="1"/>
  <c r="BV827" i="40" s="1"/>
  <c r="BW827" i="40" s="1"/>
  <c r="BX827" i="40" s="1"/>
  <c r="BY827" i="40" s="1"/>
  <c r="BZ827" i="40" s="1"/>
  <c r="CA827" i="40" s="1"/>
  <c r="AE831" i="40"/>
  <c r="AF831" i="40" s="1"/>
  <c r="AG831" i="40" s="1"/>
  <c r="AH831" i="40" s="1"/>
  <c r="AI831" i="40" s="1"/>
  <c r="AJ831" i="40" s="1"/>
  <c r="AK831" i="40" s="1"/>
  <c r="AL831" i="40" s="1"/>
  <c r="AM831" i="40" s="1"/>
  <c r="AN831" i="40" s="1"/>
  <c r="AO831" i="40" s="1"/>
  <c r="AP831" i="40" s="1"/>
  <c r="AQ831" i="40" s="1"/>
  <c r="AR831" i="40" s="1"/>
  <c r="AS831" i="40" s="1"/>
  <c r="AT831" i="40" s="1"/>
  <c r="AU831" i="40" s="1"/>
  <c r="AV831" i="40" s="1"/>
  <c r="AW831" i="40" s="1"/>
  <c r="AX831" i="40" s="1"/>
  <c r="AY831" i="40" s="1"/>
  <c r="AZ831" i="40" s="1"/>
  <c r="BA831" i="40" s="1"/>
  <c r="BB831" i="40" s="1"/>
  <c r="BC831" i="40" s="1"/>
  <c r="BD831" i="40" s="1"/>
  <c r="BE831" i="40" s="1"/>
  <c r="BF831" i="40" s="1"/>
  <c r="BG831" i="40" s="1"/>
  <c r="BH831" i="40" s="1"/>
  <c r="BI831" i="40" s="1"/>
  <c r="BJ831" i="40" s="1"/>
  <c r="BK831" i="40" s="1"/>
  <c r="BL831" i="40" s="1"/>
  <c r="BM831" i="40" s="1"/>
  <c r="BN831" i="40" s="1"/>
  <c r="BO831" i="40" s="1"/>
  <c r="BP831" i="40" s="1"/>
  <c r="BQ831" i="40" s="1"/>
  <c r="BR831" i="40" s="1"/>
  <c r="BS831" i="40" s="1"/>
  <c r="BT831" i="40" s="1"/>
  <c r="BU831" i="40" s="1"/>
  <c r="BV831" i="40" s="1"/>
  <c r="BW831" i="40" s="1"/>
  <c r="BX831" i="40" s="1"/>
  <c r="BY831" i="40" s="1"/>
  <c r="BZ831" i="40" s="1"/>
  <c r="CA831" i="40" s="1"/>
  <c r="AI835" i="40"/>
  <c r="AJ835" i="40" s="1"/>
  <c r="AK835" i="40" s="1"/>
  <c r="AL835" i="40" s="1"/>
  <c r="AM835" i="40" s="1"/>
  <c r="AN835" i="40" s="1"/>
  <c r="AO835" i="40" s="1"/>
  <c r="AP835" i="40" s="1"/>
  <c r="AQ835" i="40" s="1"/>
  <c r="AR835" i="40" s="1"/>
  <c r="AS835" i="40" s="1"/>
  <c r="AT835" i="40" s="1"/>
  <c r="AU835" i="40" s="1"/>
  <c r="AV835" i="40" s="1"/>
  <c r="AW835" i="40" s="1"/>
  <c r="AX835" i="40" s="1"/>
  <c r="AY835" i="40" s="1"/>
  <c r="AZ835" i="40" s="1"/>
  <c r="BA835" i="40" s="1"/>
  <c r="BB835" i="40" s="1"/>
  <c r="BC835" i="40" s="1"/>
  <c r="BD835" i="40" s="1"/>
  <c r="BE835" i="40" s="1"/>
  <c r="BF835" i="40" s="1"/>
  <c r="BG835" i="40" s="1"/>
  <c r="BH835" i="40" s="1"/>
  <c r="BI835" i="40" s="1"/>
  <c r="BJ835" i="40" s="1"/>
  <c r="BK835" i="40" s="1"/>
  <c r="BL835" i="40" s="1"/>
  <c r="BM835" i="40" s="1"/>
  <c r="BN835" i="40" s="1"/>
  <c r="BO835" i="40" s="1"/>
  <c r="BP835" i="40" s="1"/>
  <c r="BQ835" i="40" s="1"/>
  <c r="BR835" i="40" s="1"/>
  <c r="BS835" i="40" s="1"/>
  <c r="BT835" i="40" s="1"/>
  <c r="BU835" i="40" s="1"/>
  <c r="BV835" i="40" s="1"/>
  <c r="BW835" i="40" s="1"/>
  <c r="BX835" i="40" s="1"/>
  <c r="BY835" i="40" s="1"/>
  <c r="BZ835" i="40" s="1"/>
  <c r="CA835" i="40" s="1"/>
  <c r="AM839" i="40"/>
  <c r="AN839" i="40" s="1"/>
  <c r="AO839" i="40" s="1"/>
  <c r="AP839" i="40" s="1"/>
  <c r="AQ839" i="40" s="1"/>
  <c r="AR839" i="40" s="1"/>
  <c r="AS839" i="40" s="1"/>
  <c r="AT839" i="40" s="1"/>
  <c r="AU839" i="40" s="1"/>
  <c r="AV839" i="40" s="1"/>
  <c r="AW839" i="40" s="1"/>
  <c r="AX839" i="40" s="1"/>
  <c r="AY839" i="40" s="1"/>
  <c r="AZ839" i="40" s="1"/>
  <c r="BA839" i="40" s="1"/>
  <c r="BB839" i="40" s="1"/>
  <c r="BC839" i="40" s="1"/>
  <c r="BD839" i="40" s="1"/>
  <c r="BE839" i="40" s="1"/>
  <c r="BF839" i="40" s="1"/>
  <c r="BG839" i="40" s="1"/>
  <c r="BH839" i="40" s="1"/>
  <c r="BI839" i="40" s="1"/>
  <c r="BJ839" i="40" s="1"/>
  <c r="BK839" i="40" s="1"/>
  <c r="BL839" i="40" s="1"/>
  <c r="BM839" i="40" s="1"/>
  <c r="BN839" i="40" s="1"/>
  <c r="BO839" i="40" s="1"/>
  <c r="BP839" i="40" s="1"/>
  <c r="BQ839" i="40" s="1"/>
  <c r="BR839" i="40" s="1"/>
  <c r="BS839" i="40" s="1"/>
  <c r="BT839" i="40" s="1"/>
  <c r="BU839" i="40" s="1"/>
  <c r="BV839" i="40" s="1"/>
  <c r="BW839" i="40" s="1"/>
  <c r="BX839" i="40" s="1"/>
  <c r="BY839" i="40" s="1"/>
  <c r="BZ839" i="40" s="1"/>
  <c r="CA839" i="40" s="1"/>
  <c r="AQ843" i="40"/>
  <c r="AR843" i="40" s="1"/>
  <c r="AS843" i="40" s="1"/>
  <c r="AT843" i="40" s="1"/>
  <c r="AU843" i="40" s="1"/>
  <c r="AV843" i="40" s="1"/>
  <c r="AW843" i="40" s="1"/>
  <c r="AX843" i="40" s="1"/>
  <c r="AY843" i="40" s="1"/>
  <c r="AZ843" i="40" s="1"/>
  <c r="BA843" i="40" s="1"/>
  <c r="BB843" i="40" s="1"/>
  <c r="BC843" i="40" s="1"/>
  <c r="BD843" i="40" s="1"/>
  <c r="BE843" i="40" s="1"/>
  <c r="BF843" i="40" s="1"/>
  <c r="BG843" i="40" s="1"/>
  <c r="BH843" i="40" s="1"/>
  <c r="BI843" i="40" s="1"/>
  <c r="BJ843" i="40" s="1"/>
  <c r="BK843" i="40" s="1"/>
  <c r="BL843" i="40" s="1"/>
  <c r="BM843" i="40" s="1"/>
  <c r="BN843" i="40" s="1"/>
  <c r="BO843" i="40" s="1"/>
  <c r="BP843" i="40" s="1"/>
  <c r="BQ843" i="40" s="1"/>
  <c r="BR843" i="40" s="1"/>
  <c r="BS843" i="40" s="1"/>
  <c r="BT843" i="40" s="1"/>
  <c r="BU843" i="40" s="1"/>
  <c r="BV843" i="40" s="1"/>
  <c r="BW843" i="40" s="1"/>
  <c r="BX843" i="40" s="1"/>
  <c r="BY843" i="40" s="1"/>
  <c r="BZ843" i="40" s="1"/>
  <c r="CA843" i="40" s="1"/>
  <c r="AU847" i="40"/>
  <c r="AV847" i="40" s="1"/>
  <c r="AW847" i="40" s="1"/>
  <c r="AX847" i="40" s="1"/>
  <c r="AY847" i="40" s="1"/>
  <c r="AZ847" i="40" s="1"/>
  <c r="BA847" i="40" s="1"/>
  <c r="BB847" i="40" s="1"/>
  <c r="BC847" i="40" s="1"/>
  <c r="BD847" i="40" s="1"/>
  <c r="BE847" i="40" s="1"/>
  <c r="BF847" i="40" s="1"/>
  <c r="BG847" i="40" s="1"/>
  <c r="BH847" i="40" s="1"/>
  <c r="BI847" i="40" s="1"/>
  <c r="BJ847" i="40" s="1"/>
  <c r="BK847" i="40" s="1"/>
  <c r="BL847" i="40" s="1"/>
  <c r="BM847" i="40" s="1"/>
  <c r="BN847" i="40" s="1"/>
  <c r="BO847" i="40" s="1"/>
  <c r="BP847" i="40" s="1"/>
  <c r="BQ847" i="40" s="1"/>
  <c r="BR847" i="40" s="1"/>
  <c r="BS847" i="40" s="1"/>
  <c r="BT847" i="40" s="1"/>
  <c r="BU847" i="40" s="1"/>
  <c r="BV847" i="40" s="1"/>
  <c r="BW847" i="40" s="1"/>
  <c r="BX847" i="40" s="1"/>
  <c r="BY847" i="40" s="1"/>
  <c r="BZ847" i="40" s="1"/>
  <c r="CA847" i="40" s="1"/>
  <c r="AY851" i="40"/>
  <c r="AZ851" i="40" s="1"/>
  <c r="BA851" i="40" s="1"/>
  <c r="BB851" i="40" s="1"/>
  <c r="BC851" i="40" s="1"/>
  <c r="BD851" i="40" s="1"/>
  <c r="BE851" i="40" s="1"/>
  <c r="BF851" i="40" s="1"/>
  <c r="BG851" i="40" s="1"/>
  <c r="BH851" i="40" s="1"/>
  <c r="BI851" i="40" s="1"/>
  <c r="BJ851" i="40" s="1"/>
  <c r="BK851" i="40" s="1"/>
  <c r="BL851" i="40" s="1"/>
  <c r="BM851" i="40" s="1"/>
  <c r="BN851" i="40" s="1"/>
  <c r="BO851" i="40" s="1"/>
  <c r="BP851" i="40" s="1"/>
  <c r="BQ851" i="40" s="1"/>
  <c r="BR851" i="40" s="1"/>
  <c r="BS851" i="40" s="1"/>
  <c r="BT851" i="40" s="1"/>
  <c r="BU851" i="40" s="1"/>
  <c r="BV851" i="40" s="1"/>
  <c r="BW851" i="40" s="1"/>
  <c r="BX851" i="40" s="1"/>
  <c r="BY851" i="40" s="1"/>
  <c r="BZ851" i="40" s="1"/>
  <c r="CA851" i="40" s="1"/>
  <c r="CB851" i="40" s="1"/>
  <c r="BC855" i="40"/>
  <c r="BD855" i="40" s="1"/>
  <c r="BE855" i="40" s="1"/>
  <c r="BF855" i="40" s="1"/>
  <c r="BG855" i="40" s="1"/>
  <c r="BH855" i="40" s="1"/>
  <c r="BI855" i="40" s="1"/>
  <c r="BJ855" i="40" s="1"/>
  <c r="BK855" i="40" s="1"/>
  <c r="BL855" i="40" s="1"/>
  <c r="BM855" i="40" s="1"/>
  <c r="BN855" i="40" s="1"/>
  <c r="BO855" i="40" s="1"/>
  <c r="BP855" i="40" s="1"/>
  <c r="BQ855" i="40" s="1"/>
  <c r="BR855" i="40" s="1"/>
  <c r="BS855" i="40" s="1"/>
  <c r="BT855" i="40" s="1"/>
  <c r="BU855" i="40" s="1"/>
  <c r="BV855" i="40" s="1"/>
  <c r="BW855" i="40" s="1"/>
  <c r="BX855" i="40" s="1"/>
  <c r="BY855" i="40" s="1"/>
  <c r="BZ855" i="40" s="1"/>
  <c r="CA855" i="40" s="1"/>
  <c r="BG859" i="40"/>
  <c r="BH859" i="40" s="1"/>
  <c r="BI859" i="40" s="1"/>
  <c r="BJ859" i="40" s="1"/>
  <c r="BK859" i="40" s="1"/>
  <c r="BL859" i="40" s="1"/>
  <c r="BM859" i="40" s="1"/>
  <c r="BN859" i="40" s="1"/>
  <c r="BO859" i="40" s="1"/>
  <c r="BP859" i="40" s="1"/>
  <c r="BQ859" i="40" s="1"/>
  <c r="BR859" i="40" s="1"/>
  <c r="BS859" i="40" s="1"/>
  <c r="BT859" i="40" s="1"/>
  <c r="BU859" i="40" s="1"/>
  <c r="BV859" i="40" s="1"/>
  <c r="BW859" i="40" s="1"/>
  <c r="BX859" i="40" s="1"/>
  <c r="BY859" i="40" s="1"/>
  <c r="BZ859" i="40" s="1"/>
  <c r="CA859" i="40" s="1"/>
  <c r="BK863" i="40"/>
  <c r="BL863" i="40" s="1"/>
  <c r="BM863" i="40" s="1"/>
  <c r="BN863" i="40" s="1"/>
  <c r="BO863" i="40" s="1"/>
  <c r="BP863" i="40" s="1"/>
  <c r="BQ863" i="40" s="1"/>
  <c r="BR863" i="40" s="1"/>
  <c r="BS863" i="40" s="1"/>
  <c r="BT863" i="40" s="1"/>
  <c r="BU863" i="40" s="1"/>
  <c r="BV863" i="40" s="1"/>
  <c r="BW863" i="40" s="1"/>
  <c r="BX863" i="40" s="1"/>
  <c r="BY863" i="40" s="1"/>
  <c r="BZ863" i="40" s="1"/>
  <c r="CA863" i="40" s="1"/>
  <c r="BO867" i="40"/>
  <c r="BP867" i="40" s="1"/>
  <c r="BQ867" i="40" s="1"/>
  <c r="BR867" i="40" s="1"/>
  <c r="BS867" i="40" s="1"/>
  <c r="BT867" i="40" s="1"/>
  <c r="BU867" i="40" s="1"/>
  <c r="BV867" i="40" s="1"/>
  <c r="BW867" i="40" s="1"/>
  <c r="BX867" i="40" s="1"/>
  <c r="BY867" i="40" s="1"/>
  <c r="BZ867" i="40" s="1"/>
  <c r="CA867" i="40" s="1"/>
  <c r="V822" i="40"/>
  <c r="W822" i="40" s="1"/>
  <c r="X822" i="40" s="1"/>
  <c r="Y822" i="40" s="1"/>
  <c r="Z822" i="40" s="1"/>
  <c r="AA822" i="40" s="1"/>
  <c r="AB822" i="40" s="1"/>
  <c r="AC822" i="40" s="1"/>
  <c r="AD822" i="40" s="1"/>
  <c r="AE822" i="40" s="1"/>
  <c r="AF822" i="40" s="1"/>
  <c r="AG822" i="40" s="1"/>
  <c r="AH822" i="40" s="1"/>
  <c r="AI822" i="40" s="1"/>
  <c r="AJ822" i="40" s="1"/>
  <c r="AK822" i="40" s="1"/>
  <c r="AL822" i="40" s="1"/>
  <c r="AM822" i="40" s="1"/>
  <c r="AN822" i="40" s="1"/>
  <c r="AO822" i="40" s="1"/>
  <c r="AP822" i="40" s="1"/>
  <c r="AQ822" i="40" s="1"/>
  <c r="AR822" i="40" s="1"/>
  <c r="AS822" i="40" s="1"/>
  <c r="AT822" i="40" s="1"/>
  <c r="AU822" i="40" s="1"/>
  <c r="AV822" i="40" s="1"/>
  <c r="AW822" i="40" s="1"/>
  <c r="AX822" i="40" s="1"/>
  <c r="AY822" i="40" s="1"/>
  <c r="AZ822" i="40" s="1"/>
  <c r="BA822" i="40" s="1"/>
  <c r="BB822" i="40" s="1"/>
  <c r="BC822" i="40" s="1"/>
  <c r="BD822" i="40" s="1"/>
  <c r="BE822" i="40" s="1"/>
  <c r="BF822" i="40" s="1"/>
  <c r="BG822" i="40" s="1"/>
  <c r="BH822" i="40" s="1"/>
  <c r="BI822" i="40" s="1"/>
  <c r="BJ822" i="40" s="1"/>
  <c r="BK822" i="40" s="1"/>
  <c r="BL822" i="40" s="1"/>
  <c r="BM822" i="40" s="1"/>
  <c r="BN822" i="40" s="1"/>
  <c r="BO822" i="40" s="1"/>
  <c r="BP822" i="40" s="1"/>
  <c r="BQ822" i="40" s="1"/>
  <c r="BR822" i="40" s="1"/>
  <c r="BS822" i="40" s="1"/>
  <c r="BT822" i="40" s="1"/>
  <c r="BU822" i="40" s="1"/>
  <c r="BV822" i="40" s="1"/>
  <c r="BW822" i="40" s="1"/>
  <c r="BX822" i="40" s="1"/>
  <c r="BY822" i="40" s="1"/>
  <c r="BZ822" i="40" s="1"/>
  <c r="CA822" i="40" s="1"/>
  <c r="AL838" i="40"/>
  <c r="AM838" i="40" s="1"/>
  <c r="AN838" i="40" s="1"/>
  <c r="AO838" i="40" s="1"/>
  <c r="AP838" i="40" s="1"/>
  <c r="AQ838" i="40" s="1"/>
  <c r="AR838" i="40" s="1"/>
  <c r="AS838" i="40" s="1"/>
  <c r="AT838" i="40" s="1"/>
  <c r="AU838" i="40" s="1"/>
  <c r="AV838" i="40" s="1"/>
  <c r="AW838" i="40" s="1"/>
  <c r="AX838" i="40" s="1"/>
  <c r="AY838" i="40" s="1"/>
  <c r="AZ838" i="40" s="1"/>
  <c r="BA838" i="40" s="1"/>
  <c r="BB838" i="40" s="1"/>
  <c r="BC838" i="40" s="1"/>
  <c r="BD838" i="40" s="1"/>
  <c r="BE838" i="40" s="1"/>
  <c r="BF838" i="40" s="1"/>
  <c r="BG838" i="40" s="1"/>
  <c r="BH838" i="40" s="1"/>
  <c r="BI838" i="40" s="1"/>
  <c r="BJ838" i="40" s="1"/>
  <c r="BK838" i="40" s="1"/>
  <c r="BL838" i="40" s="1"/>
  <c r="BM838" i="40" s="1"/>
  <c r="BN838" i="40" s="1"/>
  <c r="BO838" i="40" s="1"/>
  <c r="BP838" i="40" s="1"/>
  <c r="BQ838" i="40" s="1"/>
  <c r="BR838" i="40" s="1"/>
  <c r="BS838" i="40" s="1"/>
  <c r="BT838" i="40" s="1"/>
  <c r="BU838" i="40" s="1"/>
  <c r="BV838" i="40" s="1"/>
  <c r="BW838" i="40" s="1"/>
  <c r="BX838" i="40" s="1"/>
  <c r="BY838" i="40" s="1"/>
  <c r="BZ838" i="40" s="1"/>
  <c r="CA838" i="40" s="1"/>
  <c r="BB854" i="40"/>
  <c r="BC854" i="40" s="1"/>
  <c r="BD854" i="40" s="1"/>
  <c r="BE854" i="40" s="1"/>
  <c r="BF854" i="40" s="1"/>
  <c r="BG854" i="40" s="1"/>
  <c r="BH854" i="40" s="1"/>
  <c r="BI854" i="40" s="1"/>
  <c r="BJ854" i="40" s="1"/>
  <c r="BK854" i="40" s="1"/>
  <c r="BL854" i="40" s="1"/>
  <c r="BM854" i="40" s="1"/>
  <c r="BN854" i="40" s="1"/>
  <c r="BO854" i="40" s="1"/>
  <c r="BP854" i="40" s="1"/>
  <c r="BQ854" i="40" s="1"/>
  <c r="BR854" i="40" s="1"/>
  <c r="BS854" i="40" s="1"/>
  <c r="BT854" i="40" s="1"/>
  <c r="BU854" i="40" s="1"/>
  <c r="BV854" i="40" s="1"/>
  <c r="BW854" i="40" s="1"/>
  <c r="BX854" i="40" s="1"/>
  <c r="BY854" i="40" s="1"/>
  <c r="BZ854" i="40" s="1"/>
  <c r="CA854" i="40" s="1"/>
  <c r="BN866" i="40"/>
  <c r="BO866" i="40" s="1"/>
  <c r="BP866" i="40" s="1"/>
  <c r="BQ866" i="40" s="1"/>
  <c r="BR866" i="40" s="1"/>
  <c r="BS866" i="40" s="1"/>
  <c r="BT866" i="40" s="1"/>
  <c r="BU866" i="40" s="1"/>
  <c r="BV866" i="40" s="1"/>
  <c r="BW866" i="40" s="1"/>
  <c r="BX866" i="40" s="1"/>
  <c r="BY866" i="40" s="1"/>
  <c r="BZ866" i="40" s="1"/>
  <c r="CA866" i="40" s="1"/>
  <c r="BR870" i="40"/>
  <c r="BS870" i="40" s="1"/>
  <c r="BT870" i="40" s="1"/>
  <c r="BU870" i="40" s="1"/>
  <c r="BV870" i="40" s="1"/>
  <c r="BW870" i="40" s="1"/>
  <c r="BX870" i="40" s="1"/>
  <c r="BY870" i="40" s="1"/>
  <c r="BZ870" i="40" s="1"/>
  <c r="CA870" i="40" s="1"/>
  <c r="CB870" i="40" s="1"/>
  <c r="D999" i="40" l="1"/>
  <c r="N103" i="42"/>
  <c r="M103" i="42"/>
  <c r="B519" i="40"/>
  <c r="B238" i="65"/>
  <c r="CB816" i="40"/>
  <c r="D892" i="40"/>
  <c r="AJ61" i="50"/>
  <c r="AH217" i="50"/>
  <c r="J355" i="50"/>
  <c r="L32" i="37"/>
  <c r="K31" i="37"/>
  <c r="L356" i="50"/>
  <c r="AL60" i="42"/>
  <c r="D1005" i="40"/>
  <c r="D1065" i="40"/>
  <c r="D1004" i="40"/>
  <c r="AI61" i="50"/>
  <c r="AK61" i="50"/>
  <c r="AL61" i="50"/>
  <c r="BM60" i="42"/>
  <c r="AL217" i="50"/>
  <c r="AK217" i="50"/>
  <c r="AM60" i="42"/>
  <c r="AN60" i="42"/>
  <c r="AJ60" i="42"/>
  <c r="AP60" i="42" s="1"/>
  <c r="AK60" i="42"/>
  <c r="BG60" i="42" s="1"/>
  <c r="M30" i="42"/>
  <c r="M32" i="50"/>
  <c r="P40" i="25"/>
  <c r="AI217" i="50"/>
  <c r="AJ217" i="50"/>
  <c r="L29" i="42"/>
  <c r="L31" i="50"/>
  <c r="O39" i="25"/>
  <c r="D1000" i="40"/>
  <c r="CB825" i="40"/>
  <c r="D996" i="40"/>
  <c r="CB859" i="40"/>
  <c r="D952" i="40"/>
  <c r="D985" i="40"/>
  <c r="D984" i="40"/>
  <c r="D971" i="40"/>
  <c r="D986" i="40"/>
  <c r="CB843" i="40"/>
  <c r="D946" i="40"/>
  <c r="CB858" i="40"/>
  <c r="D995" i="40"/>
  <c r="CB856" i="40"/>
  <c r="D1013" i="40" s="1"/>
  <c r="D980" i="40"/>
  <c r="D951" i="40"/>
  <c r="D981" i="40"/>
  <c r="CB824" i="40"/>
  <c r="D897" i="40"/>
  <c r="CB821" i="40"/>
  <c r="D896" i="40"/>
  <c r="CB855" i="40"/>
  <c r="D978" i="40"/>
  <c r="D979" i="40"/>
  <c r="CB820" i="40"/>
  <c r="D895" i="40"/>
  <c r="CB861" i="40"/>
  <c r="D973" i="40"/>
  <c r="CB865" i="40"/>
  <c r="D1076" i="40" s="1"/>
  <c r="D929" i="40"/>
  <c r="D955" i="40"/>
  <c r="CB841" i="40"/>
  <c r="D1105" i="40" s="1"/>
  <c r="D917" i="40"/>
  <c r="CB871" i="40"/>
  <c r="D989" i="40"/>
  <c r="D967" i="40"/>
  <c r="D990" i="40"/>
  <c r="CB854" i="40"/>
  <c r="D1012" i="40" s="1"/>
  <c r="D994" i="40"/>
  <c r="CB867" i="40"/>
  <c r="D1142" i="40" s="1"/>
  <c r="D956" i="40"/>
  <c r="CB835" i="40"/>
  <c r="D912" i="40"/>
  <c r="D941" i="40"/>
  <c r="CB819" i="40"/>
  <c r="D894" i="40"/>
  <c r="CB850" i="40"/>
  <c r="D922" i="40"/>
  <c r="CB830" i="40"/>
  <c r="D998" i="40"/>
  <c r="D937" i="40"/>
  <c r="D904" i="40"/>
  <c r="D903" i="40"/>
  <c r="CB826" i="40"/>
  <c r="D997" i="40"/>
  <c r="D933" i="40"/>
  <c r="D898" i="40"/>
  <c r="CB864" i="40"/>
  <c r="D970" i="40"/>
  <c r="D928" i="40"/>
  <c r="D954" i="40"/>
  <c r="D965" i="40"/>
  <c r="CB848" i="40"/>
  <c r="D920" i="40"/>
  <c r="D949" i="40"/>
  <c r="CB832" i="40"/>
  <c r="D939" i="40"/>
  <c r="D974" i="40"/>
  <c r="D975" i="40"/>
  <c r="D907" i="40"/>
  <c r="D906" i="40"/>
  <c r="CB862" i="40"/>
  <c r="D926" i="40"/>
  <c r="CB849" i="40"/>
  <c r="D921" i="40"/>
  <c r="CB837" i="40"/>
  <c r="D915" i="40"/>
  <c r="D943" i="40"/>
  <c r="CB822" i="40"/>
  <c r="D962" i="40"/>
  <c r="CB827" i="40"/>
  <c r="D899" i="40"/>
  <c r="D934" i="40"/>
  <c r="D900" i="40"/>
  <c r="CB818" i="40"/>
  <c r="D893" i="40"/>
  <c r="CB840" i="40"/>
  <c r="D945" i="40"/>
  <c r="CB866" i="40"/>
  <c r="D930" i="40"/>
  <c r="D966" i="40"/>
  <c r="CB839" i="40"/>
  <c r="CB846" i="40"/>
  <c r="D948" i="40"/>
  <c r="CB836" i="40"/>
  <c r="D914" i="40"/>
  <c r="D913" i="40"/>
  <c r="D942" i="40"/>
  <c r="CB853" i="40"/>
  <c r="D1011" i="40" s="1"/>
  <c r="D950" i="40"/>
  <c r="D923" i="40"/>
  <c r="D964" i="40"/>
  <c r="CB869" i="40"/>
  <c r="D1205" i="40" s="1"/>
  <c r="D988" i="40"/>
  <c r="D987" i="40"/>
  <c r="D957" i="40"/>
  <c r="CB838" i="40"/>
  <c r="D977" i="40"/>
  <c r="D993" i="40"/>
  <c r="D916" i="40"/>
  <c r="D944" i="40"/>
  <c r="D976" i="40"/>
  <c r="CB863" i="40"/>
  <c r="D953" i="40"/>
  <c r="D927" i="40"/>
  <c r="CB847" i="40"/>
  <c r="CB831" i="40"/>
  <c r="D1055" i="40" s="1"/>
  <c r="D905" i="40"/>
  <c r="D938" i="40"/>
  <c r="CB834" i="40"/>
  <c r="D911" i="40"/>
  <c r="D910" i="40"/>
  <c r="CB860" i="40"/>
  <c r="D972" i="40"/>
  <c r="CB844" i="40"/>
  <c r="D947" i="40"/>
  <c r="CB828" i="40"/>
  <c r="D961" i="40"/>
  <c r="D935" i="40"/>
  <c r="D901" i="40"/>
  <c r="CB829" i="40"/>
  <c r="D936" i="40"/>
  <c r="D902" i="40"/>
  <c r="D963" i="40"/>
  <c r="CB833" i="40"/>
  <c r="D940" i="40"/>
  <c r="D909" i="40"/>
  <c r="D908" i="40"/>
  <c r="CB857" i="40"/>
  <c r="BX875" i="40"/>
  <c r="BW874" i="40"/>
  <c r="CB879" i="40"/>
  <c r="D1204" i="40" s="1"/>
  <c r="CA878" i="40"/>
  <c r="D969" i="40" s="1"/>
  <c r="BY876" i="40"/>
  <c r="BU872" i="40"/>
  <c r="BV873" i="40"/>
  <c r="BZ877" i="40"/>
  <c r="CD804" i="40"/>
  <c r="CD883" i="40" s="1"/>
  <c r="CE804" i="40"/>
  <c r="CE884" i="40" s="1"/>
  <c r="CF804" i="40"/>
  <c r="CF885" i="40" s="1"/>
  <c r="CG804" i="40"/>
  <c r="CG886" i="40" s="1"/>
  <c r="CC804" i="40"/>
  <c r="K109" i="66" l="1"/>
  <c r="P111" i="66" s="1"/>
  <c r="AQ60" i="42"/>
  <c r="B520" i="40"/>
  <c r="B239" i="65"/>
  <c r="AN217" i="50"/>
  <c r="M133" i="25" s="1"/>
  <c r="D1194" i="40"/>
  <c r="D1037" i="40"/>
  <c r="D1031" i="40"/>
  <c r="D1192" i="40"/>
  <c r="D1199" i="40"/>
  <c r="D1143" i="40"/>
  <c r="AH61" i="50"/>
  <c r="D1150" i="40"/>
  <c r="M356" i="50"/>
  <c r="L31" i="37"/>
  <c r="M32" i="37"/>
  <c r="BH60" i="42"/>
  <c r="D1163" i="40"/>
  <c r="D1161" i="40"/>
  <c r="D1197" i="40"/>
  <c r="D1104" i="40"/>
  <c r="D1196" i="40"/>
  <c r="D1191" i="40"/>
  <c r="D1200" i="40"/>
  <c r="D1195" i="40"/>
  <c r="D1087" i="40"/>
  <c r="D1070" i="40"/>
  <c r="D1190" i="40"/>
  <c r="D1198" i="40"/>
  <c r="D1144" i="40"/>
  <c r="D1193" i="40"/>
  <c r="D1157" i="40"/>
  <c r="D1111" i="40"/>
  <c r="D1145" i="40"/>
  <c r="D1158" i="40"/>
  <c r="D1160" i="40"/>
  <c r="K355" i="50"/>
  <c r="D1172" i="40"/>
  <c r="D1045" i="40"/>
  <c r="D1062" i="40"/>
  <c r="D1064" i="40"/>
  <c r="D1177" i="40"/>
  <c r="D1080" i="40"/>
  <c r="D1170" i="40"/>
  <c r="D1129" i="40"/>
  <c r="D1015" i="40"/>
  <c r="D1101" i="40"/>
  <c r="D1072" i="40"/>
  <c r="D1052" i="40"/>
  <c r="D1167" i="40"/>
  <c r="D1141" i="40"/>
  <c r="D1079" i="40"/>
  <c r="D1059" i="40"/>
  <c r="D1175" i="40"/>
  <c r="D1183" i="40"/>
  <c r="D1155" i="40"/>
  <c r="D1171" i="40"/>
  <c r="D1016" i="40"/>
  <c r="D1130" i="40"/>
  <c r="D1162" i="40"/>
  <c r="D1151" i="40"/>
  <c r="D1056" i="40"/>
  <c r="D1048" i="40"/>
  <c r="D1023" i="40"/>
  <c r="D1102" i="40"/>
  <c r="D1189" i="40"/>
  <c r="D1078" i="40"/>
  <c r="D1036" i="40"/>
  <c r="D1126" i="40"/>
  <c r="D1088" i="40"/>
  <c r="D1043" i="40"/>
  <c r="D1133" i="40"/>
  <c r="D1019" i="40"/>
  <c r="D1099" i="40"/>
  <c r="D1044" i="40"/>
  <c r="D1020" i="40"/>
  <c r="D1090" i="40"/>
  <c r="D1063" i="40"/>
  <c r="D1014" i="40"/>
  <c r="D1038" i="40"/>
  <c r="D1174" i="40"/>
  <c r="D1047" i="40"/>
  <c r="D1100" i="40"/>
  <c r="D1152" i="40"/>
  <c r="D1057" i="40"/>
  <c r="D1032" i="40"/>
  <c r="D1106" i="40"/>
  <c r="D1184" i="40"/>
  <c r="D1028" i="40"/>
  <c r="D1113" i="40"/>
  <c r="D1075" i="40"/>
  <c r="D1060" i="40"/>
  <c r="D1185" i="40"/>
  <c r="D1156" i="40"/>
  <c r="D1131" i="40"/>
  <c r="D1017" i="40"/>
  <c r="D1046" i="40"/>
  <c r="D1173" i="40"/>
  <c r="D1018" i="40"/>
  <c r="D1132" i="40"/>
  <c r="D1042" i="40"/>
  <c r="D1089" i="40"/>
  <c r="D1061" i="40"/>
  <c r="D1182" i="40"/>
  <c r="D1146" i="40"/>
  <c r="D1103" i="40"/>
  <c r="D1176" i="40"/>
  <c r="D1159" i="40"/>
  <c r="D1091" i="40"/>
  <c r="D1029" i="40"/>
  <c r="D1027" i="40"/>
  <c r="D1153" i="40"/>
  <c r="D1154" i="40"/>
  <c r="D1168" i="40"/>
  <c r="D1058" i="40"/>
  <c r="D1128" i="40"/>
  <c r="D1169" i="40"/>
  <c r="BF60" i="42"/>
  <c r="M29" i="42"/>
  <c r="M31" i="50"/>
  <c r="P39" i="25"/>
  <c r="N32" i="50"/>
  <c r="N30" i="42"/>
  <c r="Q40" i="25"/>
  <c r="CA877" i="40"/>
  <c r="BV872" i="40"/>
  <c r="CB878" i="40"/>
  <c r="D1051" i="40" s="1"/>
  <c r="BX874" i="40"/>
  <c r="BW873" i="40"/>
  <c r="BZ876" i="40"/>
  <c r="BY875" i="40"/>
  <c r="CF884" i="40"/>
  <c r="CE883" i="40"/>
  <c r="D1534" i="40" s="1"/>
  <c r="CG885" i="40"/>
  <c r="CC882" i="40"/>
  <c r="CD882" i="40" s="1"/>
  <c r="CE882" i="40" s="1"/>
  <c r="CF882" i="40" s="1"/>
  <c r="CC881" i="40"/>
  <c r="CD881" i="40" s="1"/>
  <c r="CE881" i="40" s="1"/>
  <c r="D1533" i="40" s="1"/>
  <c r="CC827" i="40"/>
  <c r="D1242" i="40" s="1"/>
  <c r="CC839" i="40"/>
  <c r="CC842" i="40"/>
  <c r="D1256" i="40" s="1"/>
  <c r="CC832" i="40"/>
  <c r="CC817" i="40"/>
  <c r="CD817" i="40" s="1"/>
  <c r="CE817" i="40" s="1"/>
  <c r="CF817" i="40" s="1"/>
  <c r="CG817" i="40" s="1"/>
  <c r="CC870" i="40"/>
  <c r="D1236" i="40" s="1"/>
  <c r="CC835" i="40"/>
  <c r="CC826" i="40"/>
  <c r="D1241" i="40" s="1"/>
  <c r="CC828" i="40"/>
  <c r="CC865" i="40"/>
  <c r="D1234" i="40" s="1"/>
  <c r="CC843" i="40"/>
  <c r="D1257" i="40" s="1"/>
  <c r="CC863" i="40"/>
  <c r="CC834" i="40"/>
  <c r="D1249" i="40" s="1"/>
  <c r="CC856" i="40"/>
  <c r="D1296" i="40" s="1"/>
  <c r="CC829" i="40"/>
  <c r="CC841" i="40"/>
  <c r="CC868" i="40"/>
  <c r="D1272" i="40" s="1"/>
  <c r="CC837" i="40"/>
  <c r="CC821" i="40"/>
  <c r="CC814" i="40"/>
  <c r="CD814" i="40" s="1"/>
  <c r="CE814" i="40" s="1"/>
  <c r="CF814" i="40" s="1"/>
  <c r="CG814" i="40" s="1"/>
  <c r="CC840" i="40"/>
  <c r="D1254" i="40" s="1"/>
  <c r="CC852" i="40"/>
  <c r="CC813" i="40"/>
  <c r="CD813" i="40" s="1"/>
  <c r="CE813" i="40" s="1"/>
  <c r="CF813" i="40" s="1"/>
  <c r="CG813" i="40" s="1"/>
  <c r="CC809" i="40"/>
  <c r="CD809" i="40" s="1"/>
  <c r="CE809" i="40" s="1"/>
  <c r="CF809" i="40" s="1"/>
  <c r="CG809" i="40" s="1"/>
  <c r="CC871" i="40"/>
  <c r="CC864" i="40"/>
  <c r="D1270" i="40" s="1"/>
  <c r="CC867" i="40"/>
  <c r="CD867" i="40" s="1"/>
  <c r="CC845" i="40"/>
  <c r="D1258" i="40" s="1"/>
  <c r="CC831" i="40"/>
  <c r="CC818" i="40"/>
  <c r="CD818" i="40" s="1"/>
  <c r="CE818" i="40" s="1"/>
  <c r="CF818" i="40" s="1"/>
  <c r="CG818" i="40" s="1"/>
  <c r="CC822" i="40"/>
  <c r="CD822" i="40" s="1"/>
  <c r="CE822" i="40" s="1"/>
  <c r="CC823" i="40"/>
  <c r="CD823" i="40" s="1"/>
  <c r="CE823" i="40" s="1"/>
  <c r="CF823" i="40" s="1"/>
  <c r="CC880" i="40"/>
  <c r="D1283" i="40" s="1"/>
  <c r="CC816" i="40"/>
  <c r="CC857" i="40"/>
  <c r="D1266" i="40" s="1"/>
  <c r="CC866" i="40"/>
  <c r="CC819" i="40"/>
  <c r="CD819" i="40" s="1"/>
  <c r="D1301" i="40" s="1"/>
  <c r="CC812" i="40"/>
  <c r="CC847" i="40"/>
  <c r="CC811" i="40"/>
  <c r="CD811" i="40" s="1"/>
  <c r="CE811" i="40" s="1"/>
  <c r="CF811" i="40" s="1"/>
  <c r="CG811" i="40" s="1"/>
  <c r="CC861" i="40"/>
  <c r="D1268" i="40" s="1"/>
  <c r="CC860" i="40"/>
  <c r="CD860" i="40" s="1"/>
  <c r="CC854" i="40"/>
  <c r="D1263" i="40" s="1"/>
  <c r="CC824" i="40"/>
  <c r="CD824" i="40" s="1"/>
  <c r="CE824" i="40" s="1"/>
  <c r="CF824" i="40" s="1"/>
  <c r="CG824" i="40" s="1"/>
  <c r="CC836" i="40"/>
  <c r="CC855" i="40"/>
  <c r="CC846" i="40"/>
  <c r="CD846" i="40" s="1"/>
  <c r="CC848" i="40"/>
  <c r="CC853" i="40"/>
  <c r="D1262" i="40" s="1"/>
  <c r="CC859" i="40"/>
  <c r="D1282" i="40" s="1"/>
  <c r="CC851" i="40"/>
  <c r="D1260" i="40" s="1"/>
  <c r="CC830" i="40"/>
  <c r="CC844" i="40"/>
  <c r="D1287" i="40" s="1"/>
  <c r="CC862" i="40"/>
  <c r="D1232" i="40" s="1"/>
  <c r="CC879" i="40"/>
  <c r="CD879" i="40" s="1"/>
  <c r="CE879" i="40" s="1"/>
  <c r="CF879" i="40" s="1"/>
  <c r="CC815" i="40"/>
  <c r="CD815" i="40" s="1"/>
  <c r="D1299" i="40" s="1"/>
  <c r="CC808" i="40"/>
  <c r="CD808" i="40" s="1"/>
  <c r="CE808" i="40" s="1"/>
  <c r="CF808" i="40" s="1"/>
  <c r="CG808" i="40" s="1"/>
  <c r="CC869" i="40"/>
  <c r="CD869" i="40" s="1"/>
  <c r="CC858" i="40"/>
  <c r="CC820" i="40"/>
  <c r="CD820" i="40" s="1"/>
  <c r="CC833" i="40"/>
  <c r="CC807" i="40"/>
  <c r="CD807" i="40" s="1"/>
  <c r="CE807" i="40" s="1"/>
  <c r="CC850" i="40"/>
  <c r="D1259" i="40" s="1"/>
  <c r="CC838" i="40"/>
  <c r="CC810" i="40"/>
  <c r="CD810" i="40" s="1"/>
  <c r="CE810" i="40" s="1"/>
  <c r="CC849" i="40"/>
  <c r="CD849" i="40" s="1"/>
  <c r="CC825" i="40"/>
  <c r="CG823" i="40" l="1"/>
  <c r="D1544" i="40"/>
  <c r="CG884" i="40"/>
  <c r="CG879" i="40"/>
  <c r="D1574" i="40"/>
  <c r="D1636" i="40"/>
  <c r="D1655" i="40"/>
  <c r="D1610" i="40"/>
  <c r="CG882" i="40"/>
  <c r="D1656" i="40"/>
  <c r="O111" i="66"/>
  <c r="CF881" i="40"/>
  <c r="D1516" i="40"/>
  <c r="D1472" i="40"/>
  <c r="CF822" i="40"/>
  <c r="CG822" i="40" s="1"/>
  <c r="D1426" i="40"/>
  <c r="CF807" i="40"/>
  <c r="CG807" i="40" s="1"/>
  <c r="D1423" i="40"/>
  <c r="CF810" i="40"/>
  <c r="CG810" i="40" s="1"/>
  <c r="D1424" i="40"/>
  <c r="CF883" i="40"/>
  <c r="M111" i="66"/>
  <c r="N111" i="66"/>
  <c r="AO217" i="50"/>
  <c r="N133" i="25" s="1"/>
  <c r="AR60" i="42"/>
  <c r="B521" i="40"/>
  <c r="B240" i="65"/>
  <c r="CE820" i="40"/>
  <c r="CF820" i="40" s="1"/>
  <c r="D1302" i="40"/>
  <c r="D1312" i="40"/>
  <c r="D1378" i="40"/>
  <c r="CE867" i="40"/>
  <c r="D1368" i="40"/>
  <c r="D1322" i="40"/>
  <c r="D1389" i="40"/>
  <c r="D1313" i="40"/>
  <c r="D1379" i="40"/>
  <c r="CE860" i="40"/>
  <c r="CF860" i="40" s="1"/>
  <c r="CG860" i="40" s="1"/>
  <c r="D1318" i="40"/>
  <c r="CE869" i="40"/>
  <c r="D1531" i="40" s="1"/>
  <c r="D1369" i="40"/>
  <c r="D1391" i="40"/>
  <c r="CE819" i="40"/>
  <c r="CE815" i="40"/>
  <c r="CF815" i="40" s="1"/>
  <c r="CG815" i="40" s="1"/>
  <c r="CE846" i="40"/>
  <c r="CE849" i="40"/>
  <c r="D1226" i="40"/>
  <c r="D1298" i="40"/>
  <c r="M132" i="25"/>
  <c r="O139" i="25" s="1"/>
  <c r="D1286" i="40"/>
  <c r="D1295" i="40"/>
  <c r="D1228" i="40"/>
  <c r="D1261" i="40"/>
  <c r="D1223" i="40"/>
  <c r="D1252" i="40"/>
  <c r="D1230" i="40"/>
  <c r="D1265" i="40"/>
  <c r="D1291" i="40"/>
  <c r="D1244" i="40"/>
  <c r="D1250" i="40"/>
  <c r="D1278" i="40"/>
  <c r="D1221" i="40"/>
  <c r="D1294" i="40"/>
  <c r="D1276" i="40"/>
  <c r="D1246" i="40"/>
  <c r="D1237" i="40"/>
  <c r="D1273" i="40"/>
  <c r="D1289" i="40"/>
  <c r="D1284" i="40"/>
  <c r="D1267" i="40"/>
  <c r="D1231" i="40"/>
  <c r="D1279" i="40"/>
  <c r="D1229" i="40"/>
  <c r="D1264" i="40"/>
  <c r="D1293" i="40"/>
  <c r="D1248" i="40"/>
  <c r="D1222" i="40"/>
  <c r="D1251" i="40"/>
  <c r="D1290" i="40"/>
  <c r="D1243" i="40"/>
  <c r="D1224" i="40"/>
  <c r="D1285" i="40"/>
  <c r="D1253" i="40"/>
  <c r="D1281" i="40"/>
  <c r="D1245" i="40"/>
  <c r="D1292" i="40"/>
  <c r="D1288" i="40"/>
  <c r="D1227" i="40"/>
  <c r="D1235" i="40"/>
  <c r="D1271" i="40"/>
  <c r="D1255" i="40"/>
  <c r="D1225" i="40"/>
  <c r="D1275" i="40"/>
  <c r="D1233" i="40"/>
  <c r="D1269" i="40"/>
  <c r="D1277" i="40"/>
  <c r="D1247" i="40"/>
  <c r="CD851" i="40"/>
  <c r="CD854" i="40"/>
  <c r="CD847" i="40"/>
  <c r="CD857" i="40"/>
  <c r="CD843" i="40"/>
  <c r="CD842" i="40"/>
  <c r="CE842" i="40" s="1"/>
  <c r="CD848" i="40"/>
  <c r="CD866" i="40"/>
  <c r="CD845" i="40"/>
  <c r="CE845" i="40" s="1"/>
  <c r="CD863" i="40"/>
  <c r="CD850" i="40"/>
  <c r="CD858" i="40"/>
  <c r="CD862" i="40"/>
  <c r="CD859" i="40"/>
  <c r="CD855" i="40"/>
  <c r="CE855" i="40" s="1"/>
  <c r="CD864" i="40"/>
  <c r="CD852" i="40"/>
  <c r="CE852" i="40" s="1"/>
  <c r="CF852" i="40" s="1"/>
  <c r="CG852" i="40" s="1"/>
  <c r="CD856" i="40"/>
  <c r="CD865" i="40"/>
  <c r="CD870" i="40"/>
  <c r="CD839" i="40"/>
  <c r="CD838" i="40"/>
  <c r="CD844" i="40"/>
  <c r="CD853" i="40"/>
  <c r="CD861" i="40"/>
  <c r="CE861" i="40" s="1"/>
  <c r="CD871" i="40"/>
  <c r="CD840" i="40"/>
  <c r="CD868" i="40"/>
  <c r="D1422" i="40" s="1"/>
  <c r="CD821" i="40"/>
  <c r="CE821" i="40" s="1"/>
  <c r="CF821" i="40" s="1"/>
  <c r="D1210" i="40"/>
  <c r="CD812" i="40"/>
  <c r="CE812" i="40" s="1"/>
  <c r="CF812" i="40" s="1"/>
  <c r="CG812" i="40" s="1"/>
  <c r="D1208" i="40"/>
  <c r="CD816" i="40"/>
  <c r="D1300" i="40" s="1"/>
  <c r="D1209" i="40"/>
  <c r="CD837" i="40"/>
  <c r="CD829" i="40"/>
  <c r="D1215" i="40"/>
  <c r="CD833" i="40"/>
  <c r="D1219" i="40"/>
  <c r="CD836" i="40"/>
  <c r="CD831" i="40"/>
  <c r="D1217" i="40"/>
  <c r="CD834" i="40"/>
  <c r="D1220" i="40"/>
  <c r="CD828" i="40"/>
  <c r="D1214" i="40"/>
  <c r="CD827" i="40"/>
  <c r="D1213" i="40"/>
  <c r="CD825" i="40"/>
  <c r="D1211" i="40"/>
  <c r="CD835" i="40"/>
  <c r="D1414" i="40" s="1"/>
  <c r="CD830" i="40"/>
  <c r="D1216" i="40"/>
  <c r="CD826" i="40"/>
  <c r="D1212" i="40"/>
  <c r="CD832" i="40"/>
  <c r="D1218" i="40"/>
  <c r="AZ217" i="50"/>
  <c r="J344" i="50" s="1"/>
  <c r="CD841" i="40"/>
  <c r="D1207" i="40"/>
  <c r="M31" i="37"/>
  <c r="N356" i="50"/>
  <c r="CD880" i="40"/>
  <c r="CE880" i="40" s="1"/>
  <c r="CF880" i="40" s="1"/>
  <c r="D1206" i="40"/>
  <c r="D1095" i="40"/>
  <c r="D1203" i="40"/>
  <c r="D1009" i="40"/>
  <c r="D1006" i="40"/>
  <c r="L355" i="50"/>
  <c r="CC878" i="40"/>
  <c r="CD878" i="40" s="1"/>
  <c r="CE878" i="40" s="1"/>
  <c r="D1188" i="40"/>
  <c r="D1008" i="40"/>
  <c r="D1007" i="40"/>
  <c r="AX60" i="42"/>
  <c r="BN60" i="42" s="1"/>
  <c r="BV60" i="42" s="1"/>
  <c r="J104" i="42" s="1"/>
  <c r="N29" i="42"/>
  <c r="N31" i="50"/>
  <c r="Q39" i="25"/>
  <c r="BI60" i="42"/>
  <c r="BZ875" i="40"/>
  <c r="BX873" i="40"/>
  <c r="BY874" i="40"/>
  <c r="BW872" i="40"/>
  <c r="CA876" i="40"/>
  <c r="CB877" i="40"/>
  <c r="CG881" i="40" l="1"/>
  <c r="D1612" i="40"/>
  <c r="CG883" i="40"/>
  <c r="D1657" i="40"/>
  <c r="CG880" i="40"/>
  <c r="D1611" i="40"/>
  <c r="CG821" i="40"/>
  <c r="D1543" i="40"/>
  <c r="CG820" i="40"/>
  <c r="D1542" i="40"/>
  <c r="BA217" i="50"/>
  <c r="K344" i="50" s="1"/>
  <c r="M109" i="66"/>
  <c r="P113" i="66" s="1"/>
  <c r="CF846" i="40"/>
  <c r="D1441" i="40"/>
  <c r="CF855" i="40"/>
  <c r="D1520" i="40"/>
  <c r="CF869" i="40"/>
  <c r="D1504" i="40"/>
  <c r="D1478" i="40"/>
  <c r="D1505" i="40"/>
  <c r="CF867" i="40"/>
  <c r="D1523" i="40"/>
  <c r="D1448" i="40"/>
  <c r="D1502" i="40"/>
  <c r="CF878" i="40"/>
  <c r="D1471" i="40"/>
  <c r="D1515" i="40"/>
  <c r="CF842" i="40"/>
  <c r="CG842" i="40" s="1"/>
  <c r="D1462" i="40"/>
  <c r="CF819" i="40"/>
  <c r="D1425" i="40"/>
  <c r="CF861" i="40"/>
  <c r="D1601" i="40" s="1"/>
  <c r="D1466" i="40"/>
  <c r="CF845" i="40"/>
  <c r="D1492" i="40"/>
  <c r="CF849" i="40"/>
  <c r="D1442" i="40"/>
  <c r="AP217" i="50"/>
  <c r="O133" i="25" s="1"/>
  <c r="AS60" i="42"/>
  <c r="AY60" i="42"/>
  <c r="BO60" i="42" s="1"/>
  <c r="BW60" i="42" s="1"/>
  <c r="K104" i="42" s="1"/>
  <c r="B522" i="40"/>
  <c r="B241" i="65"/>
  <c r="CE835" i="40"/>
  <c r="D1357" i="40"/>
  <c r="D1419" i="40"/>
  <c r="D1415" i="40"/>
  <c r="D1335" i="40"/>
  <c r="CE834" i="40"/>
  <c r="D1536" i="40" s="1"/>
  <c r="D1311" i="40"/>
  <c r="D1334" i="40"/>
  <c r="D1356" i="40"/>
  <c r="CE837" i="40"/>
  <c r="D1336" i="40"/>
  <c r="D1405" i="40"/>
  <c r="CE844" i="40"/>
  <c r="CF844" i="40" s="1"/>
  <c r="CG844" i="40" s="1"/>
  <c r="D1339" i="40"/>
  <c r="CE826" i="40"/>
  <c r="D1326" i="40"/>
  <c r="D1303" i="40"/>
  <c r="CE833" i="40"/>
  <c r="D1418" i="40"/>
  <c r="D1333" i="40"/>
  <c r="D1310" i="40"/>
  <c r="CE838" i="40"/>
  <c r="D1377" i="40"/>
  <c r="D1358" i="40"/>
  <c r="CE859" i="40"/>
  <c r="D1539" i="40" s="1"/>
  <c r="D1384" i="40"/>
  <c r="D1317" i="40"/>
  <c r="D1364" i="40"/>
  <c r="CE863" i="40"/>
  <c r="D1365" i="40"/>
  <c r="D1413" i="40"/>
  <c r="D1319" i="40"/>
  <c r="CE854" i="40"/>
  <c r="D1316" i="40"/>
  <c r="D1411" i="40"/>
  <c r="D1343" i="40"/>
  <c r="CE825" i="40"/>
  <c r="D1535" i="40" s="1"/>
  <c r="D1399" i="40"/>
  <c r="CE828" i="40"/>
  <c r="D1328" i="40"/>
  <c r="D1401" i="40"/>
  <c r="D1305" i="40"/>
  <c r="D1417" i="40"/>
  <c r="D1352" i="40"/>
  <c r="D1353" i="40"/>
  <c r="D1308" i="40"/>
  <c r="D1402" i="40"/>
  <c r="D1331" i="40"/>
  <c r="CE839" i="40"/>
  <c r="D1406" i="40"/>
  <c r="D1359" i="40"/>
  <c r="CE862" i="40"/>
  <c r="D1385" i="40"/>
  <c r="CE843" i="40"/>
  <c r="D1408" i="40"/>
  <c r="D1341" i="40"/>
  <c r="D1362" i="40"/>
  <c r="D1380" i="40"/>
  <c r="CE841" i="40"/>
  <c r="D1407" i="40"/>
  <c r="D1360" i="40"/>
  <c r="D1338" i="40"/>
  <c r="CE827" i="40"/>
  <c r="D1526" i="40" s="1"/>
  <c r="D1400" i="40"/>
  <c r="D1304" i="40"/>
  <c r="D1416" i="40"/>
  <c r="D1327" i="40"/>
  <c r="CE840" i="40"/>
  <c r="D1421" i="40"/>
  <c r="D1337" i="40"/>
  <c r="CE865" i="40"/>
  <c r="D1320" i="40"/>
  <c r="D1387" i="40"/>
  <c r="D1366" i="40"/>
  <c r="CE850" i="40"/>
  <c r="CF850" i="40" s="1"/>
  <c r="D1361" i="40"/>
  <c r="D1314" i="40"/>
  <c r="CE848" i="40"/>
  <c r="CF848" i="40" s="1"/>
  <c r="D1410" i="40"/>
  <c r="CE847" i="40"/>
  <c r="D1537" i="40" s="1"/>
  <c r="D1409" i="40"/>
  <c r="D1340" i="40"/>
  <c r="CE871" i="40"/>
  <c r="D1532" i="40" s="1"/>
  <c r="D1371" i="40"/>
  <c r="D1382" i="40"/>
  <c r="D1344" i="40"/>
  <c r="CE832" i="40"/>
  <c r="D1529" i="40" s="1"/>
  <c r="D1309" i="40"/>
  <c r="D1403" i="40"/>
  <c r="D1355" i="40"/>
  <c r="D1354" i="40"/>
  <c r="D1332" i="40"/>
  <c r="CE830" i="40"/>
  <c r="D1307" i="40"/>
  <c r="D1330" i="40"/>
  <c r="CE836" i="40"/>
  <c r="D1404" i="40"/>
  <c r="D1420" i="40"/>
  <c r="CE829" i="40"/>
  <c r="D1527" i="40" s="1"/>
  <c r="D1306" i="40"/>
  <c r="D1329" i="40"/>
  <c r="CE868" i="40"/>
  <c r="D1390" i="40"/>
  <c r="D1348" i="40"/>
  <c r="D1350" i="40"/>
  <c r="D1342" i="40"/>
  <c r="D1381" i="40"/>
  <c r="D1363" i="40"/>
  <c r="D1315" i="40"/>
  <c r="CE870" i="40"/>
  <c r="D1349" i="40"/>
  <c r="D1323" i="40"/>
  <c r="D1370" i="40"/>
  <c r="D1392" i="40"/>
  <c r="CE864" i="40"/>
  <c r="D1386" i="40"/>
  <c r="D1351" i="40"/>
  <c r="D1346" i="40"/>
  <c r="CE858" i="40"/>
  <c r="D1345" i="40"/>
  <c r="CE866" i="40"/>
  <c r="D1388" i="40"/>
  <c r="D1321" i="40"/>
  <c r="D1367" i="40"/>
  <c r="D1347" i="40"/>
  <c r="D1412" i="40"/>
  <c r="D1383" i="40"/>
  <c r="CE853" i="40"/>
  <c r="D1530" i="40" s="1"/>
  <c r="CE856" i="40"/>
  <c r="CF856" i="40" s="1"/>
  <c r="CE831" i="40"/>
  <c r="D1528" i="40" s="1"/>
  <c r="CE816" i="40"/>
  <c r="CF816" i="40" s="1"/>
  <c r="CE851" i="40"/>
  <c r="CE857" i="40"/>
  <c r="AZ61" i="50"/>
  <c r="D1030" i="40"/>
  <c r="D1086" i="40"/>
  <c r="D1069" i="40"/>
  <c r="N132" i="25"/>
  <c r="P139" i="25" s="1"/>
  <c r="AZ122" i="50"/>
  <c r="AZ60" i="42"/>
  <c r="BP60" i="42" s="1"/>
  <c r="BX60" i="42" s="1"/>
  <c r="L104" i="42" s="1"/>
  <c r="BJ60" i="42"/>
  <c r="D983" i="40"/>
  <c r="D982" i="40"/>
  <c r="D1202" i="40"/>
  <c r="D1149" i="40"/>
  <c r="D1109" i="40"/>
  <c r="D1110" i="40"/>
  <c r="D1140" i="40"/>
  <c r="D1181" i="40"/>
  <c r="M355" i="50"/>
  <c r="D1077" i="40"/>
  <c r="D1166" i="40"/>
  <c r="D1125" i="40"/>
  <c r="D991" i="40"/>
  <c r="D960" i="40"/>
  <c r="D992" i="40"/>
  <c r="BX872" i="40"/>
  <c r="CC877" i="40"/>
  <c r="CD877" i="40" s="1"/>
  <c r="BY873" i="40"/>
  <c r="CB876" i="40"/>
  <c r="BZ874" i="40"/>
  <c r="CA875" i="40"/>
  <c r="CG878" i="40" l="1"/>
  <c r="D1609" i="40"/>
  <c r="D1573" i="40"/>
  <c r="CG867" i="40"/>
  <c r="D1605" i="40"/>
  <c r="D1659" i="40"/>
  <c r="CG849" i="40"/>
  <c r="D1593" i="40"/>
  <c r="CG845" i="40"/>
  <c r="D1590" i="40"/>
  <c r="D1648" i="40"/>
  <c r="CG850" i="40"/>
  <c r="D1594" i="40"/>
  <c r="CG816" i="40"/>
  <c r="D1540" i="40"/>
  <c r="CG869" i="40"/>
  <c r="D1568" i="40"/>
  <c r="CG819" i="40"/>
  <c r="D1541" i="40"/>
  <c r="CG846" i="40"/>
  <c r="D1591" i="40"/>
  <c r="D1649" i="40"/>
  <c r="CG848" i="40"/>
  <c r="D1561" i="40"/>
  <c r="D1592" i="40"/>
  <c r="CG856" i="40"/>
  <c r="D1598" i="40"/>
  <c r="D1564" i="40"/>
  <c r="CG855" i="40"/>
  <c r="D1597" i="40"/>
  <c r="N109" i="66"/>
  <c r="P114" i="66" s="1"/>
  <c r="M113" i="66"/>
  <c r="O113" i="66"/>
  <c r="N113" i="66"/>
  <c r="CG861" i="40"/>
  <c r="D1525" i="40"/>
  <c r="BB217" i="50"/>
  <c r="L344" i="50" s="1"/>
  <c r="AQ217" i="50"/>
  <c r="P133" i="25" s="1"/>
  <c r="CF829" i="40"/>
  <c r="D1455" i="40"/>
  <c r="D1430" i="40"/>
  <c r="CF827" i="40"/>
  <c r="D1428" i="40"/>
  <c r="CF828" i="40"/>
  <c r="D1429" i="40"/>
  <c r="D1454" i="40"/>
  <c r="CF826" i="40"/>
  <c r="D1427" i="40"/>
  <c r="CF858" i="40"/>
  <c r="D1464" i="40"/>
  <c r="D1495" i="40"/>
  <c r="CF871" i="40"/>
  <c r="D1507" i="40"/>
  <c r="D1451" i="40"/>
  <c r="D1469" i="40"/>
  <c r="D1480" i="40"/>
  <c r="CF841" i="40"/>
  <c r="D1490" i="40"/>
  <c r="CF831" i="40"/>
  <c r="D1457" i="40"/>
  <c r="D1432" i="40"/>
  <c r="D1484" i="40"/>
  <c r="CF870" i="40"/>
  <c r="D1479" i="40"/>
  <c r="D1506" i="40"/>
  <c r="D1450" i="40"/>
  <c r="CF868" i="40"/>
  <c r="D1503" i="40"/>
  <c r="D1449" i="40"/>
  <c r="D1468" i="40"/>
  <c r="D1477" i="40"/>
  <c r="CF843" i="40"/>
  <c r="D1491" i="40"/>
  <c r="CF838" i="40"/>
  <c r="D1439" i="40"/>
  <c r="D1488" i="40"/>
  <c r="CF833" i="40"/>
  <c r="D1459" i="40"/>
  <c r="D1517" i="40"/>
  <c r="D1486" i="40"/>
  <c r="D1434" i="40"/>
  <c r="CF837" i="40"/>
  <c r="D1438" i="40"/>
  <c r="D1461" i="40"/>
  <c r="CF834" i="40"/>
  <c r="D1487" i="40"/>
  <c r="D1435" i="40"/>
  <c r="CF866" i="40"/>
  <c r="D1501" i="40"/>
  <c r="D1476" i="40"/>
  <c r="D1522" i="40"/>
  <c r="CF839" i="40"/>
  <c r="D1489" i="40"/>
  <c r="CF825" i="40"/>
  <c r="CF854" i="40"/>
  <c r="D1519" i="40"/>
  <c r="D1445" i="40"/>
  <c r="CF863" i="40"/>
  <c r="D1498" i="40"/>
  <c r="CF859" i="40"/>
  <c r="D1475" i="40"/>
  <c r="D1473" i="40"/>
  <c r="D1496" i="40"/>
  <c r="D1481" i="40"/>
  <c r="D1465" i="40"/>
  <c r="D1446" i="40"/>
  <c r="CF835" i="40"/>
  <c r="D1436" i="40"/>
  <c r="CF864" i="40"/>
  <c r="D1483" i="40"/>
  <c r="D1499" i="40"/>
  <c r="CF832" i="40"/>
  <c r="D1433" i="40"/>
  <c r="D1485" i="40"/>
  <c r="D1458" i="40"/>
  <c r="CF865" i="40"/>
  <c r="D1500" i="40"/>
  <c r="D1447" i="40"/>
  <c r="CF857" i="40"/>
  <c r="D1494" i="40"/>
  <c r="D1474" i="40"/>
  <c r="CF830" i="40"/>
  <c r="D1431" i="40"/>
  <c r="D1456" i="40"/>
  <c r="CF851" i="40"/>
  <c r="D1443" i="40"/>
  <c r="D1493" i="40"/>
  <c r="CF853" i="40"/>
  <c r="D1444" i="40"/>
  <c r="CF836" i="40"/>
  <c r="D1437" i="40"/>
  <c r="D1460" i="40"/>
  <c r="CF847" i="40"/>
  <c r="D1463" i="40"/>
  <c r="CF840" i="40"/>
  <c r="D1518" i="40"/>
  <c r="D1440" i="40"/>
  <c r="CF862" i="40"/>
  <c r="CG862" i="40" s="1"/>
  <c r="D1467" i="40"/>
  <c r="D1497" i="40"/>
  <c r="D1482" i="40"/>
  <c r="D1521" i="40"/>
  <c r="AT60" i="42"/>
  <c r="B523" i="40"/>
  <c r="B242" i="65"/>
  <c r="CE877" i="40"/>
  <c r="D1376" i="40"/>
  <c r="D1398" i="40"/>
  <c r="J205" i="50"/>
  <c r="O132" i="25"/>
  <c r="D1085" i="40"/>
  <c r="D1041" i="40"/>
  <c r="BA61" i="50"/>
  <c r="K205" i="50" s="1"/>
  <c r="BA60" i="42"/>
  <c r="BQ60" i="42" s="1"/>
  <c r="BY60" i="42" s="1"/>
  <c r="M104" i="42" s="1"/>
  <c r="BB61" i="50"/>
  <c r="L205" i="50" s="1"/>
  <c r="D1148" i="40"/>
  <c r="D1116" i="40"/>
  <c r="N355" i="50"/>
  <c r="D1139" i="40"/>
  <c r="D1165" i="40"/>
  <c r="D1124" i="40"/>
  <c r="CA874" i="40"/>
  <c r="D925" i="40" s="1"/>
  <c r="CB875" i="40"/>
  <c r="D1180" i="40" s="1"/>
  <c r="CC876" i="40"/>
  <c r="CD876" i="40" s="1"/>
  <c r="BZ873" i="40"/>
  <c r="BY872" i="40"/>
  <c r="CG854" i="40" l="1"/>
  <c r="D1596" i="40"/>
  <c r="D1563" i="40"/>
  <c r="CG825" i="40"/>
  <c r="D1545" i="40"/>
  <c r="D1637" i="40"/>
  <c r="CG871" i="40"/>
  <c r="D1652" i="40"/>
  <c r="D1624" i="40"/>
  <c r="D1569" i="40"/>
  <c r="D1614" i="40"/>
  <c r="D1625" i="40"/>
  <c r="CG829" i="40"/>
  <c r="D1577" i="40"/>
  <c r="D1549" i="40"/>
  <c r="D1639" i="40"/>
  <c r="CG830" i="40"/>
  <c r="D1578" i="40"/>
  <c r="D1550" i="40"/>
  <c r="CG840" i="40"/>
  <c r="D1629" i="40"/>
  <c r="D1646" i="40"/>
  <c r="CG835" i="40"/>
  <c r="D1583" i="40"/>
  <c r="D1555" i="40"/>
  <c r="CG847" i="40"/>
  <c r="D1560" i="40"/>
  <c r="CG833" i="40"/>
  <c r="D1642" i="40"/>
  <c r="D1622" i="40"/>
  <c r="D1553" i="40"/>
  <c r="D1581" i="40"/>
  <c r="D1621" i="40"/>
  <c r="CG858" i="40"/>
  <c r="D1599" i="40"/>
  <c r="CG826" i="40"/>
  <c r="D1546" i="40"/>
  <c r="CG864" i="40"/>
  <c r="D1603" i="40"/>
  <c r="D1632" i="40"/>
  <c r="CG868" i="40"/>
  <c r="D1623" i="40"/>
  <c r="D1613" i="40"/>
  <c r="D1606" i="40"/>
  <c r="CG839" i="40"/>
  <c r="D1558" i="40"/>
  <c r="D1645" i="40"/>
  <c r="D1628" i="40"/>
  <c r="D1587" i="40"/>
  <c r="CG857" i="40"/>
  <c r="D1650" i="40"/>
  <c r="CG865" i="40"/>
  <c r="D1566" i="40"/>
  <c r="CG837" i="40"/>
  <c r="D1585" i="40"/>
  <c r="CG870" i="40"/>
  <c r="D1607" i="40"/>
  <c r="CG827" i="40"/>
  <c r="D1547" i="40"/>
  <c r="D1658" i="40"/>
  <c r="D1638" i="40"/>
  <c r="D1575" i="40"/>
  <c r="D1660" i="40"/>
  <c r="CG836" i="40"/>
  <c r="D1584" i="40"/>
  <c r="D1556" i="40"/>
  <c r="D1644" i="40"/>
  <c r="CG866" i="40"/>
  <c r="D1604" i="40"/>
  <c r="D1567" i="40"/>
  <c r="D1651" i="40"/>
  <c r="D1615" i="40"/>
  <c r="CG838" i="40"/>
  <c r="D1557" i="40"/>
  <c r="D1627" i="40"/>
  <c r="P109" i="66" s="1"/>
  <c r="P116" i="66" s="1"/>
  <c r="D1586" i="40"/>
  <c r="CG831" i="40"/>
  <c r="D1618" i="40"/>
  <c r="D1551" i="40"/>
  <c r="D1617" i="40"/>
  <c r="D1616" i="40"/>
  <c r="D1640" i="40"/>
  <c r="D1579" i="40"/>
  <c r="CG853" i="40"/>
  <c r="D1631" i="40"/>
  <c r="D1562" i="40"/>
  <c r="D1595" i="40"/>
  <c r="CG859" i="40"/>
  <c r="D1565" i="40"/>
  <c r="D1600" i="40"/>
  <c r="CG843" i="40"/>
  <c r="D1589" i="40"/>
  <c r="CG828" i="40"/>
  <c r="D1576" i="40"/>
  <c r="D1548" i="40"/>
  <c r="CG834" i="40"/>
  <c r="D1643" i="40"/>
  <c r="D1554" i="40"/>
  <c r="D1582" i="40"/>
  <c r="CG841" i="40"/>
  <c r="D1661" i="40"/>
  <c r="D1647" i="40"/>
  <c r="D1588" i="40"/>
  <c r="D1559" i="40"/>
  <c r="CG832" i="40"/>
  <c r="D1641" i="40"/>
  <c r="D1620" i="40"/>
  <c r="D1580" i="40"/>
  <c r="D1619" i="40"/>
  <c r="D1552" i="40"/>
  <c r="CG863" i="40"/>
  <c r="D1602" i="40"/>
  <c r="CG851" i="40"/>
  <c r="D1630" i="40"/>
  <c r="O114" i="66"/>
  <c r="N114" i="66"/>
  <c r="BC217" i="50"/>
  <c r="M344" i="50" s="1"/>
  <c r="AR217" i="50"/>
  <c r="Q133" i="25" s="1"/>
  <c r="CF877" i="40"/>
  <c r="D1453" i="40"/>
  <c r="D1514" i="40"/>
  <c r="Q139" i="25"/>
  <c r="B524" i="40"/>
  <c r="B243" i="65"/>
  <c r="CE876" i="40"/>
  <c r="D1375" i="40"/>
  <c r="J354" i="50"/>
  <c r="J362" i="50" s="1"/>
  <c r="P132" i="25"/>
  <c r="N30" i="32" s="1"/>
  <c r="D1040" i="40"/>
  <c r="D1084" i="40"/>
  <c r="K354" i="50"/>
  <c r="K362" i="50" s="1"/>
  <c r="L354" i="50"/>
  <c r="L362" i="50" s="1"/>
  <c r="BB60" i="42"/>
  <c r="BR60" i="42" s="1"/>
  <c r="BZ60" i="42" s="1"/>
  <c r="N104" i="42" s="1"/>
  <c r="BC61" i="50"/>
  <c r="M205" i="50" s="1"/>
  <c r="D932" i="40"/>
  <c r="D919" i="40"/>
  <c r="D1138" i="40"/>
  <c r="D1201" i="40"/>
  <c r="D1115" i="40"/>
  <c r="D1186" i="40"/>
  <c r="D1035" i="40"/>
  <c r="CA873" i="40"/>
  <c r="D1010" i="40" s="1"/>
  <c r="CC875" i="40"/>
  <c r="CD875" i="40" s="1"/>
  <c r="BZ872" i="40"/>
  <c r="CB874" i="40"/>
  <c r="D1068" i="40" s="1"/>
  <c r="CG877" i="40" l="1"/>
  <c r="D1635" i="40"/>
  <c r="D1654" i="40"/>
  <c r="D1572" i="40"/>
  <c r="BD217" i="50"/>
  <c r="N344" i="50" s="1"/>
  <c r="CF876" i="40"/>
  <c r="D1513" i="40"/>
  <c r="B525" i="40"/>
  <c r="B244" i="65"/>
  <c r="CE875" i="40"/>
  <c r="D1397" i="40"/>
  <c r="D1374" i="40"/>
  <c r="D1039" i="40"/>
  <c r="D1134" i="40"/>
  <c r="D1026" i="40"/>
  <c r="M354" i="50"/>
  <c r="M362" i="50" s="1"/>
  <c r="BD61" i="50"/>
  <c r="N205" i="50" s="1"/>
  <c r="D1114" i="40"/>
  <c r="D1147" i="40"/>
  <c r="D1119" i="40"/>
  <c r="D1179" i="40"/>
  <c r="D1034" i="40"/>
  <c r="D1164" i="40"/>
  <c r="D1001" i="40"/>
  <c r="D968" i="40"/>
  <c r="D959" i="40"/>
  <c r="CC874" i="40"/>
  <c r="D1240" i="40" s="1"/>
  <c r="CA872" i="40"/>
  <c r="D924" i="40" s="1"/>
  <c r="CB873" i="40"/>
  <c r="CG876" i="40" l="1"/>
  <c r="D1653" i="40"/>
  <c r="CF875" i="40"/>
  <c r="CG875" i="40" s="1"/>
  <c r="D1524" i="40"/>
  <c r="D1512" i="40"/>
  <c r="B526" i="40"/>
  <c r="B245" i="65"/>
  <c r="D1025" i="40"/>
  <c r="D1082" i="40"/>
  <c r="D1022" i="40"/>
  <c r="D1050" i="40"/>
  <c r="D1083" i="40"/>
  <c r="D1187" i="40"/>
  <c r="CD874" i="40"/>
  <c r="N354" i="50"/>
  <c r="D1071" i="40"/>
  <c r="D1123" i="40"/>
  <c r="D1002" i="40"/>
  <c r="D918" i="40"/>
  <c r="D1118" i="40"/>
  <c r="D1137" i="40"/>
  <c r="D1136" i="40"/>
  <c r="D1094" i="40"/>
  <c r="D1121" i="40"/>
  <c r="D1074" i="40"/>
  <c r="D1003" i="40"/>
  <c r="D931" i="40"/>
  <c r="D1678" i="40" s="1"/>
  <c r="D958" i="40"/>
  <c r="CC873" i="40"/>
  <c r="D1297" i="40" s="1"/>
  <c r="CB872" i="40"/>
  <c r="D1067" i="40" s="1"/>
  <c r="D1677" i="40" l="1"/>
  <c r="K110" i="25" s="1"/>
  <c r="N362" i="50"/>
  <c r="K111" i="25"/>
  <c r="Q114" i="25" s="1"/>
  <c r="B527" i="40"/>
  <c r="B246" i="65"/>
  <c r="CE874" i="40"/>
  <c r="D1396" i="40"/>
  <c r="D1122" i="40"/>
  <c r="D1024" i="40"/>
  <c r="D1053" i="40"/>
  <c r="D1081" i="40"/>
  <c r="D1049" i="40"/>
  <c r="D1021" i="40"/>
  <c r="D1054" i="40"/>
  <c r="D1178" i="40"/>
  <c r="D1073" i="40"/>
  <c r="D1239" i="40"/>
  <c r="D1274" i="40"/>
  <c r="F1678" i="40" s="1"/>
  <c r="CD873" i="40"/>
  <c r="D1127" i="40"/>
  <c r="D1098" i="40"/>
  <c r="D1108" i="40"/>
  <c r="D1117" i="40"/>
  <c r="D1135" i="40"/>
  <c r="D1093" i="40"/>
  <c r="D1033" i="40"/>
  <c r="D1107" i="40"/>
  <c r="D1092" i="40"/>
  <c r="D1120" i="40"/>
  <c r="D1112" i="40"/>
  <c r="L109" i="66" s="1"/>
  <c r="D1096" i="40"/>
  <c r="D1097" i="40"/>
  <c r="D1066" i="40"/>
  <c r="CC872" i="40"/>
  <c r="Q113" i="25" l="1"/>
  <c r="M113" i="25"/>
  <c r="E1678" i="40"/>
  <c r="E1677" i="40"/>
  <c r="L110" i="25" s="1"/>
  <c r="CF874" i="40"/>
  <c r="D1511" i="40"/>
  <c r="N114" i="25"/>
  <c r="B528" i="40"/>
  <c r="B247" i="65"/>
  <c r="CE873" i="40"/>
  <c r="D1325" i="40"/>
  <c r="D1373" i="40"/>
  <c r="D1395" i="40"/>
  <c r="P113" i="25"/>
  <c r="N113" i="25"/>
  <c r="O113" i="25"/>
  <c r="P114" i="25"/>
  <c r="O114" i="25"/>
  <c r="D1238" i="40"/>
  <c r="D1280" i="40"/>
  <c r="CD872" i="40"/>
  <c r="D1393" i="40" s="1"/>
  <c r="M114" i="25"/>
  <c r="CG874" i="40" l="1"/>
  <c r="D1634" i="40"/>
  <c r="F1677" i="40"/>
  <c r="M110" i="25" s="1"/>
  <c r="M112" i="66"/>
  <c r="O118" i="66" s="1"/>
  <c r="O129" i="66" s="1"/>
  <c r="P112" i="66"/>
  <c r="R118" i="66" s="1"/>
  <c r="R129" i="66" s="1"/>
  <c r="N35" i="32" s="1"/>
  <c r="CF873" i="40"/>
  <c r="D1510" i="40"/>
  <c r="M126" i="25"/>
  <c r="O112" i="66"/>
  <c r="Q118" i="66" s="1"/>
  <c r="Q129" i="66" s="1"/>
  <c r="M115" i="25"/>
  <c r="Q115" i="25"/>
  <c r="B529" i="40"/>
  <c r="B248" i="65"/>
  <c r="CE872" i="40"/>
  <c r="D1538" i="40" s="1"/>
  <c r="D1324" i="40"/>
  <c r="D1394" i="40"/>
  <c r="G1678" i="40" s="1"/>
  <c r="D1372" i="40"/>
  <c r="N112" i="66"/>
  <c r="P118" i="66" s="1"/>
  <c r="P129" i="66" s="1"/>
  <c r="M111" i="25"/>
  <c r="N115" i="25"/>
  <c r="O115" i="25"/>
  <c r="P115" i="25"/>
  <c r="CG873" i="40" l="1"/>
  <c r="D1571" i="40"/>
  <c r="G1677" i="40"/>
  <c r="N110" i="25" s="1"/>
  <c r="Q119" i="25" s="1"/>
  <c r="CF872" i="40"/>
  <c r="D1452" i="40"/>
  <c r="H1677" i="40" s="1"/>
  <c r="O110" i="25" s="1"/>
  <c r="D1509" i="40"/>
  <c r="D1470" i="40"/>
  <c r="D1508" i="40"/>
  <c r="N118" i="25"/>
  <c r="Q118" i="25"/>
  <c r="M117" i="25"/>
  <c r="Q117" i="25"/>
  <c r="N111" i="25"/>
  <c r="B530" i="40"/>
  <c r="B249" i="65"/>
  <c r="P118" i="25"/>
  <c r="M118" i="25"/>
  <c r="O118" i="25"/>
  <c r="N117" i="25"/>
  <c r="O117" i="25"/>
  <c r="P117" i="25"/>
  <c r="CG872" i="40" l="1"/>
  <c r="D1570" i="40"/>
  <c r="D1608" i="40"/>
  <c r="I1678" i="40" s="1"/>
  <c r="P111" i="25" s="1"/>
  <c r="D1633" i="40"/>
  <c r="D1626" i="40"/>
  <c r="H1678" i="40"/>
  <c r="O111" i="25" s="1"/>
  <c r="L111" i="25"/>
  <c r="Q120" i="25"/>
  <c r="P120" i="25"/>
  <c r="O120" i="25"/>
  <c r="N120" i="25"/>
  <c r="B531" i="40"/>
  <c r="B250" i="65"/>
  <c r="N119" i="25"/>
  <c r="P119" i="25"/>
  <c r="O119" i="25"/>
  <c r="Q124" i="25" l="1"/>
  <c r="P124" i="25"/>
  <c r="I1677" i="40"/>
  <c r="P110" i="25" s="1"/>
  <c r="O122" i="25"/>
  <c r="P122" i="25"/>
  <c r="Q122" i="25"/>
  <c r="Q116" i="25"/>
  <c r="N116" i="25"/>
  <c r="N126" i="25" s="1"/>
  <c r="M116" i="25"/>
  <c r="P116" i="25"/>
  <c r="P126" i="25" s="1"/>
  <c r="O116" i="25"/>
  <c r="P121" i="25"/>
  <c r="Q121" i="25"/>
  <c r="O121" i="25"/>
  <c r="B532" i="40"/>
  <c r="B251" i="65"/>
  <c r="P123" i="25" l="1"/>
  <c r="Q123" i="25"/>
  <c r="Q126" i="25"/>
  <c r="O126" i="25"/>
  <c r="B533" i="40"/>
  <c r="B252" i="65"/>
  <c r="R126" i="25" l="1"/>
  <c r="N29" i="32" s="1"/>
  <c r="B534" i="40"/>
  <c r="B253" i="65"/>
  <c r="N45" i="32" l="1"/>
  <c r="N46" i="32" s="1"/>
  <c r="S60" i="59" s="1"/>
  <c r="B535" i="40"/>
  <c r="B254" i="65"/>
  <c r="N52" i="32" l="1"/>
  <c r="N31" i="34" s="1"/>
  <c r="N34" i="34" s="1"/>
  <c r="N33" i="34"/>
  <c r="B536" i="40"/>
  <c r="B255" i="65"/>
  <c r="N51" i="34" l="1"/>
  <c r="N38" i="34"/>
  <c r="B537" i="40"/>
  <c r="B256" i="65"/>
  <c r="N39" i="34" l="1"/>
  <c r="N46" i="34" s="1"/>
  <c r="N45" i="34"/>
  <c r="N47" i="34"/>
  <c r="B538" i="40"/>
  <c r="B257" i="65"/>
  <c r="N43" i="34" l="1"/>
  <c r="N44" i="34"/>
  <c r="F88" i="36" s="1"/>
  <c r="F87" i="36"/>
  <c r="K105" i="36" s="1"/>
  <c r="K24" i="21" s="1"/>
  <c r="F91" i="36"/>
  <c r="F89" i="36"/>
  <c r="Q142" i="36" s="1"/>
  <c r="Q59" i="21" s="1"/>
  <c r="F90" i="36"/>
  <c r="O97" i="36"/>
  <c r="O16" i="21" s="1"/>
  <c r="P105" i="36"/>
  <c r="P24" i="21" s="1"/>
  <c r="U136" i="36"/>
  <c r="U53" i="21" s="1"/>
  <c r="O136" i="36"/>
  <c r="O53" i="21" s="1"/>
  <c r="R99" i="36"/>
  <c r="R18" i="21" s="1"/>
  <c r="Q141" i="36"/>
  <c r="Q58" i="21" s="1"/>
  <c r="R106" i="36"/>
  <c r="R25" i="21" s="1"/>
  <c r="O139" i="36"/>
  <c r="O56" i="21" s="1"/>
  <c r="R136" i="36"/>
  <c r="R53" i="21" s="1"/>
  <c r="Q133" i="36"/>
  <c r="Q50" i="21" s="1"/>
  <c r="O184" i="36"/>
  <c r="O101" i="21" s="1"/>
  <c r="Q100" i="36"/>
  <c r="Q19" i="21" s="1"/>
  <c r="P133" i="36"/>
  <c r="P50" i="21" s="1"/>
  <c r="R100" i="36"/>
  <c r="R19" i="21" s="1"/>
  <c r="Q108" i="36"/>
  <c r="Q27" i="21" s="1"/>
  <c r="R102" i="36"/>
  <c r="R21" i="21" s="1"/>
  <c r="P136" i="36"/>
  <c r="P53" i="21" s="1"/>
  <c r="P98" i="36"/>
  <c r="P17" i="21" s="1"/>
  <c r="P135" i="36"/>
  <c r="P52" i="21" s="1"/>
  <c r="Q99" i="36"/>
  <c r="Q18" i="21" s="1"/>
  <c r="R135" i="36"/>
  <c r="R52" i="21" s="1"/>
  <c r="Q106" i="36"/>
  <c r="Q25" i="21" s="1"/>
  <c r="P190" i="36"/>
  <c r="P107" i="21" s="1"/>
  <c r="P107" i="36"/>
  <c r="P26" i="21" s="1"/>
  <c r="Q136" i="36"/>
  <c r="Q53" i="21" s="1"/>
  <c r="P103" i="36"/>
  <c r="P22" i="21" s="1"/>
  <c r="R98" i="36"/>
  <c r="R17" i="21" s="1"/>
  <c r="N184" i="36"/>
  <c r="N101" i="21" s="1"/>
  <c r="N97" i="36"/>
  <c r="N16" i="21" s="1"/>
  <c r="L99" i="36"/>
  <c r="L18" i="21" s="1"/>
  <c r="P177" i="36"/>
  <c r="P94" i="21" s="1"/>
  <c r="L136" i="36"/>
  <c r="L53" i="21" s="1"/>
  <c r="H97" i="36"/>
  <c r="H16" i="21" s="1"/>
  <c r="L100" i="36"/>
  <c r="L19" i="21" s="1"/>
  <c r="I139" i="36"/>
  <c r="I56" i="21" s="1"/>
  <c r="K144" i="36"/>
  <c r="K61" i="21" s="1"/>
  <c r="K133" i="36"/>
  <c r="K50" i="21" s="1"/>
  <c r="K138" i="36"/>
  <c r="K55" i="21" s="1"/>
  <c r="K142" i="36"/>
  <c r="K59" i="21" s="1"/>
  <c r="K97" i="36"/>
  <c r="K16" i="21" s="1"/>
  <c r="L133" i="36"/>
  <c r="L50" i="21" s="1"/>
  <c r="N52" i="34"/>
  <c r="N54" i="34" s="1"/>
  <c r="J134" i="36"/>
  <c r="J51" i="21" s="1"/>
  <c r="J100" i="36"/>
  <c r="J19" i="21" s="1"/>
  <c r="I133" i="36"/>
  <c r="I50" i="21" s="1"/>
  <c r="L108" i="36"/>
  <c r="L27" i="21" s="1"/>
  <c r="J137" i="36"/>
  <c r="J54" i="21" s="1"/>
  <c r="J106" i="36"/>
  <c r="J25" i="21" s="1"/>
  <c r="L102" i="36"/>
  <c r="L21" i="21" s="1"/>
  <c r="L105" i="36"/>
  <c r="L24" i="21" s="1"/>
  <c r="I103" i="36"/>
  <c r="I22" i="21" s="1"/>
  <c r="P178" i="36"/>
  <c r="P95" i="21" s="1"/>
  <c r="J98" i="36"/>
  <c r="J17" i="21" s="1"/>
  <c r="L143" i="36"/>
  <c r="L60" i="21" s="1"/>
  <c r="L135" i="36"/>
  <c r="L52" i="21" s="1"/>
  <c r="L107" i="36"/>
  <c r="L26" i="21" s="1"/>
  <c r="J101" i="36"/>
  <c r="J20" i="21" s="1"/>
  <c r="J144" i="36"/>
  <c r="J61" i="21" s="1"/>
  <c r="K134" i="36"/>
  <c r="K51" i="21" s="1"/>
  <c r="K98" i="36"/>
  <c r="K17" i="21" s="1"/>
  <c r="L101" i="36"/>
  <c r="L20" i="21" s="1"/>
  <c r="I100" i="36"/>
  <c r="I19" i="21" s="1"/>
  <c r="K101" i="36"/>
  <c r="K20" i="21" s="1"/>
  <c r="L139" i="36"/>
  <c r="L56" i="21" s="1"/>
  <c r="J141" i="36"/>
  <c r="J58" i="21" s="1"/>
  <c r="K107" i="36"/>
  <c r="K26" i="21" s="1"/>
  <c r="I136" i="36"/>
  <c r="I53" i="21" s="1"/>
  <c r="P176" i="36"/>
  <c r="P93" i="21" s="1"/>
  <c r="P170" i="36"/>
  <c r="P87" i="21" s="1"/>
  <c r="J103" i="36"/>
  <c r="J22" i="21" s="1"/>
  <c r="V98" i="36"/>
  <c r="V17" i="21" s="1"/>
  <c r="Q144" i="36"/>
  <c r="Q61" i="21" s="1"/>
  <c r="R134" i="36"/>
  <c r="R51" i="21" s="1"/>
  <c r="O187" i="36"/>
  <c r="O104" i="21" s="1"/>
  <c r="W105" i="36"/>
  <c r="W24" i="21" s="1"/>
  <c r="V143" i="36"/>
  <c r="V60" i="21" s="1"/>
  <c r="X107" i="36"/>
  <c r="X26" i="21" s="1"/>
  <c r="W98" i="36"/>
  <c r="W17" i="21" s="1"/>
  <c r="K103" i="36"/>
  <c r="K22" i="21" s="1"/>
  <c r="J135" i="36"/>
  <c r="J52" i="21" s="1"/>
  <c r="P169" i="36"/>
  <c r="P86" i="21" s="1"/>
  <c r="L144" i="36"/>
  <c r="L61" i="21" s="1"/>
  <c r="J97" i="36"/>
  <c r="J16" i="21" s="1"/>
  <c r="L142" i="36"/>
  <c r="L59" i="21" s="1"/>
  <c r="I106" i="36"/>
  <c r="I25" i="21" s="1"/>
  <c r="P175" i="36"/>
  <c r="P92" i="21" s="1"/>
  <c r="K135" i="36"/>
  <c r="K52" i="21" s="1"/>
  <c r="K102" i="36"/>
  <c r="K21" i="21" s="1"/>
  <c r="P174" i="36"/>
  <c r="P91" i="21" s="1"/>
  <c r="K136" i="36"/>
  <c r="K53" i="21" s="1"/>
  <c r="J107" i="36"/>
  <c r="J26" i="21" s="1"/>
  <c r="O167" i="36"/>
  <c r="O84" i="21" s="1"/>
  <c r="L138" i="36"/>
  <c r="L55" i="21" s="1"/>
  <c r="B539" i="40"/>
  <c r="B258" i="65"/>
  <c r="Q104" i="36" l="1"/>
  <c r="Q23" i="21" s="1"/>
  <c r="O133" i="36"/>
  <c r="O50" i="21" s="1"/>
  <c r="Q140" i="36"/>
  <c r="Q57" i="21" s="1"/>
  <c r="R103" i="36"/>
  <c r="R22" i="21" s="1"/>
  <c r="J138" i="36"/>
  <c r="J55" i="21" s="1"/>
  <c r="J99" i="36"/>
  <c r="J18" i="21" s="1"/>
  <c r="L97" i="36"/>
  <c r="L16" i="21" s="1"/>
  <c r="I142" i="36"/>
  <c r="I59" i="21" s="1"/>
  <c r="L137" i="36"/>
  <c r="L54" i="21" s="1"/>
  <c r="J102" i="36"/>
  <c r="J21" i="21" s="1"/>
  <c r="J140" i="36"/>
  <c r="J57" i="21" s="1"/>
  <c r="L106" i="36"/>
  <c r="L25" i="21" s="1"/>
  <c r="P173" i="36"/>
  <c r="P90" i="21" s="1"/>
  <c r="L103" i="36"/>
  <c r="L22" i="21" s="1"/>
  <c r="J108" i="36"/>
  <c r="J27" i="21" s="1"/>
  <c r="O170" i="36"/>
  <c r="O87" i="21" s="1"/>
  <c r="O176" i="36"/>
  <c r="O93" i="21" s="1"/>
  <c r="O173" i="36"/>
  <c r="O90" i="21" s="1"/>
  <c r="J136" i="36"/>
  <c r="J53" i="21" s="1"/>
  <c r="K104" i="36"/>
  <c r="K23" i="21" s="1"/>
  <c r="L134" i="36"/>
  <c r="L51" i="21" s="1"/>
  <c r="K139" i="36"/>
  <c r="K56" i="21" s="1"/>
  <c r="J133" i="36"/>
  <c r="J50" i="21" s="1"/>
  <c r="R140" i="36"/>
  <c r="R57" i="21" s="1"/>
  <c r="R108" i="36"/>
  <c r="R27" i="21" s="1"/>
  <c r="Q139" i="36"/>
  <c r="Q56" i="21" s="1"/>
  <c r="P193" i="36"/>
  <c r="P110" i="21" s="1"/>
  <c r="P139" i="36"/>
  <c r="P56" i="21" s="1"/>
  <c r="P142" i="36"/>
  <c r="P59" i="21" s="1"/>
  <c r="O100" i="36"/>
  <c r="O19" i="21" s="1"/>
  <c r="P143" i="36"/>
  <c r="P60" i="21" s="1"/>
  <c r="P141" i="36"/>
  <c r="P58" i="21" s="1"/>
  <c r="R141" i="36"/>
  <c r="R58" i="21" s="1"/>
  <c r="P137" i="36"/>
  <c r="P54" i="21" s="1"/>
  <c r="Q97" i="36"/>
  <c r="Q16" i="21" s="1"/>
  <c r="P106" i="36"/>
  <c r="P25" i="21" s="1"/>
  <c r="R107" i="36"/>
  <c r="R26" i="21" s="1"/>
  <c r="O106" i="36"/>
  <c r="O25" i="21" s="1"/>
  <c r="P134" i="36"/>
  <c r="P51" i="21" s="1"/>
  <c r="K99" i="36"/>
  <c r="K18" i="21" s="1"/>
  <c r="K137" i="36"/>
  <c r="K54" i="21" s="1"/>
  <c r="H133" i="36"/>
  <c r="H50" i="21" s="1"/>
  <c r="L104" i="36"/>
  <c r="L23" i="21" s="1"/>
  <c r="J139" i="36"/>
  <c r="J56" i="21" s="1"/>
  <c r="P171" i="36"/>
  <c r="P88" i="21" s="1"/>
  <c r="L141" i="36"/>
  <c r="L58" i="21" s="1"/>
  <c r="K141" i="36"/>
  <c r="K58" i="21" s="1"/>
  <c r="I97" i="36"/>
  <c r="I16" i="21" s="1"/>
  <c r="K100" i="36"/>
  <c r="K19" i="21" s="1"/>
  <c r="J104" i="36"/>
  <c r="J23" i="21" s="1"/>
  <c r="P172" i="36"/>
  <c r="P89" i="21" s="1"/>
  <c r="J142" i="36"/>
  <c r="J59" i="21" s="1"/>
  <c r="L140" i="36"/>
  <c r="L57" i="21" s="1"/>
  <c r="J105" i="36"/>
  <c r="J24" i="21" s="1"/>
  <c r="L98" i="36"/>
  <c r="L17" i="21" s="1"/>
  <c r="J143" i="36"/>
  <c r="J60" i="21" s="1"/>
  <c r="P167" i="36"/>
  <c r="P84" i="21" s="1"/>
  <c r="K140" i="36"/>
  <c r="K57" i="21" s="1"/>
  <c r="K106" i="36"/>
  <c r="K25" i="21" s="1"/>
  <c r="R97" i="36"/>
  <c r="R16" i="21" s="1"/>
  <c r="P101" i="36"/>
  <c r="P20" i="21" s="1"/>
  <c r="P108" i="36"/>
  <c r="P27" i="21" s="1"/>
  <c r="P195" i="36"/>
  <c r="P112" i="21" s="1"/>
  <c r="P192" i="36"/>
  <c r="P109" i="21" s="1"/>
  <c r="P99" i="36"/>
  <c r="P18" i="21" s="1"/>
  <c r="R138" i="36"/>
  <c r="R55" i="21" s="1"/>
  <c r="P140" i="36"/>
  <c r="P57" i="21" s="1"/>
  <c r="R104" i="36"/>
  <c r="R23" i="21" s="1"/>
  <c r="P185" i="36"/>
  <c r="P102" i="21" s="1"/>
  <c r="Q98" i="36"/>
  <c r="Q17" i="21" s="1"/>
  <c r="P102" i="36"/>
  <c r="P21" i="21" s="1"/>
  <c r="P188" i="36"/>
  <c r="P105" i="21" s="1"/>
  <c r="N133" i="36"/>
  <c r="N50" i="21" s="1"/>
  <c r="R101" i="36"/>
  <c r="R20" i="21" s="1"/>
  <c r="P144" i="36"/>
  <c r="P61" i="21" s="1"/>
  <c r="P184" i="36"/>
  <c r="P101" i="21" s="1"/>
  <c r="L124" i="36"/>
  <c r="L42" i="21" s="1"/>
  <c r="K154" i="36"/>
  <c r="K71" i="21" s="1"/>
  <c r="J119" i="36"/>
  <c r="J37" i="21" s="1"/>
  <c r="J159" i="36"/>
  <c r="J76" i="21" s="1"/>
  <c r="L118" i="36"/>
  <c r="L36" i="21" s="1"/>
  <c r="J194" i="36"/>
  <c r="J111" i="21" s="1"/>
  <c r="J195" i="36"/>
  <c r="J112" i="21" s="1"/>
  <c r="K123" i="36"/>
  <c r="K41" i="21" s="1"/>
  <c r="L150" i="36"/>
  <c r="L67" i="21" s="1"/>
  <c r="J188" i="36"/>
  <c r="J105" i="21" s="1"/>
  <c r="I173" i="36"/>
  <c r="I90" i="21" s="1"/>
  <c r="J155" i="36"/>
  <c r="J72" i="21" s="1"/>
  <c r="J170" i="36"/>
  <c r="J87" i="21" s="1"/>
  <c r="P168" i="36"/>
  <c r="P85" i="21" s="1"/>
  <c r="K108" i="36"/>
  <c r="K27" i="21" s="1"/>
  <c r="K143" i="36"/>
  <c r="K60" i="21" s="1"/>
  <c r="P194" i="36"/>
  <c r="P111" i="21" s="1"/>
  <c r="P186" i="36"/>
  <c r="P103" i="21" s="1"/>
  <c r="P138" i="36"/>
  <c r="P55" i="21" s="1"/>
  <c r="Q101" i="36"/>
  <c r="Q20" i="21" s="1"/>
  <c r="R142" i="36"/>
  <c r="R59" i="21" s="1"/>
  <c r="Q137" i="36"/>
  <c r="Q54" i="21" s="1"/>
  <c r="Q105" i="36"/>
  <c r="Q24" i="21" s="1"/>
  <c r="R105" i="36"/>
  <c r="R24" i="21" s="1"/>
  <c r="Q107" i="36"/>
  <c r="Q26" i="21" s="1"/>
  <c r="Q135" i="36"/>
  <c r="Q52" i="21" s="1"/>
  <c r="P97" i="36"/>
  <c r="P16" i="21" s="1"/>
  <c r="P100" i="36"/>
  <c r="P19" i="21" s="1"/>
  <c r="Q102" i="36"/>
  <c r="Q21" i="21" s="1"/>
  <c r="Q138" i="36"/>
  <c r="Q55" i="21" s="1"/>
  <c r="R139" i="36"/>
  <c r="R56" i="21" s="1"/>
  <c r="P191" i="36"/>
  <c r="P108" i="21" s="1"/>
  <c r="R133" i="36"/>
  <c r="R50" i="21" s="1"/>
  <c r="R144" i="36"/>
  <c r="R61" i="21" s="1"/>
  <c r="P104" i="36"/>
  <c r="P23" i="21" s="1"/>
  <c r="Q143" i="36"/>
  <c r="Q60" i="21" s="1"/>
  <c r="R143" i="36"/>
  <c r="R60" i="21" s="1"/>
  <c r="P187" i="36"/>
  <c r="P104" i="21" s="1"/>
  <c r="R137" i="36"/>
  <c r="R54" i="21" s="1"/>
  <c r="O142" i="36"/>
  <c r="O59" i="21" s="1"/>
  <c r="O103" i="36"/>
  <c r="O22" i="21" s="1"/>
  <c r="P189" i="36"/>
  <c r="P106" i="21" s="1"/>
  <c r="O193" i="36"/>
  <c r="O110" i="21" s="1"/>
  <c r="Q134" i="36"/>
  <c r="Q51" i="21" s="1"/>
  <c r="Q103" i="36"/>
  <c r="Q22" i="21" s="1"/>
  <c r="K155" i="36"/>
  <c r="K72" i="21" s="1"/>
  <c r="L153" i="36"/>
  <c r="L70" i="21" s="1"/>
  <c r="K150" i="36"/>
  <c r="K67" i="21" s="1"/>
  <c r="L116" i="36"/>
  <c r="L34" i="21" s="1"/>
  <c r="K158" i="36"/>
  <c r="K75" i="21" s="1"/>
  <c r="J118" i="36"/>
  <c r="J36" i="21" s="1"/>
  <c r="J121" i="36"/>
  <c r="J39" i="21" s="1"/>
  <c r="L154" i="36"/>
  <c r="L71" i="21" s="1"/>
  <c r="L115" i="36"/>
  <c r="L33" i="21" s="1"/>
  <c r="J125" i="36"/>
  <c r="J43" i="21" s="1"/>
  <c r="I115" i="36"/>
  <c r="I33" i="21" s="1"/>
  <c r="J152" i="36"/>
  <c r="J69" i="21" s="1"/>
  <c r="J184" i="36"/>
  <c r="J101" i="21" s="1"/>
  <c r="J189" i="36"/>
  <c r="J106" i="21" s="1"/>
  <c r="I187" i="36"/>
  <c r="I104" i="21" s="1"/>
  <c r="K115" i="36"/>
  <c r="K33" i="21" s="1"/>
  <c r="K159" i="36"/>
  <c r="K76" i="21" s="1"/>
  <c r="K156" i="36"/>
  <c r="K73" i="21" s="1"/>
  <c r="I150" i="36"/>
  <c r="I67" i="21" s="1"/>
  <c r="K125" i="36"/>
  <c r="K43" i="21" s="1"/>
  <c r="I153" i="36"/>
  <c r="I70" i="21" s="1"/>
  <c r="J116" i="36"/>
  <c r="J34" i="21" s="1"/>
  <c r="K117" i="36"/>
  <c r="K35" i="21" s="1"/>
  <c r="K152" i="36"/>
  <c r="K69" i="21" s="1"/>
  <c r="J156" i="36"/>
  <c r="J73" i="21" s="1"/>
  <c r="I124" i="36"/>
  <c r="I42" i="21" s="1"/>
  <c r="J178" i="36"/>
  <c r="J95" i="21" s="1"/>
  <c r="I167" i="36"/>
  <c r="I84" i="21" s="1"/>
  <c r="J168" i="36"/>
  <c r="J85" i="21" s="1"/>
  <c r="J177" i="36"/>
  <c r="J94" i="21" s="1"/>
  <c r="J161" i="36"/>
  <c r="J78" i="21" s="1"/>
  <c r="J153" i="36"/>
  <c r="J70" i="21" s="1"/>
  <c r="I193" i="36"/>
  <c r="I110" i="21" s="1"/>
  <c r="J124" i="36"/>
  <c r="J42" i="21" s="1"/>
  <c r="L123" i="36"/>
  <c r="L41" i="21" s="1"/>
  <c r="L159" i="36"/>
  <c r="L76" i="21" s="1"/>
  <c r="K151" i="36"/>
  <c r="K68" i="21" s="1"/>
  <c r="K116" i="36"/>
  <c r="K34" i="21" s="1"/>
  <c r="I184" i="36"/>
  <c r="I101" i="21" s="1"/>
  <c r="J160" i="36"/>
  <c r="J77" i="21" s="1"/>
  <c r="L161" i="36"/>
  <c r="L78" i="21" s="1"/>
  <c r="L158" i="36"/>
  <c r="L75" i="21" s="1"/>
  <c r="K157" i="36"/>
  <c r="K74" i="21" s="1"/>
  <c r="J192" i="36"/>
  <c r="J109" i="21" s="1"/>
  <c r="J120" i="36"/>
  <c r="J38" i="21" s="1"/>
  <c r="H150" i="36"/>
  <c r="H67" i="21" s="1"/>
  <c r="L160" i="36"/>
  <c r="L77" i="21" s="1"/>
  <c r="J123" i="36"/>
  <c r="J41" i="21" s="1"/>
  <c r="I121" i="36"/>
  <c r="I39" i="21" s="1"/>
  <c r="L152" i="36"/>
  <c r="L69" i="21" s="1"/>
  <c r="I159" i="36"/>
  <c r="I76" i="21" s="1"/>
  <c r="J174" i="36"/>
  <c r="J91" i="21" s="1"/>
  <c r="J172" i="36"/>
  <c r="J89" i="21" s="1"/>
  <c r="J186" i="36"/>
  <c r="J103" i="21" s="1"/>
  <c r="L120" i="36"/>
  <c r="L38" i="21" s="1"/>
  <c r="K121" i="36"/>
  <c r="K39" i="21" s="1"/>
  <c r="L151" i="36"/>
  <c r="L68" i="21" s="1"/>
  <c r="J154" i="36"/>
  <c r="J71" i="21" s="1"/>
  <c r="J187" i="36"/>
  <c r="J104" i="21" s="1"/>
  <c r="J190" i="36"/>
  <c r="J107" i="21" s="1"/>
  <c r="L157" i="36"/>
  <c r="L74" i="21" s="1"/>
  <c r="J115" i="36"/>
  <c r="J33" i="21" s="1"/>
  <c r="L126" i="36"/>
  <c r="L44" i="21" s="1"/>
  <c r="K122" i="36"/>
  <c r="K40" i="21" s="1"/>
  <c r="J185" i="36"/>
  <c r="J102" i="21" s="1"/>
  <c r="J150" i="36"/>
  <c r="J67" i="21" s="1"/>
  <c r="J122" i="36"/>
  <c r="J40" i="21" s="1"/>
  <c r="I190" i="36"/>
  <c r="I107" i="21" s="1"/>
  <c r="I156" i="36"/>
  <c r="I73" i="21" s="1"/>
  <c r="I118" i="36"/>
  <c r="I36" i="21" s="1"/>
  <c r="J193" i="36"/>
  <c r="J110" i="21" s="1"/>
  <c r="K118" i="36"/>
  <c r="K36" i="21" s="1"/>
  <c r="J151" i="36"/>
  <c r="J68" i="21" s="1"/>
  <c r="K120" i="36"/>
  <c r="K38" i="21" s="1"/>
  <c r="J191" i="36"/>
  <c r="J108" i="21" s="1"/>
  <c r="I176" i="36"/>
  <c r="I93" i="21" s="1"/>
  <c r="J175" i="36"/>
  <c r="J92" i="21" s="1"/>
  <c r="H167" i="36"/>
  <c r="H84" i="21" s="1"/>
  <c r="J173" i="36"/>
  <c r="J90" i="21" s="1"/>
  <c r="J176" i="36"/>
  <c r="J93" i="21" s="1"/>
  <c r="J171" i="36"/>
  <c r="J88" i="21" s="1"/>
  <c r="I170" i="36"/>
  <c r="I87" i="21" s="1"/>
  <c r="J169" i="36"/>
  <c r="J86" i="21" s="1"/>
  <c r="V97" i="36"/>
  <c r="V16" i="21" s="1"/>
  <c r="W135" i="36"/>
  <c r="W52" i="21" s="1"/>
  <c r="X141" i="36"/>
  <c r="X58" i="21" s="1"/>
  <c r="X101" i="36"/>
  <c r="X20" i="21" s="1"/>
  <c r="V103" i="36"/>
  <c r="V22" i="21" s="1"/>
  <c r="V141" i="36"/>
  <c r="V58" i="21" s="1"/>
  <c r="W99" i="36"/>
  <c r="W18" i="21" s="1"/>
  <c r="X103" i="36"/>
  <c r="X22" i="21" s="1"/>
  <c r="W106" i="36"/>
  <c r="W25" i="21" s="1"/>
  <c r="X137" i="36"/>
  <c r="X54" i="21" s="1"/>
  <c r="W136" i="36"/>
  <c r="W53" i="21" s="1"/>
  <c r="X134" i="36"/>
  <c r="X51" i="21" s="1"/>
  <c r="W103" i="36"/>
  <c r="W22" i="21" s="1"/>
  <c r="X135" i="36"/>
  <c r="X52" i="21" s="1"/>
  <c r="V99" i="36"/>
  <c r="V18" i="21" s="1"/>
  <c r="X140" i="36"/>
  <c r="X57" i="21" s="1"/>
  <c r="T133" i="36"/>
  <c r="T50" i="21" s="1"/>
  <c r="X102" i="36"/>
  <c r="X21" i="21" s="1"/>
  <c r="U103" i="36"/>
  <c r="U22" i="21" s="1"/>
  <c r="V144" i="36"/>
  <c r="V61" i="21" s="1"/>
  <c r="U133" i="36"/>
  <c r="U50" i="21" s="1"/>
  <c r="V105" i="36"/>
  <c r="V24" i="21" s="1"/>
  <c r="W107" i="36"/>
  <c r="W26" i="21" s="1"/>
  <c r="X143" i="36"/>
  <c r="X60" i="21" s="1"/>
  <c r="V100" i="36"/>
  <c r="V19" i="21" s="1"/>
  <c r="W100" i="36"/>
  <c r="W19" i="21" s="1"/>
  <c r="U106" i="36"/>
  <c r="U25" i="21" s="1"/>
  <c r="W104" i="36"/>
  <c r="W23" i="21" s="1"/>
  <c r="W101" i="36"/>
  <c r="W20" i="21" s="1"/>
  <c r="X100" i="36"/>
  <c r="X19" i="21" s="1"/>
  <c r="V104" i="36"/>
  <c r="V23" i="21" s="1"/>
  <c r="V136" i="36"/>
  <c r="V53" i="21" s="1"/>
  <c r="X105" i="36"/>
  <c r="X24" i="21" s="1"/>
  <c r="T97" i="36"/>
  <c r="T16" i="21" s="1"/>
  <c r="X97" i="36"/>
  <c r="X16" i="21" s="1"/>
  <c r="V133" i="36"/>
  <c r="V50" i="21" s="1"/>
  <c r="W102" i="36"/>
  <c r="W21" i="21" s="1"/>
  <c r="W143" i="36"/>
  <c r="W60" i="21" s="1"/>
  <c r="W97" i="36"/>
  <c r="W16" i="21" s="1"/>
  <c r="X108" i="36"/>
  <c r="X27" i="21" s="1"/>
  <c r="W140" i="36"/>
  <c r="W57" i="21" s="1"/>
  <c r="X139" i="36"/>
  <c r="X56" i="21" s="1"/>
  <c r="W134" i="36"/>
  <c r="W51" i="21" s="1"/>
  <c r="X144" i="36"/>
  <c r="X61" i="21" s="1"/>
  <c r="W144" i="36"/>
  <c r="W61" i="21" s="1"/>
  <c r="U100" i="36"/>
  <c r="U19" i="21" s="1"/>
  <c r="X98" i="36"/>
  <c r="X17" i="21" s="1"/>
  <c r="U142" i="36"/>
  <c r="U59" i="21" s="1"/>
  <c r="V134" i="36"/>
  <c r="V51" i="21" s="1"/>
  <c r="V140" i="36"/>
  <c r="V57" i="21" s="1"/>
  <c r="V108" i="36"/>
  <c r="V27" i="21" s="1"/>
  <c r="X142" i="36"/>
  <c r="X59" i="21" s="1"/>
  <c r="V102" i="36"/>
  <c r="V21" i="21" s="1"/>
  <c r="V101" i="36"/>
  <c r="V20" i="21" s="1"/>
  <c r="W142" i="36"/>
  <c r="W59" i="21" s="1"/>
  <c r="W137" i="36"/>
  <c r="W54" i="21" s="1"/>
  <c r="V107" i="36"/>
  <c r="V26" i="21" s="1"/>
  <c r="U97" i="36"/>
  <c r="U16" i="21" s="1"/>
  <c r="W141" i="36"/>
  <c r="W58" i="21" s="1"/>
  <c r="V142" i="36"/>
  <c r="V59" i="21" s="1"/>
  <c r="V139" i="36"/>
  <c r="V56" i="21" s="1"/>
  <c r="W139" i="36"/>
  <c r="W56" i="21" s="1"/>
  <c r="V138" i="36"/>
  <c r="V55" i="21" s="1"/>
  <c r="X104" i="36"/>
  <c r="X23" i="21" s="1"/>
  <c r="X106" i="36"/>
  <c r="X25" i="21" s="1"/>
  <c r="K124" i="36"/>
  <c r="K42" i="21" s="1"/>
  <c r="K153" i="36"/>
  <c r="K70" i="21" s="1"/>
  <c r="L156" i="36"/>
  <c r="L73" i="21" s="1"/>
  <c r="L122" i="36"/>
  <c r="L40" i="21" s="1"/>
  <c r="L117" i="36"/>
  <c r="L35" i="21" s="1"/>
  <c r="X99" i="36"/>
  <c r="X18" i="21" s="1"/>
  <c r="J167" i="36"/>
  <c r="J84" i="21" s="1"/>
  <c r="V137" i="36"/>
  <c r="V54" i="21" s="1"/>
  <c r="V135" i="36"/>
  <c r="V52" i="21" s="1"/>
  <c r="W138" i="36"/>
  <c r="W55" i="21" s="1"/>
  <c r="X133" i="36"/>
  <c r="X50" i="21" s="1"/>
  <c r="W108" i="36"/>
  <c r="W27" i="21" s="1"/>
  <c r="X136" i="36"/>
  <c r="X53" i="21" s="1"/>
  <c r="H115" i="36"/>
  <c r="H33" i="21" s="1"/>
  <c r="L125" i="36"/>
  <c r="L43" i="21" s="1"/>
  <c r="J158" i="36"/>
  <c r="J75" i="21" s="1"/>
  <c r="W133" i="36"/>
  <c r="W50" i="21" s="1"/>
  <c r="X138" i="36"/>
  <c r="X55" i="21" s="1"/>
  <c r="U139" i="36"/>
  <c r="U56" i="21" s="1"/>
  <c r="V106" i="36"/>
  <c r="V25" i="21" s="1"/>
  <c r="K161" i="36"/>
  <c r="K78" i="21" s="1"/>
  <c r="K119" i="36"/>
  <c r="K37" i="21" s="1"/>
  <c r="L119" i="36"/>
  <c r="L37" i="21" s="1"/>
  <c r="L121" i="36"/>
  <c r="L39" i="21" s="1"/>
  <c r="J157" i="36"/>
  <c r="J74" i="21" s="1"/>
  <c r="O190" i="36"/>
  <c r="O107" i="21" s="1"/>
  <c r="L155" i="36"/>
  <c r="L72" i="21" s="1"/>
  <c r="H184" i="36"/>
  <c r="H101" i="21" s="1"/>
  <c r="K126" i="36"/>
  <c r="K44" i="21" s="1"/>
  <c r="K160" i="36"/>
  <c r="K77" i="21" s="1"/>
  <c r="J126" i="36"/>
  <c r="J44" i="21" s="1"/>
  <c r="J117" i="36"/>
  <c r="J35" i="21" s="1"/>
  <c r="R153" i="36"/>
  <c r="R70" i="21" s="1"/>
  <c r="Q158" i="36"/>
  <c r="Q75" i="21" s="1"/>
  <c r="O156" i="36"/>
  <c r="O73" i="21" s="1"/>
  <c r="Q118" i="36"/>
  <c r="Q36" i="21" s="1"/>
  <c r="R118" i="36"/>
  <c r="R36" i="21" s="1"/>
  <c r="O159" i="36"/>
  <c r="O76" i="21" s="1"/>
  <c r="R120" i="36"/>
  <c r="R38" i="21" s="1"/>
  <c r="P125" i="36"/>
  <c r="P43" i="21" s="1"/>
  <c r="P124" i="36"/>
  <c r="P42" i="21" s="1"/>
  <c r="Q122" i="36"/>
  <c r="Q40" i="21" s="1"/>
  <c r="R125" i="36"/>
  <c r="R43" i="21" s="1"/>
  <c r="P115" i="36"/>
  <c r="P33" i="21" s="1"/>
  <c r="Q116" i="36"/>
  <c r="Q34" i="21" s="1"/>
  <c r="R123" i="36"/>
  <c r="R41" i="21" s="1"/>
  <c r="P123" i="36"/>
  <c r="P41" i="21" s="1"/>
  <c r="Q156" i="36"/>
  <c r="Q73" i="21" s="1"/>
  <c r="P120" i="36"/>
  <c r="P38" i="21" s="1"/>
  <c r="Q126" i="36"/>
  <c r="Q44" i="21" s="1"/>
  <c r="Q161" i="36"/>
  <c r="Q78" i="21" s="1"/>
  <c r="R124" i="36"/>
  <c r="R42" i="21" s="1"/>
  <c r="Q115" i="36"/>
  <c r="Q33" i="21" s="1"/>
  <c r="O150" i="36"/>
  <c r="O67" i="21" s="1"/>
  <c r="P151" i="36"/>
  <c r="P68" i="21" s="1"/>
  <c r="R122" i="36"/>
  <c r="R40" i="21" s="1"/>
  <c r="Q124" i="36"/>
  <c r="Q42" i="21" s="1"/>
  <c r="P122" i="36"/>
  <c r="P40" i="21" s="1"/>
  <c r="N115" i="36"/>
  <c r="N33" i="21" s="1"/>
  <c r="P116" i="36"/>
  <c r="P34" i="21" s="1"/>
  <c r="P117" i="36"/>
  <c r="P35" i="21" s="1"/>
  <c r="P156" i="36"/>
  <c r="P73" i="21" s="1"/>
  <c r="P158" i="36"/>
  <c r="P75" i="21" s="1"/>
  <c r="O124" i="36"/>
  <c r="O42" i="21" s="1"/>
  <c r="Q155" i="36"/>
  <c r="Q72" i="21" s="1"/>
  <c r="P126" i="36"/>
  <c r="P44" i="21" s="1"/>
  <c r="Q121" i="36"/>
  <c r="Q39" i="21" s="1"/>
  <c r="P119" i="36"/>
  <c r="P37" i="21" s="1"/>
  <c r="R126" i="36"/>
  <c r="R44" i="21" s="1"/>
  <c r="R121" i="36"/>
  <c r="R39" i="21" s="1"/>
  <c r="Q123" i="36"/>
  <c r="Q41" i="21" s="1"/>
  <c r="Q117" i="36"/>
  <c r="Q35" i="21" s="1"/>
  <c r="Q151" i="36"/>
  <c r="Q68" i="21" s="1"/>
  <c r="R117" i="36"/>
  <c r="R35" i="21" s="1"/>
  <c r="R115" i="36"/>
  <c r="R33" i="21" s="1"/>
  <c r="Q157" i="36"/>
  <c r="Q74" i="21" s="1"/>
  <c r="O121" i="36"/>
  <c r="O39" i="21" s="1"/>
  <c r="R119" i="36"/>
  <c r="R37" i="21" s="1"/>
  <c r="Q160" i="36"/>
  <c r="Q77" i="21" s="1"/>
  <c r="Q125" i="36"/>
  <c r="Q43" i="21" s="1"/>
  <c r="P118" i="36"/>
  <c r="P36" i="21" s="1"/>
  <c r="Q150" i="36"/>
  <c r="Q67" i="21" s="1"/>
  <c r="O115" i="36"/>
  <c r="O33" i="21" s="1"/>
  <c r="O118" i="36"/>
  <c r="O36" i="21" s="1"/>
  <c r="R116" i="36"/>
  <c r="R34" i="21" s="1"/>
  <c r="P121" i="36"/>
  <c r="P39" i="21" s="1"/>
  <c r="Q119" i="36"/>
  <c r="Q37" i="21" s="1"/>
  <c r="Q120" i="36"/>
  <c r="Q38" i="21" s="1"/>
  <c r="Q154" i="36"/>
  <c r="Q71" i="21" s="1"/>
  <c r="O153" i="36"/>
  <c r="O70" i="21" s="1"/>
  <c r="N150" i="36"/>
  <c r="N67" i="21" s="1"/>
  <c r="P150" i="36"/>
  <c r="P67" i="21" s="1"/>
  <c r="P154" i="36"/>
  <c r="P71" i="21" s="1"/>
  <c r="R151" i="36"/>
  <c r="R68" i="21" s="1"/>
  <c r="R156" i="36"/>
  <c r="R73" i="21" s="1"/>
  <c r="P152" i="36"/>
  <c r="P69" i="21" s="1"/>
  <c r="R158" i="36"/>
  <c r="R75" i="21" s="1"/>
  <c r="R154" i="36"/>
  <c r="R71" i="21" s="1"/>
  <c r="P155" i="36"/>
  <c r="P72" i="21" s="1"/>
  <c r="R150" i="36"/>
  <c r="R67" i="21" s="1"/>
  <c r="R157" i="36"/>
  <c r="R74" i="21" s="1"/>
  <c r="P157" i="36"/>
  <c r="P74" i="21" s="1"/>
  <c r="P159" i="36"/>
  <c r="P76" i="21" s="1"/>
  <c r="P161" i="36"/>
  <c r="P78" i="21" s="1"/>
  <c r="R161" i="36"/>
  <c r="R78" i="21" s="1"/>
  <c r="Q152" i="36"/>
  <c r="Q69" i="21" s="1"/>
  <c r="Q153" i="36"/>
  <c r="Q70" i="21" s="1"/>
  <c r="R155" i="36"/>
  <c r="R72" i="21" s="1"/>
  <c r="R159" i="36"/>
  <c r="R76" i="21" s="1"/>
  <c r="P160" i="36"/>
  <c r="P77" i="21" s="1"/>
  <c r="P153" i="36"/>
  <c r="P70" i="21" s="1"/>
  <c r="Q159" i="36"/>
  <c r="Q76" i="21" s="1"/>
  <c r="R152" i="36"/>
  <c r="R69" i="21" s="1"/>
  <c r="R160" i="36"/>
  <c r="R77" i="21" s="1"/>
  <c r="N167" i="36"/>
  <c r="N84" i="21" s="1"/>
  <c r="B540" i="40"/>
  <c r="B259" i="65"/>
  <c r="B541" i="40" l="1"/>
  <c r="B260" i="65"/>
  <c r="B542" i="40" l="1"/>
  <c r="B261" i="65"/>
  <c r="B543" i="40" l="1"/>
  <c r="B262" i="65"/>
  <c r="B544" i="40" l="1"/>
  <c r="B263" i="65"/>
  <c r="B545" i="40" l="1"/>
  <c r="B264" i="65"/>
  <c r="B546" i="40" l="1"/>
  <c r="B265" i="65"/>
  <c r="B267" i="65" l="1"/>
  <c r="B17"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92" authorId="0" shapeId="0" xr:uid="{EC4D55ED-B1C7-4AFD-A620-63A8E49E1088}">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A60" authorId="0" shapeId="0" xr:uid="{B64FBF21-FEED-450E-8BC3-F841DD45BE88}">
      <text>
        <r>
          <rPr>
            <sz val="9"/>
            <color indexed="81"/>
            <rFont val="Tahoma"/>
            <family val="2"/>
          </rPr>
          <t>Formule verschilt van formules in voorgaande kolommen. Kosten gemaakt in 2027 vallen onder de nieuwe reguleringsmethode, en vallen dus buiten deze nacalculatie.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O362" authorId="0" shapeId="0" xr:uid="{23862BE8-64C4-42F4-822B-28E99AD4D74E}">
      <text>
        <r>
          <rPr>
            <sz val="9"/>
            <color indexed="81"/>
            <rFont val="Tahoma"/>
            <family val="2"/>
          </rPr>
          <t>Formule verschilt van formules in voorgaande kolommen. Kosten gemaakt in 2027 vallen onder de nieuwe reguleringsmethode, en vallen dus buiten deze nacalculatie.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O126" authorId="0" shapeId="0" xr:uid="{1B59C19A-FD3B-492F-B7BF-73CDD13FDA7F}">
      <text>
        <r>
          <rPr>
            <sz val="9"/>
            <color indexed="81"/>
            <rFont val="Tahoma"/>
            <family val="2"/>
          </rPr>
          <t>De nacalculatie in dit jaar bevat ook de kosten in cellen M115-M118 en N117-N118, omdat deze in de rekenmodule van tarievenbesluit 2023 nog niet verwerkt waren.</t>
        </r>
      </text>
    </comment>
    <comment ref="R126" authorId="0" shapeId="0" xr:uid="{12C17086-EE3C-49D0-A9EB-75688DDB5FF7}">
      <text>
        <r>
          <rPr>
            <sz val="9"/>
            <color indexed="81"/>
            <rFont val="Tahoma"/>
            <family val="2"/>
          </rPr>
          <t>Formule verschilt van formules in voorgaande kolommen. Kosten gemaakt in 2027 vallen onder de nieuwe reguleringsmethode, en vallen dus buiten deze nacalculatie.</t>
        </r>
      </text>
    </comment>
    <comment ref="P139" authorId="0" shapeId="0" xr:uid="{D7D8592E-0E30-4540-830A-CB470E92FA88}">
      <text>
        <r>
          <rPr>
            <sz val="9"/>
            <color indexed="81"/>
            <rFont val="Tahoma"/>
            <family val="2"/>
          </rPr>
          <t>De nacalculatie in cel P137 bevat ook de kapitaalkosten voor de desinvesteringen en de assetoverdracht van eerdere jaren, omdat deze in de rekenmodule van tarievenbesluit 2024 nog niet verwerkt waren.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J881" authorId="0" shapeId="0" xr:uid="{BE3F3B6B-1D71-45B9-BDC7-A08D1C63405B}">
      <text>
        <r>
          <rPr>
            <sz val="9"/>
            <color indexed="81"/>
            <rFont val="Tahoma"/>
            <family val="2"/>
          </rPr>
          <t xml:space="preserve">In 2023 wordt de vergoeding van de overdracht, de kosten van 2022 en 2023 in 1 keer verrekend. De activa werden op 31-12-2021 overgedragen dus past de ACM slechts 1 jaar aan heffingsrente toe. </t>
        </r>
      </text>
    </comment>
    <comment ref="L881" authorId="0" shapeId="0" xr:uid="{EC8E6533-F9EE-4D23-B713-0111C89F11A3}">
      <text>
        <r>
          <rPr>
            <sz val="9"/>
            <color indexed="81"/>
            <rFont val="Tahoma"/>
            <family val="2"/>
          </rPr>
          <t>In 2025 wordt de vergoeding voor nieuwe investeringen in 2022 en 2023 in 1 keer verrekend</t>
        </r>
      </text>
    </comment>
    <comment ref="N881" authorId="0" shapeId="0" xr:uid="{E43706B3-534A-4254-B232-51A2A1E33E7F}">
      <text>
        <r>
          <rPr>
            <sz val="9"/>
            <color indexed="81"/>
            <rFont val="Tahoma"/>
            <family val="2"/>
          </rPr>
          <t>Formule verschilt van formules in voorgaande kolommen. Kosten gemaakt in 2027 vallen onder de nieuwe reguleringsmethode, en vallen dus buiten deze nacalculatie.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<sst xmlns="http://schemas.openxmlformats.org/spreadsheetml/2006/main" count="6210" uniqueCount="1189">
  <si>
    <t>Rekenmodule Tarieven GTS 2027</t>
  </si>
  <si>
    <t>Over dit bestand</t>
  </si>
  <si>
    <t>Zaaknummer</t>
  </si>
  <si>
    <t>ACM/25/199116</t>
  </si>
  <si>
    <t>Titel</t>
  </si>
  <si>
    <t>Ondertitel</t>
  </si>
  <si>
    <t>-</t>
  </si>
  <si>
    <t>Hoort bij besluit(en):</t>
  </si>
  <si>
    <t>Tarievenbesluit GTS 2027</t>
  </si>
  <si>
    <t>Hoort bij onderzoek/publicatie ACM:</t>
  </si>
  <si>
    <t>n.v.t.</t>
  </si>
  <si>
    <t>Kenmerk besluit(en)</t>
  </si>
  <si>
    <t>Samenhang met andere rekenbestanden</t>
  </si>
  <si>
    <t>Overig opmerkingen</t>
  </si>
  <si>
    <t>Over de status van dit bestand</t>
  </si>
  <si>
    <t>Definitief? (j/n)</t>
  </si>
  <si>
    <t>Nee</t>
  </si>
  <si>
    <t>Publicatie? (j/n)</t>
  </si>
  <si>
    <t>Juridisch integraal onderdeel van bovenstaande besluit(en) (j/n)?</t>
  </si>
  <si>
    <t>Ja</t>
  </si>
  <si>
    <t>Bevat bedrijfsvertrouwelijke gegevens? (j/n)</t>
  </si>
  <si>
    <t>Opmerkingen openbare versiegeschiedenis</t>
  </si>
  <si>
    <t>Mogelijkheden van bezwaar en beroep staan open tegen het besluit waarbij dit bestand hoort (zie kenmerken hierboven)</t>
  </si>
  <si>
    <t>Contactgegevens ACM</t>
  </si>
  <si>
    <t>E-mailadres</t>
  </si>
  <si>
    <t>Telefoonnummer</t>
  </si>
  <si>
    <t>DTE-Tarievenbesluiten@acm.nl</t>
  </si>
  <si>
    <t>Toelichting bij dit bestand</t>
  </si>
  <si>
    <t>Toelichting bij de werking van dit model</t>
  </si>
  <si>
    <t>Deze rekenmodule wordt gebruikt bij het vaststellen van het Tarievenbesluit GTS 2027.</t>
  </si>
  <si>
    <t>Deze rekenmodule bevat alle gegevens die nodig zijn om de tarieven voor het landelijk gastransportnet te berekenen voor het jaar 2027.</t>
  </si>
  <si>
    <t>Schematische weergave en/of inhoudsopgave van de werking van dit model</t>
  </si>
  <si>
    <t>Toelichting samenhang tabbladen:</t>
  </si>
  <si>
    <t>Inputs</t>
  </si>
  <si>
    <t>Berekeningen</t>
  </si>
  <si>
    <t>Resultaten</t>
  </si>
  <si>
    <t>2. Parameters</t>
  </si>
  <si>
    <t>[Alle berekeningstabbladen]</t>
  </si>
  <si>
    <t>3. Input (des)investeringen</t>
  </si>
  <si>
    <t>4. Input nacalculaties</t>
  </si>
  <si>
    <t>16. WUI &amp; Ombouwtaak</t>
  </si>
  <si>
    <t>5. Input GAW-waarde desinvesteringen</t>
  </si>
  <si>
    <t>17. Nacalculatie bijschatten</t>
  </si>
  <si>
    <t>6. Input incidentele correctie WQA</t>
  </si>
  <si>
    <t>18. Nacalculatie desinv.</t>
  </si>
  <si>
    <t>26. Toegestane inkomsten</t>
  </si>
  <si>
    <t>27. RPM</t>
  </si>
  <si>
    <t>28. Entry- en exittarieven</t>
  </si>
  <si>
    <t>1. Entry- en exittarieven</t>
  </si>
  <si>
    <t>7. Input IC peakshaver</t>
  </si>
  <si>
    <t>19. Indexatie desinvesteringen</t>
  </si>
  <si>
    <t>8. Input IC huur Gasunie</t>
  </si>
  <si>
    <t>20. Nacalculaties</t>
  </si>
  <si>
    <t>9. Input incidentele correcties</t>
  </si>
  <si>
    <t>21. Correctie WQA</t>
  </si>
  <si>
    <t>10. Input capaciteit</t>
  </si>
  <si>
    <t>22. Correctie assetoverdracht</t>
  </si>
  <si>
    <t>11. Investeringen (WUI &amp; Ombouw)</t>
  </si>
  <si>
    <t>23. Correctie peakshaver</t>
  </si>
  <si>
    <t>12. Investeringen (bijschatten)</t>
  </si>
  <si>
    <t>24. Correctie schatting ITC</t>
  </si>
  <si>
    <t>13. Desinvesteringen</t>
  </si>
  <si>
    <t>14. Omzet</t>
  </si>
  <si>
    <t>15. Operationele kosten</t>
  </si>
  <si>
    <t>Legenda voor gebruik van celkleuren en tabkleuren</t>
  </si>
  <si>
    <t>Celkleur getallen</t>
  </si>
  <si>
    <t>Beschrijving</t>
  </si>
  <si>
    <t>Data en input (bron wordt vermeld). Bij een dataverzoek zijn door ACM vóóringevulde velden in een groen veld geplaatst.</t>
  </si>
  <si>
    <t>Waarde die zonder berekening wordt overgenomen uit een andere cel.</t>
  </si>
  <si>
    <t>Berekende waarde.</t>
  </si>
  <si>
    <t>Berekende waarde die wordt opgehaald op een ander tabblad, incl. (eind)resultaat van berekening.</t>
  </si>
  <si>
    <t>Waarde die uit de ACM-database wordt ingelezen in de cel.</t>
  </si>
  <si>
    <t>Cel is niet van toepassing (dus leeg, niet nul), maar er wordt door een formule wel naar verwezen, of: cel (met grijze tekst) is niet relevant voor dit tarievenbesluit maar wel voor tarievenbesluiten in latere jaren.</t>
  </si>
  <si>
    <t>Bijzonderheden:</t>
  </si>
  <si>
    <t>Waarde of berekening die speciale aandacht vraagt (zie toelichting in opmerking).</t>
  </si>
  <si>
    <t>Ingevoerde waarde of berekening die nog niet juist is (indien van toepassing).</t>
  </si>
  <si>
    <t>Eventueel te gebruiken:</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</si>
  <si>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</si>
  <si>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</si>
  <si>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</si>
  <si>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Tabkleur</t>
  </si>
  <si>
    <t>Tabbladen die het model vormen</t>
  </si>
  <si>
    <t>Resultaat</t>
  </si>
  <si>
    <t>Tabblad met resultaten/output</t>
  </si>
  <si>
    <t>Data</t>
  </si>
  <si>
    <t>Tabblad met input</t>
  </si>
  <si>
    <t>Database</t>
  </si>
  <si>
    <t>Tabblad met input uit een database</t>
  </si>
  <si>
    <t>Berekening</t>
  </si>
  <si>
    <t>Tabblad met berekeningen</t>
  </si>
  <si>
    <t>Tabbladen ten behoeve van begrip</t>
  </si>
  <si>
    <t>Input --&gt;</t>
  </si>
  <si>
    <t>Leeg tabblad dat wordt gebruikt als index/markering voor een serie tabbladen (kleur: licht grijs)</t>
  </si>
  <si>
    <t>Toelichting</t>
  </si>
  <si>
    <t>Gestandaardiseerde tabbladen, omvat tenminste: 'Titelblad', 'Toelichting' en 'Bronnen en toepassingen' (kleur: ACM-lichtpaars)</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</si>
  <si>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</si>
  <si>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</si>
  <si>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</si>
  <si>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</si>
  <si>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</si>
  <si>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</si>
  <si>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</si>
  <si>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Zaaknummer en/of kenmerk ACM</t>
  </si>
  <si>
    <t>Aanvullende gegevens bestand extern</t>
  </si>
  <si>
    <t>Zoals gebruikt in dit bestand</t>
  </si>
  <si>
    <t>Exacte bestandsnaam</t>
  </si>
  <si>
    <t>Indien van toepassing</t>
  </si>
  <si>
    <t>Datum ontvangst, versie nr., opmerkingen</t>
  </si>
  <si>
    <t>X-factorbesluit 2022-2026</t>
  </si>
  <si>
    <r>
      <rPr>
        <sz val="10"/>
        <rFont val="Arial"/>
        <family val="2"/>
      </rPr>
      <t>ACM/20/043329</t>
    </r>
    <r>
      <rPr>
        <sz val="10"/>
        <color rgb="FFFF0000"/>
        <rFont val="Arial"/>
        <family val="2"/>
      </rPr>
      <t xml:space="preserve"> </t>
    </r>
  </si>
  <si>
    <t>Tarievenmodule GTS 2021</t>
  </si>
  <si>
    <t xml:space="preserve">Rekenmodule Tarieven GTS 2021 </t>
  </si>
  <si>
    <t>ACM/19/036512</t>
  </si>
  <si>
    <t>CBS</t>
  </si>
  <si>
    <t>Consumentenprijzen</t>
  </si>
  <si>
    <t>Gewijzigd Methodebesluit 2017-2021</t>
  </si>
  <si>
    <t>Gewijzigd methodebesluit GTS 2017-2021</t>
  </si>
  <si>
    <t>ACM/18/033724</t>
  </si>
  <si>
    <t>Methodebesluit 2022-2026</t>
  </si>
  <si>
    <t>Methodebesluit GTS 2022-2026</t>
  </si>
  <si>
    <t>ACM/19/035346</t>
  </si>
  <si>
    <t>DNB</t>
  </si>
  <si>
    <t>Wettelijke rente</t>
  </si>
  <si>
    <t>GAW-model</t>
  </si>
  <si>
    <t>Berekening GAW bij x-factorbesluit GTS 2022-2026</t>
  </si>
  <si>
    <t>ACM/19/035360</t>
  </si>
  <si>
    <t>Tarievenmodule GTS 2022</t>
  </si>
  <si>
    <t>Rekenmodule Tarieven GTS 2022</t>
  </si>
  <si>
    <t>ACM/20/043661</t>
  </si>
  <si>
    <t>Tarievencode gas</t>
  </si>
  <si>
    <t>Tarievenbesluit GTS 2024</t>
  </si>
  <si>
    <t>ACM/UIT/591247</t>
  </si>
  <si>
    <t>Tarievenmodule GTS 2023</t>
  </si>
  <si>
    <t>Rekenmodule GTS 2023</t>
  </si>
  <si>
    <t>ACM/UIT/573617</t>
  </si>
  <si>
    <t>Tarievenmodule GTS 2024</t>
  </si>
  <si>
    <t>Rekenmodule GTS 2024</t>
  </si>
  <si>
    <t>Gewijzigd Methodebesluit 2022-2026</t>
  </si>
  <si>
    <t>Gewijzigd methodebesluit GTS 2022-2026 | ACM.nl</t>
  </si>
  <si>
    <t>ACM/23/184724</t>
  </si>
  <si>
    <t>Gewijzigd X-factorbesluit GTS 2022-2026</t>
  </si>
  <si>
    <t>ACM/23/187039</t>
  </si>
  <si>
    <t>WACC nacalculatiemodel</t>
  </si>
  <si>
    <t>Nacalculatiemodel WACC, zie bijlage bij huidige publicatie</t>
  </si>
  <si>
    <t>ACM/INT/997879</t>
  </si>
  <si>
    <t>Tarievenmodule GTS 2025</t>
  </si>
  <si>
    <t>Rekenmodule GTS 2025</t>
  </si>
  <si>
    <t>ACM/23/186082</t>
  </si>
  <si>
    <t>Tarievenmodule GTS 2026</t>
  </si>
  <si>
    <t>Rekenmodule GTS 2026</t>
  </si>
  <si>
    <t>Inkomstenberekening GTS</t>
  </si>
  <si>
    <t>Nog te publiceren</t>
  </si>
  <si>
    <t>ACM/25/198073</t>
  </si>
  <si>
    <t>Duiding van specifieke Excel-toepassingen en overige bijzonderheden</t>
  </si>
  <si>
    <t>N.v.t.</t>
  </si>
  <si>
    <t>Tabblad 1 - Entry- en exittarieven</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</si>
  <si>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</si>
  <si>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</si>
  <si>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</si>
  <si>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r>
      <t xml:space="preserve">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
</t>
    </r>
    <r>
      <rPr>
        <b/>
        <sz val="10"/>
        <color rgb="FFFF0000"/>
        <rFont val="Arial"/>
        <family val="2"/>
      </rPr>
      <t>LET OP!</t>
    </r>
    <r>
      <rPr>
        <sz val="10"/>
        <rFont val="Arial"/>
        <family val="2"/>
      </rPr>
      <t xml:space="preserve"> Niet alle tarieven die hieronder worden weergegeven, zijn van toepassing op het gekozen punt. Op het punt ROTTERDAM GATE zijn bijvoorbeeld alleen de entrytarieven (met en zonder afschakelbare korting) incl. LNG-korting van toepassing, en de wheelingtarieven m.u.v. 'Tussen gasopslagen'. In de bijlage 'Entry- en exittarieven GTS 2027' vindt u de tarieven voor de verschillende punten naar tabblad uitgesplitst.</t>
    </r>
  </si>
  <si>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</si>
  <si>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</si>
  <si>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</si>
  <si>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</si>
  <si>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</si>
  <si>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</si>
  <si>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</si>
  <si>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</si>
  <si>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</si>
  <si>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</si>
  <si>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</si>
  <si>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</si>
  <si>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</si>
  <si>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</si>
  <si>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</si>
  <si>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</si>
  <si>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</si>
  <si>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</si>
  <si>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</si>
  <si>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</si>
  <si>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</si>
  <si>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</si>
  <si>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</si>
  <si>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</si>
  <si>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</si>
  <si>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</si>
  <si>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</si>
  <si>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</si>
  <si>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</si>
  <si>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</si>
  <si>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</si>
  <si>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</si>
  <si>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</si>
  <si>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</si>
  <si>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</si>
  <si>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</si>
  <si>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Wheelingtarieven</t>
  </si>
  <si>
    <t>Tussen niet-gasopslagen</t>
  </si>
  <si>
    <t>Tussen niet-gasopslag (entry) en gasopslag (exit)</t>
  </si>
  <si>
    <t>Tussen gasopslag (entry) en niet-gasopslag (exit)</t>
  </si>
  <si>
    <t>Tussen gasopslagen</t>
  </si>
  <si>
    <t>Tabblad 2 - Parameters</t>
  </si>
  <si>
    <t>Beschrijving gegevens</t>
  </si>
  <si>
    <t xml:space="preserve">Op dit tabblad worden alle relevante parameters weergegeven. In kolom T worden de bronnen weergegeven. </t>
  </si>
  <si>
    <t>Eenheid</t>
  </si>
  <si>
    <t>Constante</t>
  </si>
  <si>
    <t>Bronverwijzing</t>
  </si>
  <si>
    <t>Opmerking</t>
  </si>
  <si>
    <t>Toegestane inkomsten exclusief tariefcorrecties</t>
  </si>
  <si>
    <t>Totale inkomsten excl. tariefcorrecties</t>
  </si>
  <si>
    <t>Tarievenbesluiten 2022 t/m 2026; Inkomstenberekening GTS, tabblad 1, cel J16</t>
  </si>
  <si>
    <t>WACC</t>
  </si>
  <si>
    <t>WACC-percentages voor berekening kapitaalkosten</t>
  </si>
  <si>
    <t>Reële WACC bestaand vermogen</t>
  </si>
  <si>
    <t>%</t>
  </si>
  <si>
    <t>Gewijzigd methodebesluit 2017-2021</t>
  </si>
  <si>
    <t>Reële WACC nieuw vermogen</t>
  </si>
  <si>
    <t xml:space="preserve">Nominale WACC bestaand vermogen </t>
  </si>
  <si>
    <t>Gewijzigd methodebesluit 2022-2026</t>
  </si>
  <si>
    <t xml:space="preserve">Nominale WACC nieuw vermogen </t>
  </si>
  <si>
    <t>WACC-percentages voor nacalculatie WACC</t>
  </si>
  <si>
    <t>WACC nacalculatiemodel, tabblad 1, rij 35</t>
  </si>
  <si>
    <t>Toevoeging operationele kosten a.g.v. wettelijk uitgezonderde investeringen</t>
  </si>
  <si>
    <t>Verwachte verandering OPEX a.g.v. uitbreiding/krimp</t>
  </si>
  <si>
    <t>CPI</t>
  </si>
  <si>
    <t>De ACM gebruikt het consumentenprijsindexcijfer uit het quotiënt van de prijsindex gepubliceerd in februari.</t>
  </si>
  <si>
    <t>1 + CPI tabel</t>
  </si>
  <si>
    <t>Van 2017 naar jaar</t>
  </si>
  <si>
    <t>1+CPI</t>
  </si>
  <si>
    <t>Van 2018 naar jaar</t>
  </si>
  <si>
    <t>Van 2019 naar jaar</t>
  </si>
  <si>
    <t>Van 2020 naar jaar</t>
  </si>
  <si>
    <t>Van 2021 naar jaar</t>
  </si>
  <si>
    <t>Van 2022 naar jaar</t>
  </si>
  <si>
    <t>Van 2023 naar jaar</t>
  </si>
  <si>
    <t>Van 2024 naar jaar</t>
  </si>
  <si>
    <t>Van 2025 naar jaar</t>
  </si>
  <si>
    <t>Van 2026 naar jaar</t>
  </si>
  <si>
    <t>Frontier shift</t>
  </si>
  <si>
    <t xml:space="preserve">Frontier shift </t>
  </si>
  <si>
    <t>Gewijzigd Methodebesluit 2017-2021, Gewijzigd Methodebesluit 2022-2026</t>
  </si>
  <si>
    <t>1 - Frontier shift tabel</t>
  </si>
  <si>
    <t>1-FS</t>
  </si>
  <si>
    <t>Heffingsrente</t>
  </si>
  <si>
    <t>DNB, vanaf 2025 berekening ACM o.b.v. ECB</t>
  </si>
  <si>
    <t>Vanaf 2025 gebruikt de ACM een actuelere en specifiekere schatting voor de heffingsrente, gebaseerd op de meest recent beschikbare gegevens. Het ministerie van justitie en veiligheid stelt de wettelijke rente vast door de meest recente ECB referentierente te verhogen met 2,25 %-punt, met afronding van halve procenten of meer naar boven en overigens naar beneden. De meest recente ECB-rente is 2,15%, waarmee we de heffingsrente voor 2027 dus op 2,15+2,25=4,40, afgerond 4% vaststellen.</t>
  </si>
  <si>
    <t>1 + heffingsrente</t>
  </si>
  <si>
    <t>1+heffingsrente</t>
  </si>
  <si>
    <t>Thèta</t>
  </si>
  <si>
    <t>Versnellingsfactor</t>
  </si>
  <si>
    <t>Percentage investeringen uitgezonderd van versnelling</t>
  </si>
  <si>
    <t>Percentage opbrengsten desinvesteringen verrekend in tarieven</t>
  </si>
  <si>
    <t>Parameters incidentele correctie inkoopkosten energie</t>
  </si>
  <si>
    <t>Bonus/malus incidentele correctie inkoopkosten energie</t>
  </si>
  <si>
    <t>Maximum afwijking bonus/malus incidentele correctie inkoopkosten energie</t>
  </si>
  <si>
    <t>Entry-exitverdeling</t>
  </si>
  <si>
    <t>Aandeel toegestane inkomsten entry</t>
  </si>
  <si>
    <t>Aandeel toegestane inkomsten exit</t>
  </si>
  <si>
    <t>Kortingen</t>
  </si>
  <si>
    <t>Gasopslagkorting</t>
  </si>
  <si>
    <t>Korting wheelingcapaciteit</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</si>
  <si>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</si>
  <si>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</si>
  <si>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</si>
  <si>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</si>
  <si>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</si>
  <si>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</si>
  <si>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</si>
  <si>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</si>
  <si>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</si>
  <si>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</si>
  <si>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</si>
  <si>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</si>
  <si>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</si>
  <si>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</si>
  <si>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</si>
  <si>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2027</t>
  </si>
  <si>
    <t>Aantal dagen per kwartaal in het jaar 2027</t>
  </si>
  <si>
    <t>Aantal dagen en uren per jaar in het jaar 2027</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</si>
  <si>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</si>
  <si>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</si>
  <si>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</si>
  <si>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</si>
  <si>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</si>
  <si>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</si>
  <si>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</si>
  <si>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</si>
  <si>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</si>
  <si>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</si>
  <si>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</si>
  <si>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(SEFE storage)</t>
  </si>
  <si>
    <t>301360_OUDE STATENZIJL (ETZEL EKB H)</t>
  </si>
  <si>
    <t>301348_BERGERMEER (TAQA-UGS)</t>
  </si>
  <si>
    <t>301345_ROTTERDAM (GATE)</t>
  </si>
  <si>
    <t>301320_ZUIDWENDING (UGS)</t>
  </si>
  <si>
    <t>301116_NORG (NAM-UGS)</t>
  </si>
  <si>
    <t>301114_GRIJPSKERK (NAM-UGS)</t>
  </si>
  <si>
    <t>300131_HILVARENBEEK (FLUXYS)</t>
  </si>
  <si>
    <t>Exit</t>
  </si>
  <si>
    <t>Tabblad 3 - Input (des)investeringen</t>
  </si>
  <si>
    <t xml:space="preserve">Beschrijving gegevens </t>
  </si>
  <si>
    <t xml:space="preserve">Dit tabblad bevat de bijgeschatte investeringen uit het x-factorbesluit. Dit tabblad bevat ook de CPI-gegevens van 1946-2021. De opgenomen activaklassen, afschrijvingstermijnen en binnen/buiten scope worden o.a. gebruikt voor de berekeningen i.h.k.v. desinvesteringen, maar desinvesteringen worden niet in dit tabblad opgegeven. </t>
  </si>
  <si>
    <t>Activaklasse</t>
  </si>
  <si>
    <t>Afschrijvingstermijn</t>
  </si>
  <si>
    <t xml:space="preserve">Binnen scope? </t>
  </si>
  <si>
    <t>01 Regionale leidingen</t>
  </si>
  <si>
    <t>GAW model</t>
  </si>
  <si>
    <t>01 Regionale leidingen (Waterkruisingen)</t>
  </si>
  <si>
    <t>01 Regionale leidingen (gaschromatografen en comptabele meters)</t>
  </si>
  <si>
    <t>02 Gasontvangststations</t>
  </si>
  <si>
    <t>02 Gasontvangststations (EHD)</t>
  </si>
  <si>
    <t>03 Verremeting</t>
  </si>
  <si>
    <t>04 Terreinen</t>
  </si>
  <si>
    <t>04 Terreinen (EHD)</t>
  </si>
  <si>
    <t>05 Wegen en terreinvoorzieningen</t>
  </si>
  <si>
    <t>05 Wegen en terreinvoorzieningen (EHD)</t>
  </si>
  <si>
    <t>Niet opgenomen in GAW-model, toegevoegd t.b.v. Tarievenbesluit GTS 2025</t>
  </si>
  <si>
    <t>05 Wegen en terreinvoorzieningen (LNG)</t>
  </si>
  <si>
    <t>05 Wegen en terreinvoorzieningen (TT-BT-AT)</t>
  </si>
  <si>
    <t>Niet opgenomen in GAW-model, toegevoegd t.b.v. Tarievenbesluit GTS 2026</t>
  </si>
  <si>
    <t>05 Wegen en terreinvoorzieningen (KC)</t>
  </si>
  <si>
    <t>06 Utiliteitsgebouwen</t>
  </si>
  <si>
    <t>06 Utiliteitsgebouwen (EHD)</t>
  </si>
  <si>
    <t>06 Utiliteitsgebouwen (LNG)</t>
  </si>
  <si>
    <t>06 Utiliteitsgebouwen (TT-BT-AT)</t>
  </si>
  <si>
    <t>06 Utiliteitsgebouwen (KC)</t>
  </si>
  <si>
    <t>07 Dienstwoningen</t>
  </si>
  <si>
    <t>08 Inrichting gebouwen</t>
  </si>
  <si>
    <t>08 Inrichting gebouwen (TT-BT-AT)</t>
  </si>
  <si>
    <t>08 Inrichting gebouwen (KC)</t>
  </si>
  <si>
    <t>09 Bedrijfsinventaris</t>
  </si>
  <si>
    <t>10 Gereedschap</t>
  </si>
  <si>
    <t>10 Gereedschap (LNG)</t>
  </si>
  <si>
    <t>10 Gereedschap (odorisatie)</t>
  </si>
  <si>
    <t>10 Gereedschap (gaschromatografen en comptabele meters)</t>
  </si>
  <si>
    <t>11 Werktuigen</t>
  </si>
  <si>
    <t>11 Werktuigen (gaschromatografen en comptabele meters)</t>
  </si>
  <si>
    <t>11 Werktuigen (odorisatie)</t>
  </si>
  <si>
    <t>11 Werktuigen (KC)</t>
  </si>
  <si>
    <t>12 Motorvoertuigen</t>
  </si>
  <si>
    <t>13 Aanhangwagens</t>
  </si>
  <si>
    <t>13 Aanhangwagens (gaschromatografen en comptabele meters)</t>
  </si>
  <si>
    <t>14 Overig rollend materieel</t>
  </si>
  <si>
    <t>14 Overig rollend materieel (odorisatie)</t>
  </si>
  <si>
    <t>14 Overig rollend materieel (gaschromatografen en comptabele meters)</t>
  </si>
  <si>
    <t>15 Compressorstations (TT-BT-AT)</t>
  </si>
  <si>
    <t>15 Compressorstations (TT-BT-AT) (gaschromatografen en comptabele meters)</t>
  </si>
  <si>
    <t>15 Compressorstations (KC)</t>
  </si>
  <si>
    <t>16 LNG installaties</t>
  </si>
  <si>
    <t>17 Mengstations</t>
  </si>
  <si>
    <t>18 Ijkinstallaties</t>
  </si>
  <si>
    <t>19 Stortgasinstallaties</t>
  </si>
  <si>
    <t>20 Kantoorgebouwen</t>
  </si>
  <si>
    <t>21 Hoofdtransportleiding</t>
  </si>
  <si>
    <t>21 Hoofdtransportleiding (waterkruisingen)</t>
  </si>
  <si>
    <t>21 Hoofdtransportleiding (gaschromatografen en comptabele meting)</t>
  </si>
  <si>
    <t>21 Hoofdtransportleiding (EHD)</t>
  </si>
  <si>
    <t>21 Hoofdtransportleiding (TT-BT-AT)</t>
  </si>
  <si>
    <t>21 Hoofdtransportleiding (KC)</t>
  </si>
  <si>
    <t>22 Regionaal hoofdtransportnet</t>
  </si>
  <si>
    <t>23 Brigittaleiding</t>
  </si>
  <si>
    <t>32 M&amp;R stations</t>
  </si>
  <si>
    <t>32 M&amp;R stations (gaschromatografen en comptabele meting)</t>
  </si>
  <si>
    <t>32 M&amp;R stations (odorisatie)</t>
  </si>
  <si>
    <t>33 Exportstations</t>
  </si>
  <si>
    <t>33 Exportstations (gaschromatografen en comptabele meting)</t>
  </si>
  <si>
    <t>34 Reduceerstations</t>
  </si>
  <si>
    <t>34 Reduceerstations (gaschromatografen en comptabele meting)</t>
  </si>
  <si>
    <t>34 Reduceerstations (EHD)</t>
  </si>
  <si>
    <t>35 Injectiestations</t>
  </si>
  <si>
    <t>36 Luchtscheidingsunit</t>
  </si>
  <si>
    <t>37 ICT middelen 1</t>
  </si>
  <si>
    <t>37 ICT middelen 1 (transparency)</t>
  </si>
  <si>
    <t>37 ICT middelen 1 (gaschromatografen en comptabele meting)</t>
  </si>
  <si>
    <t>37 ICT middelen 1 (KC)</t>
  </si>
  <si>
    <t>37 ICT middelen 1 (balancering)</t>
  </si>
  <si>
    <t>38 ICT middelen 2</t>
  </si>
  <si>
    <t>39 ICT middelen 3</t>
  </si>
  <si>
    <t>39 ICT middelen 3 (KC)</t>
  </si>
  <si>
    <t>39 ICT middelen 3 (balancering)</t>
  </si>
  <si>
    <t>40 Aansluitpunten</t>
  </si>
  <si>
    <t>41 Stikstofbuffer</t>
  </si>
  <si>
    <t>42 Vulgas</t>
  </si>
  <si>
    <t>42 Vulgas (EHD)</t>
  </si>
  <si>
    <t>43 Stikstof</t>
  </si>
  <si>
    <t>44 Stikstofleiding</t>
  </si>
  <si>
    <t>45 Groen gas booster</t>
  </si>
  <si>
    <t>Bijgeschatte investeringen GAW model</t>
  </si>
  <si>
    <t>Volgnummer GAW model</t>
  </si>
  <si>
    <t>Investering</t>
  </si>
  <si>
    <t>Jaar ingebruikname</t>
  </si>
  <si>
    <t>Binnen scope?</t>
  </si>
  <si>
    <t>nvt</t>
  </si>
  <si>
    <t>CPI t/m 2026</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</si>
  <si>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</si>
  <si>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</si>
  <si>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</si>
  <si>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</si>
  <si>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</si>
  <si>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</si>
  <si>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</si>
  <si>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</si>
  <si>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</si>
  <si>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</si>
  <si>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</si>
  <si>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</si>
  <si>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</si>
  <si>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</si>
  <si>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</si>
  <si>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</si>
  <si>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</si>
  <si>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</si>
  <si>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</si>
  <si>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</si>
  <si>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</si>
  <si>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</si>
  <si>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</si>
  <si>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</si>
  <si>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</si>
  <si>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</si>
  <si>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</si>
  <si>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</si>
  <si>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</si>
  <si>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</si>
  <si>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</si>
  <si>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</si>
  <si>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</si>
  <si>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</si>
  <si>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</si>
  <si>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</si>
  <si>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</si>
  <si>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</si>
  <si>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</si>
  <si>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</si>
  <si>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</si>
  <si>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</si>
  <si>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</si>
  <si>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</si>
  <si>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</si>
  <si>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</si>
  <si>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</si>
  <si>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</si>
  <si>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</si>
  <si>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</si>
  <si>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</si>
  <si>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</si>
  <si>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</si>
  <si>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</si>
  <si>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</si>
  <si>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</si>
  <si>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</si>
  <si>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</si>
  <si>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</si>
  <si>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</si>
  <si>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</si>
  <si>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</si>
  <si>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</si>
  <si>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</si>
  <si>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</si>
  <si>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</si>
  <si>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</si>
  <si>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</si>
  <si>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</si>
  <si>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</si>
  <si>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</si>
  <si>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</si>
  <si>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</si>
  <si>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</si>
  <si>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</si>
  <si>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</si>
  <si>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</si>
  <si>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</si>
  <si>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</si>
  <si>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</si>
  <si>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</si>
  <si>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</si>
  <si>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CPI jaar</t>
  </si>
  <si>
    <t xml:space="preserve"> </t>
  </si>
  <si>
    <t xml:space="preserve">Tabblad 4 - Input nacalculaties </t>
  </si>
  <si>
    <t>Op dit tabblad wordt de benodigde informatie voor de nacalculaties weergegeven, die niet in de reguleringsdata in de lila tabbladen is opgenomen.</t>
  </si>
  <si>
    <t>Omzetregulering (conform paragraaf 8.2 van het methodebesluit 2022-2026)</t>
  </si>
  <si>
    <t>Toegestane inkomsten na tariefcorrecties</t>
  </si>
  <si>
    <t>EUR, pp jaar</t>
  </si>
  <si>
    <t>Tarievenmodule 2025, tabblad 25. Toegestane inkomsten</t>
  </si>
  <si>
    <t>Veilinggelden (conform paragraaf 8.4.2 van het methodebesluit 2022-2026)</t>
  </si>
  <si>
    <t>Saldo veilinggelden oud (excl. belastingrente)</t>
  </si>
  <si>
    <t>Tarievenmodule 2026, tabblad 20. Nacalculaties</t>
  </si>
  <si>
    <t>Na te calculeren of te investeren veilinggelden (incl. belastingrente)</t>
  </si>
  <si>
    <t xml:space="preserve">Vooruitverwijzing naar tabblad 20, in principe maakt de ACM geen gebruik van vooruitverwijzingen, maar hier moet een uitzondering gemaakt worden. </t>
  </si>
  <si>
    <t>Voorgesteld bedrag GTS veilinggelden te gebruiken t.b.v. investering</t>
  </si>
  <si>
    <t>In te vullen als negatief bedrag</t>
  </si>
  <si>
    <t>Voorgesteld bedrag GTS veilinggelden na te calculeren</t>
  </si>
  <si>
    <t>GAW t.b.v. nacalculatie WACC (conform paragraaf 8.3.3 van het methodebesluit 2022-2026)</t>
  </si>
  <si>
    <t>Geschatte GAW binnen scope t/m 2019 en 2020-2026</t>
  </si>
  <si>
    <t>Herstelde x-factormodule GTS 2022</t>
  </si>
  <si>
    <t>Geschatte GAW buiten scope t/m 2019 en 2020-2026</t>
  </si>
  <si>
    <t>Inkoopkosten energie KC en TT/BT/AT (KC conform paragraaf 8.3.8 van het methodebesluit 2022-2026)</t>
  </si>
  <si>
    <t>Inkoopkosten energie KC m.u.v. peakshaver</t>
  </si>
  <si>
    <t>Reguleringsdata GTS</t>
  </si>
  <si>
    <t>Inkoopkosten energie TT/AT/BT</t>
  </si>
  <si>
    <t>Nacalculatie verwijderingskosten desinvesteringen</t>
  </si>
  <si>
    <t>Ontmantelingskosten desinvesteringen 2019, prijspeil 2020</t>
  </si>
  <si>
    <t>GTS</t>
  </si>
  <si>
    <t>Data van GTS is de kosten uit 2019, hier al met CPI en FS naar 2020 gebracht om de berekening later eenvoudiger te maken</t>
  </si>
  <si>
    <t>Nacalculaties, toegestane inkomsten eerdere jaren</t>
  </si>
  <si>
    <t>WUI</t>
  </si>
  <si>
    <t>Tarievenbesluiten 2022 t/m 2026</t>
  </si>
  <si>
    <t>Kosten van ombouwen G- naar H-gas</t>
  </si>
  <si>
    <t>Nacalculatie omzetregulering</t>
  </si>
  <si>
    <t>Nacalculatie overboek- en terugkoopregeling</t>
  </si>
  <si>
    <t>Nacalculatie veilinggelden</t>
  </si>
  <si>
    <t>Nacalculatie inkoopkosten energie</t>
  </si>
  <si>
    <t>Nacalculatie administratieve onbalans</t>
  </si>
  <si>
    <t>Nacalculatie bijschatten</t>
  </si>
  <si>
    <t>Nacalculatie desinvesteringen</t>
  </si>
  <si>
    <t>Nacalculatie ontmantelingskosten</t>
  </si>
  <si>
    <t>Daling operationele kosten a.g.v. desinvesteringen</t>
  </si>
  <si>
    <t>Nacalculatie WACC</t>
  </si>
  <si>
    <t>Nacalculatie WQA</t>
  </si>
  <si>
    <t>Vergoeding kapitaalkosten Pernis</t>
  </si>
  <si>
    <t>Incidentele correctie inkoopkosten energie</t>
  </si>
  <si>
    <t>Incidentele correctie assetoverdracht</t>
  </si>
  <si>
    <t>Incidentele correctie peakshaver</t>
  </si>
  <si>
    <t>Incidentele correctie Gewijzigd Methodebesluit 2022-2026</t>
  </si>
  <si>
    <t>Incidentele correctie CPI a.g.v. NC TAR-overeenkomst</t>
  </si>
  <si>
    <t>Incidentele correctie voorlopige schatting ITC</t>
  </si>
  <si>
    <t>Spreiding nacalculaties uit REG2022 (conform paragraaf 6.5.1 van het methodebesluit 2027-2031)</t>
  </si>
  <si>
    <t>Saldo nacalculaties REG2022 oud (excl. belastingrente)</t>
  </si>
  <si>
    <t>Niet van toepassing</t>
  </si>
  <si>
    <t>De spreiding van nacalculaties uit REG2022 is voor het eerst onderdeel van de Tarievenmodule 2027. Derhalve is het saldo nacalculaties oud '0' in 2026.</t>
  </si>
  <si>
    <t>Na te calculeren of te spreiden nacalculaties REG2022 (incl. heffingsrente)</t>
  </si>
  <si>
    <t xml:space="preserve">Vooruitverwijzing naar tabblad 26, in principe maakt de ACM geen gebruik van vooruitverwijzingen, maar hier maakt de ACM voor het overzicht een uitzondering. </t>
  </si>
  <si>
    <t>Voorgesteld bedrag GTS te reserveren saldo voor toekomstig tarievenbesluit</t>
  </si>
  <si>
    <t>Het bedrag dat GTS hier invult komt ter vergoeding in een toekomstig tarievenbesluit</t>
  </si>
  <si>
    <t>Tabblad 5 - Input GAW-waarde desinvesteringen</t>
  </si>
  <si>
    <t>Op dit tabblad wordt de GAW-waarde ultimo 2021 van de desinvesteringen van GTS in de jaren 2022-2026 weergegeven. Deze GAW-waarde wordt in een ander bestand bepaald, om extra complexiteit in deze rekenmodule te vermijden. De berekening voor de GAW ultimo 2021 is gebaseerd op inputgegevens in tabblad 13 'Desinvesteringen'.</t>
  </si>
  <si>
    <t>Volgnummer tab 13 Desinvesteringen</t>
  </si>
  <si>
    <t>GAW ultimo 2021</t>
  </si>
  <si>
    <t>GAW-model t.b.v. tarievenbesluit 2024 GTS</t>
  </si>
  <si>
    <t>GAW-model t.b.v. tarievenbesluit 2025 GTS</t>
  </si>
  <si>
    <t>GAW-model t.b.v. tarievenbesluit 2026 GTS</t>
  </si>
  <si>
    <t>Tabblad  6 - Input incidentele correctie WQA</t>
  </si>
  <si>
    <t>Op dit tabblad worden de gegevens benodigd voor de incidentele correctie 'Wijziging MR Gaskwaliteit' opgegeven. De wijziging houdt in dat de kosten voor de voormalige WQA-taak van GTS nu onder de KC-taak vallen, en daarmee verrekend worden in de tarieven. De wijziging is niet opgenomen in het methodebesluit 2022-2026, en wordt voor de jaren 2022-2026 daarom vergoed middels een incidentele correctie.</t>
  </si>
  <si>
    <t>Investeringen</t>
  </si>
  <si>
    <t>Investeringsbedrag</t>
  </si>
  <si>
    <t>Activering 2011</t>
  </si>
  <si>
    <t>Reactie van GTS op vraag Tarievenvoorstel 2017</t>
  </si>
  <si>
    <t>De GAW ultimo 2021 wordt berekend op basis van lineaire afschrijvingen in een reëel stelsel tot en met 2021, volgens de methode in het GAW-model.</t>
  </si>
  <si>
    <t>Activering 2012</t>
  </si>
  <si>
    <t>Activering 2013</t>
  </si>
  <si>
    <t>Activering 2014</t>
  </si>
  <si>
    <t>Activering 2015</t>
  </si>
  <si>
    <t>Operationele kosten</t>
  </si>
  <si>
    <t>Algemene operationele kosten</t>
  </si>
  <si>
    <t>Algemene operationele kosten WQA</t>
  </si>
  <si>
    <t xml:space="preserve">Inkoopkosten energie </t>
  </si>
  <si>
    <t>Inkoopkosten energie WQA</t>
  </si>
  <si>
    <t>Tabblad  7 - Input incidentele correctie peakshaver</t>
  </si>
  <si>
    <t xml:space="preserve">Op dit tabblad kan GTS input voor eventuele incidentele correcties opgeven. </t>
  </si>
  <si>
    <t xml:space="preserve">GTS heeft hier, in samenspraak met de ACM, een incidentele correctie voor de peakshaver opgenomen. In het methodebesluit werd de peakshaver voor 100% aan de kwaliteitsconversietaak toebedeeld, maar door de energiecrisis is deze toch deels ingezet voor de piektaak. Het gedeelte van de peakshaver dat ingezet is voor de piektaak mag niet in de transporttarieven in rekening worden gebracht, en wordt dus gecorrigeerd. </t>
  </si>
  <si>
    <t>Constant</t>
  </si>
  <si>
    <t>Verdeelsleutel kosten Peakshaverlocatie ten behoeve van Piektaak</t>
  </si>
  <si>
    <t>Verdeelsleutel kosten Peakshaver ten behoeve van Piektaak</t>
  </si>
  <si>
    <t>Zienswijze Gasunie Transport Services op ontwerp Methodebesluit GTS 2022-2026</t>
  </si>
  <si>
    <t>Afschrijvingen en GAW KC (doorrollen)</t>
  </si>
  <si>
    <t>Afschrijvingen activa geactiveerd t/m 2019 KC buiten scope</t>
  </si>
  <si>
    <t>GAW activa geactiveerd t/m 2019 KC buiten scope</t>
  </si>
  <si>
    <t>Algemene operationele kosten KC</t>
  </si>
  <si>
    <t>Direct manpower cost (buiten scope)</t>
  </si>
  <si>
    <t>Invulmodule reguleringsdata GTS REG2022 PS</t>
  </si>
  <si>
    <t>Other expenses (buiten scope)</t>
  </si>
  <si>
    <t>Inkoopkosten energie KC</t>
  </si>
  <si>
    <t>Inkoopkosten energie peakshaver</t>
  </si>
  <si>
    <t>Tabblad 8 - Input incidentele correctie huur assets van Gasunie</t>
  </si>
  <si>
    <t>GTS kan op dit tabblad in vormvrije wijze de noodzakelijke input opnemen voor de tariefcorrecties die zij wil voorstellen in het tabblad incidentele correcties.</t>
  </si>
  <si>
    <t>Incidentele correctie overdracht assets</t>
  </si>
  <si>
    <t>Oorspronkelijk investeringsjaar</t>
  </si>
  <si>
    <t>Oorspronkelijk investeringsbedrag</t>
  </si>
  <si>
    <t>Jaar van overdracht</t>
  </si>
  <si>
    <t>GAW-waarde ultimo 2021</t>
  </si>
  <si>
    <t>Opbrengst samenhangend met overdracht</t>
  </si>
  <si>
    <t>Asset 1</t>
  </si>
  <si>
    <t>Asset 2</t>
  </si>
  <si>
    <t>Asset 3</t>
  </si>
  <si>
    <t>Asset 4</t>
  </si>
  <si>
    <t>Asset 5</t>
  </si>
  <si>
    <t>Asset 6</t>
  </si>
  <si>
    <t>Asset 7</t>
  </si>
  <si>
    <t>Asset 8</t>
  </si>
  <si>
    <t>Asset 9</t>
  </si>
  <si>
    <t>Asset 10</t>
  </si>
  <si>
    <t>Asset 11</t>
  </si>
  <si>
    <t>Asset 12</t>
  </si>
  <si>
    <t>Asset 13</t>
  </si>
  <si>
    <t>Asset 14</t>
  </si>
  <si>
    <t>Asset 15</t>
  </si>
  <si>
    <t>Asset 16</t>
  </si>
  <si>
    <t>Asset 17</t>
  </si>
  <si>
    <t>Asset 18</t>
  </si>
  <si>
    <t>Asset 19</t>
  </si>
  <si>
    <t>Asset 20</t>
  </si>
  <si>
    <t>Asset 21</t>
  </si>
  <si>
    <t>Asset 22</t>
  </si>
  <si>
    <t>Asset 23</t>
  </si>
  <si>
    <t>Asset 24</t>
  </si>
  <si>
    <t>Asset 25</t>
  </si>
  <si>
    <t>Asset 26</t>
  </si>
  <si>
    <t>Asset 27</t>
  </si>
  <si>
    <t>Asset 28</t>
  </si>
  <si>
    <t>Asset 29</t>
  </si>
  <si>
    <t>Asset 30</t>
  </si>
  <si>
    <t>Asset 31</t>
  </si>
  <si>
    <t>Asset 32</t>
  </si>
  <si>
    <t>Asset 33</t>
  </si>
  <si>
    <t>Asset 34</t>
  </si>
  <si>
    <t>Asset 35</t>
  </si>
  <si>
    <t>Asset 36</t>
  </si>
  <si>
    <t>Asset 37</t>
  </si>
  <si>
    <t>Asset 38</t>
  </si>
  <si>
    <t>Asset 39</t>
  </si>
  <si>
    <t>Asset 40</t>
  </si>
  <si>
    <t>Asset 41</t>
  </si>
  <si>
    <t>Asset 42</t>
  </si>
  <si>
    <t>Asset 43</t>
  </si>
  <si>
    <t>Asset 44</t>
  </si>
  <si>
    <t>Asset 45</t>
  </si>
  <si>
    <t>Asset 46</t>
  </si>
  <si>
    <t>Asset 47</t>
  </si>
  <si>
    <t>Asset 48</t>
  </si>
  <si>
    <t>Asset 49</t>
  </si>
  <si>
    <t>Asset 50</t>
  </si>
  <si>
    <t>Asset 51</t>
  </si>
  <si>
    <t>Asset 52</t>
  </si>
  <si>
    <t>Asset 53</t>
  </si>
  <si>
    <t>Asset 54</t>
  </si>
  <si>
    <t>Asset 55</t>
  </si>
  <si>
    <t>Asset 56</t>
  </si>
  <si>
    <t>Asset 57</t>
  </si>
  <si>
    <t>Asset 58</t>
  </si>
  <si>
    <t>Asset 59</t>
  </si>
  <si>
    <t>Asset 60</t>
  </si>
  <si>
    <t>Asset 61</t>
  </si>
  <si>
    <t>Asset 62</t>
  </si>
  <si>
    <t>Asset 63</t>
  </si>
  <si>
    <t>Asset 64</t>
  </si>
  <si>
    <t>Asset 65</t>
  </si>
  <si>
    <t>Asset 66</t>
  </si>
  <si>
    <t>Asset 67</t>
  </si>
  <si>
    <t>Asset 68</t>
  </si>
  <si>
    <t>Asset 69</t>
  </si>
  <si>
    <t>Asset 70</t>
  </si>
  <si>
    <t>Asset 71</t>
  </si>
  <si>
    <t>Asset 72</t>
  </si>
  <si>
    <t>Asset 73</t>
  </si>
  <si>
    <t>Asset 74</t>
  </si>
  <si>
    <t>Asset 75</t>
  </si>
  <si>
    <t>Asset 76</t>
  </si>
  <si>
    <t>Asset 77</t>
  </si>
  <si>
    <t>Asset 78</t>
  </si>
  <si>
    <t>Asset 79</t>
  </si>
  <si>
    <t>Asset 80</t>
  </si>
  <si>
    <t>Asset 81</t>
  </si>
  <si>
    <t>Asset 82</t>
  </si>
  <si>
    <t>Asset 83</t>
  </si>
  <si>
    <t>Asset 84</t>
  </si>
  <si>
    <t>Asset 85</t>
  </si>
  <si>
    <t>Asset 86</t>
  </si>
  <si>
    <t>Asset 87</t>
  </si>
  <si>
    <t>Asset 88</t>
  </si>
  <si>
    <t>Asset 89</t>
  </si>
  <si>
    <t>Asset 90</t>
  </si>
  <si>
    <t>Asset 91</t>
  </si>
  <si>
    <t>Asset 92</t>
  </si>
  <si>
    <t>Asset 93</t>
  </si>
  <si>
    <t>Asset 94</t>
  </si>
  <si>
    <t>Asset 95</t>
  </si>
  <si>
    <t>Asset 96</t>
  </si>
  <si>
    <t>Asset 97</t>
  </si>
  <si>
    <t>Asset 98</t>
  </si>
  <si>
    <t>Asset 99</t>
  </si>
  <si>
    <t>Asset 100</t>
  </si>
  <si>
    <t>Asset 101</t>
  </si>
  <si>
    <t>Asset 102</t>
  </si>
  <si>
    <t>Asset 103</t>
  </si>
  <si>
    <t>Asset 104</t>
  </si>
  <si>
    <t>Asset 105</t>
  </si>
  <si>
    <t>Asset 106</t>
  </si>
  <si>
    <t>Asset 107</t>
  </si>
  <si>
    <t>Asset 108</t>
  </si>
  <si>
    <t>Asset 109</t>
  </si>
  <si>
    <t>Asset 110</t>
  </si>
  <si>
    <t>Asset 111</t>
  </si>
  <si>
    <t>Asset 112</t>
  </si>
  <si>
    <t>Asset 113</t>
  </si>
  <si>
    <t>Asset 114</t>
  </si>
  <si>
    <t>Asset 115</t>
  </si>
  <si>
    <t>Asset 116</t>
  </si>
  <si>
    <t>Asset 117</t>
  </si>
  <si>
    <t>Asset 118</t>
  </si>
  <si>
    <t>Asset 119</t>
  </si>
  <si>
    <t>Asset 120</t>
  </si>
  <si>
    <t>Asset 121</t>
  </si>
  <si>
    <t>Asset 122</t>
  </si>
  <si>
    <t>Asset 123</t>
  </si>
  <si>
    <t>Asset 124</t>
  </si>
  <si>
    <t>Asset 125</t>
  </si>
  <si>
    <t>Asset 126</t>
  </si>
  <si>
    <t>Asset 127</t>
  </si>
  <si>
    <t>Asset 128</t>
  </si>
  <si>
    <t>Asset 129</t>
  </si>
  <si>
    <t>Asset 130</t>
  </si>
  <si>
    <t>Asset 131</t>
  </si>
  <si>
    <t>Asset 132</t>
  </si>
  <si>
    <t>Asset 133</t>
  </si>
  <si>
    <t>Asset 134</t>
  </si>
  <si>
    <t>Asset 135</t>
  </si>
  <si>
    <t>Asset 136</t>
  </si>
  <si>
    <t>Asset 137</t>
  </si>
  <si>
    <t>Asset 138</t>
  </si>
  <si>
    <t>Asset 139</t>
  </si>
  <si>
    <t>Asset 140</t>
  </si>
  <si>
    <t>Asset 141</t>
  </si>
  <si>
    <t>Asset 142</t>
  </si>
  <si>
    <t>Asset 143</t>
  </si>
  <si>
    <t>Asset 144</t>
  </si>
  <si>
    <t>Asset 145</t>
  </si>
  <si>
    <t>Asset 146</t>
  </si>
  <si>
    <t>Asset 147</t>
  </si>
  <si>
    <t>Asset 148</t>
  </si>
  <si>
    <t>Asset 149</t>
  </si>
  <si>
    <t>Asset 150</t>
  </si>
  <si>
    <t>Asset 151</t>
  </si>
  <si>
    <t>Asset 152</t>
  </si>
  <si>
    <t>Asset 153</t>
  </si>
  <si>
    <t>Asset 154</t>
  </si>
  <si>
    <t>Asset 155</t>
  </si>
  <si>
    <t>Asset 156</t>
  </si>
  <si>
    <t>Asset 157</t>
  </si>
  <si>
    <t>Asset 158</t>
  </si>
  <si>
    <t>Asset 159</t>
  </si>
  <si>
    <t>Asset 160</t>
  </si>
  <si>
    <t>Asset 161</t>
  </si>
  <si>
    <t>Asset 162</t>
  </si>
  <si>
    <t>Asset 163</t>
  </si>
  <si>
    <t>Asset 164</t>
  </si>
  <si>
    <t>Asset 165</t>
  </si>
  <si>
    <t>Asset 166</t>
  </si>
  <si>
    <t>Asset 167</t>
  </si>
  <si>
    <t>Asset 168</t>
  </si>
  <si>
    <t>Asset 169</t>
  </si>
  <si>
    <t>Asset 170</t>
  </si>
  <si>
    <t>Asset 171</t>
  </si>
  <si>
    <t>Asset 172</t>
  </si>
  <si>
    <t>Asset 173</t>
  </si>
  <si>
    <t>Asset 174</t>
  </si>
  <si>
    <t>Asset 175</t>
  </si>
  <si>
    <t>Asset 176</t>
  </si>
  <si>
    <t>Asset 177</t>
  </si>
  <si>
    <t>Asset 178</t>
  </si>
  <si>
    <t>Asset 179</t>
  </si>
  <si>
    <t>Asset 180</t>
  </si>
  <si>
    <t>Asset 181</t>
  </si>
  <si>
    <t>Asset 182</t>
  </si>
  <si>
    <t>Asset 183</t>
  </si>
  <si>
    <t>Asset 184</t>
  </si>
  <si>
    <t>Asset 185</t>
  </si>
  <si>
    <t>Asset 186</t>
  </si>
  <si>
    <t>Asset 187</t>
  </si>
  <si>
    <t>Asset 188</t>
  </si>
  <si>
    <t>Asset 189</t>
  </si>
  <si>
    <t>Asset 190</t>
  </si>
  <si>
    <t>Asset 191</t>
  </si>
  <si>
    <t>Asset 192</t>
  </si>
  <si>
    <t>Asset 193</t>
  </si>
  <si>
    <t>Asset 194</t>
  </si>
  <si>
    <t>Asset 195</t>
  </si>
  <si>
    <t>Asset 196</t>
  </si>
  <si>
    <t>Asset 197</t>
  </si>
  <si>
    <t>Asset 198</t>
  </si>
  <si>
    <t>Asset 199</t>
  </si>
  <si>
    <t>Asset 200</t>
  </si>
  <si>
    <t>Asset 201</t>
  </si>
  <si>
    <t>Asset 202</t>
  </si>
  <si>
    <t>Asset 203</t>
  </si>
  <si>
    <t>Asset 204</t>
  </si>
  <si>
    <t>Asset 205</t>
  </si>
  <si>
    <t>Asset 206</t>
  </si>
  <si>
    <t>Asset 207</t>
  </si>
  <si>
    <t>Asset 208</t>
  </si>
  <si>
    <t>Asset 209</t>
  </si>
  <si>
    <t>Asset 210</t>
  </si>
  <si>
    <t>Asset 211</t>
  </si>
  <si>
    <t>Asset 212</t>
  </si>
  <si>
    <t>Asset 213</t>
  </si>
  <si>
    <t>Asset 214</t>
  </si>
  <si>
    <t>Asset 215</t>
  </si>
  <si>
    <t>Asset 216</t>
  </si>
  <si>
    <t>Asset 217</t>
  </si>
  <si>
    <t>Asset 218</t>
  </si>
  <si>
    <t>Asset 219</t>
  </si>
  <si>
    <t>Asset 220</t>
  </si>
  <si>
    <t>Asset 221</t>
  </si>
  <si>
    <t>Asset 222</t>
  </si>
  <si>
    <t>Asset 223</t>
  </si>
  <si>
    <t>Asset 224</t>
  </si>
  <si>
    <t>Asset 225</t>
  </si>
  <si>
    <t>Asset 226</t>
  </si>
  <si>
    <t>Asset 227</t>
  </si>
  <si>
    <t>Asset 228</t>
  </si>
  <si>
    <t>Asset 229</t>
  </si>
  <si>
    <t>Asset 230</t>
  </si>
  <si>
    <t>Asset 231</t>
  </si>
  <si>
    <t>Asset 232</t>
  </si>
  <si>
    <t>Asset 233</t>
  </si>
  <si>
    <t>Asset 234</t>
  </si>
  <si>
    <t>Asset 235</t>
  </si>
  <si>
    <t>Asset 236</t>
  </si>
  <si>
    <t>Asset 237</t>
  </si>
  <si>
    <t>Asset 238</t>
  </si>
  <si>
    <t>Asset 239</t>
  </si>
  <si>
    <t>Asset 240</t>
  </si>
  <si>
    <t>Asset 241</t>
  </si>
  <si>
    <t>Asset 242</t>
  </si>
  <si>
    <t>Asset 243</t>
  </si>
  <si>
    <t>Incidentele correctie assetoverdracht - nieuwe assets Gasunie</t>
  </si>
  <si>
    <t>Investeringsjaar</t>
  </si>
  <si>
    <t>Euro</t>
  </si>
  <si>
    <t>Tabblad 9 - Input incidentele correcties</t>
  </si>
  <si>
    <t>Tabblad 10 - Input voorspelde gecontracteerde capaciteit</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</si>
  <si>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</si>
  <si>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</si>
  <si>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</si>
  <si>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</si>
  <si>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</si>
  <si>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</si>
  <si>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</si>
  <si>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</si>
  <si>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Tabblad 11 - Investeringen (WUI &amp; Ombouw)</t>
  </si>
  <si>
    <t xml:space="preserve">Op dit tabblad worden de wettelijk uitgezonderde investeringen (voorheen niet-reguliere uitbreidingsinvesteringen)  en activeringen ten behoeve van de ombouwtaak weergegeven. </t>
  </si>
  <si>
    <t>Bron</t>
  </si>
  <si>
    <t xml:space="preserve">Reguleringsdata GTS: ACM-MSQL-0-33,14330 -&gt; RD_LNB_G -&gt; Investeringen </t>
  </si>
  <si>
    <t>Datum inladen</t>
  </si>
  <si>
    <t>Bewerkingen</t>
  </si>
  <si>
    <t>"Jaar begin afschrijven" enkel vanaf 2020 geselecteerd. Enkel "WUI" en "Ombouw" geselecteerd. Activacategorie "Stikstof" uitgesloten. Geagreggeerd op basis van jaartal en activacategorie. Index toegevoegd.</t>
  </si>
  <si>
    <t>Aantal geselecteerde regels</t>
  </si>
  <si>
    <t>Index</t>
  </si>
  <si>
    <t>Jaar begin afschrijven</t>
  </si>
  <si>
    <t>Activacategorie</t>
  </si>
  <si>
    <t>Vervanging / uitbreiding</t>
  </si>
  <si>
    <t>Ombouwtaak</t>
  </si>
  <si>
    <t>Bestandsnaam</t>
  </si>
  <si>
    <t>VVI</t>
  </si>
  <si>
    <t>Invulmodule reguleringsdata GTS 2020 gecorrigeerd.xlsx</t>
  </si>
  <si>
    <t>1. Invulmodule reguleringsdata GTS 2022 (WACC aangepast door ACM, V2).xlsx</t>
  </si>
  <si>
    <t>Invulmodule reguleringsdata 2023 (v1.0) zonder spaties.xlsx</t>
  </si>
  <si>
    <t>1. Invulmodule reguleringsdata GTS 2024.xlsx</t>
  </si>
  <si>
    <t xml:space="preserve">06 Utiliteitsgebouwen </t>
  </si>
  <si>
    <t>Tabblad 12 - Investeringen (bijschatten)</t>
  </si>
  <si>
    <t>Op dit tabblad worden de input weergegeven die nodig zijn voor het nacalculeren van bijgeschatte investeringen. Het gaat hier om alle niet wettelijk uitgezonderde investeringen die onder de transporttaak, balanceringstaak, aansluittaak of kwaliteitsconversietaak vallen.</t>
  </si>
  <si>
    <t>"Jaar begin afschrijven" enkel vanaf 2020 geselecteerd. "WUI" en "Ombouwtaak" uitgesloten. Niet alleen activacategorieën met afschrijvingstermijn van 0 en van langer dan 10 jaar geselecteerd maar alle activacategorieën n.a.v. Gewijzigd Methodebesluit GTS 2022-2026. Geagreggeerd op basis van jaartal en activacategorie. Index toegevoegd.</t>
  </si>
  <si>
    <t>Versie</t>
  </si>
  <si>
    <t>1b. Invulmodule reguleringsdata GTS 2021 (labels activacategorie gecorrigeerd).xlsx</t>
  </si>
  <si>
    <t>Tabblad 13 - Desinvesteringen</t>
  </si>
  <si>
    <t>In dit tabblad worden de desinvesteringen van GTS over de jaren 2020 tot en met 2026 weergegeven.</t>
  </si>
  <si>
    <t xml:space="preserve">Reguleringsdata GTS: ACM-MSQL-0-33,14330 -&gt; RD_LNB_G -&gt; Desinvesteringen </t>
  </si>
  <si>
    <t xml:space="preserve">"Jaar" enkel vanaf 2020 geselecteerd. Index toegevoegd. </t>
  </si>
  <si>
    <t>Desinvestering (oorspronkelijke investeringsbedrag)</t>
  </si>
  <si>
    <t>Opbrengsten die samenhangen met desinvestering</t>
  </si>
  <si>
    <t>ACM - Invulmodule reguleringsdata 2023 (v1.0) zonder spaties.xlsx</t>
  </si>
  <si>
    <t>Tabblad 14 - Omzet</t>
  </si>
  <si>
    <t>Op dit tabblad wordt benodigde informatie voor de nacalculaties weergegeven. Het gaat hier om gegevens t.b.v. nacalculatie omzet (MB22-26 8.2), overboek- en terugkoopregeling (MB22-26 8.4.3), veilinggelden (MB22-26 8.4.2) en administratieve onbalans (MB22-26 8.3.4).</t>
  </si>
  <si>
    <t>Reguleringsdata GTS: ACM-MSQL-0-33,14330 -&gt; RD_LNB_G -&gt; Omzet</t>
  </si>
  <si>
    <t>"Jaar begin afschrijven" enkel vanaf 2020 geselecteerd. Jaartal naar datatype tekst getransformeerd en zoekwaarde toegevoegd: "Subcategorie" en "Jaar".</t>
  </si>
  <si>
    <t>Categorie</t>
  </si>
  <si>
    <t>Subcategorie</t>
  </si>
  <si>
    <t>Omzetregulering tariefgereguleerd</t>
  </si>
  <si>
    <t>Overboek- en terugkoopregeling</t>
  </si>
  <si>
    <t>Veilinggelden</t>
  </si>
  <si>
    <t>Saldo administratieve onbalans</t>
  </si>
  <si>
    <t>Transport-, balancerings-, aansluitingen- en kwaliteitsconversietaak</t>
  </si>
  <si>
    <t>Totaal transport-, balancerings-, aansluitingen- en kwaliteitsconversietaak</t>
  </si>
  <si>
    <t>Tabblad 15 - Operationele kosten</t>
  </si>
  <si>
    <t>Op dit tabblad wordt de benodigde informatie voor de incidentele correctie inkoopkosten energie en ontmantelingskosten weergegeven</t>
  </si>
  <si>
    <t>Reguleringsdata GTS: ACM-MSQL-0-33,14330 -&gt; RD_LNB_G -&gt; Operationele kosten</t>
  </si>
  <si>
    <t>Enkel subcategorie "Inkoopkosten energie" en "Ontmantelingskosten desinvesteringen" geselecteerd.</t>
  </si>
  <si>
    <t>TT/BT/AT</t>
  </si>
  <si>
    <t>KC</t>
  </si>
  <si>
    <t>Inkoopkosten energie m.u.v. peakshaver</t>
  </si>
  <si>
    <t xml:space="preserve">Inkoopkosten energie peakshaver </t>
  </si>
  <si>
    <t>Incidentele posten zoals opgenomen in operationele kosten en buitengewone lasten</t>
  </si>
  <si>
    <t>Ontmantelingskosten desinvesteringen</t>
  </si>
  <si>
    <t> </t>
  </si>
  <si>
    <t>Tabblad 16 - Activeringen voor WUI en ombouw van G- naar H-gas</t>
  </si>
  <si>
    <t>Beschrijving berekening</t>
  </si>
  <si>
    <t>Op dit tabblad worden eerst de relevante parameters opgehaald. Daarna worden de activaklassen en afschrijvingstermijnen weergegeven. Tot slot worden de totale kosten voor de WUI en de ombouw van G- naar H-gas berekend.</t>
  </si>
  <si>
    <t>Toelichting bij bijzonderheden:</t>
  </si>
  <si>
    <t xml:space="preserve">De ACM gebruikt hier bewust de originele WACC uit het methodebesluit om te voorkomen dat de nacalculatie van de WACC (tabblad 17) tot dubbele vergoedingen zou leiden. </t>
  </si>
  <si>
    <t>Ophalen parameters</t>
  </si>
  <si>
    <t>Nominale WACC bestaand vermogen</t>
  </si>
  <si>
    <t>1+ heffingsrente</t>
  </si>
  <si>
    <t>CPI van 2020 naar jaar</t>
  </si>
  <si>
    <t>CPI van 2021 naar jaar</t>
  </si>
  <si>
    <t>CPI van 2022 naar jaar</t>
  </si>
  <si>
    <t>CPI van 2023 naar jaar</t>
  </si>
  <si>
    <t>CPI van 2024 naar jaar</t>
  </si>
  <si>
    <t>CPI van 2025 naar jaar</t>
  </si>
  <si>
    <t>CPI van 2026 naar jaar</t>
  </si>
  <si>
    <t>WUI en investeringen voor ombouw G- naar H-gas in 2020-2021 voor vergoeding kosten 2022-2026</t>
  </si>
  <si>
    <t>Afschrijvingen 2020 &amp; 2021</t>
  </si>
  <si>
    <t>GAW ultimo 2020 &amp; 2021</t>
  </si>
  <si>
    <t>Hulpberekening</t>
  </si>
  <si>
    <t>Afschrijvingen vanaf 2022 (niet uitgezonderd van versnelling)</t>
  </si>
  <si>
    <t>Afschrijvingen vanaf 2022  (wel uitgezonderd van versnelling)</t>
  </si>
  <si>
    <t>Afschrijvingen vanaf 2022 (totaal)</t>
  </si>
  <si>
    <t>GAW ultimo vanaf 2022</t>
  </si>
  <si>
    <t>Kapitaalkosten</t>
  </si>
  <si>
    <t>Totale kosten</t>
  </si>
  <si>
    <t>Nacalculatie</t>
  </si>
  <si>
    <t>Volgnummer</t>
  </si>
  <si>
    <t>Ingebruikname</t>
  </si>
  <si>
    <t>Klasse</t>
  </si>
  <si>
    <t>Eerste jaar in de module</t>
  </si>
  <si>
    <t>Afschrijvings
termijn</t>
  </si>
  <si>
    <t>Investeringsbedrag v.a. 2022</t>
  </si>
  <si>
    <t>resterende afschrijvingstermijn v.a. 2022</t>
  </si>
  <si>
    <t>Tariefcorrectie voor kosten van WUI en kosten ombouwen G- naar H-gas</t>
  </si>
  <si>
    <t>Kosten WUI</t>
  </si>
  <si>
    <t xml:space="preserve">Tabblad 17 - Nacalculatie bijschatten </t>
  </si>
  <si>
    <t xml:space="preserve">Op dit tabblad worden eerst de relevante parameters opgehaald. Daarna berekenen we de geschatte efficiënte kosten (kapitaalkosten en operationele kosten) als gevolg van de bijgeschatte investeringen. Hieropvolgend berekenen we de geschatte efficiënte kosten op basis van de gerealiseerde investeringen. Het verschil hiertussen calculeren we na. </t>
  </si>
  <si>
    <t>De ACM gebruikt hier bewust de originele WACC uit het Gewijzigd Methodebesluit om te voorkomen dat de nacalculatie van de WACC (tabblad 17) tot dubbele vergoedingen zou leiden. Verder is de berekening vormgegeven volgens het Gewijzigd Methodebesluit GTS 2022-2026, wat betekent dat alle bijgeschatte investeringen nagecalculeerd worden, in plaats van de bijgeschatte investeringen met een afschrijvingstermijn van &gt;10 jaar.</t>
  </si>
  <si>
    <t>Schatting kosten van bijgeschatte investeringen</t>
  </si>
  <si>
    <t>Stijging operationele kosten</t>
  </si>
  <si>
    <t>Geschatte efficiënte kosten</t>
  </si>
  <si>
    <t>Geschatte efficiënte kosten bijschatten</t>
  </si>
  <si>
    <t>Jaar waarin kosten gemaakt worden</t>
  </si>
  <si>
    <t>Jaar van investering</t>
  </si>
  <si>
    <t xml:space="preserve">Totale schatting efficiënte kosten bijschatten </t>
  </si>
  <si>
    <t>Kosten van gerealiseerde investeringen</t>
  </si>
  <si>
    <t>Totale kosten bij gerealiseerde investeringen</t>
  </si>
  <si>
    <t>Totale gerealiseerde kosten bijschatten</t>
  </si>
  <si>
    <t>Na te calculeren bedrag</t>
  </si>
  <si>
    <t>Na te calculeren bedrag investeringen 2020</t>
  </si>
  <si>
    <t>Na te calculeren bedrag investeringen 2021</t>
  </si>
  <si>
    <t>Na te calculeren bedrag investeringen 2022</t>
  </si>
  <si>
    <t>Na te calculeren bedrag investeringen 2023</t>
  </si>
  <si>
    <t>Na te calculeren bedrag investeringen 2024</t>
  </si>
  <si>
    <t>Na te calculeren bedrag investeringen 2025</t>
  </si>
  <si>
    <t>Na te calculeren bedrag investeringen 2026</t>
  </si>
  <si>
    <t>Totale nacalculatie</t>
  </si>
  <si>
    <t>Tabblad 18 - Nacalculatie desinvesteringen</t>
  </si>
  <si>
    <t>Op dit tabblad worden eerst de relevante parameters opgehaald. Daarna worden de activaklassen en afschrijvingstermijnen weergegeven. Tot slot worden de totale kosten voor de desinvesteringen berekend. Hierbij schrijven we de resterende GAW in één keer af, en worden de kapitaalkosten in de daaropvolgende jaren van de toegestane inkomsten afgehaald.</t>
  </si>
  <si>
    <t xml:space="preserve">De resterende GAW wordt niet berekend in deze rekenmodule omdat dit de module nog complexer zou maken. Hetzelfde geldt voor de kapitaalkosten van investeringen die zijn geactiveerd na 2021. Om deze waarden te berekenen gebruiken wij de GAW-berekeningsexcel zoals gepubliceerd bij het x-factorbesluit GTS. Hierin zetten wij het oorspronkelijke investeringsbedrag en het oorspronkelijke jaar van de investering, om daar de resterende GAW en, waar nodig, de kapitaalkosten in een specifiek jaar uit af te lezen. </t>
  </si>
  <si>
    <t>Desinvesteringen</t>
  </si>
  <si>
    <t>Resterende GAW ultimo 2021</t>
  </si>
  <si>
    <t>Jaar van desinvesteren</t>
  </si>
  <si>
    <t>Opbrengsten</t>
  </si>
  <si>
    <t>Resterende afschrijvingstermijn 2022</t>
  </si>
  <si>
    <t>Tariefcorrectie voor desinvesteringen</t>
  </si>
  <si>
    <t>Daling kapitaalkosten a.g.v. desinvesteringen 2022</t>
  </si>
  <si>
    <t>Daling kapitaalkosten a.g.v. desinvesteringen 2023</t>
  </si>
  <si>
    <t>Daling kapitaalkosten a.g.v. desinvesteringen 2024</t>
  </si>
  <si>
    <t>Daling kapitaalkosten a.g.v. desinvesteringen 2025</t>
  </si>
  <si>
    <t>Verrekening desinvestering</t>
  </si>
  <si>
    <t>Nacalculatie tarievenbesluit 2027</t>
  </si>
  <si>
    <t>Tabblad 19 - Indexatie desinvesteringen</t>
  </si>
  <si>
    <t>Dit tabblad indexeert de desinvesteringen naar het jaar van desinvesteringen.</t>
  </si>
  <si>
    <t xml:space="preserve">De desinvesteringsbedragen die hier zijn opgenomen zijn de oorspronkelijk geactiveerde bedragen. </t>
  </si>
  <si>
    <t>Ophalen CPI</t>
  </si>
  <si>
    <t>CPI jaar t</t>
  </si>
  <si>
    <t xml:space="preserve">Desinvesteringen </t>
  </si>
  <si>
    <t>Berekening CPI-tabel</t>
  </si>
  <si>
    <t xml:space="preserve">CPI van … naar … </t>
  </si>
  <si>
    <t>Indexatie desinvesteringen</t>
  </si>
  <si>
    <t>Investeringsbedrag in pp jaar van desinvesteren</t>
  </si>
  <si>
    <t>Totale desinvesteringen</t>
  </si>
  <si>
    <t>Desinvesteringen binnen scope</t>
  </si>
  <si>
    <t>Desinvesteringen buiten scope</t>
  </si>
  <si>
    <t>Tabblad 20 - Nacalculaties</t>
  </si>
  <si>
    <t xml:space="preserve">Op dit tabblad worden de nacalculaties inclusief heffingsrente berekend. 
</t>
  </si>
  <si>
    <t xml:space="preserve">De berekening van de daling operationele kosten a.g.v. desinvesteringen op dit tabblad is een ander soort nacalculatie dan de overige nacalculaties op dit tabblad. Het betreft hier een schatting op basis van desinvesteringen in eerdere jaren. Op deze schatting wordt daarom geen heffingsrente toegepast; de schatting gaat namelijk al direct over het jaar waarin dit vergoed wordt. </t>
  </si>
  <si>
    <t>1+CPI van 2017 naar jaar</t>
  </si>
  <si>
    <t>1+CPI van 2018 naar jaar</t>
  </si>
  <si>
    <t>1+CPI van 2019 naar jaar</t>
  </si>
  <si>
    <t>1+CPI van 2020 naar jaar</t>
  </si>
  <si>
    <t>1+CPI van 2021 naar jaar</t>
  </si>
  <si>
    <t>1+CPI van 2022 naar jaar</t>
  </si>
  <si>
    <t>1+CPI van 2023 naar jaar</t>
  </si>
  <si>
    <t>1+CPI van 2024 naar jaar</t>
  </si>
  <si>
    <t>1+CPI van 2025 naar jaar</t>
  </si>
  <si>
    <t>1+CPI van 2026 naar jaar</t>
  </si>
  <si>
    <t>1-FS van 2017 naar jaar</t>
  </si>
  <si>
    <t>1-FS van 2018 naar jaar</t>
  </si>
  <si>
    <t>1-FS van 2019 naar jaar</t>
  </si>
  <si>
    <t>1-FS van 2020 naar jaar</t>
  </si>
  <si>
    <t>1-FS van 2021 naar jaar</t>
  </si>
  <si>
    <t>1-FS van 2022 naar jaar</t>
  </si>
  <si>
    <t>1-FS van 2023 naar jaar</t>
  </si>
  <si>
    <t>1-FS van 2024 naar jaar</t>
  </si>
  <si>
    <t>1-FS van 2025 naar jaar</t>
  </si>
  <si>
    <t>1-FS van 2026 naar jaar</t>
  </si>
  <si>
    <t>Oorspronkelijke nominale WACC bestaand vermogen</t>
  </si>
  <si>
    <t>Nagecalculeerde nominale WACC bestaand vermogen</t>
  </si>
  <si>
    <t>Inkoopkosten energie</t>
  </si>
  <si>
    <t>Inkoopkosten energie TT/BT/AT</t>
  </si>
  <si>
    <t>Inkoop energie peakshaver</t>
  </si>
  <si>
    <t>Gerealiseerde inkoopkosten worden vanaf 2022 opgehaald uit tabblad 13. Operationele kosten</t>
  </si>
  <si>
    <t>Parameters incidentele correctie energie</t>
  </si>
  <si>
    <t>Bonus/malus</t>
  </si>
  <si>
    <t>Maximum afwijking bonus/malus</t>
  </si>
  <si>
    <t>Verdeelsleutel kosten peakshaver ten behoeve van piektaak</t>
  </si>
  <si>
    <t>Toegestane inkomsten na correcties</t>
  </si>
  <si>
    <t xml:space="preserve">Verschil </t>
  </si>
  <si>
    <t>Nacalculeren excl. heffingsrente</t>
  </si>
  <si>
    <t>Nacalculeren incl. heffingsrente</t>
  </si>
  <si>
    <t>Overboeking- en terugkoopregeling (conform paragraaf 8.4.3 van het methodebesluit 2022-2026)</t>
  </si>
  <si>
    <t>Overboeking- en terugkoopregeling</t>
  </si>
  <si>
    <t xml:space="preserve">50% verrekening winst/verlies via tarief </t>
  </si>
  <si>
    <t>Saldo veilinggelden oud (excl. heffingsrente)</t>
  </si>
  <si>
    <t>Saldo veilinggelden oud (incl. heffingsrente)</t>
  </si>
  <si>
    <t>Veilinggelden (incl. heffingsrente)</t>
  </si>
  <si>
    <t>Na te calculeren of te investeren veilinggelden (incl. heffingsrente)</t>
  </si>
  <si>
    <t>Saldo veilinggelden nieuw</t>
  </si>
  <si>
    <t>Administratieve onbalans (conform paragraaf 8.3.4. van het methodebesluit 2022-2026)</t>
  </si>
  <si>
    <t>Nacalculatie ontmantelingskosten (conform paragraaf 8.3.7 van het methodebesluit 2022-2026)</t>
  </si>
  <si>
    <t>Geschatte ontmantelingskosten</t>
  </si>
  <si>
    <t>Gerealiseerde ontmantelingskosten</t>
  </si>
  <si>
    <t>Daling operationele kosten a.g.v. desinvesteringen 2020 binnen scope - incl. theta</t>
  </si>
  <si>
    <t>Daling operationele kosten a.g.v. desinvesteringen 2020 buiten scope</t>
  </si>
  <si>
    <t>Daling operationele kosten a.g.v. desinvesteringen 2021 binnen scope - incl. theta</t>
  </si>
  <si>
    <t>Daling operationele kosten a.g.v. desinvesteringen 2021 buiten scope</t>
  </si>
  <si>
    <t>Daling operationele kosten a.g.v. desinvesteringen 2022 binnen scope - incl. theta</t>
  </si>
  <si>
    <t>Daling operationele kosten a.g.v. desinvesteringen 2022 buiten scope</t>
  </si>
  <si>
    <t>Daling operationele kosten a.g.v. desinvesteringen 2023 binnen scope - incl. theta</t>
  </si>
  <si>
    <t>Daling operationele kosten a.g.v. desinvesteringen 2023 buiten scope</t>
  </si>
  <si>
    <t>Daling operationele kosten a.g.v. desinvesteringen 2024 binnen scope - incl. theta</t>
  </si>
  <si>
    <t>Daling operationele kosten a.g.v. desinvesteringen 2024 buiten scope</t>
  </si>
  <si>
    <t>Daling operationele kosten a.g.v. desinvesteringen 2025 binnen scope - incl. theta</t>
  </si>
  <si>
    <t>Daling operationele kosten a.g.v. desinvesteringen 2025 buiten scope</t>
  </si>
  <si>
    <t xml:space="preserve">Nacalculeren </t>
  </si>
  <si>
    <t>GAW bijgeschatte investeringen</t>
  </si>
  <si>
    <t>GAW gerealiseerde investeringen</t>
  </si>
  <si>
    <t>GAW WUI</t>
  </si>
  <si>
    <t>GAW Ombouwtaak</t>
  </si>
  <si>
    <t>GAW desinvesteringen</t>
  </si>
  <si>
    <t>GAW assetoverdracht - vermindering kapitaalkosten</t>
  </si>
  <si>
    <t>GAW assetoverdracht - stijging operationele kosten</t>
  </si>
  <si>
    <t>De nacalculatie in cel P137 bevat ook de kapitaalkosten voor de desinvesteringen en de assetoverdracht van eerdere jaren, omdat deze in de rekenmodule van tarievenbesluit 2024 nog niet verwerkt waren.</t>
  </si>
  <si>
    <t>Prognose inkoopkosten energie totaal</t>
  </si>
  <si>
    <t>Verschil tussen realisatie en prognose</t>
  </si>
  <si>
    <t>Risico GTS</t>
  </si>
  <si>
    <t>Maximum risico GTS</t>
  </si>
  <si>
    <t>Netto risico GTS</t>
  </si>
  <si>
    <t>Nacalculatie inkoopkosten energie inclusief heffingsrente en bonus malus</t>
  </si>
  <si>
    <t>Tabel 21 - Berekening incidentele correctie WQA</t>
  </si>
  <si>
    <t>Op dit tabblad wordt de incidentele correctie WQA berekend. Dit als het gevolg van de wijziging van de ministeriële regeling waardoor deze kosten vanaf 2022 onder de KC-taak vallen. De kosten horend bij de voormalige WQA-investeringen (kapitaalkosten, algemene operationele kosten en inkoopkosten energie en vermogen) worden vanaf 2024 t+2 volledig nagecalculeerd.</t>
  </si>
  <si>
    <t>Op dit tabblad wordt geen onderscheid gemaakt tussen binnen of buiten scope, omdat alle kosten gemaakt voor de voormalige WQA-taak buiten scope van de benchmark vallen.</t>
  </si>
  <si>
    <t>Ophalen parameters voor berekening</t>
  </si>
  <si>
    <t>Nominale WACC nieuw vermogen (met nagecalculeerde rfr waar mogelijk)</t>
  </si>
  <si>
    <t>Percentage investeringen uitgezonderd van versnellingsfactor</t>
  </si>
  <si>
    <t>Berekening kapitaalkosten WQA</t>
  </si>
  <si>
    <t>Afschrijvingen vanaf 2022 (wel uitgezonderd van versnelling)</t>
  </si>
  <si>
    <t>Rest. afschrijvingstermijn</t>
  </si>
  <si>
    <t>Totale kapitaalkosten WQA</t>
  </si>
  <si>
    <t>Berekening operationele kosten WQA</t>
  </si>
  <si>
    <t>Berekening operationele kosten</t>
  </si>
  <si>
    <t>Operationele kosten WQA</t>
  </si>
  <si>
    <t>Nacalculatie WQA-taak</t>
  </si>
  <si>
    <t>Vergoeding WQA-taak in jaar t</t>
  </si>
  <si>
    <t xml:space="preserve">                                                                                                                                                                                                                                                                                                                                                                                                                                                                                                      </t>
  </si>
  <si>
    <t>Tabblad 22 - Incidentele correctie overgedragen assets</t>
  </si>
  <si>
    <t xml:space="preserve">Op dit tabblad worden de incidentele correcties inclusief de heffingsrente verrekend. </t>
  </si>
  <si>
    <t xml:space="preserve">GTS heeft in 2021 enkele assets overgedragen aan Gasunie en huurt deze nu. Daarnaast heeft Gasunie investeringen gedaan die gerelateerd zijn aan de overgedragen assets, en daarmee relevant voor GTS. Ook deze assets huurt GTS van Gasunie. Om de assetoverdracht en huurkosten inkomstenneutraal te verrekenen voegt de ACM een inkomstencorrectie toe. Hierbij wordt eerst de daling van de kapitaalkosten als gevolg van het verwijderen van activa uit de activabasis berekend. Hierbij schrijft de ACM de activa in 1 keer volledig af en berekent ze de daling van de kapitaalkosten. De opbrengsten van de overdracht worden ook in mindering gebracht op de toegestane inkomsten. De nieuwe operationele kosten als gevolg van het huren van deze activa voegt de ACM toe. Hierbij neemt de ACM aan dat Gasunie de activa lineair afschrijft en deze kosten rechtstreeks in rekening brengt. </t>
  </si>
  <si>
    <t>Ophalen gegevens incidentele correcties</t>
  </si>
  <si>
    <t>Binnen/buiten scope</t>
  </si>
  <si>
    <t>Opbrengst overdracht</t>
  </si>
  <si>
    <t>Berekening incidentele correctie assetoverdracht (daling kapitaalkosten)</t>
  </si>
  <si>
    <t>Naam</t>
  </si>
  <si>
    <t>Oorspronkelijke investeringsbedrag</t>
  </si>
  <si>
    <t>Jaar overdracht</t>
  </si>
  <si>
    <t>Af te schrijven</t>
  </si>
  <si>
    <t>Berekening incidentele correctie assetoverdracht (stijging operationele kosten)</t>
  </si>
  <si>
    <t>Afschrijvingen vanaf 2022 (Gasunie)</t>
  </si>
  <si>
    <t>Berekening vergoeding nieuwe assets Gasunie (stijging operationele kosten)</t>
  </si>
  <si>
    <t>Totaal incidentele correcties</t>
  </si>
  <si>
    <t>Incidentele correctie verwijderen assets uit GAW</t>
  </si>
  <si>
    <t>Incidentele correctie toename OPEX agv huur van Gasunie</t>
  </si>
  <si>
    <t>Inkomsten overdracht</t>
  </si>
  <si>
    <t>De inkomsten van de overdracht moeten minimaal gelijk zijn aan de eenmalig volledig afgeschreven activa</t>
  </si>
  <si>
    <t>Eenmalig volledig afschrijven activa</t>
  </si>
  <si>
    <t>Incidentele correctie investeringen gedaan in 2022</t>
  </si>
  <si>
    <t>Incidentele correctie investeringen gedaan in 2023</t>
  </si>
  <si>
    <t>Incidentele correctie investeringen gedaan in 2024</t>
  </si>
  <si>
    <t>Incidentele correctie investeringen gedaan in 2025</t>
  </si>
  <si>
    <t>Totaal overige incidentele correcties</t>
  </si>
  <si>
    <t>Tabblad 23 - Incidentele correctie peakshaver</t>
  </si>
  <si>
    <t>Op dit tabblad wordt de incidentele correctie voor de peakshaver berekend</t>
  </si>
  <si>
    <t>GTS kan op dit tabblad in vormvrije wijze de berekeningen voor de tariefcorrecties die zij wil voorstellen opnemen. Hierbij moeten de totale correcties inclusief discontovoet in de blauwe cellen opgeteld worden.</t>
  </si>
  <si>
    <t>CPI van 2017 naar jaar</t>
  </si>
  <si>
    <t>CPI van 2018 naar jaar</t>
  </si>
  <si>
    <t>CPI van 2019 naar jaar</t>
  </si>
  <si>
    <t>Ophalen gegevens incidentele correctie</t>
  </si>
  <si>
    <t>Berekening kapitaalkosten doorrollen</t>
  </si>
  <si>
    <t>Kapitaalkosten doorrollen</t>
  </si>
  <si>
    <t>Vermogenskosten doorrollen KC buiten scope</t>
  </si>
  <si>
    <t>Kapitaalkosten doorrollen KC buiten scope</t>
  </si>
  <si>
    <t xml:space="preserve">Incidentele correctie inclusief heffingsrente </t>
  </si>
  <si>
    <t>Berekening algemene operationele kosten kwaliteitsconversietaak</t>
  </si>
  <si>
    <t xml:space="preserve">Algemene operationele kosten </t>
  </si>
  <si>
    <t>Algemene operationele kosten buiten scope KC</t>
  </si>
  <si>
    <t>Berekening inkoopkosten energie kwaliteitsconversie</t>
  </si>
  <si>
    <t>Inkoop energie buiten scope KC</t>
  </si>
  <si>
    <t>Nacalculatie gerealiseerde kosten bijschatten</t>
  </si>
  <si>
    <t>Na te calculeren kosten voor investeringen 2020</t>
  </si>
  <si>
    <t>Na te calculeren kosten voor investeringen 2021</t>
  </si>
  <si>
    <t>Na te calculeren kosten voor investeringen 2022</t>
  </si>
  <si>
    <t>Na te calculeren kosten voor investeringen 2023</t>
  </si>
  <si>
    <t>Na te calculeren kosten voor investeringen 2024</t>
  </si>
  <si>
    <t>Na te calculeren kosten voor investeringen 2025</t>
  </si>
  <si>
    <t>Nacalculatie daling operationele kosten a.g.v. desinvesteringen</t>
  </si>
  <si>
    <t>Desinvesteringen Peakshaver buiten scope</t>
  </si>
  <si>
    <t>Niet van toepassing doordat de doorrol kapitaalkosten reeds gecorrigeerd worden onder "Berekening kapitaalkosten doorrollen".</t>
  </si>
  <si>
    <t>Totaal incidentele correctie Peakshaver</t>
  </si>
  <si>
    <t>Totaal incidentele correctie Peakshaver inclusief heffingsrente</t>
  </si>
  <si>
    <t>Tabblad 24 - Incidentele correctie verrekening voorlopige schatting ITC</t>
  </si>
  <si>
    <t>Op dit tabblad wordt de verrekening van de voorlopige schatting ITC berekend. Het CBb heeft op 15 juli 2025 het codebesluit vernietigd waarmee de ACM een Inter Transmission System Operator Compensation (ITC) introduceerde. GTS heeft daarom geen inkomsten behaald uit de ITC. De verrekening is dus gelijk aan de volledige schatting, vermeerderd met de heffingsrente.</t>
  </si>
  <si>
    <t>Incidentele correctie voorlopige schatting ITC in tarieven 2025</t>
  </si>
  <si>
    <t>Tabblad 25 - Incidentele correcties</t>
  </si>
  <si>
    <t>Tabblad 26 - Toegestane inkomsten</t>
  </si>
  <si>
    <t xml:space="preserve">Op dit tabblad worden de totale inkomsten excl. correcties berekend door de begininkomsten aan te passen met de x-factor en de CPI. Vervolgens worden de totale inkomsten gecorrigeerd voor de nacalculaties om tot de toegestane inkomsten te komen. </t>
  </si>
  <si>
    <t>Tariefcorrecties</t>
  </si>
  <si>
    <t>Incidentele correctie verrekening voorlopige schatting ITC</t>
  </si>
  <si>
    <t>Saldo nacalculaties REG2022 oud (excl. heffingsrente)</t>
  </si>
  <si>
    <t>Saldo nacalculaties REG2022 oud (incl. heffingsrente)</t>
  </si>
  <si>
    <t>Toe te voegen aan saldo nacalculaties REG2022 in huidig tarievenbesluit (incl. heffingsrente)</t>
  </si>
  <si>
    <t>Saldo nacalculaties REG2022 nieuw</t>
  </si>
  <si>
    <t>Toegestane inkomsten</t>
  </si>
  <si>
    <t xml:space="preserve">Toegestane inkomsten </t>
  </si>
  <si>
    <t>Tabblad 27 - Referentieprijsmethodologie</t>
  </si>
  <si>
    <t xml:space="preserve">De referentieprijsmethodologie is vastgesteld in de tarievencode gas. De methodologie betreft een "postzegel". Dat wil zeggen dat het tarief tot stand komt door de inkomsten voor entry-of exitcapaciteit te delen door de voorspelde entry- of exitcapaciteit. De inkomsten van GTS worden middels een verdeling van 40/60 verdeeld over entry- en exitcapaciteit. De gasopslagen hebben een korting van 75% en de entrypunten van LNG faciliteiten hebben een korting van 20%. Het inkomstenverlies als gevolg van deze kortingen, wordt verdeeld over alle punten. De wheelingtarieven komen tot stand door een korting van 94% toe te passen op de referentieprijs.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</si>
  <si>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</si>
  <si>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</si>
  <si>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</si>
  <si>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</si>
  <si>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</si>
  <si>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</si>
  <si>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</si>
  <si>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</si>
  <si>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</si>
  <si>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</si>
  <si>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</si>
  <si>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</si>
  <si>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</si>
  <si>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</si>
  <si>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</si>
  <si>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</si>
  <si>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</si>
  <si>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</si>
  <si>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Tabblad 28 - Entry- en exittarieven</t>
  </si>
  <si>
    <t xml:space="preserve">Op dit tabblad worden de entry- en exittarieven berekend. De tarieven worden berekend door de referentieprijs (die volgt uit het tabblad RPM) te delen door de duur van het product en vervolgens te vermenigvuldigen met de desbetreffende multiplicator en seizoensfactoren.
De within-day tarieven worden naar boven afgerond, zodat een 24-uurs within-day product niet goedkoper is dan een dag-product.
De tarieven worden vastgesteld op 8 decimalen, maar worden weergegeven op 3 of 5 decimalen. Door op de cel te klikken kunnen alle decimalen zichtbaar worden gemaakt.
</t>
  </si>
  <si>
    <t xml:space="preserve">De ACM heeft op verschillende entry- en exitpunten verschillende kortingen voor afschakelbare capaciteit vastgesteld, gebaseerd op de gerealiseerde kans op afschakelen. In de roze gemarkeerde cel J8 in tabblad 1. Entry- en exittarieven kunt u middels een dropdownmenu selecteren voor welk punt u de tarieven wil berekenen. </t>
  </si>
  <si>
    <t>Gekozen punt voor korting afschakelen</t>
  </si>
  <si>
    <t>Korting voor afschakelbare capaciteit entry</t>
  </si>
  <si>
    <t>Korting voor afschakelbare capaciteit exit</t>
  </si>
  <si>
    <t>Referentieprijzen na aanpassingen (onafgerond)</t>
  </si>
  <si>
    <t>EUR/kWh/uur/jaar, pp 2027</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</si>
  <si>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</si>
  <si>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</si>
  <si>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</si>
  <si>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</si>
  <si>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Tabblad 29 - Opmerkingen</t>
  </si>
  <si>
    <t>Op dit tabblad kan GTS opmerkingen opnemen in het kader van haar tarievenvoorstel. Indien nodig, kan GTS extra rijen opnemen.</t>
  </si>
  <si>
    <t>Tabblad</t>
  </si>
  <si>
    <t>Cel</t>
  </si>
  <si>
    <t>Opmerkingen</t>
  </si>
  <si>
    <t>W18</t>
  </si>
  <si>
    <t>De waarde in cel S18 dient net als cel S17 als negatieve waarde ingevoerd te worden. Derhalve in cel W18 de opmerking uit cel W17 herhaald</t>
  </si>
  <si>
    <t>7. Input incidentele correctie peakshaver</t>
  </si>
  <si>
    <t>8. Input incidentele correctie huur assets van Gasunie</t>
  </si>
  <si>
    <t>18. Nacalculatie desinvesteringen</t>
  </si>
  <si>
    <t>P379 - Z379</t>
  </si>
  <si>
    <t xml:space="preserve">De historische investering bij deze desinvestering is geactiveerd na 2021. De berekening in deze kolom is vormgegeven op basis van investeringen die uiterlijk in 2021 zijn geactiveerd, en geeft onjuiste resultaten voor investeringen die zijn geactiveerd na 2021. Daarom zijn de waarden in deze cellen in een ander bestand berekend, en hier als harde waarden ingekopieerd. </t>
  </si>
  <si>
    <t>P419 - Z419 en
P455 - Z455</t>
  </si>
  <si>
    <t>De historische investering bij deze twee desinvesteringen betreft een (kleine) negatieve post. De formule is niet berekend op negatieve inputgetallen en geeft daardoor onjuiste resultaten. Daarom is de waarde in deze cellen eerst berekend alsof dit een positieve waarde had. Vervolgens zijn die uitkomsten als harde waarde ingekopieerd in kolom P t/m Z. De cellen met een harde waarde zijn roze gearceerd.</t>
  </si>
  <si>
    <t>P502 - Z502 + AH502 - AL502 en
Q514 - T514 + W514 - Z514 + AI514 - AL514</t>
  </si>
  <si>
    <t>R93</t>
  </si>
  <si>
    <t xml:space="preserve">Aan de formule was in de optelling cel R91 toegevoegd. Hierdoor werd het saldo veilinggelden nieuw onjuist berekend. Het na te calculeren bedrag dat GTS kan reserveren om te investeringen óf na te calculeren (cel R90) zou bij het berekenen van het saldo veilinggelden nieuw alleen verlaagd moeten worden met het bedrag dat GTS voorstelt om na te calculeren (cel R92). De formule is daarom aangepast naar = R90+R92. </t>
  </si>
  <si>
    <t>25. Incidentele correcties</t>
  </si>
  <si>
    <t>N44</t>
  </si>
  <si>
    <t>dit betreft een berekende cel en is derhalve geel gemaakt (in plaats van blauw).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</si>
</sst>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_(* #,##0_);_(* \(#,##0\);_(* &quot;-&quot;??_);_(@_)"/>
    <numFmt numFmtId="266" formatCode="_ * #,##0_ ;_ * \-#,##0_ ;_ * &quot;-&quot;??????_ ;_ @_ "/>
    <numFmt numFmtId="267" formatCode="0.00000000"/>
    <numFmt numFmtId="268" formatCode="0.0000000000"/>
    <numFmt numFmtId="269" formatCode="_ * #,##0.00000_ ;_ * \-#,##0.00000_ ;_ * &quot;-&quot;??_ ;_ @_ "/>
    <numFmt numFmtId="270" formatCode="_ * #,##0.0_ ;_ * \-#,##0.0_ ;_ * &quot;-&quot;??_ ;_ @_ "/>
    <numFmt numFmtId="271" formatCode="0_ ;\-0\ "/>
    <numFmt numFmtId="272" formatCode="_ * #,##0.000_ ;_ * \-#,##0.000_ ;_ * &quot;-&quot;???_ ;_ @_ "/>
  </numFmts>
  <fonts count="265">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i/>
      <sz val="10"/>
      <color indexed="8"/>
      <name val="Arial"/>
      <family val="2"/>
    </font>
    <font>
      <sz val="8"/>
      <color indexed="81"/>
      <name val="Tahoma"/>
      <family val="2"/>
    </font>
    <font>
      <b/>
      <sz val="18"/>
      <color rgb="FFFF0000"/>
      <name val="Arial"/>
      <family val="2"/>
    </font>
    <font>
      <u/>
      <sz val="10"/>
      <color rgb="FF0000FF"/>
      <name val="Arial"/>
      <family val="2"/>
    </font>
    <font>
      <i/>
      <sz val="10"/>
      <color theme="1"/>
      <name val="Arial"/>
      <family val="2"/>
    </font>
    <font>
      <i/>
      <sz val="11"/>
      <name val="Arial"/>
      <family val="2"/>
    </font>
    <font>
      <sz val="9"/>
      <color indexed="81"/>
      <name val="Tahoma"/>
      <family val="2"/>
    </font>
    <font>
      <b/>
      <u/>
      <sz val="10"/>
      <color rgb="FFFF0000"/>
      <name val="Arial"/>
      <family val="2"/>
    </font>
  </fonts>
  <fills count="1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rgb="FFCCCCFF"/>
        <bgColor indexed="64"/>
      </patternFill>
    </fill>
  </fills>
  <borders count="8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0043">
    <xf numFmtId="0" fontId="0" fillId="0" borderId="0">
      <alignment vertical="top"/>
    </xf>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0" borderId="0">
      <alignment vertical="top"/>
    </xf>
    <xf numFmtId="49" fontId="10" fillId="5" borderId="1">
      <alignment vertical="top"/>
    </xf>
    <xf numFmtId="49" fontId="8" fillId="21" borderId="1">
      <alignment vertical="top"/>
    </xf>
    <xf numFmtId="49" fontId="8" fillId="0" borderId="0">
      <alignment vertical="top"/>
    </xf>
    <xf numFmtId="43" fontId="7" fillId="14" borderId="0">
      <alignment vertical="top"/>
    </xf>
    <xf numFmtId="43" fontId="7" fillId="13" borderId="0">
      <alignment vertical="top"/>
    </xf>
    <xf numFmtId="43" fontId="7" fillId="11" borderId="0">
      <alignment vertical="top"/>
    </xf>
    <xf numFmtId="43" fontId="7" fillId="7" borderId="0">
      <alignment vertical="top"/>
    </xf>
    <xf numFmtId="43" fontId="7" fillId="9" borderId="0">
      <alignment vertical="top"/>
    </xf>
    <xf numFmtId="43" fontId="7" fillId="15" borderId="0">
      <alignment vertical="top"/>
    </xf>
    <xf numFmtId="49" fontId="12" fillId="0" borderId="0">
      <alignment vertical="top"/>
    </xf>
    <xf numFmtId="49" fontId="11" fillId="0" borderId="0">
      <alignment vertical="top"/>
    </xf>
    <xf numFmtId="0" fontId="17" fillId="17" borderId="4" applyNumberFormat="0" applyAlignment="0" applyProtection="0"/>
    <xf numFmtId="0" fontId="18" fillId="18" borderId="5" applyNumberFormat="0" applyAlignment="0" applyProtection="0"/>
    <xf numFmtId="0" fontId="19" fillId="18" borderId="4" applyNumberFormat="0" applyAlignment="0" applyProtection="0"/>
    <xf numFmtId="0" fontId="20" fillId="0" borderId="6" applyNumberFormat="0" applyFill="0" applyAlignment="0" applyProtection="0"/>
    <xf numFmtId="0" fontId="14" fillId="19" borderId="7" applyNumberFormat="0" applyAlignment="0" applyProtection="0"/>
    <xf numFmtId="0" fontId="16" fillId="20" borderId="8" applyNumberFormat="0" applyFont="0" applyAlignment="0" applyProtection="0"/>
    <xf numFmtId="0" fontId="21"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15"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0"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0" fillId="37" borderId="0" applyNumberFormat="0" applyBorder="0" applyAlignment="0" applyProtection="0"/>
    <xf numFmtId="0" fontId="30"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0" fillId="45" borderId="0" applyNumberFormat="0" applyBorder="0" applyAlignment="0" applyProtection="0"/>
    <xf numFmtId="0" fontId="31" fillId="0" borderId="0" applyNumberFormat="0" applyFill="0" applyBorder="0" applyAlignment="0" applyProtection="0"/>
    <xf numFmtId="49" fontId="22" fillId="0" borderId="0" applyFill="0" applyBorder="0" applyAlignment="0" applyProtection="0"/>
    <xf numFmtId="43" fontId="7" fillId="46" borderId="0" applyNumberFormat="0">
      <alignment vertical="top"/>
    </xf>
    <xf numFmtId="43" fontId="7" fillId="13" borderId="0" applyFont="0" applyFill="0" applyBorder="0" applyAlignment="0" applyProtection="0">
      <alignment vertical="top"/>
    </xf>
    <xf numFmtId="10" fontId="7" fillId="0" borderId="0" applyFont="0" applyFill="0" applyBorder="0" applyAlignment="0" applyProtection="0">
      <alignment vertical="top"/>
    </xf>
    <xf numFmtId="0" fontId="34" fillId="0" borderId="0"/>
    <xf numFmtId="0" fontId="38" fillId="0" borderId="0"/>
    <xf numFmtId="0" fontId="7" fillId="0" borderId="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3" fillId="60" borderId="0" applyNumberFormat="0" applyBorder="0" applyAlignment="0" applyProtection="0"/>
    <xf numFmtId="0" fontId="42" fillId="61" borderId="0" applyNumberFormat="0" applyBorder="0" applyAlignment="0" applyProtection="0"/>
    <xf numFmtId="0" fontId="42" fillId="62" borderId="0" applyNumberFormat="0" applyBorder="0" applyAlignment="0" applyProtection="0"/>
    <xf numFmtId="0" fontId="43" fillId="63" borderId="0" applyNumberFormat="0" applyBorder="0" applyAlignment="0" applyProtection="0"/>
    <xf numFmtId="0" fontId="43" fillId="64" borderId="0" applyNumberFormat="0" applyBorder="0" applyAlignment="0" applyProtection="0"/>
    <xf numFmtId="0" fontId="42" fillId="65" borderId="0" applyNumberFormat="0" applyBorder="0" applyAlignment="0" applyProtection="0"/>
    <xf numFmtId="0" fontId="42" fillId="66" borderId="0" applyNumberFormat="0" applyBorder="0" applyAlignment="0" applyProtection="0"/>
    <xf numFmtId="0" fontId="43" fillId="67" borderId="0" applyNumberFormat="0" applyBorder="0" applyAlignment="0" applyProtection="0"/>
    <xf numFmtId="0" fontId="43" fillId="68" borderId="0" applyNumberFormat="0" applyBorder="0" applyAlignment="0" applyProtection="0"/>
    <xf numFmtId="0" fontId="42" fillId="69" borderId="0" applyNumberFormat="0" applyBorder="0" applyAlignment="0" applyProtection="0"/>
    <xf numFmtId="0" fontId="42" fillId="70" borderId="0" applyNumberFormat="0" applyBorder="0" applyAlignment="0" applyProtection="0"/>
    <xf numFmtId="0" fontId="43" fillId="63" borderId="0" applyNumberFormat="0" applyBorder="0" applyAlignment="0" applyProtection="0"/>
    <xf numFmtId="0" fontId="43" fillId="71" borderId="0" applyNumberFormat="0" applyBorder="0" applyAlignment="0" applyProtection="0"/>
    <xf numFmtId="0" fontId="42" fillId="64" borderId="0" applyNumberFormat="0" applyBorder="0" applyAlignment="0" applyProtection="0"/>
    <xf numFmtId="0" fontId="42" fillId="61" borderId="0" applyNumberFormat="0" applyBorder="0" applyAlignment="0" applyProtection="0"/>
    <xf numFmtId="0" fontId="43" fillId="72" borderId="0" applyNumberFormat="0" applyBorder="0" applyAlignment="0" applyProtection="0"/>
    <xf numFmtId="0" fontId="43" fillId="73"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2" fillId="77" borderId="0" applyNumberFormat="0" applyBorder="0" applyAlignment="0" applyProtection="0"/>
    <xf numFmtId="0" fontId="47" fillId="80" borderId="0" applyNumberFormat="0" applyBorder="0" applyAlignment="0" applyProtection="0"/>
    <xf numFmtId="0" fontId="47" fillId="81" borderId="0" applyNumberFormat="0" applyBorder="0" applyAlignment="0" applyProtection="0"/>
    <xf numFmtId="0" fontId="47" fillId="82" borderId="0" applyNumberFormat="0" applyBorder="0" applyAlignment="0" applyProtection="0"/>
    <xf numFmtId="169" fontId="48" fillId="0" borderId="0" applyFont="0" applyFill="0" applyBorder="0" applyAlignment="0" applyProtection="0"/>
    <xf numFmtId="168" fontId="7" fillId="0" borderId="0" applyFont="0" applyFill="0" applyBorder="0" applyAlignment="0" applyProtection="0"/>
    <xf numFmtId="0" fontId="7" fillId="0" borderId="0" applyNumberFormat="0" applyFill="0" applyBorder="0" applyAlignment="0" applyProtection="0"/>
    <xf numFmtId="9" fontId="7"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97" borderId="27" applyNumberFormat="0">
      <protection locked="0"/>
    </xf>
    <xf numFmtId="0" fontId="60" fillId="55" borderId="28" applyBorder="0"/>
    <xf numFmtId="4" fontId="61" fillId="85" borderId="25" applyNumberFormat="0" applyProtection="0">
      <alignment vertical="center"/>
    </xf>
    <xf numFmtId="4" fontId="41" fillId="85" borderId="2" applyNumberFormat="0" applyProtection="0">
      <alignment vertical="center"/>
    </xf>
    <xf numFmtId="4" fontId="61" fillId="52" borderId="25" applyNumberFormat="0" applyProtection="0">
      <alignment horizontal="left" vertical="center"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0" fontId="61" fillId="48" borderId="25" applyNumberFormat="0" applyProtection="0">
      <alignment horizontal="left" vertical="top" indent="1"/>
    </xf>
    <xf numFmtId="4" fontId="62" fillId="98" borderId="26" applyNumberFormat="0" applyProtection="0">
      <alignment horizontal="left" vertical="center" indent="1"/>
    </xf>
    <xf numFmtId="0" fontId="41" fillId="99" borderId="2"/>
    <xf numFmtId="4" fontId="63" fillId="97" borderId="16" applyNumberFormat="0" applyProtection="0">
      <alignment horizontal="right" vertical="center"/>
    </xf>
    <xf numFmtId="0" fontId="6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1" fillId="104" borderId="0" applyNumberFormat="0" applyBorder="0" applyAlignment="0" applyProtection="0"/>
    <xf numFmtId="0" fontId="71" fillId="86" borderId="0" applyNumberFormat="0" applyBorder="0" applyAlignment="0" applyProtection="0"/>
    <xf numFmtId="0" fontId="71" fillId="83" borderId="0" applyNumberFormat="0" applyBorder="0" applyAlignment="0" applyProtection="0"/>
    <xf numFmtId="0" fontId="71" fillId="105" borderId="0" applyNumberFormat="0" applyBorder="0" applyAlignment="0" applyProtection="0"/>
    <xf numFmtId="0" fontId="71" fillId="106" borderId="0" applyNumberFormat="0" applyBorder="0" applyAlignment="0" applyProtection="0"/>
    <xf numFmtId="0" fontId="71" fillId="51" borderId="0" applyNumberFormat="0" applyBorder="0" applyAlignment="0" applyProtection="0"/>
    <xf numFmtId="0" fontId="71" fillId="96" borderId="0" applyNumberFormat="0" applyBorder="0" applyAlignment="0" applyProtection="0"/>
    <xf numFmtId="0" fontId="71" fillId="107" borderId="0" applyNumberFormat="0" applyBorder="0" applyAlignment="0" applyProtection="0"/>
    <xf numFmtId="0" fontId="71" fillId="93" borderId="0" applyNumberFormat="0" applyBorder="0" applyAlignment="0" applyProtection="0"/>
    <xf numFmtId="0" fontId="71" fillId="105" borderId="0" applyNumberFormat="0" applyBorder="0" applyAlignment="0" applyProtection="0"/>
    <xf numFmtId="0" fontId="71" fillId="96" borderId="0" applyNumberFormat="0" applyBorder="0" applyAlignment="0" applyProtection="0"/>
    <xf numFmtId="0" fontId="71" fillId="57" borderId="0" applyNumberFormat="0" applyBorder="0" applyAlignment="0" applyProtection="0"/>
    <xf numFmtId="0" fontId="72" fillId="108" borderId="0" applyNumberFormat="0" applyBorder="0" applyAlignment="0" applyProtection="0"/>
    <xf numFmtId="0" fontId="72" fillId="107" borderId="0" applyNumberFormat="0" applyBorder="0" applyAlignment="0" applyProtection="0"/>
    <xf numFmtId="0" fontId="72" fillId="93" borderId="0" applyNumberFormat="0" applyBorder="0" applyAlignment="0" applyProtection="0"/>
    <xf numFmtId="0" fontId="72" fillId="109" borderId="0" applyNumberFormat="0" applyBorder="0" applyAlignment="0" applyProtection="0"/>
    <xf numFmtId="0" fontId="72" fillId="88" borderId="0" applyNumberFormat="0" applyBorder="0" applyAlignment="0" applyProtection="0"/>
    <xf numFmtId="0" fontId="72" fillId="91" borderId="0" applyNumberFormat="0" applyBorder="0" applyAlignment="0" applyProtection="0"/>
    <xf numFmtId="0" fontId="72" fillId="110" borderId="0" applyNumberFormat="0" applyBorder="0" applyAlignment="0" applyProtection="0"/>
    <xf numFmtId="0" fontId="72" fillId="90" borderId="0" applyNumberFormat="0" applyBorder="0" applyAlignment="0" applyProtection="0"/>
    <xf numFmtId="0" fontId="72" fillId="53" borderId="0" applyNumberFormat="0" applyBorder="0" applyAlignment="0" applyProtection="0"/>
    <xf numFmtId="0" fontId="72" fillId="109" borderId="0" applyNumberFormat="0" applyBorder="0" applyAlignment="0" applyProtection="0"/>
    <xf numFmtId="0" fontId="72" fillId="88" borderId="0" applyNumberFormat="0" applyBorder="0" applyAlignment="0" applyProtection="0"/>
    <xf numFmtId="0" fontId="72" fillId="92" borderId="0" applyNumberFormat="0" applyBorder="0" applyAlignment="0" applyProtection="0"/>
    <xf numFmtId="0" fontId="73" fillId="52" borderId="24" applyNumberFormat="0" applyAlignment="0" applyProtection="0"/>
    <xf numFmtId="0" fontId="57" fillId="86" borderId="0" applyNumberFormat="0" applyBorder="0" applyAlignment="0" applyProtection="0"/>
    <xf numFmtId="0" fontId="74" fillId="52" borderId="15" applyNumberFormat="0" applyAlignment="0" applyProtection="0"/>
    <xf numFmtId="0" fontId="44" fillId="52" borderId="15" applyNumberFormat="0" applyAlignment="0" applyProtection="0"/>
    <xf numFmtId="0" fontId="46" fillId="79" borderId="17" applyNumberFormat="0" applyAlignment="0" applyProtection="0"/>
    <xf numFmtId="0" fontId="75" fillId="51" borderId="15" applyNumberFormat="0" applyAlignment="0" applyProtection="0"/>
    <xf numFmtId="0" fontId="76" fillId="0" borderId="29" applyNumberFormat="0" applyFill="0" applyAlignment="0" applyProtection="0"/>
    <xf numFmtId="0" fontId="77" fillId="0" borderId="0" applyNumberFormat="0" applyFill="0" applyBorder="0" applyAlignment="0" applyProtection="0"/>
    <xf numFmtId="171" fontId="7" fillId="0" borderId="0" applyFont="0" applyFill="0" applyBorder="0" applyAlignment="0" applyProtection="0"/>
    <xf numFmtId="0" fontId="66" fillId="0" borderId="0" applyNumberFormat="0" applyFill="0" applyBorder="0" applyAlignment="0" applyProtection="0"/>
    <xf numFmtId="0" fontId="50" fillId="83" borderId="0" applyNumberFormat="0" applyBorder="0" applyAlignment="0" applyProtection="0"/>
    <xf numFmtId="0" fontId="78" fillId="83" borderId="0" applyNumberFormat="0" applyBorder="0" applyAlignment="0" applyProtection="0"/>
    <xf numFmtId="0" fontId="60" fillId="0" borderId="0"/>
    <xf numFmtId="0" fontId="53" fillId="0" borderId="19"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0" applyNumberFormat="0" applyFill="0" applyBorder="0" applyAlignment="0" applyProtection="0"/>
    <xf numFmtId="0" fontId="52" fillId="51" borderId="15" applyNumberFormat="0" applyAlignment="0" applyProtection="0"/>
    <xf numFmtId="168" fontId="7" fillId="0" borderId="0" applyFont="0" applyFill="0" applyBorder="0" applyAlignment="0" applyProtection="0"/>
    <xf numFmtId="0" fontId="49" fillId="0" borderId="18" applyNumberFormat="0" applyFill="0" applyAlignment="0" applyProtection="0"/>
    <xf numFmtId="0" fontId="7" fillId="0" borderId="0" applyNumberFormat="0" applyFill="0" applyBorder="0" applyAlignment="0" applyProtection="0"/>
    <xf numFmtId="0" fontId="56" fillId="84" borderId="0" applyNumberFormat="0" applyBorder="0" applyAlignment="0" applyProtection="0"/>
    <xf numFmtId="0" fontId="7" fillId="85" borderId="23" applyNumberFormat="0" applyFont="0" applyAlignment="0" applyProtection="0"/>
    <xf numFmtId="0" fontId="71" fillId="85" borderId="23" applyNumberFormat="0" applyFont="0" applyAlignment="0" applyProtection="0"/>
    <xf numFmtId="0" fontId="58" fillId="52" borderId="24" applyNumberFormat="0" applyAlignment="0" applyProtection="0"/>
    <xf numFmtId="9" fontId="7" fillId="0" borderId="0" applyFont="0" applyFill="0" applyBorder="0" applyAlignment="0" applyProtection="0"/>
    <xf numFmtId="172" fontId="37" fillId="0" borderId="0" applyFont="0" applyFill="0" applyBorder="0" applyAlignment="0" applyProtection="0">
      <alignment horizontal="right"/>
    </xf>
    <xf numFmtId="0" fontId="79" fillId="86" borderId="0" applyNumberFormat="0" applyBorder="0" applyAlignment="0" applyProtection="0"/>
    <xf numFmtId="0" fontId="65" fillId="0" borderId="0" applyNumberFormat="0" applyFill="0" applyBorder="0" applyAlignment="0" applyProtection="0"/>
    <xf numFmtId="0" fontId="47" fillId="0" borderId="29" applyNumberFormat="0" applyFill="0" applyAlignment="0" applyProtection="0"/>
    <xf numFmtId="0" fontId="65" fillId="0" borderId="0" applyNumberFormat="0" applyFill="0" applyBorder="0" applyAlignment="0" applyProtection="0"/>
    <xf numFmtId="0" fontId="80" fillId="0" borderId="19"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0" applyNumberFormat="0" applyFill="0" applyBorder="0" applyAlignment="0" applyProtection="0"/>
    <xf numFmtId="0" fontId="83" fillId="0" borderId="18" applyNumberFormat="0" applyFill="0" applyAlignment="0" applyProtection="0"/>
    <xf numFmtId="0" fontId="84" fillId="0" borderId="0" applyNumberFormat="0" applyFill="0" applyBorder="0" applyAlignment="0" applyProtection="0"/>
    <xf numFmtId="0" fontId="67" fillId="0" borderId="0" applyNumberFormat="0" applyFill="0" applyBorder="0" applyAlignment="0" applyProtection="0"/>
    <xf numFmtId="0" fontId="85" fillId="79" borderId="17" applyNumberFormat="0" applyAlignment="0" applyProtection="0"/>
    <xf numFmtId="0" fontId="7" fillId="0" borderId="0"/>
    <xf numFmtId="0" fontId="2" fillId="0" borderId="0"/>
    <xf numFmtId="4" fontId="41" fillId="88" borderId="16" applyNumberFormat="0" applyProtection="0">
      <alignment horizontal="left" vertical="center" indent="1"/>
    </xf>
    <xf numFmtId="0" fontId="7" fillId="0" borderId="0"/>
    <xf numFmtId="168" fontId="7" fillId="0" borderId="0" applyFont="0" applyFill="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4" fillId="52" borderId="15" applyNumberFormat="0" applyAlignment="0" applyProtection="0"/>
    <xf numFmtId="0" fontId="46" fillId="79" borderId="17" applyNumberFormat="0" applyAlignment="0" applyProtection="0"/>
    <xf numFmtId="0" fontId="49" fillId="0" borderId="18" applyNumberFormat="0" applyFill="0" applyAlignment="0" applyProtection="0"/>
    <xf numFmtId="0" fontId="50" fillId="83" borderId="0" applyNumberFormat="0" applyBorder="0" applyAlignment="0" applyProtection="0"/>
    <xf numFmtId="0" fontId="52" fillId="51" borderId="15" applyNumberFormat="0" applyAlignment="0" applyProtection="0"/>
    <xf numFmtId="168" fontId="7" fillId="0" borderId="0" applyFont="0" applyFill="0" applyBorder="0" applyAlignment="0" applyProtection="0"/>
    <xf numFmtId="0" fontId="53" fillId="0" borderId="19"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0" applyNumberFormat="0" applyFill="0" applyBorder="0" applyAlignment="0" applyProtection="0"/>
    <xf numFmtId="0" fontId="7" fillId="0" borderId="0" applyNumberFormat="0" applyFill="0" applyBorder="0" applyAlignment="0" applyProtection="0"/>
    <xf numFmtId="0" fontId="56" fillId="84" borderId="0" applyNumberFormat="0" applyBorder="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7" fillId="86" borderId="0" applyNumberFormat="0" applyBorder="0" applyAlignment="0" applyProtection="0"/>
    <xf numFmtId="9" fontId="7" fillId="0" borderId="0" applyFont="0" applyFill="0" applyBorder="0" applyAlignment="0" applyProtection="0"/>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4" fontId="41" fillId="85" borderId="2" applyNumberFormat="0" applyProtection="0">
      <alignment vertical="center"/>
    </xf>
    <xf numFmtId="4" fontId="86" fillId="111" borderId="2" applyNumberFormat="0" applyProtection="0">
      <alignmen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112" borderId="16" applyNumberFormat="0" applyProtection="0">
      <alignment horizontal="left" vertical="center" indent="1"/>
    </xf>
    <xf numFmtId="0" fontId="41" fillId="99" borderId="2"/>
    <xf numFmtId="0" fontId="41" fillId="99" borderId="2"/>
    <xf numFmtId="0" fontId="65" fillId="0" borderId="0" applyNumberFormat="0" applyFill="0" applyBorder="0" applyAlignment="0" applyProtection="0"/>
    <xf numFmtId="0" fontId="47" fillId="0" borderId="29" applyNumberFormat="0" applyFill="0" applyAlignment="0" applyProtection="0"/>
    <xf numFmtId="0" fontId="58" fillId="52" borderId="24"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7" fillId="0" borderId="0"/>
    <xf numFmtId="4" fontId="7" fillId="55" borderId="26" applyNumberFormat="0" applyProtection="0">
      <alignment horizontal="left" vertical="center" indent="1"/>
    </xf>
    <xf numFmtId="4" fontId="7" fillId="55" borderId="26" applyNumberFormat="0" applyProtection="0">
      <alignment horizontal="left" vertical="center" indent="1"/>
    </xf>
    <xf numFmtId="0" fontId="7" fillId="0" borderId="0" applyNumberFormat="0" applyFill="0" applyBorder="0" applyAlignment="0" applyProtection="0"/>
    <xf numFmtId="0" fontId="7" fillId="0" borderId="0" applyNumberFormat="0" applyFill="0" applyBorder="0" applyAlignment="0" applyProtection="0"/>
    <xf numFmtId="171" fontId="7" fillId="0" borderId="0" applyFont="0" applyFill="0" applyBorder="0" applyAlignment="0" applyProtection="0"/>
    <xf numFmtId="0" fontId="7" fillId="0" borderId="0" applyNumberFormat="0" applyFill="0" applyBorder="0" applyAlignment="0" applyProtection="0"/>
    <xf numFmtId="0" fontId="7" fillId="85"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7" fillId="0" borderId="0"/>
    <xf numFmtId="0" fontId="7" fillId="0" borderId="0"/>
    <xf numFmtId="0" fontId="7" fillId="0" borderId="0"/>
    <xf numFmtId="0" fontId="7" fillId="0" borderId="0"/>
    <xf numFmtId="0" fontId="38" fillId="0" borderId="0"/>
    <xf numFmtId="0" fontId="44" fillId="52" borderId="15" applyNumberFormat="0" applyAlignment="0" applyProtection="0"/>
    <xf numFmtId="0" fontId="45" fillId="78" borderId="16" applyNumberFormat="0" applyAlignment="0" applyProtection="0"/>
    <xf numFmtId="0" fontId="87" fillId="0" borderId="0" applyNumberFormat="0" applyFill="0" applyBorder="0" applyAlignment="0" applyProtection="0">
      <alignment vertical="top"/>
      <protection locked="0"/>
    </xf>
    <xf numFmtId="0" fontId="51" fillId="76" borderId="16" applyNumberFormat="0" applyAlignment="0" applyProtection="0"/>
    <xf numFmtId="0" fontId="52" fillId="51" borderId="15" applyNumberFormat="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38" fillId="0" borderId="0" applyFont="0" applyFill="0" applyBorder="0" applyAlignment="0" applyProtection="0"/>
    <xf numFmtId="168" fontId="43" fillId="0" borderId="0" applyFont="0" applyFill="0" applyBorder="0" applyAlignment="0" applyProtection="0"/>
    <xf numFmtId="43" fontId="43" fillId="0" borderId="0" applyFont="0" applyFill="0" applyBorder="0" applyAlignment="0" applyProtection="0"/>
    <xf numFmtId="168" fontId="7" fillId="0" borderId="0" applyFont="0" applyFill="0" applyBorder="0" applyAlignment="0" applyProtection="0"/>
    <xf numFmtId="173" fontId="33" fillId="0" borderId="0" applyFont="0" applyFill="0" applyBorder="0" applyAlignment="0" applyProtection="0"/>
    <xf numFmtId="0" fontId="7" fillId="0" borderId="0" applyNumberFormat="0" applyFill="0" applyBorder="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8" fillId="78" borderId="24" applyNumberFormat="0" applyAlignment="0" applyProtection="0"/>
    <xf numFmtId="165" fontId="7" fillId="10" borderId="36" applyBorder="0" applyProtection="0">
      <alignment horizontal="center" vertical="center"/>
    </xf>
    <xf numFmtId="9" fontId="38"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60" fillId="55" borderId="28" applyBorder="0"/>
    <xf numFmtId="4" fontId="61" fillId="85" borderId="25"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61" fillId="52" borderId="25" applyNumberFormat="0" applyProtection="0">
      <alignment horizontal="left" vertical="center"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4" fontId="62" fillId="98" borderId="26" applyNumberFormat="0" applyProtection="0">
      <alignment horizontal="left" vertical="center" indent="1"/>
    </xf>
    <xf numFmtId="0" fontId="41" fillId="99" borderId="2"/>
    <xf numFmtId="0" fontId="41" fillId="99" borderId="2"/>
    <xf numFmtId="4" fontId="63" fillId="97" borderId="16" applyNumberFormat="0" applyProtection="0">
      <alignment horizontal="right" vertical="center"/>
    </xf>
    <xf numFmtId="0" fontId="33" fillId="0" borderId="0"/>
    <xf numFmtId="0" fontId="7" fillId="0" borderId="0"/>
    <xf numFmtId="0" fontId="7" fillId="0" borderId="0"/>
    <xf numFmtId="0" fontId="43" fillId="0" borderId="0"/>
    <xf numFmtId="0" fontId="7" fillId="0" borderId="0"/>
    <xf numFmtId="0" fontId="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8" fillId="0" borderId="0"/>
    <xf numFmtId="0" fontId="33" fillId="0" borderId="0"/>
    <xf numFmtId="0" fontId="7" fillId="0" borderId="0"/>
    <xf numFmtId="0" fontId="7" fillId="0" borderId="0"/>
    <xf numFmtId="0" fontId="7" fillId="0" borderId="0"/>
    <xf numFmtId="0" fontId="7" fillId="0" borderId="0"/>
    <xf numFmtId="0" fontId="7" fillId="0" borderId="0"/>
    <xf numFmtId="0" fontId="47" fillId="0" borderId="29" applyNumberFormat="0" applyFill="0" applyAlignment="0" applyProtection="0"/>
    <xf numFmtId="0" fontId="47" fillId="0" borderId="30" applyNumberFormat="0" applyFill="0" applyAlignment="0" applyProtection="0"/>
    <xf numFmtId="0" fontId="58" fillId="52" borderId="24" applyNumberFormat="0" applyAlignment="0" applyProtection="0"/>
    <xf numFmtId="0" fontId="2" fillId="0" borderId="0"/>
    <xf numFmtId="0" fontId="7" fillId="0" borderId="0"/>
    <xf numFmtId="0" fontId="48" fillId="0" borderId="0"/>
    <xf numFmtId="0" fontId="7" fillId="0" borderId="0"/>
    <xf numFmtId="0" fontId="38" fillId="0" borderId="0"/>
    <xf numFmtId="0" fontId="7" fillId="0" borderId="0"/>
    <xf numFmtId="0" fontId="7" fillId="0" borderId="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174" fontId="7" fillId="0" borderId="0" applyFont="0" applyFill="0" applyBorder="0" applyAlignment="0" applyProtection="0"/>
    <xf numFmtId="169" fontId="48" fillId="0" borderId="0" applyFont="0" applyFill="0" applyBorder="0" applyAlignment="0" applyProtection="0"/>
    <xf numFmtId="0" fontId="88" fillId="0" borderId="0" applyNumberFormat="0" applyFill="0" applyBorder="0" applyAlignment="0" applyProtection="0">
      <alignment vertical="top"/>
      <protection locked="0"/>
    </xf>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173" fontId="7" fillId="0" borderId="0" applyFont="0" applyFill="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33" fillId="116" borderId="24"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33" fillId="124" borderId="37"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90" fillId="125" borderId="0"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4" fontId="33" fillId="111" borderId="24"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89" fillId="111" borderId="24"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33" fillId="111" borderId="24"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24" borderId="24"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0" fontId="7" fillId="126" borderId="24"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91" fillId="0" borderId="0"/>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4" fontId="69" fillId="124" borderId="24"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7" fillId="0" borderId="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2" fillId="0" borderId="0"/>
    <xf numFmtId="0" fontId="2" fillId="0" borderId="0"/>
    <xf numFmtId="0" fontId="2" fillId="0" borderId="0"/>
    <xf numFmtId="168" fontId="7" fillId="0" borderId="0" applyFont="0" applyFill="0" applyBorder="0" applyAlignment="0" applyProtection="0"/>
    <xf numFmtId="9" fontId="7" fillId="0" borderId="0" applyFont="0" applyFill="0" applyBorder="0" applyAlignment="0" applyProtection="0"/>
    <xf numFmtId="0" fontId="7" fillId="0" borderId="0" applyNumberFormat="0" applyFill="0" applyBorder="0" applyAlignment="0" applyProtection="0"/>
    <xf numFmtId="0" fontId="38" fillId="0" borderId="0"/>
    <xf numFmtId="0" fontId="7" fillId="0" borderId="0" applyNumberFormat="0" applyFill="0" applyBorder="0" applyAlignment="0" applyProtection="0"/>
    <xf numFmtId="0" fontId="7" fillId="0" borderId="0"/>
    <xf numFmtId="0" fontId="100" fillId="22"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100" fillId="26"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100" fillId="37" borderId="0" applyNumberFormat="0" applyBorder="0" applyAlignment="0" applyProtection="0"/>
    <xf numFmtId="0" fontId="100" fillId="41" borderId="0" applyNumberFormat="0" applyBorder="0" applyAlignment="0" applyProtection="0"/>
    <xf numFmtId="0" fontId="100" fillId="45" borderId="0" applyNumberFormat="0" applyBorder="0" applyAlignment="0" applyProtection="0"/>
    <xf numFmtId="0" fontId="100" fillId="22" borderId="0" applyNumberFormat="0" applyBorder="0" applyAlignment="0" applyProtection="0"/>
    <xf numFmtId="0" fontId="100" fillId="30" borderId="0" applyNumberFormat="0" applyBorder="0" applyAlignment="0" applyProtection="0"/>
    <xf numFmtId="0" fontId="100" fillId="26" borderId="0" applyNumberFormat="0" applyBorder="0" applyAlignment="0" applyProtection="0"/>
    <xf numFmtId="0" fontId="100" fillId="34" borderId="0" applyNumberFormat="0" applyBorder="0" applyAlignment="0" applyProtection="0"/>
    <xf numFmtId="0" fontId="100" fillId="30" borderId="0" applyNumberFormat="0" applyBorder="0" applyAlignment="0" applyProtection="0"/>
    <xf numFmtId="0" fontId="100" fillId="38" borderId="0" applyNumberFormat="0" applyBorder="0" applyAlignment="0" applyProtection="0"/>
    <xf numFmtId="0" fontId="100" fillId="34" borderId="0" applyNumberFormat="0" applyBorder="0" applyAlignment="0" applyProtection="0"/>
    <xf numFmtId="0" fontId="100" fillId="42" borderId="0" applyNumberFormat="0" applyBorder="0" applyAlignment="0" applyProtection="0"/>
    <xf numFmtId="0" fontId="100" fillId="38" borderId="0" applyNumberFormat="0" applyBorder="0" applyAlignment="0" applyProtection="0"/>
    <xf numFmtId="0" fontId="100" fillId="42" borderId="0" applyNumberFormat="0" applyBorder="0" applyAlignment="0" applyProtection="0"/>
    <xf numFmtId="0" fontId="101" fillId="18" borderId="4" applyNumberFormat="0" applyAlignment="0" applyProtection="0"/>
    <xf numFmtId="169" fontId="48" fillId="0" borderId="0" applyFont="0" applyFill="0" applyBorder="0" applyAlignment="0" applyProtection="0"/>
    <xf numFmtId="0" fontId="102" fillId="0" borderId="6" applyNumberFormat="0" applyFill="0" applyAlignment="0" applyProtection="0"/>
    <xf numFmtId="0" fontId="4" fillId="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4" borderId="0" applyNumberFormat="0" applyBorder="0" applyAlignment="0" applyProtection="0"/>
    <xf numFmtId="0" fontId="2" fillId="20" borderId="8" applyNumberFormat="0" applyFont="0" applyAlignment="0" applyProtection="0"/>
    <xf numFmtId="9" fontId="2" fillId="0" borderId="0" applyFont="0" applyFill="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7" fillId="0" borderId="0" applyNumberFormat="0" applyFill="0" applyBorder="0" applyAlignment="0" applyProtection="0"/>
    <xf numFmtId="0" fontId="7" fillId="0" borderId="0"/>
    <xf numFmtId="0" fontId="2" fillId="0" borderId="0"/>
    <xf numFmtId="0" fontId="7" fillId="0" borderId="0"/>
    <xf numFmtId="0" fontId="43"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2" fillId="0" borderId="0"/>
    <xf numFmtId="0" fontId="24" fillId="0" borderId="0" applyNumberFormat="0" applyFill="0" applyBorder="0" applyAlignment="0" applyProtection="0"/>
    <xf numFmtId="0" fontId="103" fillId="0" borderId="12" applyNumberFormat="0" applyFill="0" applyAlignment="0" applyProtection="0"/>
    <xf numFmtId="0" fontId="10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100" fillId="37" borderId="0" applyNumberFormat="0" applyBorder="0" applyAlignment="0" applyProtection="0"/>
    <xf numFmtId="0" fontId="100" fillId="41" borderId="0" applyNumberFormat="0" applyBorder="0" applyAlignment="0" applyProtection="0"/>
    <xf numFmtId="0" fontId="100" fillId="45"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73" fillId="52" borderId="24" applyNumberFormat="0" applyAlignment="0" applyProtection="0"/>
    <xf numFmtId="0" fontId="105" fillId="75" borderId="0" applyNumberFormat="0" applyBorder="0" applyAlignment="0" applyProtection="0"/>
    <xf numFmtId="0" fontId="105" fillId="75" borderId="0" applyNumberFormat="0" applyBorder="0" applyAlignment="0" applyProtection="0"/>
    <xf numFmtId="0" fontId="74" fillId="52" borderId="15" applyNumberFormat="0" applyAlignment="0" applyProtection="0"/>
    <xf numFmtId="0" fontId="101" fillId="18" borderId="4"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6" fillId="70" borderId="17" applyNumberFormat="0" applyAlignment="0" applyProtection="0"/>
    <xf numFmtId="0" fontId="46" fillId="70" borderId="17" applyNumberFormat="0" applyAlignment="0" applyProtection="0"/>
    <xf numFmtId="0" fontId="46" fillId="79" borderId="17" applyNumberFormat="0" applyAlignment="0" applyProtection="0"/>
    <xf numFmtId="0" fontId="75" fillId="51" borderId="15" applyNumberFormat="0" applyAlignment="0" applyProtection="0"/>
    <xf numFmtId="0" fontId="76" fillId="0" borderId="29" applyNumberFormat="0" applyFill="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50" fillId="0" borderId="22" applyNumberFormat="0" applyFill="0" applyAlignment="0" applyProtection="0"/>
    <xf numFmtId="0" fontId="49" fillId="0" borderId="18" applyNumberFormat="0" applyFill="0" applyAlignment="0" applyProtection="0"/>
    <xf numFmtId="0" fontId="50" fillId="0" borderId="22" applyNumberFormat="0" applyFill="0" applyAlignment="0" applyProtection="0"/>
    <xf numFmtId="0" fontId="102" fillId="0" borderId="6" applyNumberFormat="0" applyFill="0" applyAlignment="0" applyProtection="0"/>
    <xf numFmtId="0" fontId="43" fillId="68" borderId="0" applyNumberFormat="0" applyBorder="0" applyAlignment="0" applyProtection="0"/>
    <xf numFmtId="0" fontId="50" fillId="83" borderId="0" applyNumberFormat="0" applyBorder="0" applyAlignment="0" applyProtection="0"/>
    <xf numFmtId="0" fontId="43" fillId="68" borderId="0" applyNumberFormat="0" applyBorder="0" applyAlignment="0" applyProtection="0"/>
    <xf numFmtId="0" fontId="4" fillId="2" borderId="0" applyNumberFormat="0" applyBorder="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9" fillId="0" borderId="40" applyNumberFormat="0" applyFill="0" applyAlignment="0" applyProtection="0"/>
    <xf numFmtId="0" fontId="109" fillId="0" borderId="40"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92" fillId="0" borderId="0" applyNumberFormat="0" applyFill="0" applyBorder="0" applyAlignment="0" applyProtection="0">
      <alignment vertical="top"/>
      <protection locked="0"/>
    </xf>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43" fontId="2"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0" fontId="53" fillId="0" borderId="19"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0" applyNumberFormat="0" applyFill="0" applyBorder="0" applyAlignment="0" applyProtection="0"/>
    <xf numFmtId="0" fontId="50" fillId="76" borderId="0" applyNumberFormat="0" applyBorder="0" applyAlignment="0" applyProtection="0"/>
    <xf numFmtId="0" fontId="56" fillId="84" borderId="0" applyNumberFormat="0" applyBorder="0" applyAlignment="0" applyProtection="0"/>
    <xf numFmtId="0" fontId="50" fillId="76" borderId="0" applyNumberFormat="0" applyBorder="0" applyAlignment="0" applyProtection="0"/>
    <xf numFmtId="0" fontId="6" fillId="4" borderId="0" applyNumberFormat="0" applyBorder="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71" fillId="85" borderId="23" applyNumberFormat="0" applyFont="0" applyAlignment="0" applyProtection="0"/>
    <xf numFmtId="0" fontId="57" fillId="86" borderId="0" applyNumberFormat="0" applyBorder="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86" fillId="87"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0" fontId="59" fillId="111" borderId="25" applyNumberFormat="0" applyProtection="0">
      <alignment horizontal="left" vertical="top"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33" fillId="124" borderId="37"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41" fillId="103" borderId="25" applyNumberFormat="0" applyProtection="0">
      <alignment horizontal="left" vertical="top"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41" fillId="128" borderId="25" applyNumberFormat="0" applyProtection="0">
      <alignment horizontal="left" vertical="top" indent="1"/>
    </xf>
    <xf numFmtId="0" fontId="41" fillId="47" borderId="25" applyNumberFormat="0" applyProtection="0">
      <alignment horizontal="left" vertical="top" indent="1"/>
    </xf>
    <xf numFmtId="0" fontId="41" fillId="113" borderId="27" applyNumberFormat="0">
      <protection locked="0"/>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103"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61" fillId="85" borderId="25"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41" fillId="85" borderId="2" applyNumberFormat="0" applyProtection="0">
      <alignment vertical="center"/>
    </xf>
    <xf numFmtId="4" fontId="89" fillId="111" borderId="24" applyNumberFormat="0" applyProtection="0">
      <alignment vertical="center"/>
    </xf>
    <xf numFmtId="4" fontId="86" fillId="111" borderId="2" applyNumberFormat="0" applyProtection="0">
      <alignment vertical="center"/>
    </xf>
    <xf numFmtId="4" fontId="41" fillId="85" borderId="2"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61" fillId="103" borderId="25" applyNumberFormat="0" applyProtection="0">
      <alignment horizontal="left" vertical="center" indent="1"/>
    </xf>
    <xf numFmtId="4" fontId="61" fillId="52"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86" fillId="101"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61" fillId="112" borderId="0" applyNumberFormat="0" applyProtection="0">
      <alignment horizontal="left" vertical="top" indent="1"/>
    </xf>
    <xf numFmtId="0" fontId="61" fillId="48" borderId="25"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129" borderId="26" applyNumberFormat="0" applyProtection="0">
      <alignment horizontal="left" vertical="center" indent="1"/>
    </xf>
    <xf numFmtId="4" fontId="62" fillId="98" borderId="26" applyNumberFormat="0" applyProtection="0">
      <alignment horizontal="left" vertical="center" indent="1"/>
    </xf>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0" fontId="41" fillId="99" borderId="2"/>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4" fontId="63" fillId="97" borderId="16" applyNumberFormat="0" applyProtection="0">
      <alignment horizontal="right" vertical="center"/>
    </xf>
    <xf numFmtId="0" fontId="7" fillId="0" borderId="0" applyNumberFormat="0" applyFill="0" applyBorder="0" applyAlignment="0" applyProtection="0"/>
    <xf numFmtId="0" fontId="41" fillId="13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41" fillId="130" borderId="0"/>
    <xf numFmtId="0" fontId="7" fillId="0" borderId="0" applyNumberFormat="0" applyFill="0" applyBorder="0" applyAlignment="0" applyProtection="0"/>
    <xf numFmtId="0" fontId="7" fillId="0" borderId="0" applyNumberFormat="0" applyFill="0" applyBorder="0" applyAlignment="0" applyProtection="0"/>
    <xf numFmtId="0" fontId="2" fillId="0" borderId="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24" fillId="0" borderId="0" applyNumberFormat="0" applyFill="0" applyBorder="0" applyAlignment="0" applyProtection="0"/>
    <xf numFmtId="0" fontId="47" fillId="0" borderId="30" applyNumberFormat="0" applyFill="0" applyAlignment="0" applyProtection="0"/>
    <xf numFmtId="0" fontId="103" fillId="0" borderId="12"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66"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5" fillId="78" borderId="16" applyNumberFormat="0" applyAlignment="0" applyProtection="0"/>
    <xf numFmtId="0" fontId="50" fillId="0" borderId="22" applyNumberFormat="0" applyFill="0" applyAlignment="0" applyProtection="0"/>
    <xf numFmtId="0" fontId="43" fillId="68" borderId="0" applyNumberFormat="0" applyBorder="0" applyAlignment="0" applyProtection="0"/>
    <xf numFmtId="0" fontId="43" fillId="6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0" fontId="50" fillId="0" borderId="22" applyNumberFormat="0" applyFill="0" applyAlignment="0" applyProtection="0"/>
    <xf numFmtId="0" fontId="50" fillId="76" borderId="0" applyNumberFormat="0" applyBorder="0" applyAlignment="0" applyProtection="0"/>
    <xf numFmtId="0" fontId="50" fillId="76" borderId="0" applyNumberFormat="0" applyBorder="0" applyAlignment="0" applyProtection="0"/>
    <xf numFmtId="0" fontId="7" fillId="85" borderId="23" applyNumberFormat="0" applyFont="0" applyAlignment="0" applyProtection="0"/>
    <xf numFmtId="0" fontId="2" fillId="0" borderId="0"/>
    <xf numFmtId="0" fontId="2" fillId="0" borderId="0"/>
    <xf numFmtId="0" fontId="2" fillId="0" borderId="0"/>
    <xf numFmtId="0" fontId="64" fillId="0" borderId="0" applyNumberFormat="0" applyFill="0" applyBorder="0" applyAlignment="0" applyProtection="0"/>
    <xf numFmtId="0" fontId="64" fillId="0" borderId="0" applyNumberFormat="0" applyFill="0" applyBorder="0" applyAlignment="0" applyProtection="0"/>
    <xf numFmtId="0" fontId="47" fillId="0" borderId="3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7"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0" borderId="8" applyNumberFormat="0" applyFont="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0" borderId="8" applyNumberFormat="0" applyFont="0" applyAlignment="0" applyProtection="0"/>
    <xf numFmtId="0" fontId="2" fillId="20" borderId="8" applyNumberFormat="0" applyFont="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5" fillId="3" borderId="0" applyNumberFormat="0" applyBorder="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101" fillId="18" borderId="4"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98" fillId="19" borderId="7" applyNumberFormat="0" applyAlignment="0" applyProtection="0"/>
    <xf numFmtId="168" fontId="7" fillId="0" borderId="0" applyFont="0" applyFill="0" applyBorder="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171" fontId="7" fillId="0" borderId="0" applyFont="0" applyFill="0" applyBorder="0" applyAlignment="0" applyProtection="0"/>
    <xf numFmtId="171" fontId="7" fillId="0" borderId="0" applyFont="0" applyFill="0" applyBorder="0" applyAlignment="0" applyProtection="0"/>
    <xf numFmtId="174" fontId="7" fillId="0" borderId="0" applyFont="0" applyFill="0" applyBorder="0" applyAlignment="0" applyProtection="0"/>
    <xf numFmtId="0" fontId="99" fillId="0" borderId="0" applyNumberFormat="0" applyFill="0" applyBorder="0" applyAlignment="0" applyProtection="0"/>
    <xf numFmtId="0" fontId="93" fillId="0" borderId="9" applyNumberFormat="0" applyFill="0" applyAlignment="0" applyProtection="0"/>
    <xf numFmtId="0" fontId="94" fillId="0" borderId="10" applyNumberFormat="0" applyFill="0" applyAlignment="0" applyProtection="0"/>
    <xf numFmtId="0" fontId="95" fillId="0" borderId="11" applyNumberFormat="0" applyFill="0" applyAlignment="0" applyProtection="0"/>
    <xf numFmtId="0" fontId="95" fillId="0" borderId="0" applyNumberFormat="0" applyFill="0" applyBorder="0" applyAlignment="0" applyProtection="0"/>
    <xf numFmtId="0" fontId="92" fillId="0" borderId="0" applyNumberFormat="0" applyFill="0" applyBorder="0" applyAlignment="0" applyProtection="0">
      <alignment vertical="top"/>
      <protection locked="0"/>
    </xf>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96" fillId="17" borderId="4"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7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168" fontId="7"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97" fillId="18" borderId="5"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4" fontId="41" fillId="111"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111"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113"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103"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103"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128"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103" borderId="28" applyBorder="0"/>
    <xf numFmtId="0" fontId="60" fillId="103" borderId="28" applyBorder="0"/>
    <xf numFmtId="0" fontId="60" fillId="103" borderId="28" applyBorder="0"/>
    <xf numFmtId="0" fontId="60" fillId="103" borderId="28" applyBorder="0"/>
    <xf numFmtId="0" fontId="60" fillId="103" borderId="28" applyBorder="0"/>
    <xf numFmtId="0" fontId="60" fillId="103"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6" fillId="111" borderId="2"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103"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86" fillId="101"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112" borderId="0"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129"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103" fillId="0" borderId="12"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33" fillId="0" borderId="0"/>
    <xf numFmtId="173" fontId="33" fillId="0" borderId="0" applyFont="0" applyFill="0" applyBorder="0" applyAlignment="0" applyProtection="0"/>
    <xf numFmtId="43" fontId="7" fillId="0" borderId="0" applyFont="0" applyFill="0" applyBorder="0" applyAlignment="0" applyProtection="0"/>
    <xf numFmtId="0" fontId="33" fillId="0" borderId="0"/>
    <xf numFmtId="0" fontId="33" fillId="0" borderId="0"/>
    <xf numFmtId="0" fontId="2" fillId="0" borderId="0"/>
    <xf numFmtId="0" fontId="2"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3" fillId="0" borderId="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0" fontId="2" fillId="20"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43" fontId="2" fillId="0" borderId="0" applyFont="0" applyFill="0" applyBorder="0" applyAlignment="0" applyProtection="0"/>
    <xf numFmtId="0" fontId="110" fillId="0" borderId="0" applyNumberFormat="0" applyFill="0" applyBorder="0" applyAlignment="0" applyProtection="0"/>
    <xf numFmtId="0" fontId="7" fillId="0" borderId="0"/>
    <xf numFmtId="0" fontId="7" fillId="0" borderId="0"/>
    <xf numFmtId="0" fontId="111" fillId="0" borderId="0">
      <alignment horizontal="right"/>
    </xf>
    <xf numFmtId="175" fontId="112" fillId="0" borderId="0" applyFont="0" applyFill="0" applyBorder="0" applyAlignment="0" applyProtection="0"/>
    <xf numFmtId="176" fontId="112" fillId="0" borderId="0" applyFont="0" applyFill="0" applyBorder="0" applyAlignment="0" applyProtection="0"/>
    <xf numFmtId="177" fontId="112" fillId="0" borderId="0" applyFont="0" applyFill="0" applyBorder="0" applyAlignment="0" applyProtection="0"/>
    <xf numFmtId="178" fontId="112" fillId="0" borderId="0" applyFont="0" applyFill="0" applyBorder="0" applyAlignment="0" applyProtection="0"/>
    <xf numFmtId="0" fontId="37" fillId="0" borderId="0">
      <alignment horizontal="right"/>
    </xf>
    <xf numFmtId="0" fontId="37" fillId="0" borderId="0">
      <alignment horizontal="right"/>
    </xf>
    <xf numFmtId="179" fontId="113" fillId="0" borderId="0"/>
    <xf numFmtId="0" fontId="114" fillId="0" borderId="0"/>
    <xf numFmtId="180" fontId="112" fillId="0" borderId="0" applyFont="0" applyFill="0" applyBorder="0" applyAlignment="0" applyProtection="0"/>
    <xf numFmtId="0" fontId="7" fillId="0" borderId="0"/>
    <xf numFmtId="9" fontId="115" fillId="60" borderId="42">
      <alignment horizontal="right" vertical="center"/>
    </xf>
    <xf numFmtId="181" fontId="112" fillId="0" borderId="0" applyFont="0" applyFill="0" applyBorder="0" applyAlignment="0" applyProtection="0"/>
    <xf numFmtId="182" fontId="41" fillId="0" borderId="0" applyBorder="0" applyAlignment="0" applyProtection="0"/>
    <xf numFmtId="9" fontId="35" fillId="0" borderId="0"/>
    <xf numFmtId="165" fontId="35" fillId="0" borderId="0"/>
    <xf numFmtId="10" fontId="35" fillId="0" borderId="0"/>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116" fillId="0" borderId="0" applyFill="0" applyBorder="0">
      <alignment horizontal="right"/>
    </xf>
    <xf numFmtId="0" fontId="7" fillId="0" borderId="0" applyFill="0" applyBorder="0">
      <alignment horizontal="right"/>
    </xf>
    <xf numFmtId="0" fontId="116" fillId="0" borderId="0" applyFill="0" applyBorder="0">
      <alignment horizontal="right"/>
    </xf>
    <xf numFmtId="0" fontId="7" fillId="0" borderId="0" applyFill="0" applyBorder="0">
      <alignment horizontal="right"/>
    </xf>
    <xf numFmtId="0" fontId="7" fillId="0" borderId="0" applyFill="0" applyBorder="0">
      <alignment horizontal="right"/>
    </xf>
    <xf numFmtId="0" fontId="7" fillId="0" borderId="0" applyFill="0" applyBorder="0">
      <alignment horizontal="right"/>
    </xf>
    <xf numFmtId="0" fontId="48" fillId="0" borderId="0" applyNumberFormat="0" applyFont="0" applyFill="0" applyBorder="0" applyAlignment="0" applyProtection="0"/>
    <xf numFmtId="183" fontId="113" fillId="0" borderId="0" applyFont="0" applyFill="0" applyBorder="0" applyAlignment="0" applyProtection="0"/>
    <xf numFmtId="184" fontId="113" fillId="0" borderId="0" applyFont="0" applyFill="0" applyBorder="0" applyAlignment="0" applyProtection="0"/>
    <xf numFmtId="0" fontId="117" fillId="0" borderId="0">
      <alignment vertical="center"/>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7" fillId="0" borderId="0">
      <alignment vertical="center"/>
    </xf>
    <xf numFmtId="0" fontId="117" fillId="0" borderId="0">
      <alignment vertical="center"/>
    </xf>
    <xf numFmtId="0" fontId="7" fillId="0" borderId="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7" fillId="100" borderId="0"/>
    <xf numFmtId="0" fontId="8" fillId="100" borderId="0"/>
    <xf numFmtId="0" fontId="11" fillId="100" borderId="0"/>
    <xf numFmtId="0" fontId="23" fillId="100" borderId="0"/>
    <xf numFmtId="0" fontId="119" fillId="100" borderId="0"/>
    <xf numFmtId="0" fontId="120" fillId="100" borderId="0"/>
    <xf numFmtId="0" fontId="41" fillId="100" borderId="0"/>
    <xf numFmtId="185" fontId="7" fillId="0" borderId="0" applyFont="0" applyFill="0" applyBorder="0" applyAlignment="0" applyProtection="0"/>
    <xf numFmtId="186" fontId="7" fillId="0" borderId="0" applyFont="0" applyFill="0" applyBorder="0" applyAlignment="0" applyProtection="0"/>
    <xf numFmtId="39" fontId="7" fillId="0" borderId="0" applyFont="0" applyFill="0" applyBorder="0" applyAlignment="0" applyProtection="0"/>
    <xf numFmtId="187" fontId="7" fillId="111" borderId="43"/>
    <xf numFmtId="187" fontId="7" fillId="111" borderId="43"/>
    <xf numFmtId="187" fontId="7" fillId="111" borderId="43"/>
    <xf numFmtId="0" fontId="121" fillId="0" borderId="0"/>
    <xf numFmtId="0" fontId="121" fillId="0" borderId="0"/>
    <xf numFmtId="188" fontId="113" fillId="0" borderId="0" applyFont="0" applyFill="0" applyBorder="0" applyAlignment="0" applyProtection="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 fillId="111" borderId="0"/>
    <xf numFmtId="0" fontId="122" fillId="0" borderId="0" applyNumberFormat="0" applyFill="0" applyBorder="0" applyAlignment="0" applyProtection="0"/>
    <xf numFmtId="0" fontId="7" fillId="0" borderId="0" applyFont="0" applyFill="0" applyBorder="0" applyAlignment="0" applyProtection="0"/>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8" fillId="0" borderId="0">
      <alignment vertical="top"/>
    </xf>
    <xf numFmtId="0" fontId="113" fillId="84" borderId="0" applyNumberFormat="0" applyFont="0" applyAlignment="0" applyProtection="0"/>
    <xf numFmtId="0" fontId="7" fillId="0" borderId="0">
      <alignment vertical="top"/>
    </xf>
    <xf numFmtId="0" fontId="7" fillId="0" borderId="0">
      <alignment vertical="top"/>
    </xf>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89" fontId="7" fillId="0" borderId="0" applyFont="0" applyFill="0" applyBorder="0" applyAlignment="0" applyProtection="0"/>
    <xf numFmtId="190" fontId="7" fillId="0" borderId="0" applyFont="0" applyFill="0" applyBorder="0" applyAlignment="0" applyProtection="0"/>
    <xf numFmtId="0" fontId="8" fillId="0" borderId="0" applyNumberFormat="0" applyFill="0" applyBorder="0" applyAlignment="0" applyProtection="0"/>
    <xf numFmtId="0" fontId="48" fillId="0" borderId="0" applyNumberFormat="0" applyFill="0" applyBorder="0" applyAlignment="0" applyProtection="0"/>
    <xf numFmtId="0" fontId="117" fillId="0" borderId="0">
      <alignment vertical="center"/>
    </xf>
    <xf numFmtId="191" fontId="7" fillId="0" borderId="0" applyFont="0" applyFill="0" applyBorder="0" applyAlignment="0" applyProtection="0"/>
    <xf numFmtId="192" fontId="7" fillId="0" borderId="0" applyFon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7" fillId="100" borderId="0"/>
    <xf numFmtId="0" fontId="8" fillId="100" borderId="0"/>
    <xf numFmtId="0" fontId="11" fillId="100" borderId="0"/>
    <xf numFmtId="0" fontId="7" fillId="100" borderId="0"/>
    <xf numFmtId="0" fontId="119" fillId="100" borderId="0"/>
    <xf numFmtId="0" fontId="120" fillId="100" borderId="0"/>
    <xf numFmtId="0" fontId="41" fillId="100" borderId="0"/>
    <xf numFmtId="0" fontId="7" fillId="0" borderId="0"/>
    <xf numFmtId="0" fontId="123" fillId="0" borderId="0" applyNumberFormat="0" applyFill="0" applyBorder="0" applyProtection="0">
      <alignment vertical="top"/>
    </xf>
    <xf numFmtId="0" fontId="123" fillId="0" borderId="0" applyNumberFormat="0" applyFill="0" applyBorder="0" applyProtection="0">
      <alignment vertical="top"/>
    </xf>
    <xf numFmtId="0" fontId="123" fillId="0" borderId="0" applyNumberFormat="0" applyFill="0" applyBorder="0" applyProtection="0">
      <alignment vertical="top"/>
    </xf>
    <xf numFmtId="0" fontId="114" fillId="0" borderId="44" applyNumberFormat="0" applyFill="0" applyAlignment="0" applyProtection="0"/>
    <xf numFmtId="0" fontId="114" fillId="0" borderId="44" applyNumberFormat="0" applyFill="0" applyAlignment="0" applyProtection="0"/>
    <xf numFmtId="0" fontId="114" fillId="0" borderId="44" applyNumberFormat="0" applyFill="0" applyAlignment="0" applyProtection="0"/>
    <xf numFmtId="0" fontId="114" fillId="0" borderId="44" applyNumberFormat="0" applyFill="0" applyAlignment="0" applyProtection="0"/>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45" applyNumberFormat="0" applyFill="0" applyProtection="0">
      <alignment horizontal="center"/>
    </xf>
    <xf numFmtId="0" fontId="124" fillId="0" borderId="0" applyNumberFormat="0" applyFill="0" applyBorder="0" applyProtection="0">
      <alignment horizontal="left"/>
    </xf>
    <xf numFmtId="0" fontId="125" fillId="0" borderId="0" applyNumberFormat="0" applyFill="0" applyBorder="0" applyProtection="0">
      <alignment horizontal="centerContinuous"/>
    </xf>
    <xf numFmtId="0" fontId="125" fillId="0" borderId="0" applyNumberFormat="0" applyFill="0" applyBorder="0" applyProtection="0">
      <alignment horizontal="centerContinuous"/>
    </xf>
    <xf numFmtId="0" fontId="7" fillId="0" borderId="0" applyFont="0" applyFill="0" applyBorder="0" applyAlignment="0" applyProtection="0"/>
    <xf numFmtId="0" fontId="7" fillId="0" borderId="0" applyFont="0" applyFill="0" applyBorder="0" applyAlignment="0" applyProtection="0"/>
    <xf numFmtId="193" fontId="35" fillId="0" borderId="0" applyFont="0" applyFill="0" applyBorder="0" applyAlignment="0" applyProtection="0"/>
    <xf numFmtId="0" fontId="35" fillId="0" borderId="0" applyFont="0" applyFill="0" applyBorder="0" applyAlignment="0" applyProtection="0"/>
    <xf numFmtId="0" fontId="7" fillId="0" borderId="0"/>
    <xf numFmtId="0" fontId="126" fillId="0" borderId="0"/>
    <xf numFmtId="0" fontId="117" fillId="0" borderId="0">
      <alignment vertical="center"/>
    </xf>
    <xf numFmtId="0" fontId="127" fillId="0" borderId="0"/>
    <xf numFmtId="38" fontId="111" fillId="0" borderId="34"/>
    <xf numFmtId="0" fontId="128" fillId="23" borderId="0" applyNumberFormat="0" applyBorder="0" applyAlignment="0" applyProtection="0"/>
    <xf numFmtId="0" fontId="33" fillId="47" borderId="0" applyNumberFormat="0" applyBorder="0" applyAlignment="0" applyProtection="0"/>
    <xf numFmtId="0" fontId="43" fillId="104" borderId="0" applyNumberFormat="0" applyBorder="0" applyAlignment="0" applyProtection="0"/>
    <xf numFmtId="0" fontId="33" fillId="47" borderId="0" applyNumberFormat="0" applyBorder="0" applyAlignment="0" applyProtection="0"/>
    <xf numFmtId="0" fontId="128" fillId="27" borderId="0" applyNumberFormat="0" applyBorder="0" applyAlignment="0" applyProtection="0"/>
    <xf numFmtId="0" fontId="33" fillId="48" borderId="0" applyNumberFormat="0" applyBorder="0" applyAlignment="0" applyProtection="0"/>
    <xf numFmtId="0" fontId="43" fillId="86" borderId="0" applyNumberFormat="0" applyBorder="0" applyAlignment="0" applyProtection="0"/>
    <xf numFmtId="0" fontId="33" fillId="48" borderId="0" applyNumberFormat="0" applyBorder="0" applyAlignment="0" applyProtection="0"/>
    <xf numFmtId="0" fontId="128" fillId="106" borderId="0" applyNumberFormat="0" applyBorder="0" applyAlignment="0" applyProtection="0"/>
    <xf numFmtId="0" fontId="33" fillId="49" borderId="0" applyNumberFormat="0" applyBorder="0" applyAlignment="0" applyProtection="0"/>
    <xf numFmtId="0" fontId="43" fillId="83" borderId="0" applyNumberFormat="0" applyBorder="0" applyAlignment="0" applyProtection="0"/>
    <xf numFmtId="0" fontId="33" fillId="49" borderId="0" applyNumberFormat="0" applyBorder="0" applyAlignment="0" applyProtection="0"/>
    <xf numFmtId="0" fontId="128" fillId="35" borderId="0" applyNumberFormat="0" applyBorder="0" applyAlignment="0" applyProtection="0"/>
    <xf numFmtId="0" fontId="33" fillId="50" borderId="0" applyNumberFormat="0" applyBorder="0" applyAlignment="0" applyProtection="0"/>
    <xf numFmtId="0" fontId="43" fillId="105" borderId="0" applyNumberFormat="0" applyBorder="0" applyAlignment="0" applyProtection="0"/>
    <xf numFmtId="0" fontId="33" fillId="50" borderId="0" applyNumberFormat="0" applyBorder="0" applyAlignment="0" applyProtection="0"/>
    <xf numFmtId="0" fontId="128" fillId="39" borderId="0" applyNumberFormat="0" applyBorder="0" applyAlignment="0" applyProtection="0"/>
    <xf numFmtId="0" fontId="33" fillId="47" borderId="0" applyNumberFormat="0" applyBorder="0" applyAlignment="0" applyProtection="0"/>
    <xf numFmtId="0" fontId="43" fillId="106" borderId="0" applyNumberFormat="0" applyBorder="0" applyAlignment="0" applyProtection="0"/>
    <xf numFmtId="0" fontId="33" fillId="47" borderId="0" applyNumberFormat="0" applyBorder="0" applyAlignment="0" applyProtection="0"/>
    <xf numFmtId="0" fontId="128" fillId="43" borderId="0" applyNumberFormat="0" applyBorder="0" applyAlignment="0" applyProtection="0"/>
    <xf numFmtId="0" fontId="33" fillId="51" borderId="0" applyNumberFormat="0" applyBorder="0" applyAlignment="0" applyProtection="0"/>
    <xf numFmtId="0" fontId="43" fillId="51" borderId="0" applyNumberFormat="0" applyBorder="0" applyAlignment="0" applyProtection="0"/>
    <xf numFmtId="0" fontId="33" fillId="51" borderId="0" applyNumberFormat="0" applyBorder="0" applyAlignment="0" applyProtection="0"/>
    <xf numFmtId="0" fontId="128" fillId="106" borderId="0" applyNumberFormat="0" applyBorder="0" applyAlignment="0" applyProtection="0"/>
    <xf numFmtId="0" fontId="33" fillId="52" borderId="0" applyNumberFormat="0" applyBorder="0" applyAlignment="0" applyProtection="0"/>
    <xf numFmtId="0" fontId="43" fillId="96" borderId="0" applyNumberFormat="0" applyBorder="0" applyAlignment="0" applyProtection="0"/>
    <xf numFmtId="0" fontId="33" fillId="52" borderId="0" applyNumberFormat="0" applyBorder="0" applyAlignment="0" applyProtection="0"/>
    <xf numFmtId="0" fontId="128" fillId="28" borderId="0" applyNumberFormat="0" applyBorder="0" applyAlignment="0" applyProtection="0"/>
    <xf numFmtId="0" fontId="33" fillId="48" borderId="0" applyNumberFormat="0" applyBorder="0" applyAlignment="0" applyProtection="0"/>
    <xf numFmtId="0" fontId="43" fillId="107" borderId="0" applyNumberFormat="0" applyBorder="0" applyAlignment="0" applyProtection="0"/>
    <xf numFmtId="0" fontId="33" fillId="48" borderId="0" applyNumberFormat="0" applyBorder="0" applyAlignment="0" applyProtection="0"/>
    <xf numFmtId="0" fontId="128" fillId="131" borderId="0" applyNumberFormat="0" applyBorder="0" applyAlignment="0" applyProtection="0"/>
    <xf numFmtId="0" fontId="33" fillId="53" borderId="0" applyNumberFormat="0" applyBorder="0" applyAlignment="0" applyProtection="0"/>
    <xf numFmtId="0" fontId="43" fillId="93" borderId="0" applyNumberFormat="0" applyBorder="0" applyAlignment="0" applyProtection="0"/>
    <xf numFmtId="0" fontId="33" fillId="53" borderId="0" applyNumberFormat="0" applyBorder="0" applyAlignment="0" applyProtection="0"/>
    <xf numFmtId="0" fontId="128" fillId="85" borderId="0" applyNumberFormat="0" applyBorder="0" applyAlignment="0" applyProtection="0"/>
    <xf numFmtId="0" fontId="33" fillId="54" borderId="0" applyNumberFormat="0" applyBorder="0" applyAlignment="0" applyProtection="0"/>
    <xf numFmtId="0" fontId="43" fillId="105" borderId="0" applyNumberFormat="0" applyBorder="0" applyAlignment="0" applyProtection="0"/>
    <xf numFmtId="0" fontId="33" fillId="54" borderId="0" applyNumberFormat="0" applyBorder="0" applyAlignment="0" applyProtection="0"/>
    <xf numFmtId="0" fontId="128" fillId="40" borderId="0" applyNumberFormat="0" applyBorder="0" applyAlignment="0" applyProtection="0"/>
    <xf numFmtId="0" fontId="33" fillId="55" borderId="0" applyNumberFormat="0" applyBorder="0" applyAlignment="0" applyProtection="0"/>
    <xf numFmtId="0" fontId="43" fillId="96" borderId="0" applyNumberFormat="0" applyBorder="0" applyAlignment="0" applyProtection="0"/>
    <xf numFmtId="0" fontId="33" fillId="55" borderId="0" applyNumberFormat="0" applyBorder="0" applyAlignment="0" applyProtection="0"/>
    <xf numFmtId="0" fontId="128" fillId="85" borderId="0" applyNumberFormat="0" applyBorder="0" applyAlignment="0" applyProtection="0"/>
    <xf numFmtId="0" fontId="33" fillId="51" borderId="0" applyNumberFormat="0" applyBorder="0" applyAlignment="0" applyProtection="0"/>
    <xf numFmtId="0" fontId="43" fillId="57" borderId="0" applyNumberFormat="0" applyBorder="0" applyAlignment="0" applyProtection="0"/>
    <xf numFmtId="0" fontId="33" fillId="51" borderId="0" applyNumberFormat="0" applyBorder="0" applyAlignment="0" applyProtection="0"/>
    <xf numFmtId="0" fontId="129" fillId="0" borderId="0">
      <alignment vertical="top" wrapText="1"/>
    </xf>
    <xf numFmtId="0" fontId="130" fillId="0" borderId="0"/>
    <xf numFmtId="165" fontId="130" fillId="0" borderId="0" applyNumberFormat="0"/>
    <xf numFmtId="165" fontId="35" fillId="0" borderId="0"/>
    <xf numFmtId="0" fontId="131" fillId="25" borderId="0" applyNumberFormat="0" applyBorder="0" applyAlignment="0" applyProtection="0"/>
    <xf numFmtId="0" fontId="40" fillId="56" borderId="0" applyNumberFormat="0" applyBorder="0" applyAlignment="0" applyProtection="0"/>
    <xf numFmtId="0" fontId="42" fillId="108" borderId="0" applyNumberFormat="0" applyBorder="0" applyAlignment="0" applyProtection="0"/>
    <xf numFmtId="0" fontId="131" fillId="25" borderId="0" applyNumberFormat="0" applyBorder="0" applyAlignment="0" applyProtection="0"/>
    <xf numFmtId="0" fontId="100" fillId="25" borderId="0" applyNumberFormat="0" applyBorder="0" applyAlignment="0" applyProtection="0"/>
    <xf numFmtId="0" fontId="40" fillId="56" borderId="0" applyNumberFormat="0" applyBorder="0" applyAlignment="0" applyProtection="0"/>
    <xf numFmtId="0" fontId="131" fillId="51" borderId="0" applyNumberFormat="0" applyBorder="0" applyAlignment="0" applyProtection="0"/>
    <xf numFmtId="0" fontId="40" fillId="48" borderId="0" applyNumberFormat="0" applyBorder="0" applyAlignment="0" applyProtection="0"/>
    <xf numFmtId="0" fontId="42" fillId="107" borderId="0" applyNumberFormat="0" applyBorder="0" applyAlignment="0" applyProtection="0"/>
    <xf numFmtId="0" fontId="131" fillId="29" borderId="0" applyNumberFormat="0" applyBorder="0" applyAlignment="0" applyProtection="0"/>
    <xf numFmtId="0" fontId="100" fillId="29" borderId="0" applyNumberFormat="0" applyBorder="0" applyAlignment="0" applyProtection="0"/>
    <xf numFmtId="0" fontId="40" fillId="48" borderId="0" applyNumberFormat="0" applyBorder="0" applyAlignment="0" applyProtection="0"/>
    <xf numFmtId="0" fontId="131" fillId="131" borderId="0" applyNumberFormat="0" applyBorder="0" applyAlignment="0" applyProtection="0"/>
    <xf numFmtId="0" fontId="40" fillId="53" borderId="0" applyNumberFormat="0" applyBorder="0" applyAlignment="0" applyProtection="0"/>
    <xf numFmtId="0" fontId="42" fillId="93" borderId="0" applyNumberFormat="0" applyBorder="0" applyAlignment="0" applyProtection="0"/>
    <xf numFmtId="0" fontId="131" fillId="33" borderId="0" applyNumberFormat="0" applyBorder="0" applyAlignment="0" applyProtection="0"/>
    <xf numFmtId="0" fontId="100" fillId="33" borderId="0" applyNumberFormat="0" applyBorder="0" applyAlignment="0" applyProtection="0"/>
    <xf numFmtId="0" fontId="40" fillId="53" borderId="0" applyNumberFormat="0" applyBorder="0" applyAlignment="0" applyProtection="0"/>
    <xf numFmtId="0" fontId="131" fillId="37" borderId="0" applyNumberFormat="0" applyBorder="0" applyAlignment="0" applyProtection="0"/>
    <xf numFmtId="0" fontId="40" fillId="54" borderId="0" applyNumberFormat="0" applyBorder="0" applyAlignment="0" applyProtection="0"/>
    <xf numFmtId="0" fontId="42" fillId="109" borderId="0" applyNumberFormat="0" applyBorder="0" applyAlignment="0" applyProtection="0"/>
    <xf numFmtId="0" fontId="131" fillId="37" borderId="0" applyNumberFormat="0" applyBorder="0" applyAlignment="0" applyProtection="0"/>
    <xf numFmtId="0" fontId="100" fillId="37" borderId="0" applyNumberFormat="0" applyBorder="0" applyAlignment="0" applyProtection="0"/>
    <xf numFmtId="0" fontId="40" fillId="54" borderId="0" applyNumberFormat="0" applyBorder="0" applyAlignment="0" applyProtection="0"/>
    <xf numFmtId="0" fontId="131" fillId="41" borderId="0" applyNumberFormat="0" applyBorder="0" applyAlignment="0" applyProtection="0"/>
    <xf numFmtId="0" fontId="40" fillId="56" borderId="0" applyNumberFormat="0" applyBorder="0" applyAlignment="0" applyProtection="0"/>
    <xf numFmtId="0" fontId="42" fillId="88" borderId="0" applyNumberFormat="0" applyBorder="0" applyAlignment="0" applyProtection="0"/>
    <xf numFmtId="0" fontId="131" fillId="41" borderId="0" applyNumberFormat="0" applyBorder="0" applyAlignment="0" applyProtection="0"/>
    <xf numFmtId="0" fontId="100" fillId="41" borderId="0" applyNumberFormat="0" applyBorder="0" applyAlignment="0" applyProtection="0"/>
    <xf numFmtId="0" fontId="40" fillId="56" borderId="0" applyNumberFormat="0" applyBorder="0" applyAlignment="0" applyProtection="0"/>
    <xf numFmtId="0" fontId="131" fillId="132" borderId="0" applyNumberFormat="0" applyBorder="0" applyAlignment="0" applyProtection="0"/>
    <xf numFmtId="0" fontId="40" fillId="57" borderId="0" applyNumberFormat="0" applyBorder="0" applyAlignment="0" applyProtection="0"/>
    <xf numFmtId="0" fontId="42" fillId="91" borderId="0" applyNumberFormat="0" applyBorder="0" applyAlignment="0" applyProtection="0"/>
    <xf numFmtId="0" fontId="131" fillId="45" borderId="0" applyNumberFormat="0" applyBorder="0" applyAlignment="0" applyProtection="0"/>
    <xf numFmtId="0" fontId="100" fillId="45" borderId="0" applyNumberFormat="0" applyBorder="0" applyAlignment="0" applyProtection="0"/>
    <xf numFmtId="0" fontId="40" fillId="57" borderId="0" applyNumberFormat="0" applyBorder="0" applyAlignment="0" applyProtection="0"/>
    <xf numFmtId="0" fontId="132" fillId="0" borderId="33" applyBorder="0"/>
    <xf numFmtId="0" fontId="132" fillId="0" borderId="33" applyBorder="0"/>
    <xf numFmtId="0" fontId="132" fillId="0" borderId="33" applyBorder="0"/>
    <xf numFmtId="0" fontId="132" fillId="0" borderId="33" applyBorder="0"/>
    <xf numFmtId="0" fontId="131" fillId="22" borderId="0" applyNumberFormat="0" applyBorder="0" applyAlignment="0" applyProtection="0"/>
    <xf numFmtId="0" fontId="131" fillId="22"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100" fillId="22" borderId="0" applyNumberFormat="0" applyBorder="0" applyAlignment="0" applyProtection="0"/>
    <xf numFmtId="0" fontId="42" fillId="58" borderId="0" applyNumberFormat="0" applyBorder="0" applyAlignment="0" applyProtection="0"/>
    <xf numFmtId="0" fontId="131" fillId="22"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42" fillId="110"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2"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51"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100" fillId="26" borderId="0" applyNumberFormat="0" applyBorder="0" applyAlignment="0" applyProtection="0"/>
    <xf numFmtId="0" fontId="42" fillId="62" borderId="0" applyNumberFormat="0" applyBorder="0" applyAlignment="0" applyProtection="0"/>
    <xf numFmtId="0" fontId="131" fillId="26"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42" fillId="90"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26"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100" fillId="30" borderId="0" applyNumberFormat="0" applyBorder="0" applyAlignment="0" applyProtection="0"/>
    <xf numFmtId="0" fontId="42" fillId="66" borderId="0" applyNumberFormat="0" applyBorder="0" applyAlignment="0" applyProtection="0"/>
    <xf numFmtId="0" fontId="131" fillId="30"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84"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100" fillId="34" borderId="0" applyNumberFormat="0" applyBorder="0" applyAlignment="0" applyProtection="0"/>
    <xf numFmtId="0" fontId="42" fillId="70" borderId="0" applyNumberFormat="0" applyBorder="0" applyAlignment="0" applyProtection="0"/>
    <xf numFmtId="0" fontId="131" fillId="34"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00" fillId="34" borderId="0" applyNumberFormat="0" applyBorder="0" applyAlignment="0" applyProtection="0"/>
    <xf numFmtId="0" fontId="100"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42" fillId="109"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4"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100" fillId="38" borderId="0" applyNumberFormat="0" applyBorder="0" applyAlignment="0" applyProtection="0"/>
    <xf numFmtId="0" fontId="42" fillId="61" borderId="0" applyNumberFormat="0" applyBorder="0" applyAlignment="0" applyProtection="0"/>
    <xf numFmtId="0" fontId="131" fillId="38"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00" fillId="38" borderId="0" applyNumberFormat="0" applyBorder="0" applyAlignment="0" applyProtection="0"/>
    <xf numFmtId="0" fontId="100"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42" fillId="8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38"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100" fillId="42" borderId="0" applyNumberFormat="0" applyBorder="0" applyAlignment="0" applyProtection="0"/>
    <xf numFmtId="0" fontId="42" fillId="74" borderId="0" applyNumberFormat="0" applyBorder="0" applyAlignment="0" applyProtection="0"/>
    <xf numFmtId="0" fontId="131" fillId="42"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00" fillId="42" borderId="0" applyNumberFormat="0" applyBorder="0" applyAlignment="0" applyProtection="0"/>
    <xf numFmtId="0" fontId="100"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42" fillId="9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131" fillId="42" borderId="0" applyNumberFormat="0" applyBorder="0" applyAlignment="0" applyProtection="0"/>
    <xf numFmtId="0" fontId="35" fillId="133" borderId="46">
      <alignment horizontal="center" vertical="center"/>
    </xf>
    <xf numFmtId="0" fontId="111" fillId="0" borderId="32"/>
    <xf numFmtId="0" fontId="7" fillId="0" borderId="0"/>
    <xf numFmtId="0" fontId="111" fillId="0" borderId="14" applyBorder="0"/>
    <xf numFmtId="0" fontId="111" fillId="0" borderId="14" applyBorder="0"/>
    <xf numFmtId="0" fontId="7" fillId="0" borderId="0">
      <alignment horizontal="center" wrapText="1"/>
      <protection locked="0"/>
    </xf>
    <xf numFmtId="0" fontId="7" fillId="0" borderId="0" applyNumberFormat="0" applyFill="0" applyBorder="0" applyAlignment="0" applyProtection="0"/>
    <xf numFmtId="0" fontId="37" fillId="0" borderId="0"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60" fillId="0" borderId="47" applyNumberFormat="0" applyFill="0" applyBorder="0" applyAlignment="0" applyProtection="0"/>
    <xf numFmtId="0" fontId="60" fillId="0" borderId="47" applyNumberFormat="0" applyFill="0" applyBorder="0" applyAlignment="0" applyProtection="0"/>
    <xf numFmtId="0" fontId="133" fillId="0" borderId="47" applyNumberFormat="0" applyFill="0" applyBorder="0" applyAlignment="0" applyProtection="0"/>
    <xf numFmtId="0" fontId="133" fillId="0" borderId="47" applyNumberFormat="0" applyFill="0" applyBorder="0" applyAlignment="0" applyProtection="0"/>
    <xf numFmtId="0" fontId="41" fillId="0" borderId="47" applyNumberFormat="0" applyFill="0" applyAlignment="0" applyProtection="0"/>
    <xf numFmtId="0" fontId="134" fillId="0" borderId="48">
      <protection hidden="1"/>
    </xf>
    <xf numFmtId="0" fontId="135" fillId="52" borderId="48" applyNumberFormat="0" applyFont="0" applyBorder="0" applyAlignment="0" applyProtection="0">
      <protection hidden="1"/>
    </xf>
    <xf numFmtId="0" fontId="134" fillId="0" borderId="48">
      <protection hidden="1"/>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0" fontId="73" fillId="52" borderId="24" applyNumberFormat="0" applyAlignment="0" applyProtection="0"/>
    <xf numFmtId="165" fontId="137" fillId="0" borderId="0"/>
    <xf numFmtId="0" fontId="138" fillId="0" borderId="0"/>
    <xf numFmtId="194" fontId="138" fillId="0" borderId="0"/>
    <xf numFmtId="173" fontId="138" fillId="0" borderId="0"/>
    <xf numFmtId="0" fontId="139" fillId="96" borderId="0" applyNumberFormat="0" applyBorder="0" applyAlignment="0" applyProtection="0"/>
    <xf numFmtId="0" fontId="57" fillId="86" borderId="0" applyNumberFormat="0" applyBorder="0" applyAlignment="0" applyProtection="0"/>
    <xf numFmtId="0" fontId="105" fillId="7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195" fontId="140" fillId="0" borderId="0" applyFont="0" applyFill="0" applyBorder="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74" fillId="52" borderId="15"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101" fillId="18" borderId="4" applyNumberFormat="0" applyAlignment="0" applyProtection="0"/>
    <xf numFmtId="0" fontId="45" fillId="78" borderId="16" applyNumberFormat="0" applyAlignment="0" applyProtection="0"/>
    <xf numFmtId="0" fontId="45" fillId="78" borderId="16" applyNumberFormat="0" applyAlignment="0" applyProtection="0"/>
    <xf numFmtId="0" fontId="141" fillId="0" borderId="0" applyNumberFormat="0" applyFill="0" applyBorder="0" applyAlignment="0" applyProtection="0"/>
    <xf numFmtId="0" fontId="7" fillId="0" borderId="0" applyNumberFormat="0" applyFont="0" applyAlignment="0" applyProtection="0"/>
    <xf numFmtId="185" fontId="142" fillId="0" borderId="0" applyFill="0" applyBorder="0" applyAlignment="0" applyProtection="0"/>
    <xf numFmtId="185" fontId="7" fillId="0" borderId="0"/>
    <xf numFmtId="196" fontId="143" fillId="0" borderId="0">
      <alignment horizontal="right"/>
      <protection locked="0"/>
    </xf>
    <xf numFmtId="0" fontId="7" fillId="0" borderId="0"/>
    <xf numFmtId="37" fontId="144" fillId="0" borderId="0"/>
    <xf numFmtId="0" fontId="136" fillId="0" borderId="33" applyNumberFormat="0" applyFill="0" applyAlignment="0" applyProtection="0"/>
    <xf numFmtId="0" fontId="136" fillId="0" borderId="33" applyNumberFormat="0" applyFill="0" applyAlignment="0" applyProtection="0"/>
    <xf numFmtId="0" fontId="136" fillId="0" borderId="33" applyNumberFormat="0" applyFill="0" applyAlignment="0" applyProtection="0"/>
    <xf numFmtId="0" fontId="136" fillId="0" borderId="33" applyNumberFormat="0" applyFill="0" applyAlignment="0" applyProtection="0"/>
    <xf numFmtId="0" fontId="140" fillId="0" borderId="35" applyNumberFormat="0" applyFont="0" applyFill="0" applyAlignment="0" applyProtection="0"/>
    <xf numFmtId="0" fontId="140" fillId="0" borderId="41" applyNumberFormat="0" applyFont="0" applyFill="0" applyAlignment="0" applyProtection="0"/>
    <xf numFmtId="0" fontId="145" fillId="0" borderId="49" applyNumberFormat="0" applyFont="0" applyFill="0" applyAlignment="0" applyProtection="0">
      <alignment horizontal="centerContinuous"/>
    </xf>
    <xf numFmtId="0" fontId="140" fillId="0" borderId="35" applyNumberFormat="0" applyFont="0" applyFill="0" applyAlignment="0" applyProtection="0"/>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37" fontId="144" fillId="0" borderId="1">
      <alignment horizontal="right" vertical="center"/>
    </xf>
    <xf numFmtId="197" fontId="146" fillId="0" borderId="41" applyNumberFormat="0" applyFill="0" applyAlignment="0" applyProtection="0">
      <alignment horizontal="center"/>
    </xf>
    <xf numFmtId="198" fontId="146" fillId="0" borderId="33" applyFill="0" applyAlignment="0" applyProtection="0">
      <alignment horizontal="center"/>
    </xf>
    <xf numFmtId="198" fontId="146" fillId="0" borderId="33" applyFill="0" applyAlignment="0" applyProtection="0">
      <alignment horizontal="center"/>
    </xf>
    <xf numFmtId="198" fontId="146" fillId="0" borderId="33" applyFill="0" applyAlignment="0" applyProtection="0">
      <alignment horizontal="center"/>
    </xf>
    <xf numFmtId="198" fontId="146" fillId="0" borderId="33" applyFill="0" applyAlignment="0" applyProtection="0">
      <alignment horizontal="center"/>
    </xf>
    <xf numFmtId="199" fontId="113" fillId="0" borderId="0" applyAlignment="0" applyProtection="0"/>
    <xf numFmtId="200" fontId="41" fillId="0" borderId="0" applyFill="0" applyBorder="0" applyAlignment="0" applyProtection="0"/>
    <xf numFmtId="49" fontId="147" fillId="0" borderId="0" applyNumberFormat="0" applyAlignment="0" applyProtection="0">
      <alignment horizontal="left" wrapText="1"/>
    </xf>
    <xf numFmtId="0" fontId="116" fillId="0" borderId="0" applyFont="0" applyFill="0" applyBorder="0" applyAlignment="0" applyProtection="0"/>
    <xf numFmtId="201" fontId="148" fillId="0" borderId="0" applyFill="0" applyBorder="0" applyAlignment="0" applyProtection="0"/>
    <xf numFmtId="0" fontId="7" fillId="0" borderId="0">
      <alignment horizontal="center"/>
    </xf>
    <xf numFmtId="14" fontId="130" fillId="0" borderId="0"/>
    <xf numFmtId="0" fontId="138" fillId="0" borderId="0"/>
    <xf numFmtId="14" fontId="130" fillId="0" borderId="0"/>
    <xf numFmtId="14" fontId="130" fillId="0" borderId="0"/>
    <xf numFmtId="14" fontId="130" fillId="0" borderId="0"/>
    <xf numFmtId="14" fontId="130"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38"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202" fontId="113" fillId="0" borderId="0"/>
    <xf numFmtId="0" fontId="7" fillId="0" borderId="0" applyFill="0" applyBorder="0" applyAlignment="0"/>
    <xf numFmtId="0" fontId="116" fillId="0" borderId="0" applyFill="0" applyBorder="0" applyAlignment="0"/>
    <xf numFmtId="0" fontId="116" fillId="0" borderId="0" applyFill="0" applyBorder="0" applyAlignment="0"/>
    <xf numFmtId="0" fontId="116"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151" fillId="97"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203" fontId="152" fillId="0" borderId="31" applyFill="0" applyBorder="0" applyAlignment="0" applyProtection="0">
      <alignment horizontal="right"/>
    </xf>
    <xf numFmtId="37" fontId="153" fillId="134" borderId="0" applyNumberFormat="0" applyFont="0" applyBorder="0" applyAlignment="0">
      <alignment horizontal="center"/>
    </xf>
    <xf numFmtId="195" fontId="154" fillId="0" borderId="0" applyFont="0" applyFill="0" applyBorder="0" applyAlignment="0" applyProtection="0"/>
    <xf numFmtId="0" fontId="155" fillId="135" borderId="2"/>
    <xf numFmtId="0" fontId="155" fillId="135" borderId="2"/>
    <xf numFmtId="0" fontId="155" fillId="135" borderId="2"/>
    <xf numFmtId="165" fontId="138" fillId="0" borderId="0">
      <alignment horizontal="center"/>
    </xf>
    <xf numFmtId="204" fontId="138" fillId="0" borderId="0">
      <alignment horizontal="center"/>
    </xf>
    <xf numFmtId="2" fontId="138" fillId="0" borderId="0">
      <alignment horizontal="center"/>
    </xf>
    <xf numFmtId="0" fontId="156" fillId="0" borderId="0" applyAlignment="0">
      <alignment horizontal="left"/>
    </xf>
    <xf numFmtId="0" fontId="146" fillId="0" borderId="0">
      <alignment horizontal="centerContinuous"/>
    </xf>
    <xf numFmtId="0" fontId="7" fillId="0" borderId="0"/>
    <xf numFmtId="0" fontId="157" fillId="19" borderId="7" applyNumberFormat="0" applyAlignment="0" applyProtection="0"/>
    <xf numFmtId="0" fontId="46" fillId="79" borderId="17" applyNumberFormat="0" applyAlignment="0" applyProtection="0"/>
    <xf numFmtId="0" fontId="98" fillId="19" borderId="7" applyNumberFormat="0" applyAlignment="0" applyProtection="0"/>
    <xf numFmtId="204" fontId="35" fillId="0" borderId="0">
      <alignment horizontal="center"/>
    </xf>
    <xf numFmtId="0" fontId="35" fillId="0" borderId="0"/>
    <xf numFmtId="194" fontId="35" fillId="0" borderId="0"/>
    <xf numFmtId="173" fontId="35" fillId="0" borderId="0"/>
    <xf numFmtId="0" fontId="158" fillId="0" borderId="0" applyNumberFormat="0" applyFill="0" applyBorder="0" applyAlignment="0" applyProtection="0">
      <alignment vertical="top"/>
      <protection locked="0"/>
    </xf>
    <xf numFmtId="0" fontId="156" fillId="0" borderId="0">
      <alignment horizontal="centerContinuous"/>
    </xf>
    <xf numFmtId="0" fontId="156" fillId="0" borderId="33">
      <alignment horizontal="center"/>
    </xf>
    <xf numFmtId="0" fontId="156" fillId="0" borderId="33">
      <alignment horizontal="center"/>
    </xf>
    <xf numFmtId="0" fontId="156" fillId="0" borderId="33">
      <alignment horizontal="center"/>
    </xf>
    <xf numFmtId="0" fontId="156" fillId="0" borderId="33">
      <alignment horizontal="center"/>
    </xf>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205" fontId="7" fillId="0" borderId="0"/>
    <xf numFmtId="0" fontId="140" fillId="0" borderId="0" applyFont="0" applyFill="0" applyBorder="0" applyAlignment="0" applyProtection="0"/>
    <xf numFmtId="167" fontId="128" fillId="0" borderId="0" applyFill="0" applyBorder="0" applyAlignment="0" applyProtection="0"/>
    <xf numFmtId="0" fontId="150" fillId="0" borderId="0" applyFont="0" applyFill="0" applyBorder="0" applyAlignment="0" applyProtection="0"/>
    <xf numFmtId="185" fontId="159" fillId="0" borderId="0" applyFont="0" applyFill="0" applyBorder="0" applyAlignment="0" applyProtection="0"/>
    <xf numFmtId="206" fontId="152" fillId="0" borderId="0" applyFont="0" applyFill="0" applyBorder="0" applyAlignment="0" applyProtection="0">
      <alignment horizontal="right"/>
    </xf>
    <xf numFmtId="0" fontId="116" fillId="0" borderId="0" applyFont="0" applyFill="0" applyBorder="0" applyAlignment="0" applyProtection="0"/>
    <xf numFmtId="0" fontId="116" fillId="0" borderId="0" applyFont="0" applyFill="0" applyBorder="0" applyAlignment="0" applyProtection="0">
      <alignment horizontal="right"/>
    </xf>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160" fillId="0" borderId="0" applyFill="0" applyBorder="0" applyAlignment="0" applyProtection="0"/>
    <xf numFmtId="43" fontId="7" fillId="0" borderId="0" applyFont="0" applyFill="0" applyBorder="0" applyAlignment="0" applyProtection="0"/>
    <xf numFmtId="207" fontId="7" fillId="0" borderId="0" applyFont="0" applyFill="0" applyBorder="0" applyAlignment="0" applyProtection="0">
      <alignment horizontal="right"/>
    </xf>
    <xf numFmtId="207" fontId="7" fillId="0" borderId="0" applyFont="0" applyFill="0" applyBorder="0" applyAlignment="0" applyProtection="0">
      <alignment horizontal="right"/>
    </xf>
    <xf numFmtId="207" fontId="7" fillId="0" borderId="0" applyFont="0" applyFill="0" applyBorder="0" applyAlignment="0" applyProtection="0">
      <alignment horizontal="right"/>
    </xf>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128" fillId="0" borderId="0" applyFill="0" applyBorder="0" applyAlignment="0" applyProtection="0"/>
    <xf numFmtId="0" fontId="116" fillId="0" borderId="0" applyFont="0" applyFill="0" applyBorder="0" applyAlignment="0" applyProtection="0"/>
    <xf numFmtId="207" fontId="7" fillId="0" borderId="0" applyFont="0" applyFill="0" applyBorder="0" applyAlignment="0" applyProtection="0">
      <alignment horizontal="right"/>
    </xf>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7" fillId="0" borderId="0" applyFont="0" applyFill="0" applyBorder="0" applyAlignment="0" applyProtection="0"/>
    <xf numFmtId="0" fontId="116"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68" fontId="128" fillId="0" borderId="0" applyFill="0" applyBorder="0" applyAlignment="0" applyProtection="0"/>
    <xf numFmtId="168" fontId="128" fillId="0" borderId="0" applyFill="0" applyBorder="0" applyAlignment="0" applyProtection="0"/>
    <xf numFmtId="168" fontId="161"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87" fontId="111" fillId="0" borderId="0" applyFont="0" applyFill="0" applyBorder="0" applyAlignment="0" applyProtection="0"/>
    <xf numFmtId="20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43" fillId="0" borderId="0" applyFont="0" applyFill="0" applyBorder="0" applyAlignment="0" applyProtection="0"/>
    <xf numFmtId="0" fontId="116" fillId="0" borderId="0" applyFont="0" applyFill="0" applyBorder="0" applyAlignment="0" applyProtection="0"/>
    <xf numFmtId="3" fontId="162" fillId="0" borderId="0" applyFont="0" applyFill="0" applyBorder="0" applyAlignment="0" applyProtection="0"/>
    <xf numFmtId="0" fontId="116" fillId="0" borderId="0" applyFont="0" applyFill="0" applyBorder="0" applyAlignment="0" applyProtection="0"/>
    <xf numFmtId="0" fontId="163" fillId="0" borderId="0" applyNumberFormat="0" applyFill="0" applyAlignment="0" applyProtection="0"/>
    <xf numFmtId="209" fontId="7" fillId="0" borderId="0" applyFont="0" applyFill="0" applyBorder="0" applyAlignment="0" applyProtection="0"/>
    <xf numFmtId="0" fontId="7" fillId="0" borderId="0" applyNumberFormat="0" applyAlignment="0">
      <alignment horizontal="left"/>
    </xf>
    <xf numFmtId="0" fontId="7" fillId="0" borderId="0" applyNumberFormat="0" applyAlignment="0"/>
    <xf numFmtId="0" fontId="164" fillId="1" borderId="0" applyFont="0" applyFill="0" applyBorder="0" applyAlignment="0" applyProtection="0">
      <alignment horizontal="right"/>
    </xf>
    <xf numFmtId="0" fontId="130" fillId="0" borderId="0"/>
    <xf numFmtId="210" fontId="140" fillId="0" borderId="0" applyFont="0" applyFill="0" applyBorder="0" applyAlignment="0" applyProtection="0"/>
    <xf numFmtId="211" fontId="152" fillId="0" borderId="0" applyFont="0" applyFill="0" applyBorder="0" applyAlignment="0" applyProtection="0">
      <alignment horizontal="center"/>
    </xf>
    <xf numFmtId="212" fontId="7" fillId="0" borderId="0">
      <alignment horizontal="right"/>
    </xf>
    <xf numFmtId="212" fontId="128" fillId="0" borderId="0" applyFill="0" applyBorder="0" applyAlignment="0" applyProtection="0"/>
    <xf numFmtId="39" fontId="7" fillId="0" borderId="0" applyFont="0" applyFill="0" applyBorder="0" applyAlignment="0" applyProtection="0"/>
    <xf numFmtId="206" fontId="7" fillId="0" borderId="0" applyFont="0" applyFill="0" applyBorder="0" applyAlignment="0" applyProtection="0">
      <alignment horizontal="right"/>
    </xf>
    <xf numFmtId="213" fontId="152" fillId="0" borderId="0" applyFont="0" applyFill="0" applyBorder="0" applyAlignment="0" applyProtection="0">
      <alignment horizontal="right"/>
    </xf>
    <xf numFmtId="174" fontId="7"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alignment horizontal="right"/>
    </xf>
    <xf numFmtId="214" fontId="7" fillId="0" borderId="0" applyFont="0" applyFill="0" applyBorder="0" applyAlignment="0" applyProtection="0"/>
    <xf numFmtId="0" fontId="116" fillId="0" borderId="0" applyFont="0" applyFill="0" applyBorder="0" applyAlignment="0" applyProtection="0"/>
    <xf numFmtId="215" fontId="128" fillId="0" borderId="0" applyFill="0" applyBorder="0" applyAlignment="0" applyProtection="0"/>
    <xf numFmtId="215" fontId="128" fillId="0" borderId="0" applyFill="0" applyBorder="0" applyAlignment="0" applyProtection="0"/>
    <xf numFmtId="216" fontId="115" fillId="100" borderId="42">
      <alignment horizontal="right"/>
    </xf>
    <xf numFmtId="0" fontId="162" fillId="0" borderId="0" applyFont="0" applyFill="0" applyBorder="0" applyAlignment="0" applyProtection="0"/>
    <xf numFmtId="0" fontId="7" fillId="101" borderId="0"/>
    <xf numFmtId="217" fontId="7" fillId="0" borderId="0"/>
    <xf numFmtId="218" fontId="146" fillId="0" borderId="0">
      <alignment horizontal="right"/>
    </xf>
    <xf numFmtId="0" fontId="164" fillId="0" borderId="0" applyNumberFormat="0" applyAlignment="0"/>
    <xf numFmtId="214" fontId="113" fillId="87" borderId="34">
      <protection locked="0"/>
    </xf>
    <xf numFmtId="0" fontId="164" fillId="0" borderId="0" applyNumberFormat="0" applyFont="0" applyAlignment="0" applyProtection="0"/>
    <xf numFmtId="219" fontId="7" fillId="0" borderId="0"/>
    <xf numFmtId="220" fontId="41" fillId="111" borderId="0" applyFont="0" applyFill="0" applyBorder="0" applyAlignment="0" applyProtection="0"/>
    <xf numFmtId="17" fontId="60" fillId="0" borderId="0" applyFill="0" applyBorder="0">
      <alignment horizontal="right"/>
    </xf>
    <xf numFmtId="221" fontId="60" fillId="0" borderId="33"/>
    <xf numFmtId="221" fontId="60" fillId="0" borderId="33"/>
    <xf numFmtId="221" fontId="60" fillId="0" borderId="33"/>
    <xf numFmtId="221" fontId="60" fillId="0" borderId="33"/>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19" fontId="7" fillId="0" borderId="0"/>
    <xf numFmtId="222" fontId="7" fillId="0" borderId="0" applyFont="0" applyFill="0" applyBorder="0" applyAlignment="0" applyProtection="0"/>
    <xf numFmtId="14" fontId="33" fillId="0" borderId="0" applyFill="0" applyBorder="0" applyAlignment="0"/>
    <xf numFmtId="219" fontId="7" fillId="0" borderId="0"/>
    <xf numFmtId="14" fontId="158" fillId="0" borderId="0">
      <alignment horizontal="right"/>
      <protection locked="0"/>
    </xf>
    <xf numFmtId="0" fontId="164" fillId="0" borderId="2" applyFont="0" applyFill="0" applyBorder="0" applyAlignment="0" applyProtection="0">
      <alignment horizontal="right"/>
    </xf>
    <xf numFmtId="0" fontId="164" fillId="0" borderId="2" applyFont="0" applyFill="0" applyBorder="0" applyAlignment="0" applyProtection="0">
      <alignment horizontal="right"/>
    </xf>
    <xf numFmtId="14" fontId="164" fillId="0" borderId="0" applyFont="0" applyFill="0" applyBorder="0" applyAlignment="0" applyProtection="0"/>
    <xf numFmtId="14" fontId="154" fillId="0" borderId="0" applyFont="0" applyFill="0" applyBorder="0" applyAlignment="0" applyProtection="0">
      <alignment horizontal="center"/>
    </xf>
    <xf numFmtId="223" fontId="154" fillId="0" borderId="0" applyFont="0" applyFill="0" applyBorder="0" applyAlignment="0" applyProtection="0">
      <alignment horizontal="center"/>
    </xf>
    <xf numFmtId="0" fontId="111" fillId="0" borderId="0"/>
    <xf numFmtId="0" fontId="37" fillId="0" borderId="0">
      <alignment horizontal="right"/>
    </xf>
    <xf numFmtId="0" fontId="37" fillId="0" borderId="0">
      <alignment horizontal="right"/>
    </xf>
    <xf numFmtId="0" fontId="111" fillId="0" borderId="0"/>
    <xf numFmtId="37" fontId="165" fillId="0" borderId="0"/>
    <xf numFmtId="10" fontId="7" fillId="12" borderId="2" applyNumberFormat="0" applyFont="0" applyBorder="0" applyAlignment="0" applyProtection="0">
      <protection locked="0"/>
    </xf>
    <xf numFmtId="10" fontId="7" fillId="12" borderId="2" applyNumberFormat="0" applyFont="0" applyBorder="0" applyAlignment="0" applyProtection="0">
      <protection locked="0"/>
    </xf>
    <xf numFmtId="168" fontId="7" fillId="0" borderId="0" applyFont="0" applyFill="0" applyBorder="0" applyAlignment="0" applyProtection="0"/>
    <xf numFmtId="224" fontId="37" fillId="0" borderId="0" applyFont="0" applyFill="0" applyBorder="0" applyAlignment="0" applyProtection="0"/>
    <xf numFmtId="0" fontId="140" fillId="0" borderId="0"/>
    <xf numFmtId="0" fontId="166" fillId="0" borderId="0">
      <protection locked="0"/>
    </xf>
    <xf numFmtId="196" fontId="140" fillId="0" borderId="0"/>
    <xf numFmtId="225" fontId="140" fillId="0" borderId="0" applyFont="0" applyFill="0" applyBorder="0" applyAlignment="0" applyProtection="0"/>
    <xf numFmtId="226" fontId="7" fillId="0" borderId="50" applyNumberFormat="0" applyFont="0" applyFill="0" applyAlignment="0" applyProtection="0"/>
    <xf numFmtId="212" fontId="167" fillId="0" borderId="0" applyFill="0" applyBorder="0" applyAlignment="0" applyProtection="0"/>
    <xf numFmtId="38" fontId="146" fillId="0" borderId="51">
      <alignment horizontal="right"/>
    </xf>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75" fillId="51" borderId="15" applyNumberFormat="0" applyAlignment="0" applyProtection="0"/>
    <xf numFmtId="0" fontId="168" fillId="100" borderId="0">
      <alignment horizontal="center"/>
    </xf>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0" fontId="7" fillId="0" borderId="0" applyNumberFormat="0" applyAlignment="0">
      <alignment horizontal="left"/>
    </xf>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216" fontId="169" fillId="0" borderId="0"/>
    <xf numFmtId="0" fontId="169" fillId="0" borderId="0"/>
    <xf numFmtId="0" fontId="169" fillId="0" borderId="0"/>
    <xf numFmtId="227" fontId="170"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28" fontId="7" fillId="0" borderId="0" applyFont="0" applyFill="0" applyBorder="0" applyAlignment="0" applyProtection="0"/>
    <xf numFmtId="228" fontId="7" fillId="0" borderId="0" applyFont="0" applyFill="0" applyBorder="0" applyAlignment="0" applyProtection="0"/>
    <xf numFmtId="22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208" fontId="7"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208" fontId="7" fillId="0" borderId="0" applyFont="0" applyFill="0" applyBorder="0" applyAlignment="0" applyProtection="0"/>
    <xf numFmtId="0" fontId="116" fillId="0" borderId="0" applyFont="0" applyFill="0" applyBorder="0" applyAlignment="0" applyProtection="0"/>
    <xf numFmtId="0" fontId="37" fillId="0" borderId="0" applyFont="0" applyFill="0" applyBorder="0" applyAlignment="0" applyProtection="0"/>
    <xf numFmtId="0" fontId="171" fillId="0" borderId="0" applyNumberFormat="0" applyFill="0" applyBorder="0" applyAlignment="0" applyProtection="0"/>
    <xf numFmtId="0" fontId="66" fillId="0" borderId="0" applyNumberFormat="0" applyFill="0" applyBorder="0" applyAlignment="0" applyProtection="0"/>
    <xf numFmtId="0" fontId="99" fillId="0" borderId="0" applyNumberFormat="0" applyFill="0" applyBorder="0" applyAlignment="0" applyProtection="0"/>
    <xf numFmtId="229" fontId="172" fillId="0" borderId="0">
      <alignment horizontal="right" vertical="top"/>
    </xf>
    <xf numFmtId="230" fontId="173" fillId="0" borderId="0">
      <alignment horizontal="right" vertical="top"/>
    </xf>
    <xf numFmtId="230" fontId="172" fillId="0" borderId="0">
      <alignment horizontal="right" vertical="top"/>
    </xf>
    <xf numFmtId="231" fontId="173" fillId="0" borderId="0" applyFill="0" applyBorder="0">
      <alignment horizontal="right" vertical="top"/>
    </xf>
    <xf numFmtId="232" fontId="173" fillId="0" borderId="0" applyFill="0" applyBorder="0">
      <alignment horizontal="right" vertical="top"/>
    </xf>
    <xf numFmtId="233" fontId="173" fillId="0" borderId="0" applyFill="0" applyBorder="0">
      <alignment horizontal="right" vertical="top"/>
    </xf>
    <xf numFmtId="234" fontId="173" fillId="0" borderId="0" applyFill="0" applyBorder="0">
      <alignment horizontal="right" vertical="top"/>
    </xf>
    <xf numFmtId="235" fontId="173" fillId="0" borderId="0" applyFill="0" applyBorder="0">
      <alignment horizontal="right" vertical="top"/>
    </xf>
    <xf numFmtId="0" fontId="174" fillId="0" borderId="0">
      <alignment horizontal="center" wrapText="1"/>
    </xf>
    <xf numFmtId="236" fontId="156" fillId="0" borderId="0" applyFill="0" applyBorder="0">
      <alignment vertical="top"/>
    </xf>
    <xf numFmtId="236" fontId="175" fillId="0" borderId="0" applyFill="0" applyBorder="0" applyProtection="0">
      <alignment vertical="top"/>
    </xf>
    <xf numFmtId="236" fontId="176" fillId="0" borderId="0">
      <alignment vertical="top"/>
    </xf>
    <xf numFmtId="218" fontId="173" fillId="0" borderId="0" applyFill="0" applyBorder="0" applyAlignment="0" applyProtection="0">
      <alignment horizontal="right" vertical="top"/>
    </xf>
    <xf numFmtId="3" fontId="177" fillId="0" borderId="0" applyFont="0" applyAlignment="0"/>
    <xf numFmtId="236" fontId="178" fillId="0" borderId="0"/>
    <xf numFmtId="0" fontId="173" fillId="0" borderId="0" applyFill="0" applyBorder="0">
      <alignment horizontal="left" vertical="top"/>
    </xf>
    <xf numFmtId="170" fontId="69" fillId="12" borderId="2" applyFont="0" applyFill="0" applyBorder="0" applyAlignment="0" applyProtection="0">
      <protection locked="0"/>
    </xf>
    <xf numFmtId="170" fontId="69" fillId="12" borderId="2" applyFont="0" applyFill="0" applyBorder="0" applyAlignment="0" applyProtection="0">
      <protection locked="0"/>
    </xf>
    <xf numFmtId="3" fontId="179" fillId="0" borderId="0" applyNumberFormat="0" applyFont="0" applyFill="0" applyBorder="0" applyAlignment="0" applyProtection="0">
      <alignment horizontal="left"/>
    </xf>
    <xf numFmtId="0" fontId="7" fillId="0" borderId="0"/>
    <xf numFmtId="0" fontId="7" fillId="0" borderId="0"/>
    <xf numFmtId="0" fontId="7" fillId="0" borderId="0"/>
    <xf numFmtId="0" fontId="111" fillId="0" borderId="0"/>
    <xf numFmtId="0" fontId="180" fillId="0" borderId="0" applyFill="0" applyBorder="0" applyProtection="0">
      <alignment horizontal="left"/>
    </xf>
    <xf numFmtId="237" fontId="181" fillId="0" borderId="0"/>
    <xf numFmtId="0" fontId="7" fillId="0" borderId="0" applyBorder="0" applyProtection="0"/>
    <xf numFmtId="0" fontId="49" fillId="0" borderId="18" applyNumberFormat="0" applyFill="0" applyAlignment="0" applyProtection="0"/>
    <xf numFmtId="0" fontId="50" fillId="0" borderId="22" applyNumberFormat="0" applyFill="0" applyAlignment="0" applyProtection="0"/>
    <xf numFmtId="0" fontId="102" fillId="0" borderId="6" applyNumberFormat="0" applyFill="0" applyAlignment="0" applyProtection="0"/>
    <xf numFmtId="0" fontId="50" fillId="0" borderId="22" applyNumberFormat="0" applyFill="0" applyAlignment="0" applyProtection="0"/>
    <xf numFmtId="0" fontId="50" fillId="83" borderId="0" applyNumberFormat="0" applyBorder="0" applyAlignment="0" applyProtection="0"/>
    <xf numFmtId="0" fontId="43" fillId="68" borderId="0" applyNumberFormat="0" applyBorder="0" applyAlignment="0" applyProtection="0"/>
    <xf numFmtId="0" fontId="4" fillId="2" borderId="0" applyNumberFormat="0" applyBorder="0" applyAlignment="0" applyProtection="0"/>
    <xf numFmtId="0" fontId="43" fillId="68" borderId="0" applyNumberFormat="0" applyBorder="0" applyAlignment="0" applyProtection="0"/>
    <xf numFmtId="0" fontId="182" fillId="51" borderId="0" applyNumberFormat="0" applyBorder="0" applyAlignment="0" applyProtection="0"/>
    <xf numFmtId="0" fontId="50" fillId="83"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37" fontId="183" fillId="0" borderId="52">
      <alignment horizontal="right" vertical="center"/>
    </xf>
    <xf numFmtId="38" fontId="41" fillId="100" borderId="0" applyNumberFormat="0" applyBorder="0" applyAlignment="0" applyProtection="0"/>
    <xf numFmtId="0" fontId="164" fillId="1" borderId="0" applyFont="0" applyFill="0" applyBorder="0" applyAlignment="0" applyProtection="0">
      <alignment horizontal="right"/>
    </xf>
    <xf numFmtId="238" fontId="184" fillId="0" borderId="0" applyFill="0" applyBorder="0" applyAlignment="0" applyProtection="0"/>
    <xf numFmtId="0" fontId="111" fillId="0" borderId="0" applyFont="0">
      <alignment horizontal="centerContinuous"/>
    </xf>
    <xf numFmtId="239" fontId="35" fillId="0" borderId="0"/>
    <xf numFmtId="0" fontId="185" fillId="0" borderId="41">
      <alignment horizontal="centerContinuous"/>
    </xf>
    <xf numFmtId="0" fontId="186" fillId="0" borderId="0">
      <alignment horizontal="centerContinuous"/>
    </xf>
    <xf numFmtId="0" fontId="187" fillId="0" borderId="0">
      <alignment horizontal="centerContinuous"/>
    </xf>
    <xf numFmtId="240" fontId="60" fillId="111" borderId="2" applyNumberFormat="0" applyFont="0" applyAlignment="0"/>
    <xf numFmtId="240" fontId="60" fillId="111" borderId="2" applyNumberFormat="0" applyFont="0" applyAlignment="0"/>
    <xf numFmtId="240" fontId="60" fillId="111" borderId="2" applyNumberFormat="0" applyFont="0" applyAlignment="0"/>
    <xf numFmtId="239" fontId="7" fillId="0" borderId="0" applyFont="0" applyFill="0" applyBorder="0" applyAlignment="0" applyProtection="0">
      <alignment horizontal="right"/>
    </xf>
    <xf numFmtId="204" fontId="142" fillId="0" borderId="0" applyBorder="0" applyAlignment="0" applyProtection="0"/>
    <xf numFmtId="49" fontId="188" fillId="136" borderId="0">
      <alignment horizontal="center"/>
    </xf>
    <xf numFmtId="0" fontId="36" fillId="0" borderId="53" applyNumberFormat="0" applyAlignment="0" applyProtection="0">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36" fillId="0" borderId="1">
      <alignment horizontal="left" vertical="center"/>
    </xf>
    <xf numFmtId="0" fontId="111" fillId="0" borderId="0"/>
    <xf numFmtId="49" fontId="189" fillId="0" borderId="54" applyProtection="0">
      <alignment horizontal="right" wrapText="1"/>
    </xf>
    <xf numFmtId="0" fontId="53" fillId="0" borderId="19" applyNumberFormat="0" applyFill="0" applyAlignment="0" applyProtection="0"/>
    <xf numFmtId="0" fontId="107" fillId="0" borderId="38" applyNumberFormat="0" applyFill="0" applyAlignment="0" applyProtection="0"/>
    <xf numFmtId="0" fontId="93" fillId="0" borderId="9" applyNumberFormat="0" applyFill="0" applyAlignment="0" applyProtection="0"/>
    <xf numFmtId="0" fontId="93" fillId="0" borderId="9" applyNumberFormat="0" applyFill="0" applyAlignment="0" applyProtection="0"/>
    <xf numFmtId="49" fontId="189" fillId="0" borderId="0" applyProtection="0">
      <alignment wrapText="1"/>
    </xf>
    <xf numFmtId="0" fontId="54" fillId="0" borderId="20" applyNumberFormat="0" applyFill="0" applyAlignment="0" applyProtection="0"/>
    <xf numFmtId="0" fontId="108" fillId="0" borderId="39" applyNumberFormat="0" applyFill="0" applyAlignment="0" applyProtection="0"/>
    <xf numFmtId="0" fontId="94" fillId="0" borderId="10" applyNumberFormat="0" applyFill="0" applyAlignment="0" applyProtection="0"/>
    <xf numFmtId="0" fontId="94" fillId="0" borderId="10" applyNumberFormat="0" applyFill="0" applyAlignment="0" applyProtection="0"/>
    <xf numFmtId="49" fontId="190" fillId="0" borderId="55" applyProtection="0">
      <alignment horizontal="right" wrapText="1"/>
    </xf>
    <xf numFmtId="0" fontId="55" fillId="0" borderId="21" applyNumberFormat="0" applyFill="0" applyAlignment="0" applyProtection="0"/>
    <xf numFmtId="0" fontId="109" fillId="0" borderId="40" applyNumberFormat="0" applyFill="0" applyAlignment="0" applyProtection="0"/>
    <xf numFmtId="0" fontId="95" fillId="0" borderId="11" applyNumberFormat="0" applyFill="0" applyAlignment="0" applyProtection="0"/>
    <xf numFmtId="0" fontId="95" fillId="0" borderId="11" applyNumberFormat="0" applyFill="0" applyAlignment="0" applyProtection="0"/>
    <xf numFmtId="49" fontId="190" fillId="0" borderId="0" applyProtection="0">
      <alignment wrapText="1"/>
    </xf>
    <xf numFmtId="0" fontId="55" fillId="0" borderId="0" applyNumberFormat="0" applyFill="0" applyBorder="0" applyAlignment="0" applyProtection="0"/>
    <xf numFmtId="0" fontId="95" fillId="0" borderId="0" applyNumberFormat="0" applyFill="0" applyBorder="0" applyAlignment="0" applyProtection="0"/>
    <xf numFmtId="0" fontId="191" fillId="0" borderId="0">
      <alignment horizontal="right"/>
    </xf>
    <xf numFmtId="0" fontId="191" fillId="0" borderId="0">
      <alignment horizontal="left"/>
    </xf>
    <xf numFmtId="0" fontId="192" fillId="0" borderId="0" applyNumberFormat="0" applyFill="0" applyBorder="0" applyAlignment="0" applyProtection="0">
      <alignment horizontal="left"/>
    </xf>
    <xf numFmtId="0" fontId="193" fillId="0" borderId="0" applyNumberFormat="0" applyFill="0" applyBorder="0" applyAlignment="0" applyProtection="0">
      <alignment horizontal="center"/>
    </xf>
    <xf numFmtId="0" fontId="194" fillId="0" borderId="0" applyNumberFormat="0" applyFill="0" applyBorder="0" applyAlignment="0" applyProtection="0">
      <alignment horizontal="center"/>
    </xf>
    <xf numFmtId="38" fontId="7" fillId="0" borderId="0" applyNumberFormat="0" applyFill="0" applyBorder="0"/>
    <xf numFmtId="0" fontId="111" fillId="0" borderId="0" applyNumberFormat="0" applyFill="0" applyBorder="0" applyAlignment="0" applyProtection="0"/>
    <xf numFmtId="0" fontId="136" fillId="0" borderId="0">
      <alignment horizontal="center"/>
    </xf>
    <xf numFmtId="0" fontId="87" fillId="0" borderId="0" applyNumberFormat="0" applyFill="0" applyBorder="0" applyAlignment="0" applyProtection="0">
      <alignment vertical="top"/>
      <protection locked="0"/>
    </xf>
    <xf numFmtId="0" fontId="195" fillId="0" borderId="0" applyNumberFormat="0" applyFill="0" applyBorder="0" applyAlignment="0" applyProtection="0">
      <alignment vertical="top"/>
      <protection locked="0"/>
    </xf>
    <xf numFmtId="165" fontId="168" fillId="137" borderId="0">
      <protection locked="0"/>
    </xf>
    <xf numFmtId="0" fontId="7" fillId="137" borderId="35" applyNumberFormat="0" applyFont="0">
      <alignment horizontal="left"/>
      <protection locked="0"/>
    </xf>
    <xf numFmtId="195" fontId="140" fillId="0" borderId="0" applyFont="0" applyFill="0" applyBorder="0" applyAlignment="0" applyProtection="0"/>
    <xf numFmtId="10" fontId="41" fillId="111" borderId="2" applyNumberFormat="0" applyBorder="0" applyAlignment="0" applyProtection="0"/>
    <xf numFmtId="10" fontId="41" fillId="111" borderId="2" applyNumberFormat="0" applyBorder="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196" fillId="107" borderId="4"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51" fillId="76" borderId="16" applyNumberFormat="0" applyAlignment="0" applyProtection="0"/>
    <xf numFmtId="0" fontId="52" fillId="51" borderId="15" applyNumberFormat="0" applyAlignment="0" applyProtection="0"/>
    <xf numFmtId="0" fontId="51" fillId="76" borderId="16" applyNumberFormat="0" applyAlignment="0" applyProtection="0"/>
    <xf numFmtId="0" fontId="96" fillId="17" borderId="4"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107"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107" borderId="15" applyNumberFormat="0" applyAlignment="0" applyProtection="0"/>
    <xf numFmtId="0" fontId="52" fillId="51" borderId="15" applyNumberFormat="0" applyAlignment="0" applyProtection="0"/>
    <xf numFmtId="0" fontId="96" fillId="17" borderId="4" applyNumberFormat="0" applyAlignment="0" applyProtection="0"/>
    <xf numFmtId="0" fontId="7" fillId="98" borderId="0"/>
    <xf numFmtId="0" fontId="52" fillId="107" borderId="15" applyNumberFormat="0" applyAlignment="0" applyProtection="0"/>
    <xf numFmtId="0" fontId="111" fillId="0" borderId="0" applyNumberFormat="0" applyFill="0" applyBorder="0" applyAlignment="0">
      <protection locked="0"/>
    </xf>
    <xf numFmtId="0" fontId="7" fillId="0" borderId="0"/>
    <xf numFmtId="0" fontId="116" fillId="138" borderId="2" applyNumberFormat="0" applyFont="0" applyBorder="0" applyAlignment="0">
      <alignment horizontal="right"/>
    </xf>
    <xf numFmtId="0" fontId="116" fillId="138" borderId="2" applyNumberFormat="0" applyFont="0" applyBorder="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116" fillId="138" borderId="2" applyNumberFormat="0" applyAlignment="0">
      <alignment horizontal="right"/>
    </xf>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111" fillId="0" borderId="0"/>
    <xf numFmtId="0" fontId="168" fillId="113" borderId="56" applyFont="0">
      <alignment horizontal="left"/>
      <protection locked="0"/>
    </xf>
    <xf numFmtId="164" fontId="168" fillId="137" borderId="0">
      <protection locked="0"/>
    </xf>
    <xf numFmtId="43" fontId="168" fillId="137" borderId="0">
      <protection locked="0"/>
    </xf>
    <xf numFmtId="241" fontId="168" fillId="137" borderId="0">
      <protection locked="0"/>
    </xf>
    <xf numFmtId="242" fontId="197" fillId="0" borderId="0" applyFill="0" applyBorder="0" applyProtection="0">
      <alignment horizontal="right"/>
    </xf>
    <xf numFmtId="243" fontId="197" fillId="0" borderId="0" applyFill="0" applyBorder="0" applyProtection="0"/>
    <xf numFmtId="242" fontId="198" fillId="0" borderId="0" applyFill="0" applyBorder="0" applyProtection="0">
      <alignment horizontal="right"/>
    </xf>
    <xf numFmtId="0" fontId="60" fillId="0" borderId="50" applyFill="0" applyProtection="0">
      <alignment horizontal="centerContinuous"/>
    </xf>
    <xf numFmtId="0" fontId="60" fillId="0" borderId="33" applyFill="0" applyProtection="0"/>
    <xf numFmtId="0" fontId="60" fillId="0" borderId="33" applyFill="0" applyProtection="0"/>
    <xf numFmtId="0" fontId="60" fillId="0" borderId="33" applyFill="0" applyProtection="0"/>
    <xf numFmtId="0" fontId="60" fillId="0" borderId="33" applyFill="0" applyProtection="0"/>
    <xf numFmtId="0" fontId="60" fillId="0" borderId="33" applyFill="0" applyProtection="0"/>
    <xf numFmtId="0" fontId="60" fillId="0" borderId="33"/>
    <xf numFmtId="0" fontId="60" fillId="0" borderId="33"/>
    <xf numFmtId="0" fontId="60" fillId="0" borderId="33"/>
    <xf numFmtId="0" fontId="60" fillId="0" borderId="33"/>
    <xf numFmtId="0" fontId="60" fillId="0" borderId="33"/>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3" fontId="197" fillId="0" borderId="33"/>
    <xf numFmtId="243" fontId="197" fillId="0" borderId="33"/>
    <xf numFmtId="243" fontId="197" fillId="0" borderId="33"/>
    <xf numFmtId="243" fontId="197" fillId="0" borderId="33"/>
    <xf numFmtId="243" fontId="197" fillId="0" borderId="33"/>
    <xf numFmtId="242" fontId="198" fillId="0" borderId="33">
      <alignment horizontal="right"/>
    </xf>
    <xf numFmtId="242" fontId="198" fillId="0" borderId="33">
      <alignment horizontal="right"/>
    </xf>
    <xf numFmtId="242" fontId="198" fillId="0" borderId="33">
      <alignment horizontal="right"/>
    </xf>
    <xf numFmtId="242" fontId="198" fillId="0" borderId="33">
      <alignment horizontal="right"/>
    </xf>
    <xf numFmtId="242" fontId="198" fillId="0" borderId="33">
      <alignment horizontal="right"/>
    </xf>
    <xf numFmtId="244" fontId="41" fillId="0" borderId="0" applyFill="0" applyBorder="0" applyProtection="0">
      <alignment horizontal="right"/>
    </xf>
    <xf numFmtId="242" fontId="41" fillId="0" borderId="33"/>
    <xf numFmtId="242" fontId="41" fillId="0" borderId="33"/>
    <xf numFmtId="242" fontId="41" fillId="0" borderId="33"/>
    <xf numFmtId="242" fontId="41" fillId="0" borderId="33"/>
    <xf numFmtId="242" fontId="41" fillId="0" borderId="33"/>
    <xf numFmtId="173" fontId="2" fillId="0" borderId="0" applyFont="0" applyFill="0" applyBorder="0" applyAlignment="0" applyProtection="0"/>
    <xf numFmtId="245" fontId="7" fillId="0" borderId="0" applyFont="0" applyFill="0" applyBorder="0" applyAlignment="0" applyProtection="0"/>
    <xf numFmtId="168" fontId="7" fillId="0" borderId="0" applyFont="0" applyFill="0" applyBorder="0" applyAlignment="0" applyProtection="0"/>
    <xf numFmtId="245" fontId="7" fillId="0" borderId="0" applyFont="0" applyFill="0" applyBorder="0" applyAlignment="0" applyProtection="0"/>
    <xf numFmtId="168" fontId="7" fillId="0" borderId="0" applyFont="0" applyFill="0" applyBorder="0" applyAlignment="0" applyProtection="0"/>
    <xf numFmtId="246" fontId="7" fillId="0" borderId="0" applyFont="0" applyFill="0" applyBorder="0" applyAlignment="0" applyProtection="0"/>
    <xf numFmtId="246" fontId="7"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68" fontId="7" fillId="0" borderId="0" applyFont="0" applyFill="0" applyBorder="0" applyAlignment="0" applyProtection="0"/>
    <xf numFmtId="43" fontId="2" fillId="0" borderId="0" applyFont="0" applyFill="0" applyBorder="0" applyAlignment="0" applyProtection="0"/>
    <xf numFmtId="168" fontId="7" fillId="0" borderId="0" applyFont="0" applyFill="0" applyBorder="0" applyAlignment="0" applyProtection="0"/>
    <xf numFmtId="173" fontId="7" fillId="0" borderId="0" applyFont="0" applyFill="0" applyBorder="0" applyAlignment="0" applyProtection="0"/>
    <xf numFmtId="245" fontId="7" fillId="0" borderId="0" applyFont="0" applyFill="0" applyBorder="0" applyAlignment="0" applyProtection="0"/>
    <xf numFmtId="168" fontId="114" fillId="0" borderId="0" applyFill="0" applyBorder="0" applyAlignment="0" applyProtection="0"/>
    <xf numFmtId="43" fontId="2" fillId="0" borderId="0" applyFont="0" applyFill="0" applyBorder="0" applyAlignment="0" applyProtection="0"/>
    <xf numFmtId="1" fontId="199" fillId="1" borderId="42">
      <protection locked="0"/>
    </xf>
    <xf numFmtId="0" fontId="37" fillId="0" borderId="0" applyFill="0" applyProtection="0">
      <alignment horizontal="centerContinuous"/>
    </xf>
    <xf numFmtId="0" fontId="9" fillId="0" borderId="0" applyFill="0" applyProtection="0">
      <alignment horizontal="centerContinuous"/>
    </xf>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33"/>
    <xf numFmtId="242" fontId="41" fillId="0" borderId="0" applyFill="0" applyBorder="0" applyProtection="0"/>
    <xf numFmtId="242" fontId="41" fillId="0" borderId="57" applyFill="0" applyProtection="0"/>
    <xf numFmtId="242" fontId="41" fillId="0" borderId="58" applyFill="0" applyProtection="0"/>
    <xf numFmtId="0" fontId="116" fillId="0" borderId="0">
      <alignment horizontal="left"/>
    </xf>
    <xf numFmtId="0" fontId="200" fillId="0" borderId="0" applyNumberFormat="0" applyFill="0" applyBorder="0" applyAlignment="0" applyProtection="0"/>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37" fontId="201" fillId="0" borderId="0" applyNumberFormat="0" applyFill="0" applyBorder="0" applyAlignment="0" applyProtection="0">
      <alignment horizontal="right"/>
    </xf>
    <xf numFmtId="0" fontId="202" fillId="0" borderId="59" applyNumberFormat="0" applyFill="0" applyAlignment="0" applyProtection="0"/>
    <xf numFmtId="0" fontId="49" fillId="0" borderId="18"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50" fillId="0" borderId="22" applyNumberFormat="0" applyFill="0" applyAlignment="0" applyProtection="0"/>
    <xf numFmtId="0" fontId="7" fillId="89" borderId="0"/>
    <xf numFmtId="0" fontId="111" fillId="0" borderId="0"/>
    <xf numFmtId="0" fontId="203" fillId="0" borderId="48">
      <alignment horizontal="left"/>
      <protection locked="0"/>
    </xf>
    <xf numFmtId="0" fontId="7" fillId="0" borderId="0" applyNumberFormat="0" applyFill="0" applyBorder="0" applyAlignment="0" applyProtection="0"/>
    <xf numFmtId="0" fontId="7" fillId="0" borderId="0" applyNumberFormat="0" applyFill="0" applyBorder="0" applyAlignment="0" applyProtection="0"/>
    <xf numFmtId="238" fontId="204" fillId="0" borderId="0" applyFill="0" applyBorder="0" applyAlignment="0" applyProtection="0"/>
    <xf numFmtId="0" fontId="111" fillId="0" borderId="0" applyNumberFormat="0" applyFont="0" applyFill="0" applyBorder="0" applyAlignment="0"/>
    <xf numFmtId="38" fontId="150" fillId="0" borderId="0" applyFont="0" applyFill="0" applyBorder="0" applyAlignment="0" applyProtection="0"/>
    <xf numFmtId="40" fontId="150" fillId="0" borderId="0" applyFont="0" applyFill="0" applyBorder="0" applyAlignment="0" applyProtection="0"/>
    <xf numFmtId="0" fontId="205" fillId="0" borderId="0" applyBorder="0"/>
    <xf numFmtId="38" fontId="127" fillId="0" borderId="0" applyFont="0" applyFill="0" applyBorder="0" applyAlignment="0" applyProtection="0"/>
    <xf numFmtId="40" fontId="12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85" fontId="152" fillId="0" borderId="0" applyFont="0" applyFill="0" applyBorder="0" applyAlignment="0" applyProtection="0">
      <alignment horizontal="right"/>
    </xf>
    <xf numFmtId="210" fontId="152" fillId="0" borderId="0" applyFill="0" applyProtection="0">
      <alignment horizontal="right"/>
    </xf>
    <xf numFmtId="3" fontId="152" fillId="0" borderId="0" applyFont="0" applyFill="0" applyBorder="0" applyAlignment="0" applyProtection="0">
      <alignment horizontal="center"/>
    </xf>
    <xf numFmtId="0" fontId="116" fillId="0" borderId="0" applyFont="0" applyFill="0" applyBorder="0" applyAlignment="0" applyProtection="0">
      <alignment horizontal="right"/>
    </xf>
    <xf numFmtId="225" fontId="127" fillId="0" borderId="0" applyFont="0" applyFill="0" applyBorder="0" applyAlignment="0" applyProtection="0"/>
    <xf numFmtId="216" fontId="12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7" fontId="112" fillId="0" borderId="0" applyFont="0" applyFill="0" applyBorder="0" applyAlignment="0" applyProtection="0"/>
    <xf numFmtId="209" fontId="142" fillId="0" borderId="0" applyFont="0" applyFill="0" applyBorder="0" applyAlignment="0" applyProtection="0"/>
    <xf numFmtId="0" fontId="7" fillId="0" borderId="0" applyFont="0" applyFill="0" applyBorder="0" applyAlignment="0" applyProtection="0"/>
    <xf numFmtId="0" fontId="111" fillId="0" borderId="0"/>
    <xf numFmtId="0" fontId="111" fillId="0" borderId="0"/>
    <xf numFmtId="0" fontId="35" fillId="0" borderId="0"/>
    <xf numFmtId="194" fontId="35" fillId="0" borderId="0"/>
    <xf numFmtId="173" fontId="138" fillId="0" borderId="0"/>
    <xf numFmtId="0" fontId="7" fillId="0" borderId="0" applyNumberFormat="0" applyFont="0" applyFill="0" applyBorder="0" applyAlignment="0" applyProtection="0"/>
    <xf numFmtId="0" fontId="56" fillId="84" borderId="0" applyNumberFormat="0" applyBorder="0" applyAlignment="0" applyProtection="0"/>
    <xf numFmtId="0" fontId="50" fillId="76" borderId="0" applyNumberFormat="0" applyBorder="0" applyAlignment="0" applyProtection="0"/>
    <xf numFmtId="0" fontId="6" fillId="4" borderId="0" applyNumberFormat="0" applyBorder="0" applyAlignment="0" applyProtection="0"/>
    <xf numFmtId="0" fontId="50" fillId="76" borderId="0" applyNumberFormat="0" applyBorder="0" applyAlignment="0" applyProtection="0"/>
    <xf numFmtId="0" fontId="206" fillId="85" borderId="0" applyNumberFormat="0" applyBorder="0" applyAlignment="0" applyProtection="0"/>
    <xf numFmtId="0" fontId="56" fillId="84" borderId="0" applyNumberFormat="0" applyBorder="0" applyAlignment="0" applyProtection="0"/>
    <xf numFmtId="0" fontId="50" fillId="76" borderId="0" applyNumberFormat="0" applyBorder="0" applyAlignment="0" applyProtection="0"/>
    <xf numFmtId="0" fontId="50" fillId="76" borderId="0" applyNumberFormat="0" applyBorder="0" applyAlignment="0" applyProtection="0"/>
    <xf numFmtId="0" fontId="56" fillId="85" borderId="0" applyNumberFormat="0" applyBorder="0" applyAlignment="0" applyProtection="0"/>
    <xf numFmtId="0" fontId="50" fillId="76" borderId="0" applyNumberFormat="0" applyBorder="0" applyAlignment="0" applyProtection="0"/>
    <xf numFmtId="0" fontId="207" fillId="0" borderId="0"/>
    <xf numFmtId="0" fontId="130" fillId="0" borderId="0">
      <alignment horizontal="left"/>
    </xf>
    <xf numFmtId="0" fontId="146" fillId="0" borderId="0" applyNumberFormat="0" applyFill="0" applyAlignment="0" applyProtection="0"/>
    <xf numFmtId="37" fontId="163" fillId="0" borderId="0"/>
    <xf numFmtId="248" fontId="37" fillId="0" borderId="0" applyFont="0" applyFill="0" applyBorder="0" applyAlignment="0" applyProtection="0"/>
    <xf numFmtId="0" fontId="170" fillId="0" borderId="0"/>
    <xf numFmtId="0" fontId="112" fillId="0" borderId="0"/>
    <xf numFmtId="0" fontId="37" fillId="0" borderId="0"/>
    <xf numFmtId="249" fontId="208" fillId="0" borderId="0"/>
    <xf numFmtId="0" fontId="7" fillId="0" borderId="0"/>
    <xf numFmtId="199" fontId="1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0" fontId="128" fillId="0" borderId="0"/>
    <xf numFmtId="0" fontId="7" fillId="0" borderId="0"/>
    <xf numFmtId="199" fontId="160" fillId="0" borderId="0"/>
    <xf numFmtId="250" fontId="114" fillId="0" borderId="0"/>
    <xf numFmtId="250" fontId="1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9" fontId="7" fillId="0" borderId="0"/>
    <xf numFmtId="199" fontId="128" fillId="0" borderId="0"/>
    <xf numFmtId="0" fontId="7" fillId="0" borderId="0"/>
    <xf numFmtId="0" fontId="7" fillId="0" borderId="0" applyNumberFormat="0" applyFill="0" applyBorder="0" applyAlignment="0" applyProtection="0"/>
    <xf numFmtId="0" fontId="209"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210"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5" fontId="60" fillId="0" borderId="0" applyNumberFormat="0" applyFill="0" applyBorder="0" applyAlignment="0" applyProtection="0"/>
    <xf numFmtId="251" fontId="211" fillId="0" borderId="0" applyFont="0" applyFill="0" applyBorder="0" applyAlignment="0"/>
    <xf numFmtId="1" fontId="212" fillId="0" borderId="0" applyFont="0" applyFill="0" applyBorder="0" applyAlignment="0" applyProtection="0">
      <alignment horizontal="center"/>
    </xf>
    <xf numFmtId="0" fontId="213" fillId="0" borderId="33" applyNumberFormat="0">
      <alignment horizontal="left" vertical="top"/>
    </xf>
    <xf numFmtId="0" fontId="213" fillId="0" borderId="33" applyNumberFormat="0">
      <alignment horizontal="left" vertical="top"/>
    </xf>
    <xf numFmtId="0" fontId="213" fillId="0" borderId="33" applyNumberFormat="0">
      <alignment horizontal="left" vertical="top"/>
    </xf>
    <xf numFmtId="0" fontId="213" fillId="0" borderId="33" applyNumberFormat="0">
      <alignment horizontal="left" vertical="top"/>
    </xf>
    <xf numFmtId="0" fontId="213" fillId="0" borderId="33" applyNumberFormat="0">
      <alignment horizontal="left" vertical="top"/>
    </xf>
    <xf numFmtId="0" fontId="37" fillId="0" borderId="0"/>
    <xf numFmtId="0" fontId="112" fillId="0" borderId="0"/>
    <xf numFmtId="0" fontId="214" fillId="0" borderId="0"/>
    <xf numFmtId="0" fontId="215" fillId="0" borderId="60"/>
    <xf numFmtId="0" fontId="7" fillId="0" borderId="0"/>
    <xf numFmtId="252" fontId="41" fillId="0" borderId="0" applyFont="0" applyFill="0" applyBorder="0" applyAlignment="0" applyProtection="0"/>
    <xf numFmtId="37" fontId="216" fillId="0" borderId="0" applyNumberFormat="0" applyFont="0" applyFill="0" applyBorder="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217" fillId="0" borderId="48"/>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1" fillId="85" borderId="23" applyNumberFormat="0" applyFont="0" applyAlignment="0" applyProtection="0"/>
    <xf numFmtId="0" fontId="7" fillId="0" borderId="0"/>
    <xf numFmtId="1" fontId="166" fillId="0" borderId="0">
      <alignment horizontal="right"/>
      <protection locked="0"/>
    </xf>
    <xf numFmtId="0" fontId="140" fillId="0" borderId="0"/>
    <xf numFmtId="0" fontId="166" fillId="0" borderId="0">
      <protection locked="0"/>
    </xf>
    <xf numFmtId="0" fontId="116" fillId="0" borderId="0"/>
    <xf numFmtId="2" fontId="166" fillId="0" borderId="0">
      <alignment horizontal="right"/>
      <protection locked="0"/>
    </xf>
    <xf numFmtId="253" fontId="146" fillId="0" borderId="0" applyFill="0" applyBorder="0" applyAlignment="0" applyProtection="0"/>
    <xf numFmtId="254" fontId="146" fillId="0" borderId="0" applyNumberFormat="0" applyBorder="0">
      <alignment horizontal="right"/>
    </xf>
    <xf numFmtId="0" fontId="111" fillId="0" borderId="0"/>
    <xf numFmtId="165" fontId="168" fillId="0" borderId="0"/>
    <xf numFmtId="0" fontId="7" fillId="0" borderId="0" applyFont="0" applyFill="0" applyBorder="0" applyAlignment="0" applyProtection="0"/>
    <xf numFmtId="0" fontId="7" fillId="0" borderId="0" applyFont="0" applyFill="0" applyBorder="0" applyAlignment="0" applyProtection="0"/>
    <xf numFmtId="0" fontId="37" fillId="137" borderId="2"/>
    <xf numFmtId="0" fontId="37" fillId="137" borderId="2"/>
    <xf numFmtId="0" fontId="37" fillId="137" borderId="2"/>
    <xf numFmtId="255" fontId="37" fillId="137" borderId="2" applyFont="0" applyFill="0" applyBorder="0" applyAlignment="0" applyProtection="0"/>
    <xf numFmtId="255" fontId="37" fillId="137" borderId="2" applyFont="0" applyFill="0" applyBorder="0" applyAlignment="0" applyProtection="0"/>
    <xf numFmtId="0" fontId="112" fillId="0" borderId="0">
      <alignment horizontal="left" vertical="top"/>
      <protection locked="0"/>
    </xf>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97"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97" fillId="18" borderId="5"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97" fillId="18" borderId="5" applyNumberFormat="0" applyAlignment="0" applyProtection="0"/>
    <xf numFmtId="40" fontId="218" fillId="101" borderId="0">
      <alignment horizontal="right"/>
    </xf>
    <xf numFmtId="0" fontId="219" fillId="101" borderId="0">
      <alignment horizontal="right"/>
    </xf>
    <xf numFmtId="0" fontId="220" fillId="101" borderId="32"/>
    <xf numFmtId="0" fontId="220" fillId="0" borderId="0" applyBorder="0">
      <alignment horizontal="centerContinuous"/>
    </xf>
    <xf numFmtId="0" fontId="221" fillId="0" borderId="0" applyBorder="0">
      <alignment horizontal="centerContinuous"/>
    </xf>
    <xf numFmtId="0" fontId="58" fillId="97" borderId="24" applyNumberFormat="0" applyAlignment="0" applyProtection="0"/>
    <xf numFmtId="0" fontId="35" fillId="139" borderId="0" applyNumberFormat="0" applyFont="0" applyBorder="0" applyAlignment="0"/>
    <xf numFmtId="0" fontId="7" fillId="0" borderId="0" applyNumberFormat="0" applyFont="0" applyBorder="0" applyAlignment="0"/>
    <xf numFmtId="164" fontId="168" fillId="0" borderId="0"/>
    <xf numFmtId="43" fontId="168" fillId="0" borderId="0"/>
    <xf numFmtId="165" fontId="222" fillId="0" borderId="0"/>
    <xf numFmtId="0" fontId="223" fillId="0" borderId="0" applyProtection="0">
      <alignment horizontal="left"/>
    </xf>
    <xf numFmtId="0" fontId="223" fillId="0" borderId="0" applyFill="0" applyBorder="0" applyProtection="0">
      <alignment horizontal="left"/>
    </xf>
    <xf numFmtId="0" fontId="224" fillId="0" borderId="0" applyFill="0" applyBorder="0" applyProtection="0">
      <alignment horizontal="left"/>
    </xf>
    <xf numFmtId="1" fontId="225" fillId="0" borderId="0" applyProtection="0">
      <alignment horizontal="right" vertical="center"/>
    </xf>
    <xf numFmtId="49" fontId="226" fillId="0" borderId="33" applyFill="0" applyProtection="0">
      <alignment vertical="center"/>
    </xf>
    <xf numFmtId="14" fontId="7" fillId="0" borderId="0">
      <alignment horizontal="center" wrapText="1"/>
      <protection locked="0"/>
    </xf>
    <xf numFmtId="0" fontId="140" fillId="0" borderId="0">
      <alignment horizontal="right"/>
    </xf>
    <xf numFmtId="0" fontId="7" fillId="0" borderId="0" applyFont="0" applyFill="0" applyBorder="0" applyAlignment="0" applyProtection="0"/>
    <xf numFmtId="165" fontId="140" fillId="0" borderId="0" applyFont="0" applyFill="0" applyBorder="0" applyAlignment="0" applyProtection="0"/>
    <xf numFmtId="0" fontId="116" fillId="0" borderId="0" applyFont="0" applyFill="0" applyBorder="0" applyAlignment="0" applyProtection="0"/>
    <xf numFmtId="0" fontId="116" fillId="0" borderId="0" applyFont="0" applyFill="0" applyBorder="0" applyAlignment="0" applyProtection="0"/>
    <xf numFmtId="256" fontId="41" fillId="0" borderId="0" applyFont="0" applyFill="0" applyBorder="0" applyAlignment="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28"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5" fontId="128" fillId="0" borderId="0" applyFill="0" applyBorder="0" applyAlignment="0" applyProtection="0"/>
    <xf numFmtId="165" fontId="114" fillId="0" borderId="0" applyFill="0" applyBorder="0" applyAlignment="0" applyProtection="0"/>
    <xf numFmtId="165" fontId="114" fillId="0" borderId="0" applyFill="0" applyBorder="0" applyAlignment="0" applyProtection="0"/>
    <xf numFmtId="9" fontId="128" fillId="0" borderId="0" applyFill="0" applyBorder="0" applyAlignment="0" applyProtection="0"/>
    <xf numFmtId="9" fontId="7" fillId="0" borderId="0" applyFont="0" applyFill="0" applyBorder="0" applyAlignment="0" applyProtection="0"/>
    <xf numFmtId="165" fontId="160"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0" fontId="140" fillId="0" borderId="0">
      <alignment horizontal="right"/>
    </xf>
    <xf numFmtId="9" fontId="114" fillId="0" borderId="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5" fontId="128" fillId="0" borderId="0" applyFill="0" applyBorder="0" applyAlignment="0" applyProtection="0"/>
    <xf numFmtId="165" fontId="128" fillId="0" borderId="0" applyFill="0" applyBorder="0" applyAlignment="0" applyProtection="0"/>
    <xf numFmtId="9" fontId="43" fillId="0" borderId="0" applyFont="0" applyFill="0" applyBorder="0" applyAlignment="0" applyProtection="0"/>
    <xf numFmtId="9" fontId="114" fillId="0" borderId="0" applyFont="0" applyFill="0" applyBorder="0" applyAlignment="0" applyProtection="0"/>
    <xf numFmtId="165" fontId="43" fillId="0" borderId="0" applyFont="0" applyFill="0" applyBorder="0" applyAlignment="0" applyProtection="0"/>
    <xf numFmtId="9" fontId="161" fillId="0" borderId="0" applyFont="0" applyFill="0" applyBorder="0" applyAlignment="0" applyProtection="0"/>
    <xf numFmtId="9" fontId="7"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257" fontId="140" fillId="0" borderId="0" applyFont="0" applyFill="0" applyBorder="0" applyProtection="0">
      <alignment horizontal="right"/>
    </xf>
    <xf numFmtId="0" fontId="116" fillId="0" borderId="0" applyFont="0" applyFill="0" applyBorder="0" applyAlignment="0" applyProtection="0"/>
    <xf numFmtId="0" fontId="140" fillId="0" borderId="0"/>
    <xf numFmtId="0" fontId="166" fillId="0" borderId="0"/>
    <xf numFmtId="10" fontId="140" fillId="0" borderId="0"/>
    <xf numFmtId="10" fontId="166" fillId="0" borderId="0">
      <protection locked="0"/>
    </xf>
    <xf numFmtId="258" fontId="140" fillId="0" borderId="0" applyFont="0" applyFill="0" applyBorder="0" applyAlignment="0" applyProtection="0"/>
    <xf numFmtId="0" fontId="112" fillId="0" borderId="0"/>
    <xf numFmtId="195" fontId="140" fillId="0" borderId="0" applyFont="0" applyFill="0" applyBorder="0" applyAlignment="0" applyProtection="0">
      <protection locked="0"/>
    </xf>
    <xf numFmtId="0" fontId="7" fillId="0" borderId="0"/>
    <xf numFmtId="165" fontId="168" fillId="10" borderId="0"/>
    <xf numFmtId="164" fontId="168" fillId="10" borderId="0"/>
    <xf numFmtId="0" fontId="112" fillId="0" borderId="0"/>
    <xf numFmtId="0" fontId="150" fillId="0" borderId="0" applyFill="0" applyBorder="0" applyAlignment="0"/>
    <xf numFmtId="0" fontId="116" fillId="0" borderId="0" applyFill="0" applyBorder="0" applyAlignment="0"/>
    <xf numFmtId="0" fontId="150" fillId="0" borderId="0" applyFill="0" applyBorder="0" applyAlignment="0"/>
    <xf numFmtId="0" fontId="150" fillId="0" borderId="0" applyFill="0" applyBorder="0" applyAlignment="0"/>
    <xf numFmtId="0" fontId="116" fillId="0" borderId="0" applyFill="0" applyBorder="0" applyAlignment="0"/>
    <xf numFmtId="38" fontId="140" fillId="0" borderId="0" applyFont="0" applyFill="0" applyBorder="0" applyAlignment="0" applyProtection="0"/>
    <xf numFmtId="211" fontId="142" fillId="0" borderId="0" applyFont="0" applyFill="0" applyBorder="0" applyAlignment="0" applyProtection="0"/>
    <xf numFmtId="216" fontId="227" fillId="0" borderId="61">
      <alignment horizontal="right"/>
    </xf>
    <xf numFmtId="0" fontId="116" fillId="0" borderId="0">
      <alignment horizontal="right"/>
      <protection locked="0"/>
    </xf>
    <xf numFmtId="0" fontId="228" fillId="0" borderId="0"/>
    <xf numFmtId="37" fontId="37" fillId="97" borderId="0" applyNumberFormat="0" applyFont="0" applyFill="0" applyBorder="0" applyAlignment="0" applyProtection="0"/>
    <xf numFmtId="9" fontId="2" fillId="0" borderId="0" applyFont="0" applyFill="0" applyBorder="0" applyAlignment="0" applyProtection="0"/>
    <xf numFmtId="0" fontId="192" fillId="0" borderId="0"/>
    <xf numFmtId="0" fontId="192" fillId="0" borderId="62">
      <alignment horizontal="right"/>
    </xf>
    <xf numFmtId="0" fontId="229" fillId="140" borderId="2">
      <alignment horizontal="right"/>
    </xf>
    <xf numFmtId="0" fontId="229" fillId="140" borderId="2">
      <alignment horizontal="right"/>
    </xf>
    <xf numFmtId="0" fontId="229" fillId="140" borderId="2">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7" fillId="0" borderId="0" applyNumberFormat="0" applyFont="0" applyFill="0" applyBorder="0" applyAlignment="0" applyProtection="0">
      <alignment horizontal="left"/>
    </xf>
    <xf numFmtId="15" fontId="127" fillId="0" borderId="0" applyFont="0" applyFill="0" applyBorder="0" applyAlignment="0" applyProtection="0"/>
    <xf numFmtId="4" fontId="127" fillId="0" borderId="0" applyFont="0" applyFill="0" applyBorder="0" applyAlignment="0" applyProtection="0"/>
    <xf numFmtId="0" fontId="230" fillId="0" borderId="41">
      <alignment horizontal="center"/>
    </xf>
    <xf numFmtId="3" fontId="127" fillId="0" borderId="0" applyFont="0" applyFill="0" applyBorder="0" applyAlignment="0" applyProtection="0"/>
    <xf numFmtId="0" fontId="127" fillId="141" borderId="0" applyNumberFormat="0" applyFont="0" applyBorder="0" applyAlignment="0" applyProtection="0"/>
    <xf numFmtId="0" fontId="231" fillId="0" borderId="48" applyNumberFormat="0" applyFill="0" applyBorder="0" applyAlignment="0" applyProtection="0">
      <protection hidden="1"/>
    </xf>
    <xf numFmtId="14" fontId="7" fillId="0" borderId="0" applyNumberFormat="0" applyFill="0" applyBorder="0" applyAlignment="0" applyProtection="0">
      <alignment horizontal="left"/>
    </xf>
    <xf numFmtId="0" fontId="130" fillId="0" borderId="0">
      <alignment horizontal="right"/>
    </xf>
    <xf numFmtId="0" fontId="232" fillId="97" borderId="0" applyFont="0" applyFill="0" applyAlignment="0"/>
    <xf numFmtId="0" fontId="111" fillId="0" borderId="0" applyNumberFormat="0" applyFont="0" applyFill="0" applyBorder="0" applyAlignment="0" applyProtection="0">
      <alignment horizontal="left" indent="1"/>
    </xf>
    <xf numFmtId="1" fontId="233" fillId="97" borderId="0" applyNumberFormat="0" applyFont="0" applyFill="0" applyBorder="0" applyAlignment="0" applyProtection="0"/>
    <xf numFmtId="1" fontId="233" fillId="97" borderId="0" applyNumberFormat="0" applyFont="0" applyFill="0" applyBorder="0" applyAlignment="0" applyProtection="0"/>
    <xf numFmtId="1" fontId="233" fillId="97" borderId="0" applyNumberFormat="0" applyFont="0" applyFill="0" applyBorder="0" applyAlignment="0" applyProtection="0"/>
    <xf numFmtId="1" fontId="233" fillId="97" borderId="0" applyNumberFormat="0" applyFont="0" applyFill="0" applyBorder="0" applyAlignment="0" applyProtection="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111" fillId="0" borderId="0">
      <alignment horizontal="center"/>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111" fillId="0" borderId="0">
      <alignment horizontal="center"/>
    </xf>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0"/>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117" fillId="0" borderId="0"/>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0"/>
    <xf numFmtId="0" fontId="234" fillId="0" borderId="0"/>
    <xf numFmtId="0" fontId="234" fillId="0" borderId="0"/>
    <xf numFmtId="0" fontId="234" fillId="0" borderId="0"/>
    <xf numFmtId="0" fontId="234" fillId="0" borderId="0"/>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alignment horizontal="centerContinuous"/>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63">
      <protection locked="0"/>
    </xf>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4" fontId="33" fillId="87" borderId="24" applyNumberFormat="0" applyProtection="0">
      <alignment horizontal="left" vertical="center" indent="1"/>
    </xf>
    <xf numFmtId="0" fontId="59" fillId="111"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33" fillId="124" borderId="37"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113"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7" fillId="127" borderId="24" applyNumberFormat="0" applyProtection="0">
      <alignment horizontal="left" vertical="center" indent="1"/>
    </xf>
    <xf numFmtId="0" fontId="41" fillId="103"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7" fillId="128" borderId="24"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7" fillId="100" borderId="24"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41" fillId="128" borderId="25" applyNumberFormat="0" applyProtection="0">
      <alignment horizontal="left" vertical="top" indent="1"/>
    </xf>
    <xf numFmtId="0" fontId="41" fillId="113" borderId="27" applyNumberFormat="0">
      <protection locked="0"/>
    </xf>
    <xf numFmtId="0" fontId="41" fillId="97" borderId="27" applyNumberFormat="0">
      <protection locked="0"/>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103" borderId="28" applyBorder="0"/>
    <xf numFmtId="0" fontId="60" fillId="55"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33" fillId="111" borderId="24"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89" fillId="111" borderId="24"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61" fillId="103"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4" fontId="33" fillId="111" borderId="24"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4" fontId="41" fillId="112"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7" fillId="126" borderId="24" applyNumberFormat="0" applyProtection="0">
      <alignment horizontal="left" vertical="center" indent="1"/>
    </xf>
    <xf numFmtId="0" fontId="61" fillId="112" borderId="0"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129"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9" fillId="124" borderId="24"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228" fillId="0" borderId="64"/>
    <xf numFmtId="0" fontId="116" fillId="1" borderId="0" applyNumberFormat="0" applyBorder="0" applyAlignment="0" applyProtection="0"/>
    <xf numFmtId="0" fontId="111" fillId="142" borderId="0" applyNumberFormat="0" applyFont="0" applyBorder="0" applyAlignment="0" applyProtection="0"/>
    <xf numFmtId="195" fontId="140" fillId="0" borderId="0" applyFont="0" applyFill="0" applyBorder="0" applyAlignment="0" applyProtection="0"/>
    <xf numFmtId="212" fontId="235" fillId="0" borderId="0" applyFill="0" applyBorder="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0" fontId="146" fillId="0" borderId="33" applyNumberFormat="0" applyFill="0" applyAlignment="0" applyProtection="0"/>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38" fontId="146" fillId="0" borderId="33">
      <alignment horizontal="right"/>
    </xf>
    <xf numFmtId="250" fontId="236" fillId="0" borderId="0" applyNumberFormat="0" applyFill="0" applyBorder="0" applyAlignment="0" applyProtection="0"/>
    <xf numFmtId="250" fontId="114" fillId="143" borderId="0" applyNumberFormat="0" applyFont="0" applyBorder="0" applyAlignment="0" applyProtection="0"/>
    <xf numFmtId="250" fontId="160" fillId="143" borderId="0" applyNumberFormat="0" applyFont="0" applyBorder="0" applyAlignment="0" applyProtection="0"/>
    <xf numFmtId="0" fontId="128" fillId="0" borderId="0" applyFill="0" applyBorder="0" applyProtection="0"/>
    <xf numFmtId="250" fontId="114" fillId="144" borderId="0" applyNumberFormat="0" applyFont="0" applyBorder="0" applyAlignment="0" applyProtection="0"/>
    <xf numFmtId="250" fontId="160" fillId="102" borderId="0" applyNumberFormat="0" applyFont="0" applyBorder="0" applyAlignment="0" applyProtection="0"/>
    <xf numFmtId="250" fontId="114" fillId="144" borderId="0" applyNumberFormat="0" applyFont="0" applyBorder="0" applyAlignment="0" applyProtection="0"/>
    <xf numFmtId="200" fontId="128" fillId="0" borderId="0" applyFill="0" applyBorder="0" applyAlignment="0" applyProtection="0"/>
    <xf numFmtId="250" fontId="237" fillId="0" borderId="0" applyNumberFormat="0" applyAlignment="0" applyProtection="0"/>
    <xf numFmtId="0" fontId="189" fillId="0" borderId="54" applyProtection="0">
      <alignment horizontal="right" wrapText="1"/>
    </xf>
    <xf numFmtId="0" fontId="189" fillId="0" borderId="54" applyProtection="0">
      <alignment horizontal="right" wrapText="1"/>
    </xf>
    <xf numFmtId="0" fontId="189" fillId="0" borderId="0" applyProtection="0">
      <alignment wrapText="1"/>
    </xf>
    <xf numFmtId="0" fontId="189" fillId="0" borderId="0" applyProtection="0">
      <alignment wrapText="1"/>
    </xf>
    <xf numFmtId="0" fontId="189" fillId="0" borderId="0" applyProtection="0">
      <alignment wrapText="1"/>
    </xf>
    <xf numFmtId="250" fontId="238" fillId="0" borderId="65" applyNumberFormat="0" applyFill="0" applyAlignment="0" applyProtection="0"/>
    <xf numFmtId="250" fontId="239" fillId="0" borderId="66" applyNumberFormat="0" applyFill="0" applyAlignment="0" applyProtection="0"/>
    <xf numFmtId="250" fontId="239" fillId="0" borderId="66" applyNumberFormat="0" applyFill="0" applyAlignment="0" applyProtection="0"/>
    <xf numFmtId="0" fontId="27" fillId="0" borderId="0" applyAlignment="0" applyProtection="0"/>
    <xf numFmtId="0" fontId="27" fillId="0" borderId="0" applyAlignment="0" applyProtection="0"/>
    <xf numFmtId="0" fontId="95" fillId="0" borderId="0" applyAlignment="0" applyProtection="0"/>
    <xf numFmtId="250" fontId="238" fillId="0" borderId="67" applyNumberFormat="0" applyFill="0" applyAlignment="0" applyProtection="0"/>
    <xf numFmtId="250" fontId="240" fillId="0" borderId="68" applyNumberFormat="0" applyFill="0" applyAlignment="0" applyProtection="0"/>
    <xf numFmtId="0" fontId="40" fillId="145" borderId="0" applyNumberFormat="0" applyBorder="0" applyAlignment="0" applyProtection="0"/>
    <xf numFmtId="0" fontId="7" fillId="0" borderId="0" applyNumberFormat="0" applyFont="0" applyFill="0" applyBorder="0" applyAlignment="0" applyProtection="0"/>
    <xf numFmtId="0" fontId="40" fillId="146" borderId="0" applyNumberFormat="0" applyBorder="0" applyAlignment="0" applyProtection="0"/>
    <xf numFmtId="0" fontId="40" fillId="146" borderId="0" applyNumberFormat="0" applyBorder="0" applyAlignment="0" applyProtection="0"/>
    <xf numFmtId="3" fontId="7" fillId="0" borderId="0" applyNumberFormat="0" applyFont="0" applyFill="0" applyBorder="0" applyAlignment="0" applyProtection="0"/>
    <xf numFmtId="0" fontId="40" fillId="147" borderId="0" applyNumberFormat="0" applyBorder="0" applyAlignment="0" applyProtection="0"/>
    <xf numFmtId="0" fontId="40" fillId="147" borderId="0" applyNumberFormat="0" applyBorder="0" applyAlignment="0" applyProtection="0"/>
    <xf numFmtId="3" fontId="7" fillId="0" borderId="0" applyNumberFormat="0" applyFont="0" applyFill="0" applyBorder="0" applyAlignment="0" applyProtection="0"/>
    <xf numFmtId="0" fontId="7" fillId="148" borderId="0" applyNumberFormat="0" applyBorder="0" applyAlignment="0" applyProtection="0"/>
    <xf numFmtId="0" fontId="40" fillId="148" borderId="0" applyNumberFormat="0" applyBorder="0" applyAlignment="0" applyProtection="0"/>
    <xf numFmtId="3" fontId="7" fillId="0" borderId="0" applyNumberFormat="0" applyFont="0" applyFill="0" applyBorder="0" applyAlignment="0" applyProtection="0"/>
    <xf numFmtId="3" fontId="40" fillId="149" borderId="0" applyNumberFormat="0" applyBorder="0" applyAlignment="0" applyProtection="0"/>
    <xf numFmtId="3" fontId="40" fillId="149" borderId="0" applyNumberFormat="0" applyBorder="0" applyAlignment="0" applyProtection="0"/>
    <xf numFmtId="3" fontId="7" fillId="0" borderId="0" applyNumberFormat="0" applyFont="0" applyFill="0" applyBorder="0" applyAlignment="0" applyProtection="0"/>
    <xf numFmtId="3" fontId="40" fillId="117" borderId="0" applyNumberFormat="0" applyBorder="0" applyAlignment="0" applyProtection="0"/>
    <xf numFmtId="3" fontId="40" fillId="117" borderId="0" applyNumberFormat="0" applyBorder="0" applyAlignment="0" applyProtection="0"/>
    <xf numFmtId="0" fontId="7" fillId="0" borderId="0" applyFont="0" applyFill="0" applyBorder="0" applyAlignment="0" applyProtection="0"/>
    <xf numFmtId="3" fontId="7" fillId="0" borderId="0" applyFont="0" applyFill="0" applyBorder="0" applyAlignment="0" applyProtection="0"/>
    <xf numFmtId="0" fontId="7" fillId="117" borderId="0" applyNumberFormat="0" applyFont="0" applyBorder="0" applyAlignment="0" applyProtection="0"/>
    <xf numFmtId="4" fontId="7" fillId="0" borderId="0" applyFont="0" applyFill="0" applyBorder="0" applyAlignment="0" applyProtection="0"/>
    <xf numFmtId="0" fontId="35" fillId="0" borderId="0"/>
    <xf numFmtId="0" fontId="41" fillId="130" borderId="0"/>
    <xf numFmtId="0" fontId="38" fillId="0" borderId="0"/>
    <xf numFmtId="0" fontId="7" fillId="0" borderId="0" applyNumberFormat="0" applyFill="0" applyBorder="0" applyAlignment="0" applyProtection="0"/>
    <xf numFmtId="0" fontId="43" fillId="0" borderId="0"/>
    <xf numFmtId="0" fontId="7" fillId="0" borderId="0"/>
    <xf numFmtId="0" fontId="7" fillId="0" borderId="0" applyNumberFormat="0" applyFill="0" applyBorder="0" applyAlignment="0" applyProtection="0"/>
    <xf numFmtId="0" fontId="7" fillId="0" borderId="0"/>
    <xf numFmtId="0" fontId="7" fillId="0" borderId="0"/>
    <xf numFmtId="0" fontId="241" fillId="0" borderId="0"/>
    <xf numFmtId="225" fontId="115" fillId="0" borderId="0">
      <alignment horizontal="right" vertical="center"/>
    </xf>
    <xf numFmtId="37" fontId="115" fillId="60" borderId="42">
      <alignment horizontal="right" vertical="center"/>
    </xf>
    <xf numFmtId="38" fontId="115" fillId="0" borderId="0">
      <alignment horizontal="right" vertical="center"/>
    </xf>
    <xf numFmtId="9" fontId="115" fillId="0" borderId="0">
      <alignment horizontal="right" vertical="center"/>
    </xf>
    <xf numFmtId="0" fontId="115" fillId="0" borderId="0"/>
    <xf numFmtId="0" fontId="117" fillId="0" borderId="0">
      <alignment vertical="center"/>
    </xf>
    <xf numFmtId="218" fontId="7" fillId="0" borderId="0" applyFont="0" applyFill="0" applyBorder="0" applyAlignment="0" applyProtection="0"/>
    <xf numFmtId="0" fontId="9" fillId="0" borderId="0" applyNumberFormat="0" applyFill="0" applyBorder="0" applyAlignment="0" applyProtection="0"/>
    <xf numFmtId="0" fontId="36" fillId="0" borderId="0" applyNumberFormat="0" applyFill="0" applyBorder="0" applyAlignment="0" applyProtection="0"/>
    <xf numFmtId="0" fontId="8" fillId="0" borderId="0" applyNumberFormat="0" applyFill="0" applyBorder="0" applyAlignment="0" applyProtection="0"/>
    <xf numFmtId="0" fontId="39" fillId="150" borderId="0" applyNumberFormat="0" applyBorder="0" applyAlignment="0" applyProtection="0"/>
    <xf numFmtId="0" fontId="242" fillId="0" borderId="0"/>
    <xf numFmtId="170" fontId="7" fillId="0" borderId="0" applyFont="0" applyFill="0" applyBorder="0" applyAlignment="0" applyProtection="0"/>
    <xf numFmtId="2" fontId="7" fillId="0" borderId="0" applyFont="0" applyFill="0" applyBorder="0" applyAlignment="0" applyProtection="0"/>
    <xf numFmtId="204" fontId="7" fillId="0" borderId="0" applyFont="0" applyFill="0" applyBorder="0" applyAlignment="0" applyProtection="0"/>
    <xf numFmtId="0" fontId="243" fillId="0" borderId="0"/>
    <xf numFmtId="0" fontId="23" fillId="0" borderId="0"/>
    <xf numFmtId="0" fontId="175" fillId="0" borderId="0" applyNumberFormat="0" applyFill="0" applyBorder="0" applyAlignment="0" applyProtection="0">
      <alignment horizontal="left"/>
    </xf>
    <xf numFmtId="0" fontId="224" fillId="0" borderId="0"/>
    <xf numFmtId="40" fontId="7" fillId="0" borderId="0" applyBorder="0">
      <alignment horizontal="right"/>
    </xf>
    <xf numFmtId="259" fontId="164" fillId="0" borderId="0"/>
    <xf numFmtId="0" fontId="7" fillId="0" borderId="47" applyNumberFormat="0" applyFill="0" applyBorder="0" applyAlignment="0" applyProtection="0"/>
    <xf numFmtId="0" fontId="7" fillId="0" borderId="47" applyNumberFormat="0" applyFill="0" applyBorder="0" applyAlignment="0" applyProtection="0"/>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244" fillId="0" borderId="33">
      <alignment horizontal="centerContinuous"/>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36" fillId="0" borderId="33">
      <alignment horizontal="centerContinuous"/>
    </xf>
    <xf numFmtId="0" fontId="145" fillId="0" borderId="0" applyFill="0" applyBorder="0" applyProtection="0">
      <alignment horizontal="center" vertical="center"/>
    </xf>
    <xf numFmtId="0" fontId="245" fillId="0" borderId="0" applyBorder="0" applyProtection="0">
      <alignmen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226" fontId="7" fillId="0" borderId="33" applyBorder="0" applyProtection="0">
      <alignment horizontal="right" vertical="center"/>
    </xf>
    <xf numFmtId="0" fontId="246" fillId="151" borderId="0"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246" fillId="150" borderId="33" applyBorder="0" applyProtection="0">
      <alignment horizontal="centerContinuous" vertical="center"/>
    </xf>
    <xf numFmtId="0" fontId="145" fillId="0" borderId="0" applyFill="0" applyBorder="0" applyProtection="0"/>
    <xf numFmtId="0" fontId="247" fillId="0" borderId="0" applyFill="0" applyBorder="0" applyProtection="0">
      <alignment horizontal="left"/>
    </xf>
    <xf numFmtId="0" fontId="248" fillId="0" borderId="0" applyFill="0" applyBorder="0" applyProtection="0">
      <alignment horizontal="left" vertical="top"/>
    </xf>
    <xf numFmtId="0" fontId="175" fillId="0" borderId="0">
      <alignment horizontal="centerContinuous"/>
    </xf>
    <xf numFmtId="0" fontId="154" fillId="0" borderId="0"/>
    <xf numFmtId="0" fontId="41" fillId="0" borderId="0" applyFont="0" applyFill="0" applyBorder="0" applyAlignment="0" applyProtection="0"/>
    <xf numFmtId="49" fontId="33" fillId="0" borderId="0" applyFill="0" applyBorder="0" applyAlignment="0"/>
    <xf numFmtId="0" fontId="33" fillId="0" borderId="0" applyFill="0" applyBorder="0" applyAlignment="0"/>
    <xf numFmtId="0" fontId="33" fillId="0" borderId="0" applyFill="0" applyBorder="0" applyAlignment="0"/>
    <xf numFmtId="0" fontId="7" fillId="0" borderId="0" applyBorder="0" applyProtection="0">
      <alignment horizontal="right"/>
    </xf>
    <xf numFmtId="0" fontId="111" fillId="0" borderId="0" applyNumberFormat="0" applyFill="0" applyBorder="0" applyAlignment="0" applyProtection="0"/>
    <xf numFmtId="0" fontId="35" fillId="0" borderId="0" applyNumberFormat="0" applyFill="0" applyBorder="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64" fillId="0" borderId="0" applyNumberFormat="0" applyFill="0" applyBorder="0" applyAlignment="0" applyProtection="0"/>
    <xf numFmtId="0" fontId="249" fillId="0" borderId="0"/>
    <xf numFmtId="0" fontId="64" fillId="0" borderId="0" applyNumberFormat="0" applyFill="0" applyBorder="0" applyAlignment="0" applyProtection="0"/>
    <xf numFmtId="49" fontId="27" fillId="0" borderId="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116" fillId="0" borderId="0">
      <alignment horizontal="centerContinuous"/>
    </xf>
    <xf numFmtId="195" fontId="250" fillId="0" borderId="69"/>
    <xf numFmtId="0" fontId="116" fillId="0" borderId="0">
      <alignment horizontal="centerContinuous"/>
      <protection locked="0"/>
    </xf>
    <xf numFmtId="0" fontId="116" fillId="0" borderId="0">
      <alignment horizontal="left"/>
    </xf>
    <xf numFmtId="0" fontId="251" fillId="150" borderId="42">
      <alignment vertical="center"/>
    </xf>
    <xf numFmtId="0" fontId="252" fillId="0" borderId="0">
      <alignment horizontal="center"/>
    </xf>
    <xf numFmtId="195" fontId="227" fillId="0" borderId="0" applyNumberFormat="0" applyFill="0" applyBorder="0" applyAlignment="0" applyProtection="0"/>
    <xf numFmtId="0" fontId="129" fillId="52" borderId="48"/>
    <xf numFmtId="0" fontId="253" fillId="0" borderId="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103" fillId="0" borderId="12"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7" fillId="0" borderId="0">
      <alignment horizontal="right"/>
    </xf>
    <xf numFmtId="0" fontId="116" fillId="0" borderId="0" applyBorder="0" applyProtection="0">
      <alignment horizontal="right"/>
    </xf>
    <xf numFmtId="0" fontId="136" fillId="0" borderId="0">
      <alignment horizontal="centerContinuous"/>
    </xf>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37" fontId="41" fillId="87" borderId="0" applyNumberFormat="0" applyBorder="0" applyAlignment="0" applyProtection="0"/>
    <xf numFmtId="37" fontId="41" fillId="0" borderId="0"/>
    <xf numFmtId="3" fontId="198" fillId="0" borderId="70" applyProtection="0"/>
    <xf numFmtId="0" fontId="116" fillId="0" borderId="0" applyNumberFormat="0"/>
    <xf numFmtId="225" fontId="127" fillId="0" borderId="0" applyFont="0" applyFill="0" applyBorder="0" applyAlignment="0" applyProtection="0"/>
    <xf numFmtId="44" fontId="7" fillId="0" borderId="0" applyFont="0" applyFill="0" applyBorder="0" applyAlignment="0" applyProtection="0"/>
    <xf numFmtId="260" fontId="212" fillId="0" borderId="0" applyNumberFormat="0"/>
    <xf numFmtId="0" fontId="67" fillId="0" borderId="0" applyNumberFormat="0" applyFill="0" applyBorder="0" applyAlignment="0" applyProtection="0"/>
    <xf numFmtId="0" fontId="68" fillId="0" borderId="0" applyNumberFormat="0" applyFill="0" applyBorder="0" applyAlignment="0" applyProtection="0"/>
    <xf numFmtId="0" fontId="104" fillId="0" borderId="0" applyNumberFormat="0" applyFill="0" applyBorder="0" applyAlignment="0" applyProtection="0"/>
    <xf numFmtId="0" fontId="68" fillId="0" borderId="0" applyNumberFormat="0" applyFill="0" applyBorder="0" applyAlignment="0" applyProtection="0"/>
    <xf numFmtId="0" fontId="2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111" fillId="0" borderId="0" applyNumberFormat="0" applyFont="0" applyFill="0" applyBorder="0" applyAlignment="0" applyProtection="0"/>
    <xf numFmtId="0" fontId="175" fillId="0" borderId="0" applyNumberFormat="0" applyFont="0" applyFill="0" applyBorder="0" applyAlignment="0" applyProtection="0"/>
    <xf numFmtId="0" fontId="23" fillId="0" borderId="0" applyNumberFormat="0" applyFont="0" applyFill="0" applyBorder="0" applyAlignment="0" applyProtection="0">
      <alignment horizontal="left"/>
    </xf>
    <xf numFmtId="0" fontId="8" fillId="0" borderId="0">
      <alignment horizontal="left"/>
    </xf>
    <xf numFmtId="1" fontId="140" fillId="0" borderId="0" applyFon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0" fontId="7" fillId="0" borderId="47" applyNumberFormat="0" applyFill="0" applyBorder="0" applyAlignment="0" applyProtection="0"/>
    <xf numFmtId="10" fontId="7" fillId="122" borderId="2" applyNumberFormat="0" applyFont="0" applyBorder="0" applyAlignment="0" applyProtection="0">
      <protection locked="0"/>
    </xf>
    <xf numFmtId="10" fontId="7" fillId="122" borderId="2" applyNumberFormat="0" applyFont="0" applyBorder="0" applyAlignment="0" applyProtection="0">
      <protection locked="0"/>
    </xf>
    <xf numFmtId="1" fontId="255" fillId="0" borderId="0">
      <alignment horizontal="right"/>
    </xf>
    <xf numFmtId="249" fontId="113" fillId="0" borderId="0"/>
    <xf numFmtId="261" fontId="35" fillId="0" borderId="0" applyFont="0" applyFill="0" applyBorder="0" applyAlignment="0" applyProtection="0"/>
    <xf numFmtId="0" fontId="111" fillId="0" borderId="0"/>
    <xf numFmtId="195" fontId="35" fillId="0" borderId="0" applyFont="0" applyFill="0" applyBorder="0" applyAlignment="0" applyProtection="0"/>
    <xf numFmtId="195" fontId="35" fillId="0" borderId="0" applyFont="0" applyFill="0" applyBorder="0" applyAlignment="0" applyProtection="0"/>
    <xf numFmtId="0" fontId="7" fillId="0" borderId="0">
      <alignment horizontal="center"/>
    </xf>
    <xf numFmtId="0" fontId="111" fillId="0" borderId="0">
      <protection locked="0"/>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7" fillId="0" borderId="0">
      <alignment horizontal="center"/>
    </xf>
    <xf numFmtId="0" fontId="256" fillId="152" borderId="0" applyNumberFormat="0" applyProtection="0">
      <alignment horizontal="left"/>
    </xf>
    <xf numFmtId="0" fontId="116" fillId="153" borderId="2" applyNumberFormat="0" applyAlignment="0">
      <alignment horizontal="right"/>
    </xf>
    <xf numFmtId="0" fontId="116" fillId="153" borderId="2" applyNumberFormat="0" applyAlignment="0">
      <alignment horizontal="right"/>
    </xf>
    <xf numFmtId="0" fontId="116" fillId="153" borderId="2" applyNumberFormat="0" applyAlignment="0">
      <alignment horizontal="right"/>
    </xf>
    <xf numFmtId="0" fontId="116" fillId="153" borderId="2" applyNumberFormat="0" applyAlignment="0">
      <alignment horizontal="right"/>
    </xf>
    <xf numFmtId="0" fontId="116" fillId="0" borderId="0" applyFont="0" applyFill="0" applyBorder="0" applyAlignment="0" applyProtection="0"/>
    <xf numFmtId="0" fontId="37" fillId="137" borderId="0" applyFont="0" applyFill="0" applyBorder="0" applyAlignment="0" applyProtection="0">
      <alignment horizontal="center"/>
    </xf>
    <xf numFmtId="0" fontId="2" fillId="0" borderId="0"/>
    <xf numFmtId="0" fontId="52" fillId="51" borderId="15" applyNumberFormat="0" applyAlignment="0" applyProtection="0"/>
    <xf numFmtId="0" fontId="52" fillId="51" borderId="15" applyNumberFormat="0" applyAlignment="0" applyProtection="0"/>
    <xf numFmtId="0" fontId="2" fillId="0" borderId="0"/>
    <xf numFmtId="0" fontId="2" fillId="0" borderId="0"/>
    <xf numFmtId="0" fontId="2" fillId="0" borderId="0"/>
    <xf numFmtId="0" fontId="2" fillId="0" borderId="0"/>
    <xf numFmtId="0" fontId="2" fillId="0" borderId="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4" fillId="52" borderId="15"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52" fillId="51" borderId="15" applyNumberForma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7" fillId="85" borderId="23" applyNumberFormat="0" applyFont="0" applyAlignment="0" applyProtection="0"/>
    <xf numFmtId="0" fontId="58" fillId="78" borderId="24" applyNumberFormat="0" applyAlignment="0" applyProtection="0"/>
    <xf numFmtId="0" fontId="58" fillId="78" borderId="24" applyNumberFormat="0" applyAlignment="0" applyProtection="0"/>
    <xf numFmtId="0" fontId="58" fillId="52"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0" fontId="58" fillId="78" borderId="24" applyNumberFormat="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33" fillId="87" borderId="24"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9" fillId="87" borderId="24" applyNumberFormat="0" applyProtection="0">
      <alignment vertical="center"/>
    </xf>
    <xf numFmtId="4" fontId="41" fillId="84"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33" fillId="87" borderId="24" applyNumberFormat="0" applyProtection="0">
      <alignment horizontal="left" vertical="center" indent="1"/>
    </xf>
    <xf numFmtId="4" fontId="41" fillId="87" borderId="16" applyNumberFormat="0" applyProtection="0">
      <alignment horizontal="left" vertical="center"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0" fontId="59" fillId="84" borderId="25" applyNumberFormat="0" applyProtection="0">
      <alignment horizontal="left" vertical="top" indent="1"/>
    </xf>
    <xf numFmtId="4" fontId="33" fillId="87" borderId="24" applyNumberFormat="0" applyProtection="0">
      <alignment horizontal="left" vertical="center" indent="1"/>
    </xf>
    <xf numFmtId="0" fontId="59" fillId="84" borderId="25" applyNumberFormat="0" applyProtection="0">
      <alignment horizontal="left" vertical="top"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33" fillId="116" borderId="24"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33" fillId="117" borderId="24" applyNumberFormat="0" applyProtection="0">
      <alignment horizontal="right" vertical="center"/>
    </xf>
    <xf numFmtId="4" fontId="41" fillId="89" borderId="1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41" fillId="90" borderId="26" applyNumberFormat="0" applyProtection="0">
      <alignment horizontal="right" vertical="center"/>
    </xf>
    <xf numFmtId="4" fontId="33" fillId="118" borderId="24" applyNumberFormat="0" applyProtection="0">
      <alignment horizontal="right" vertical="center"/>
    </xf>
    <xf numFmtId="4" fontId="41" fillId="90" borderId="2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33" fillId="119" borderId="24"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33" fillId="114" borderId="24"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33" fillId="120" borderId="24"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33" fillId="121" borderId="24"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33" fillId="115" borderId="24"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33" fillId="122" borderId="24" applyNumberFormat="0" applyProtection="0">
      <alignment horizontal="right" vertical="center"/>
    </xf>
    <xf numFmtId="4" fontId="41" fillId="93" borderId="16" applyNumberFormat="0" applyProtection="0">
      <alignment horizontal="right" vertical="center"/>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41" fillId="94" borderId="26" applyNumberFormat="0" applyProtection="0">
      <alignment horizontal="left" vertical="center" indent="1"/>
    </xf>
    <xf numFmtId="4" fontId="70" fillId="123" borderId="24" applyNumberFormat="0" applyProtection="0">
      <alignment horizontal="left" vertical="center" indent="1"/>
    </xf>
    <xf numFmtId="4" fontId="41" fillId="94"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7" fillId="55" borderId="26" applyNumberFormat="0" applyProtection="0">
      <alignment horizontal="left" vertical="center" indent="1"/>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7" fillId="126" borderId="24" applyNumberFormat="0" applyProtection="0">
      <alignment horizontal="left" vertical="center" indent="1"/>
    </xf>
    <xf numFmtId="4" fontId="41" fillId="48" borderId="16" applyNumberFormat="0" applyProtection="0">
      <alignment horizontal="right" vertical="center"/>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41" fillId="47" borderId="26" applyNumberFormat="0" applyProtection="0">
      <alignment horizontal="left" vertical="center" indent="1"/>
    </xf>
    <xf numFmtId="4" fontId="33" fillId="124" borderId="24" applyNumberFormat="0" applyProtection="0">
      <alignment horizontal="left" vertical="center" indent="1"/>
    </xf>
    <xf numFmtId="4" fontId="41" fillId="47"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41" fillId="48" borderId="26" applyNumberFormat="0" applyProtection="0">
      <alignment horizontal="left" vertical="center" indent="1"/>
    </xf>
    <xf numFmtId="4" fontId="33" fillId="127" borderId="24" applyNumberFormat="0" applyProtection="0">
      <alignment horizontal="left" vertical="center" indent="1"/>
    </xf>
    <xf numFmtId="4" fontId="41" fillId="48"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7" fillId="127" borderId="24" applyNumberFormat="0" applyProtection="0">
      <alignment horizontal="left" vertical="center" indent="1"/>
    </xf>
    <xf numFmtId="0" fontId="41" fillId="52" borderId="16" applyNumberFormat="0" applyProtection="0">
      <alignment horizontal="left" vertical="center"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41" fillId="55" borderId="25" applyNumberFormat="0" applyProtection="0">
      <alignment horizontal="left" vertical="top" indent="1"/>
    </xf>
    <xf numFmtId="0" fontId="7" fillId="127" borderId="24" applyNumberFormat="0" applyProtection="0">
      <alignment horizontal="left" vertical="center" indent="1"/>
    </xf>
    <xf numFmtId="0" fontId="41" fillId="55" borderId="25" applyNumberFormat="0" applyProtection="0">
      <alignment horizontal="left" vertical="top"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7" fillId="128" borderId="24" applyNumberFormat="0" applyProtection="0">
      <alignment horizontal="left" vertical="center" indent="1"/>
    </xf>
    <xf numFmtId="0" fontId="41" fillId="95" borderId="16" applyNumberFormat="0" applyProtection="0">
      <alignment horizontal="left" vertical="center"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41" fillId="48" borderId="25" applyNumberFormat="0" applyProtection="0">
      <alignment horizontal="left" vertical="top" indent="1"/>
    </xf>
    <xf numFmtId="0" fontId="7" fillId="128" borderId="24"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7" fillId="100" borderId="24" applyNumberFormat="0" applyProtection="0">
      <alignment horizontal="left" vertical="center" indent="1"/>
    </xf>
    <xf numFmtId="0" fontId="41" fillId="96" borderId="16" applyNumberFormat="0" applyProtection="0">
      <alignment horizontal="left" vertical="center"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41" fillId="96" borderId="25" applyNumberFormat="0" applyProtection="0">
      <alignment horizontal="left" vertical="top" indent="1"/>
    </xf>
    <xf numFmtId="0" fontId="7" fillId="100" borderId="24"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7" fillId="126" borderId="24" applyNumberFormat="0" applyProtection="0">
      <alignment horizontal="left" vertical="center" indent="1"/>
    </xf>
    <xf numFmtId="0" fontId="41" fillId="47" borderId="16" applyNumberFormat="0" applyProtection="0">
      <alignment horizontal="left" vertical="center"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41" fillId="47" borderId="25" applyNumberFormat="0" applyProtection="0">
      <alignment horizontal="left" vertical="top" indent="1"/>
    </xf>
    <xf numFmtId="0" fontId="7" fillId="126" borderId="24" applyNumberFormat="0" applyProtection="0">
      <alignment horizontal="left" vertical="center" indent="1"/>
    </xf>
    <xf numFmtId="0" fontId="41" fillId="47" borderId="25" applyNumberFormat="0" applyProtection="0">
      <alignment horizontal="left" vertical="top" indent="1"/>
    </xf>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0" fontId="60" fillId="55" borderId="28" applyBorder="0"/>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61" fillId="85" borderId="25" applyNumberFormat="0" applyProtection="0">
      <alignment vertical="center"/>
    </xf>
    <xf numFmtId="4" fontId="33" fillId="111" borderId="24" applyNumberFormat="0" applyProtection="0">
      <alignment vertical="center"/>
    </xf>
    <xf numFmtId="4" fontId="89" fillId="111" borderId="24" applyNumberFormat="0" applyProtection="0">
      <alignment vertical="center"/>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61" fillId="52" borderId="25" applyNumberFormat="0" applyProtection="0">
      <alignment horizontal="left" vertical="center" indent="1"/>
    </xf>
    <xf numFmtId="4" fontId="33" fillId="111" borderId="24" applyNumberFormat="0" applyProtection="0">
      <alignment horizontal="left" vertical="center" indent="1"/>
    </xf>
    <xf numFmtId="4" fontId="61" fillId="52" borderId="25" applyNumberFormat="0" applyProtection="0">
      <alignment horizontal="left" vertical="center"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0" fontId="61" fillId="85" borderId="25" applyNumberFormat="0" applyProtection="0">
      <alignment horizontal="left" vertical="top" indent="1"/>
    </xf>
    <xf numFmtId="4" fontId="33" fillId="111" borderId="24" applyNumberFormat="0" applyProtection="0">
      <alignment horizontal="left" vertical="center"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33" fillId="124" borderId="24"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9" fillId="124" borderId="24" applyNumberFormat="0" applyProtection="0">
      <alignment horizontal="right" vertical="center"/>
    </xf>
    <xf numFmtId="4" fontId="41" fillId="97"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0" fontId="7" fillId="126" borderId="24" applyNumberFormat="0" applyProtection="0">
      <alignment horizontal="left" vertical="center" indent="1"/>
    </xf>
    <xf numFmtId="4" fontId="41" fillId="88" borderId="16" applyNumberFormat="0" applyProtection="0">
      <alignment horizontal="left" vertical="center"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61" fillId="48" borderId="25" applyNumberFormat="0" applyProtection="0">
      <alignment horizontal="left" vertical="top" indent="1"/>
    </xf>
    <xf numFmtId="0" fontId="7" fillId="126" borderId="24" applyNumberFormat="0" applyProtection="0">
      <alignment horizontal="left" vertical="center" indent="1"/>
    </xf>
    <xf numFmtId="0" fontId="61" fillId="48" borderId="25" applyNumberFormat="0" applyProtection="0">
      <alignment horizontal="left" vertical="top"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2" fillId="98"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9" fillId="124" borderId="24" applyNumberFormat="0" applyProtection="0">
      <alignment horizontal="right" vertical="center"/>
    </xf>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29"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47" fillId="0" borderId="30" applyNumberFormat="0" applyFill="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0" fontId="58" fillId="52" borderId="24" applyNumberFormat="0" applyAlignment="0" applyProtection="0"/>
    <xf numFmtId="4" fontId="41" fillId="88" borderId="16" applyNumberFormat="0" applyProtection="0">
      <alignment horizontal="left" vertical="center" indent="1"/>
    </xf>
    <xf numFmtId="4" fontId="41" fillId="88" borderId="16" applyNumberFormat="0" applyProtection="0">
      <alignment horizontal="left" vertical="center" indent="1"/>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2" fillId="0" borderId="0"/>
    <xf numFmtId="0" fontId="2" fillId="0" borderId="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47"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48"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51" borderId="0" applyNumberFormat="0" applyBorder="0" applyAlignment="0" applyProtection="0"/>
    <xf numFmtId="0" fontId="40" fillId="56" borderId="0" applyNumberFormat="0" applyBorder="0" applyAlignment="0" applyProtection="0"/>
    <xf numFmtId="0" fontId="40" fillId="48"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2" fillId="62" borderId="0" applyNumberFormat="0" applyBorder="0" applyAlignment="0" applyProtection="0"/>
    <xf numFmtId="0" fontId="42" fillId="62"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70" borderId="0" applyNumberFormat="0" applyBorder="0" applyAlignment="0" applyProtection="0"/>
    <xf numFmtId="0" fontId="42" fillId="70" borderId="0" applyNumberFormat="0" applyBorder="0" applyAlignment="0" applyProtection="0"/>
    <xf numFmtId="0" fontId="42" fillId="61" borderId="0" applyNumberFormat="0" applyBorder="0" applyAlignment="0" applyProtection="0"/>
    <xf numFmtId="0" fontId="42" fillId="61"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3" fillId="68" borderId="0" applyNumberFormat="0" applyBorder="0" applyAlignment="0" applyProtection="0"/>
    <xf numFmtId="0" fontId="52" fillId="51" borderId="15"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33" fillId="0" borderId="0" applyFont="0" applyFill="0" applyBorder="0" applyAlignment="0" applyProtection="0"/>
    <xf numFmtId="43" fontId="7" fillId="0" borderId="0" applyFont="0" applyFill="0" applyBorder="0" applyAlignment="0" applyProtection="0"/>
    <xf numFmtId="0" fontId="50" fillId="0" borderId="22" applyNumberFormat="0" applyFill="0" applyAlignment="0" applyProtection="0"/>
    <xf numFmtId="0" fontId="50" fillId="76" borderId="0" applyNumberFormat="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9" fontId="7" fillId="0" borderId="0" applyFont="0" applyFill="0" applyBorder="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2" fillId="0" borderId="0"/>
    <xf numFmtId="0" fontId="2" fillId="0" borderId="0"/>
    <xf numFmtId="0" fontId="2"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64" fillId="0" borderId="0" applyNumberFormat="0" applyFill="0" applyBorder="0" applyAlignment="0" applyProtection="0"/>
    <xf numFmtId="0" fontId="47" fillId="0" borderId="30" applyNumberFormat="0" applyFill="0" applyAlignment="0" applyProtection="0"/>
    <xf numFmtId="0" fontId="68" fillId="0" borderId="0" applyNumberFormat="0" applyFill="0" applyBorder="0" applyAlignment="0" applyProtection="0"/>
    <xf numFmtId="0" fontId="2" fillId="0" borderId="0"/>
    <xf numFmtId="4" fontId="41" fillId="88" borderId="16" applyNumberFormat="0" applyProtection="0">
      <alignment horizontal="left" vertical="center" indent="1"/>
    </xf>
    <xf numFmtId="0" fontId="2" fillId="0" borderId="0"/>
    <xf numFmtId="0" fontId="2" fillId="0" borderId="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45" fillId="78"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0" fontId="51" fillId="76"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41" fillId="75" borderId="16" applyNumberFormat="0" applyFont="0" applyAlignment="0" applyProtection="0"/>
    <xf numFmtId="0" fontId="7" fillId="85" borderId="23" applyNumberFormat="0" applyFont="0" applyAlignment="0" applyProtection="0"/>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111"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41" fillId="84" borderId="16" applyNumberFormat="0" applyProtection="0">
      <alignment vertical="center"/>
    </xf>
    <xf numFmtId="4" fontId="86" fillId="87" borderId="16" applyNumberFormat="0" applyProtection="0">
      <alignment vertical="center"/>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87" borderId="16" applyNumberFormat="0" applyProtection="0">
      <alignment horizontal="left" vertical="center" indent="1"/>
    </xf>
    <xf numFmtId="4" fontId="41" fillId="111"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Border="0" applyProtection="0">
      <alignment horizontal="left" vertical="center" indent="1"/>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6"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89"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57"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1"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92"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53"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49"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93"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48" borderId="16" applyNumberFormat="0" applyProtection="0">
      <alignment horizontal="right" vertical="center"/>
    </xf>
    <xf numFmtId="4" fontId="41" fillId="113" borderId="26" applyNumberFormat="0" applyProtection="0">
      <alignment horizontal="left" vertical="center" indent="1"/>
    </xf>
    <xf numFmtId="4" fontId="41" fillId="113" borderId="2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52" borderId="16" applyNumberFormat="0" applyProtection="0">
      <alignment horizontal="left" vertical="center" indent="1"/>
    </xf>
    <xf numFmtId="0" fontId="41" fillId="103"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5"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96"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0" fontId="41" fillId="47" borderId="16" applyNumberFormat="0" applyProtection="0">
      <alignment horizontal="left" vertical="center" indent="1"/>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0"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41" fillId="97" borderId="16" applyNumberFormat="0" applyProtection="0">
      <alignment horizontal="right" vertical="center"/>
    </xf>
    <xf numFmtId="4" fontId="86" fillId="101" borderId="16" applyNumberFormat="0" applyProtection="0">
      <alignment horizontal="right" vertical="center"/>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88" borderId="16" applyNumberFormat="0" applyProtection="0">
      <alignment horizontal="left" vertical="center" indent="1"/>
    </xf>
    <xf numFmtId="4" fontId="41" fillId="112" borderId="16" applyNumberFormat="0" applyProtection="0">
      <alignment horizontal="left" vertical="center" indent="1"/>
    </xf>
    <xf numFmtId="4" fontId="62" fillId="129" borderId="26" applyNumberFormat="0" applyProtection="0">
      <alignment horizontal="left" vertical="center" indent="1"/>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4" fontId="63" fillId="97" borderId="16"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7" fillId="0" borderId="0"/>
    <xf numFmtId="0" fontId="7" fillId="0" borderId="0"/>
    <xf numFmtId="173" fontId="7" fillId="156" borderId="0">
      <alignment vertical="top"/>
    </xf>
    <xf numFmtId="0" fontId="3" fillId="0" borderId="0"/>
    <xf numFmtId="0" fontId="2" fillId="0" borderId="0"/>
    <xf numFmtId="41" fontId="7" fillId="156" borderId="0">
      <alignment vertical="top"/>
    </xf>
    <xf numFmtId="173" fontId="7" fillId="13" borderId="0" applyFont="0" applyFill="0" applyBorder="0" applyProtection="0"/>
    <xf numFmtId="0" fontId="7" fillId="0" borderId="0" applyNumberFormat="0" applyFont="0" applyFill="0" applyBorder="0" applyAlignment="0" applyProtection="0"/>
    <xf numFmtId="0" fontId="1"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1" fillId="0" borderId="0"/>
  </cellStyleXfs>
  <cellXfs count="373">
    <xf numFmtId="0" fontId="0" fillId="0" borderId="0" xfId="0">
      <alignment vertical="top"/>
    </xf>
    <xf numFmtId="0" fontId="7" fillId="0" borderId="0" xfId="4" applyAlignment="1">
      <alignment horizontal="left" vertical="top" wrapText="1"/>
    </xf>
    <xf numFmtId="0" fontId="8" fillId="0" borderId="0" xfId="4" applyFont="1">
      <alignment vertical="top"/>
    </xf>
    <xf numFmtId="0" fontId="7" fillId="0" borderId="0" xfId="4">
      <alignment vertical="top"/>
    </xf>
    <xf numFmtId="0" fontId="11" fillId="0" borderId="0" xfId="4" applyFont="1">
      <alignment vertical="top"/>
    </xf>
    <xf numFmtId="0" fontId="12" fillId="0" borderId="0" xfId="4" applyFont="1">
      <alignment vertical="top"/>
    </xf>
    <xf numFmtId="0" fontId="7" fillId="0" borderId="2" xfId="4" applyBorder="1">
      <alignment vertical="top"/>
    </xf>
    <xf numFmtId="49" fontId="10" fillId="5" borderId="1" xfId="5">
      <alignment vertical="top"/>
    </xf>
    <xf numFmtId="49" fontId="8" fillId="21" borderId="1" xfId="6">
      <alignment vertical="top"/>
    </xf>
    <xf numFmtId="0" fontId="7" fillId="0" borderId="2" xfId="4" applyBorder="1" applyAlignment="1">
      <alignment horizontal="left" vertical="top" wrapText="1"/>
    </xf>
    <xf numFmtId="0" fontId="7" fillId="8" borderId="0" xfId="4" applyFill="1">
      <alignment vertical="top"/>
    </xf>
    <xf numFmtId="0" fontId="14" fillId="6" borderId="1" xfId="4" applyFont="1" applyFill="1" applyBorder="1">
      <alignment vertical="top"/>
    </xf>
    <xf numFmtId="0" fontId="10" fillId="5" borderId="1" xfId="5" applyNumberFormat="1">
      <alignment vertical="top"/>
    </xf>
    <xf numFmtId="0" fontId="15" fillId="0" borderId="0" xfId="4" applyFont="1">
      <alignment vertical="top"/>
    </xf>
    <xf numFmtId="0" fontId="7" fillId="16" borderId="0" xfId="4" applyFill="1">
      <alignment vertical="top"/>
    </xf>
    <xf numFmtId="49" fontId="7" fillId="21" borderId="2" xfId="6" applyFont="1" applyBorder="1">
      <alignment vertical="top"/>
    </xf>
    <xf numFmtId="49" fontId="8" fillId="0" borderId="0" xfId="7">
      <alignment vertical="top"/>
    </xf>
    <xf numFmtId="49" fontId="11" fillId="0" borderId="0" xfId="15">
      <alignment vertical="top"/>
    </xf>
    <xf numFmtId="43" fontId="7" fillId="14" borderId="0" xfId="8">
      <alignment vertical="top"/>
    </xf>
    <xf numFmtId="9" fontId="7" fillId="0" borderId="0" xfId="4" applyNumberFormat="1">
      <alignment vertical="top"/>
    </xf>
    <xf numFmtId="43" fontId="7" fillId="11" borderId="0" xfId="10">
      <alignment vertical="top"/>
    </xf>
    <xf numFmtId="43" fontId="7" fillId="7" borderId="2" xfId="11" applyBorder="1">
      <alignment vertical="top"/>
    </xf>
    <xf numFmtId="43" fontId="13" fillId="0" borderId="0" xfId="63" applyFont="1" applyFill="1">
      <alignment vertical="top"/>
    </xf>
    <xf numFmtId="10" fontId="7" fillId="0" borderId="0" xfId="64">
      <alignment vertical="top"/>
    </xf>
    <xf numFmtId="0" fontId="7" fillId="0" borderId="13" xfId="4" applyBorder="1" applyAlignment="1">
      <alignment horizontal="left" vertical="top" wrapText="1"/>
    </xf>
    <xf numFmtId="10" fontId="7" fillId="0" borderId="0" xfId="64" applyFill="1">
      <alignment vertical="top"/>
    </xf>
    <xf numFmtId="10" fontId="7" fillId="0" borderId="0" xfId="4" applyNumberFormat="1">
      <alignment vertical="top"/>
    </xf>
    <xf numFmtId="166" fontId="7" fillId="13" borderId="0" xfId="63" applyNumberFormat="1" applyFill="1">
      <alignment vertical="top"/>
    </xf>
    <xf numFmtId="49" fontId="7" fillId="0" borderId="0" xfId="7" applyFont="1">
      <alignment vertical="top"/>
    </xf>
    <xf numFmtId="49" fontId="22" fillId="0" borderId="2" xfId="61" applyBorder="1" applyAlignment="1">
      <alignment vertical="top" wrapText="1"/>
    </xf>
    <xf numFmtId="10" fontId="7" fillId="13" borderId="0" xfId="64" applyFill="1">
      <alignment vertical="top"/>
    </xf>
    <xf numFmtId="164" fontId="7" fillId="13" borderId="0" xfId="9" applyNumberFormat="1">
      <alignment vertical="top"/>
    </xf>
    <xf numFmtId="166" fontId="7" fillId="15" borderId="0" xfId="63" applyNumberFormat="1" applyFill="1">
      <alignment vertical="top"/>
    </xf>
    <xf numFmtId="49" fontId="8" fillId="21" borderId="3" xfId="6" applyBorder="1">
      <alignment vertical="top"/>
    </xf>
    <xf numFmtId="49" fontId="8" fillId="21" borderId="33" xfId="6" applyBorder="1">
      <alignment vertical="top"/>
    </xf>
    <xf numFmtId="49" fontId="8" fillId="21" borderId="33" xfId="6" applyBorder="1" applyAlignment="1">
      <alignment horizontal="left" vertical="top"/>
    </xf>
    <xf numFmtId="49" fontId="8" fillId="21" borderId="0" xfId="6" applyBorder="1">
      <alignment vertical="top"/>
    </xf>
    <xf numFmtId="0" fontId="7" fillId="15" borderId="0" xfId="4" applyFill="1">
      <alignment vertical="top"/>
    </xf>
    <xf numFmtId="0" fontId="7" fillId="13" borderId="0" xfId="4" applyFill="1">
      <alignment vertical="top"/>
    </xf>
    <xf numFmtId="49" fontId="8" fillId="21" borderId="33" xfId="6" applyBorder="1" applyAlignment="1"/>
    <xf numFmtId="49" fontId="8" fillId="21" borderId="33" xfId="6" applyBorder="1" applyAlignment="1">
      <alignment horizontal="center"/>
    </xf>
    <xf numFmtId="49" fontId="8" fillId="21" borderId="33" xfId="6" applyBorder="1" applyAlignment="1">
      <alignment horizontal="left"/>
    </xf>
    <xf numFmtId="164" fontId="7" fillId="15" borderId="0" xfId="63" applyNumberFormat="1" applyFill="1">
      <alignment vertical="top"/>
    </xf>
    <xf numFmtId="164" fontId="7" fillId="13" borderId="0" xfId="63" applyNumberFormat="1" applyFill="1">
      <alignment vertical="top"/>
    </xf>
    <xf numFmtId="164" fontId="32" fillId="8" borderId="0" xfId="63" applyNumberFormat="1" applyFont="1" applyFill="1">
      <alignment vertical="top"/>
    </xf>
    <xf numFmtId="0" fontId="8" fillId="21" borderId="33" xfId="6" applyNumberFormat="1" applyBorder="1" applyAlignment="1"/>
    <xf numFmtId="0" fontId="8" fillId="21" borderId="1" xfId="6" applyNumberFormat="1">
      <alignment vertical="top"/>
    </xf>
    <xf numFmtId="164" fontId="7" fillId="13" borderId="0" xfId="4" applyNumberFormat="1" applyFill="1">
      <alignment vertical="top"/>
    </xf>
    <xf numFmtId="49" fontId="8" fillId="0" borderId="0" xfId="6" applyFill="1" applyBorder="1" applyAlignment="1"/>
    <xf numFmtId="49" fontId="8" fillId="0" borderId="0" xfId="6" applyFill="1" applyBorder="1" applyAlignment="1">
      <alignment horizontal="center"/>
    </xf>
    <xf numFmtId="49" fontId="8" fillId="0" borderId="0" xfId="6" applyFill="1" applyBorder="1" applyAlignment="1">
      <alignment horizontal="left"/>
    </xf>
    <xf numFmtId="164" fontId="7" fillId="14" borderId="0" xfId="63" applyNumberFormat="1" applyFill="1">
      <alignment vertical="top"/>
    </xf>
    <xf numFmtId="164" fontId="7" fillId="15" borderId="0" xfId="4" applyNumberFormat="1" applyFill="1">
      <alignment vertical="top"/>
    </xf>
    <xf numFmtId="0" fontId="8" fillId="21" borderId="1" xfId="6" applyNumberFormat="1" applyAlignment="1">
      <alignment horizontal="right" vertical="top"/>
    </xf>
    <xf numFmtId="262" fontId="7" fillId="15" borderId="0" xfId="4" applyNumberFormat="1" applyFill="1">
      <alignment vertical="top"/>
    </xf>
    <xf numFmtId="10" fontId="7" fillId="15" borderId="0" xfId="4" applyNumberFormat="1" applyFill="1">
      <alignment vertical="top"/>
    </xf>
    <xf numFmtId="166" fontId="7" fillId="14" borderId="0" xfId="63" applyNumberFormat="1" applyFill="1">
      <alignment vertical="top"/>
    </xf>
    <xf numFmtId="0" fontId="7" fillId="0" borderId="2" xfId="12" applyNumberFormat="1" applyFill="1" applyBorder="1">
      <alignment vertical="top"/>
    </xf>
    <xf numFmtId="0" fontId="7" fillId="0" borderId="0" xfId="50031"/>
    <xf numFmtId="0" fontId="161" fillId="154" borderId="0" xfId="0" applyFont="1" applyFill="1">
      <alignment vertical="top"/>
    </xf>
    <xf numFmtId="0" fontId="33" fillId="154" borderId="71" xfId="0" applyFont="1" applyFill="1" applyBorder="1">
      <alignment vertical="top"/>
    </xf>
    <xf numFmtId="0" fontId="33" fillId="154" borderId="72" xfId="0" applyFont="1" applyFill="1" applyBorder="1">
      <alignment vertical="top"/>
    </xf>
    <xf numFmtId="0" fontId="33" fillId="154" borderId="73" xfId="0" applyFont="1" applyFill="1" applyBorder="1">
      <alignment vertical="top"/>
    </xf>
    <xf numFmtId="0" fontId="33" fillId="154" borderId="0" xfId="0" applyFont="1" applyFill="1">
      <alignment vertical="top"/>
    </xf>
    <xf numFmtId="0" fontId="33" fillId="154" borderId="74" xfId="0" applyFont="1" applyFill="1" applyBorder="1">
      <alignment vertical="top"/>
    </xf>
    <xf numFmtId="0" fontId="33" fillId="7" borderId="0" xfId="0" applyFont="1" applyFill="1" applyAlignment="1">
      <alignment horizontal="center" vertical="top"/>
    </xf>
    <xf numFmtId="0" fontId="33" fillId="154" borderId="75" xfId="0" applyFont="1" applyFill="1" applyBorder="1">
      <alignment vertical="top"/>
    </xf>
    <xf numFmtId="0" fontId="33" fillId="154" borderId="76" xfId="0" applyFont="1" applyFill="1" applyBorder="1">
      <alignment vertical="top"/>
    </xf>
    <xf numFmtId="0" fontId="33" fillId="154" borderId="77" xfId="0" applyFont="1" applyFill="1" applyBorder="1">
      <alignment vertical="top"/>
    </xf>
    <xf numFmtId="0" fontId="33" fillId="154" borderId="78" xfId="0" applyFont="1" applyFill="1" applyBorder="1">
      <alignment vertical="top"/>
    </xf>
    <xf numFmtId="0" fontId="12" fillId="0" borderId="0" xfId="50031" applyFont="1"/>
    <xf numFmtId="0" fontId="33" fillId="14" borderId="0" xfId="0" applyFont="1" applyFill="1" applyAlignment="1">
      <alignment horizontal="center" vertical="top"/>
    </xf>
    <xf numFmtId="0" fontId="257" fillId="13" borderId="0" xfId="0" applyFont="1" applyFill="1" applyAlignment="1">
      <alignment horizontal="center" vertical="top"/>
    </xf>
    <xf numFmtId="0" fontId="33" fillId="0" borderId="0" xfId="0" applyFont="1">
      <alignment vertical="top"/>
    </xf>
    <xf numFmtId="0" fontId="33" fillId="0" borderId="0" xfId="0" applyFont="1" applyAlignment="1">
      <alignment horizontal="center" vertical="top"/>
    </xf>
    <xf numFmtId="0" fontId="70" fillId="0" borderId="0" xfId="0" applyFont="1">
      <alignment vertical="top"/>
    </xf>
    <xf numFmtId="0" fontId="70" fillId="0" borderId="0" xfId="0" applyFont="1" applyAlignment="1">
      <alignment horizontal="center" vertical="top"/>
    </xf>
    <xf numFmtId="10" fontId="7" fillId="15" borderId="0" xfId="64" applyFill="1">
      <alignment vertical="top"/>
    </xf>
    <xf numFmtId="9" fontId="7" fillId="15" borderId="0" xfId="4" applyNumberFormat="1" applyFill="1">
      <alignment vertical="top"/>
    </xf>
    <xf numFmtId="49" fontId="7" fillId="21" borderId="0" xfId="6" applyFont="1" applyBorder="1">
      <alignment vertical="top"/>
    </xf>
    <xf numFmtId="0" fontId="7" fillId="0" borderId="0" xfId="4" applyAlignment="1">
      <alignment vertical="center"/>
    </xf>
    <xf numFmtId="49" fontId="8" fillId="21" borderId="3" xfId="6" applyBorder="1" applyAlignment="1">
      <alignment vertical="center"/>
    </xf>
    <xf numFmtId="49" fontId="8" fillId="21" borderId="0" xfId="6" applyBorder="1" applyAlignment="1">
      <alignment vertical="center"/>
    </xf>
    <xf numFmtId="49" fontId="8" fillId="21" borderId="33" xfId="6" applyBorder="1" applyAlignment="1">
      <alignment vertical="center"/>
    </xf>
    <xf numFmtId="0" fontId="7" fillId="13" borderId="0" xfId="0" applyFont="1" applyFill="1" applyAlignment="1">
      <alignment horizontal="center" vertical="top"/>
    </xf>
    <xf numFmtId="165" fontId="7" fillId="0" borderId="0" xfId="64" applyNumberFormat="1" applyFont="1">
      <alignment vertical="top"/>
    </xf>
    <xf numFmtId="262" fontId="7" fillId="14" borderId="0" xfId="63" applyNumberFormat="1" applyFill="1">
      <alignment vertical="top"/>
    </xf>
    <xf numFmtId="262" fontId="7" fillId="0" borderId="0" xfId="4" applyNumberFormat="1">
      <alignment vertical="top"/>
    </xf>
    <xf numFmtId="164" fontId="7" fillId="0" borderId="0" xfId="4" applyNumberFormat="1">
      <alignment vertical="top"/>
    </xf>
    <xf numFmtId="0" fontId="7" fillId="154" borderId="0" xfId="4" applyFill="1">
      <alignment vertical="top"/>
    </xf>
    <xf numFmtId="49" fontId="22" fillId="0" borderId="13" xfId="61" applyBorder="1" applyAlignment="1">
      <alignment vertical="top" wrapText="1"/>
    </xf>
    <xf numFmtId="43" fontId="7" fillId="0" borderId="2" xfId="12" applyFill="1" applyBorder="1">
      <alignment vertical="top"/>
    </xf>
    <xf numFmtId="0" fontId="7" fillId="7" borderId="0" xfId="4" applyFill="1">
      <alignment vertical="top"/>
    </xf>
    <xf numFmtId="10" fontId="15" fillId="0" borderId="0" xfId="4" applyNumberFormat="1" applyFont="1">
      <alignment vertical="top"/>
    </xf>
    <xf numFmtId="164" fontId="7" fillId="8" borderId="0" xfId="63" applyNumberFormat="1" applyFill="1">
      <alignment vertical="top"/>
    </xf>
    <xf numFmtId="164" fontId="7" fillId="14" borderId="0" xfId="4" applyNumberFormat="1" applyFill="1">
      <alignment vertical="top"/>
    </xf>
    <xf numFmtId="164" fontId="7" fillId="8" borderId="0" xfId="4" applyNumberFormat="1" applyFill="1">
      <alignment vertical="top"/>
    </xf>
    <xf numFmtId="49" fontId="8" fillId="21" borderId="79" xfId="6" applyBorder="1">
      <alignment vertical="top"/>
    </xf>
    <xf numFmtId="49" fontId="8" fillId="21" borderId="14" xfId="6" applyBorder="1">
      <alignment vertical="top"/>
    </xf>
    <xf numFmtId="0" fontId="8" fillId="21" borderId="33" xfId="6" applyNumberFormat="1" applyBorder="1" applyAlignment="1">
      <alignment horizontal="right" vertical="top"/>
    </xf>
    <xf numFmtId="0" fontId="8" fillId="21" borderId="33" xfId="6" applyNumberFormat="1" applyBorder="1">
      <alignment vertical="top"/>
    </xf>
    <xf numFmtId="49" fontId="8" fillId="154" borderId="0" xfId="6" applyFill="1" applyBorder="1">
      <alignment vertical="top"/>
    </xf>
    <xf numFmtId="0" fontId="8" fillId="154" borderId="0" xfId="6" applyNumberFormat="1" applyFill="1" applyBorder="1" applyAlignment="1">
      <alignment horizontal="right" vertical="top"/>
    </xf>
    <xf numFmtId="0" fontId="8" fillId="154" borderId="0" xfId="6" applyNumberFormat="1" applyFill="1" applyBorder="1">
      <alignment vertical="top"/>
    </xf>
    <xf numFmtId="10" fontId="7" fillId="8" borderId="0" xfId="64" applyFill="1">
      <alignment vertical="top"/>
    </xf>
    <xf numFmtId="10" fontId="7" fillId="154" borderId="0" xfId="64" applyFill="1">
      <alignment vertical="top"/>
    </xf>
    <xf numFmtId="0" fontId="8" fillId="154" borderId="0" xfId="4" applyFont="1" applyFill="1">
      <alignment vertical="top"/>
    </xf>
    <xf numFmtId="43" fontId="7" fillId="15" borderId="0" xfId="64" applyNumberFormat="1" applyFill="1">
      <alignment vertical="top"/>
    </xf>
    <xf numFmtId="49" fontId="12" fillId="21" borderId="0" xfId="6" applyFont="1" applyBorder="1">
      <alignment vertical="top"/>
    </xf>
    <xf numFmtId="166" fontId="7" fillId="154" borderId="0" xfId="63" applyNumberFormat="1" applyFill="1">
      <alignment vertical="top"/>
    </xf>
    <xf numFmtId="2" fontId="8" fillId="21" borderId="1" xfId="6" applyNumberFormat="1" applyAlignment="1">
      <alignment horizontal="right" vertical="top"/>
    </xf>
    <xf numFmtId="0" fontId="8" fillId="21" borderId="1" xfId="6" applyNumberFormat="1" applyAlignment="1">
      <alignment horizontal="center" vertical="top"/>
    </xf>
    <xf numFmtId="0" fontId="7" fillId="101" borderId="0" xfId="50032" applyFill="1"/>
    <xf numFmtId="262" fontId="7" fillId="13" borderId="0" xfId="50032" applyNumberFormat="1" applyFill="1"/>
    <xf numFmtId="0" fontId="7" fillId="0" borderId="0" xfId="6" applyNumberFormat="1" applyFont="1" applyFill="1" applyBorder="1" applyAlignment="1">
      <alignment horizontal="center" vertical="top"/>
    </xf>
    <xf numFmtId="1" fontId="7" fillId="155" borderId="0" xfId="4" applyNumberFormat="1" applyFill="1">
      <alignment vertical="top"/>
    </xf>
    <xf numFmtId="262" fontId="7" fillId="13" borderId="0" xfId="4" applyNumberFormat="1" applyFill="1">
      <alignment vertical="top"/>
    </xf>
    <xf numFmtId="262" fontId="7" fillId="8" borderId="0" xfId="4" applyNumberFormat="1" applyFill="1">
      <alignment vertical="top"/>
    </xf>
    <xf numFmtId="0" fontId="7" fillId="0" borderId="0" xfId="4" applyAlignment="1">
      <alignment horizontal="left" vertical="top"/>
    </xf>
    <xf numFmtId="0" fontId="7" fillId="0" borderId="0" xfId="4" applyAlignment="1">
      <alignment vertical="top" wrapText="1"/>
    </xf>
    <xf numFmtId="262" fontId="7" fillId="154" borderId="0" xfId="50032" applyNumberFormat="1" applyFill="1"/>
    <xf numFmtId="0" fontId="0" fillId="154" borderId="0" xfId="0" applyFill="1">
      <alignment vertical="top"/>
    </xf>
    <xf numFmtId="0" fontId="8" fillId="21" borderId="3" xfId="6" applyNumberFormat="1" applyBorder="1" applyAlignment="1">
      <alignment horizontal="center" vertical="top"/>
    </xf>
    <xf numFmtId="0" fontId="0" fillId="0" borderId="3" xfId="0" applyBorder="1">
      <alignment vertical="top"/>
    </xf>
    <xf numFmtId="0" fontId="8" fillId="21" borderId="33" xfId="6" applyNumberFormat="1" applyBorder="1" applyAlignment="1">
      <alignment horizontal="center" vertical="top"/>
    </xf>
    <xf numFmtId="0" fontId="0" fillId="0" borderId="33" xfId="0" applyBorder="1">
      <alignment vertical="top"/>
    </xf>
    <xf numFmtId="0" fontId="0" fillId="13" borderId="0" xfId="0" applyFill="1">
      <alignment vertical="top"/>
    </xf>
    <xf numFmtId="0" fontId="0" fillId="15" borderId="0" xfId="0" applyFill="1">
      <alignment vertical="top"/>
    </xf>
    <xf numFmtId="164" fontId="0" fillId="13" borderId="0" xfId="63" applyNumberFormat="1" applyFont="1" applyFill="1">
      <alignment vertical="top"/>
    </xf>
    <xf numFmtId="43" fontId="0" fillId="8" borderId="0" xfId="63" applyFont="1" applyFill="1">
      <alignment vertical="top"/>
    </xf>
    <xf numFmtId="10" fontId="7" fillId="15" borderId="0" xfId="64" applyFont="1" applyFill="1" applyBorder="1" applyAlignment="1"/>
    <xf numFmtId="0" fontId="7" fillId="156" borderId="0" xfId="4" applyFill="1">
      <alignment vertical="top"/>
    </xf>
    <xf numFmtId="10" fontId="7" fillId="7" borderId="0" xfId="64" applyFill="1">
      <alignment vertical="top"/>
    </xf>
    <xf numFmtId="10" fontId="7" fillId="7" borderId="0" xfId="64" applyFont="1" applyFill="1">
      <alignment vertical="top"/>
    </xf>
    <xf numFmtId="10" fontId="7" fillId="7" borderId="0" xfId="4" applyNumberFormat="1" applyFill="1">
      <alignment vertical="top"/>
    </xf>
    <xf numFmtId="49" fontId="8" fillId="21" borderId="1" xfId="6" applyAlignment="1"/>
    <xf numFmtId="49" fontId="22" fillId="0" borderId="0" xfId="61" applyAlignment="1">
      <alignment vertical="top"/>
    </xf>
    <xf numFmtId="164" fontId="7" fillId="13" borderId="0" xfId="63" applyNumberFormat="1" applyFill="1" applyAlignment="1">
      <alignment vertical="top" wrapText="1"/>
    </xf>
    <xf numFmtId="43" fontId="7" fillId="7" borderId="0" xfId="63" applyFont="1" applyFill="1">
      <alignment vertical="top"/>
    </xf>
    <xf numFmtId="10" fontId="7" fillId="15" borderId="0" xfId="64" applyFont="1" applyFill="1">
      <alignment vertical="top"/>
    </xf>
    <xf numFmtId="49" fontId="22" fillId="0" borderId="0" xfId="61" applyAlignment="1">
      <alignment horizontal="left" vertical="top" wrapText="1"/>
    </xf>
    <xf numFmtId="0" fontId="29" fillId="0" borderId="0" xfId="0" applyFont="1" applyAlignment="1"/>
    <xf numFmtId="9" fontId="7" fillId="7" borderId="0" xfId="4" applyNumberFormat="1" applyFill="1">
      <alignment vertical="top"/>
    </xf>
    <xf numFmtId="0" fontId="15" fillId="154" borderId="0" xfId="4" applyFont="1" applyFill="1">
      <alignment vertical="top"/>
    </xf>
    <xf numFmtId="9" fontId="15" fillId="154" borderId="0" xfId="4" applyNumberFormat="1" applyFont="1" applyFill="1">
      <alignment vertical="top"/>
    </xf>
    <xf numFmtId="0" fontId="0" fillId="0" borderId="0" xfId="0" applyAlignment="1"/>
    <xf numFmtId="164" fontId="7" fillId="7" borderId="0" xfId="63" applyNumberFormat="1" applyFill="1">
      <alignment vertical="top"/>
    </xf>
    <xf numFmtId="0" fontId="7" fillId="0" borderId="0" xfId="0" applyFont="1" applyAlignment="1"/>
    <xf numFmtId="165" fontId="7" fillId="15" borderId="0" xfId="64" applyNumberFormat="1" applyFill="1">
      <alignment vertical="top"/>
    </xf>
    <xf numFmtId="49" fontId="8" fillId="21" borderId="80" xfId="6" applyBorder="1">
      <alignment vertical="top"/>
    </xf>
    <xf numFmtId="10" fontId="3" fillId="15" borderId="0" xfId="64" applyFont="1" applyFill="1">
      <alignment vertical="top"/>
    </xf>
    <xf numFmtId="0" fontId="7" fillId="0" borderId="2" xfId="12" applyNumberFormat="1" applyFill="1" applyBorder="1" applyAlignment="1">
      <alignment horizontal="left" vertical="top"/>
    </xf>
    <xf numFmtId="49" fontId="22" fillId="0" borderId="2" xfId="61" applyBorder="1" applyAlignment="1">
      <alignment vertical="top"/>
    </xf>
    <xf numFmtId="49" fontId="8" fillId="21" borderId="1" xfId="6" applyAlignment="1">
      <alignment vertical="top" wrapText="1"/>
    </xf>
    <xf numFmtId="3" fontId="7" fillId="0" borderId="0" xfId="4" applyNumberFormat="1">
      <alignment vertical="top"/>
    </xf>
    <xf numFmtId="43" fontId="7" fillId="7" borderId="0" xfId="11">
      <alignment vertical="top"/>
    </xf>
    <xf numFmtId="43" fontId="7" fillId="15" borderId="0" xfId="13">
      <alignment vertical="top"/>
    </xf>
    <xf numFmtId="43" fontId="7" fillId="13" borderId="0" xfId="9">
      <alignment vertical="top"/>
    </xf>
    <xf numFmtId="0" fontId="7" fillId="46" borderId="0" xfId="62" applyNumberFormat="1">
      <alignment vertical="top"/>
    </xf>
    <xf numFmtId="1" fontId="7" fillId="0" borderId="0" xfId="4" applyNumberFormat="1">
      <alignment vertical="top"/>
    </xf>
    <xf numFmtId="1" fontId="11" fillId="0" borderId="0" xfId="4" applyNumberFormat="1" applyFont="1">
      <alignment vertical="top"/>
    </xf>
    <xf numFmtId="41" fontId="7" fillId="156" borderId="0" xfId="50036">
      <alignment vertical="top"/>
    </xf>
    <xf numFmtId="0" fontId="13" fillId="0" borderId="0" xfId="4" applyFont="1">
      <alignment vertical="top"/>
    </xf>
    <xf numFmtId="49" fontId="7" fillId="0" borderId="0" xfId="6" applyFont="1" applyFill="1" applyBorder="1">
      <alignment vertical="top"/>
    </xf>
    <xf numFmtId="164" fontId="7" fillId="7" borderId="0" xfId="4" applyNumberFormat="1" applyFill="1">
      <alignment vertical="top"/>
    </xf>
    <xf numFmtId="164" fontId="7" fillId="15" borderId="0" xfId="63" applyNumberFormat="1" applyFont="1" applyFill="1">
      <alignment vertical="top"/>
    </xf>
    <xf numFmtId="164" fontId="3" fillId="11" borderId="0" xfId="63" applyNumberFormat="1" applyFont="1" applyFill="1">
      <alignment vertical="top"/>
    </xf>
    <xf numFmtId="164" fontId="7" fillId="0" borderId="0" xfId="63" applyNumberFormat="1" applyFill="1">
      <alignment vertical="top"/>
    </xf>
    <xf numFmtId="3" fontId="7" fillId="15" borderId="0" xfId="4" applyNumberFormat="1" applyFill="1">
      <alignment vertical="top"/>
    </xf>
    <xf numFmtId="164" fontId="0" fillId="14" borderId="0" xfId="63" applyNumberFormat="1" applyFont="1" applyFill="1">
      <alignment vertical="top"/>
    </xf>
    <xf numFmtId="239" fontId="7" fillId="0" borderId="0" xfId="63" applyNumberFormat="1" applyFill="1">
      <alignment vertical="top"/>
    </xf>
    <xf numFmtId="43" fontId="7" fillId="0" borderId="0" xfId="63" applyFont="1" applyFill="1">
      <alignment vertical="top"/>
    </xf>
    <xf numFmtId="43" fontId="7" fillId="15" borderId="0" xfId="63" applyFont="1" applyFill="1">
      <alignment vertical="top"/>
    </xf>
    <xf numFmtId="9" fontId="7" fillId="15" borderId="0" xfId="64" applyNumberFormat="1" applyFill="1">
      <alignment vertical="top"/>
    </xf>
    <xf numFmtId="164" fontId="7" fillId="11" borderId="0" xfId="63" applyNumberFormat="1" applyFill="1">
      <alignment vertical="top"/>
    </xf>
    <xf numFmtId="1" fontId="7" fillId="15" borderId="0" xfId="4" applyNumberFormat="1" applyFill="1">
      <alignment vertical="top"/>
    </xf>
    <xf numFmtId="49" fontId="8" fillId="0" borderId="0" xfId="15" applyFont="1">
      <alignment vertical="top"/>
    </xf>
    <xf numFmtId="0" fontId="29" fillId="0" borderId="0" xfId="0" applyFont="1">
      <alignment vertical="top"/>
    </xf>
    <xf numFmtId="164" fontId="0" fillId="0" borderId="0" xfId="63" applyNumberFormat="1" applyFont="1" applyFill="1">
      <alignment vertical="top"/>
    </xf>
    <xf numFmtId="43" fontId="0" fillId="0" borderId="0" xfId="63" applyFont="1" applyFill="1">
      <alignment vertical="top"/>
    </xf>
    <xf numFmtId="49" fontId="8" fillId="21" borderId="1" xfId="6" applyAlignment="1">
      <alignment horizontal="center" vertical="top"/>
    </xf>
    <xf numFmtId="43" fontId="7" fillId="0" borderId="0" xfId="63" applyFill="1">
      <alignment vertical="top"/>
    </xf>
    <xf numFmtId="43" fontId="10" fillId="5" borderId="1" xfId="63" applyFont="1" applyFill="1" applyBorder="1">
      <alignment vertical="top"/>
    </xf>
    <xf numFmtId="0" fontId="259" fillId="0" borderId="0" xfId="4" applyFont="1">
      <alignment vertical="top"/>
    </xf>
    <xf numFmtId="0" fontId="8" fillId="21" borderId="3" xfId="6" applyNumberFormat="1" applyBorder="1">
      <alignment vertical="top"/>
    </xf>
    <xf numFmtId="164" fontId="7" fillId="154" borderId="0" xfId="63" applyNumberFormat="1" applyFont="1" applyFill="1">
      <alignment vertical="top"/>
    </xf>
    <xf numFmtId="164" fontId="7" fillId="154" borderId="0" xfId="63" applyNumberFormat="1" applyFill="1">
      <alignment vertical="top"/>
    </xf>
    <xf numFmtId="0" fontId="33" fillId="157" borderId="0" xfId="0" applyFont="1" applyFill="1" applyAlignment="1">
      <alignment horizontal="center" vertical="top"/>
    </xf>
    <xf numFmtId="43" fontId="7" fillId="157" borderId="0" xfId="8" applyFill="1">
      <alignment vertical="top"/>
    </xf>
    <xf numFmtId="43" fontId="7" fillId="157" borderId="0" xfId="11" applyFill="1">
      <alignment vertical="top"/>
    </xf>
    <xf numFmtId="164" fontId="0" fillId="15" borderId="0" xfId="63" applyNumberFormat="1" applyFont="1" applyFill="1">
      <alignment vertical="top"/>
    </xf>
    <xf numFmtId="49" fontId="260" fillId="0" borderId="2" xfId="61" applyFont="1" applyBorder="1" applyAlignment="1">
      <alignment vertical="top" wrapText="1"/>
    </xf>
    <xf numFmtId="49" fontId="8" fillId="21" borderId="3" xfId="6" applyBorder="1" applyAlignment="1">
      <alignment vertical="top" wrapText="1"/>
    </xf>
    <xf numFmtId="262" fontId="7" fillId="0" borderId="0" xfId="4" applyNumberFormat="1" applyAlignment="1">
      <alignment horizontal="center" vertical="center"/>
    </xf>
    <xf numFmtId="262" fontId="7" fillId="0" borderId="0" xfId="63" applyNumberFormat="1" applyFill="1" applyAlignment="1">
      <alignment horizontal="center" vertical="center"/>
    </xf>
    <xf numFmtId="262" fontId="7" fillId="0" borderId="0" xfId="63" applyNumberFormat="1" applyFill="1">
      <alignment vertical="top"/>
    </xf>
    <xf numFmtId="241" fontId="7" fillId="0" borderId="0" xfId="10" applyNumberFormat="1" applyFill="1">
      <alignment vertical="top"/>
    </xf>
    <xf numFmtId="166" fontId="7" fillId="0" borderId="0" xfId="63" applyNumberFormat="1" applyFill="1" applyAlignment="1">
      <alignment horizontal="center" vertical="center"/>
    </xf>
    <xf numFmtId="166" fontId="7" fillId="0" borderId="0" xfId="63" applyNumberFormat="1" applyFill="1" applyAlignment="1">
      <alignment vertical="center"/>
    </xf>
    <xf numFmtId="0" fontId="7" fillId="0" borderId="0" xfId="159" applyAlignment="1">
      <alignment vertical="top"/>
    </xf>
    <xf numFmtId="49" fontId="8" fillId="0" borderId="1" xfId="6" applyFill="1">
      <alignment vertical="top"/>
    </xf>
    <xf numFmtId="0" fontId="7" fillId="7" borderId="0" xfId="203" applyNumberFormat="1" applyFill="1" applyAlignment="1">
      <alignment vertical="top"/>
    </xf>
    <xf numFmtId="164" fontId="7" fillId="7" borderId="0" xfId="203" applyNumberFormat="1" applyFill="1" applyAlignment="1">
      <alignment vertical="top"/>
    </xf>
    <xf numFmtId="164" fontId="7" fillId="11" borderId="0" xfId="203" applyNumberFormat="1" applyFill="1" applyAlignment="1">
      <alignment vertical="top"/>
    </xf>
    <xf numFmtId="43" fontId="7" fillId="0" borderId="0" xfId="11" applyFill="1">
      <alignment vertical="top"/>
    </xf>
    <xf numFmtId="37" fontId="7" fillId="0" borderId="0" xfId="11" applyNumberFormat="1" applyFill="1">
      <alignment vertical="top"/>
    </xf>
    <xf numFmtId="4" fontId="15" fillId="0" borderId="0" xfId="4" applyNumberFormat="1" applyFont="1">
      <alignment vertical="top"/>
    </xf>
    <xf numFmtId="37" fontId="7" fillId="0" borderId="0" xfId="159" applyNumberFormat="1" applyFill="1" applyAlignment="1">
      <alignment vertical="top" wrapText="1"/>
    </xf>
    <xf numFmtId="265" fontId="7" fillId="0" borderId="0" xfId="203" applyNumberFormat="1" applyFill="1" applyAlignment="1">
      <alignment vertical="top"/>
    </xf>
    <xf numFmtId="166" fontId="7" fillId="15" borderId="0" xfId="4" applyNumberFormat="1" applyFill="1">
      <alignment vertical="top"/>
    </xf>
    <xf numFmtId="166" fontId="7" fillId="8" borderId="0" xfId="4" applyNumberFormat="1" applyFill="1">
      <alignment vertical="top"/>
    </xf>
    <xf numFmtId="43" fontId="7" fillId="15" borderId="0" xfId="4" applyNumberFormat="1" applyFill="1">
      <alignment vertical="top"/>
    </xf>
    <xf numFmtId="37" fontId="7" fillId="15" borderId="0" xfId="4" applyNumberFormat="1" applyFill="1">
      <alignment vertical="top"/>
    </xf>
    <xf numFmtId="37" fontId="7" fillId="13" borderId="0" xfId="4" applyNumberFormat="1" applyFill="1">
      <alignment vertical="top"/>
    </xf>
    <xf numFmtId="0" fontId="8" fillId="21" borderId="1" xfId="4" applyFont="1" applyFill="1" applyBorder="1">
      <alignment vertical="top"/>
    </xf>
    <xf numFmtId="1" fontId="8" fillId="21" borderId="1" xfId="4" applyNumberFormat="1" applyFont="1" applyFill="1" applyBorder="1">
      <alignment vertical="top"/>
    </xf>
    <xf numFmtId="0" fontId="29" fillId="21" borderId="1" xfId="159" applyFont="1" applyFill="1" applyBorder="1" applyAlignment="1">
      <alignment vertical="top"/>
    </xf>
    <xf numFmtId="266" fontId="7" fillId="13" borderId="0" xfId="4" applyNumberFormat="1" applyFill="1">
      <alignment vertical="top"/>
    </xf>
    <xf numFmtId="265" fontId="7" fillId="14" borderId="0" xfId="4" applyNumberFormat="1" applyFill="1">
      <alignment vertical="top"/>
    </xf>
    <xf numFmtId="0" fontId="7" fillId="0" borderId="0" xfId="159" applyFill="1" applyAlignment="1">
      <alignment vertical="top"/>
    </xf>
    <xf numFmtId="166" fontId="7" fillId="0" borderId="0" xfId="4" applyNumberFormat="1">
      <alignment vertical="top"/>
    </xf>
    <xf numFmtId="0" fontId="0" fillId="0" borderId="0" xfId="159" applyFont="1" applyFill="1" applyAlignment="1"/>
    <xf numFmtId="165" fontId="7" fillId="0" borderId="0" xfId="210" applyNumberFormat="1" applyFont="1" applyFill="1" applyAlignment="1">
      <alignment vertical="top"/>
    </xf>
    <xf numFmtId="37" fontId="7" fillId="0" borderId="0" xfId="4" applyNumberFormat="1">
      <alignment vertical="top"/>
    </xf>
    <xf numFmtId="1" fontId="8" fillId="0" borderId="0" xfId="4" applyNumberFormat="1" applyFont="1">
      <alignment vertical="top"/>
    </xf>
    <xf numFmtId="266" fontId="7" fillId="0" borderId="0" xfId="4" applyNumberFormat="1">
      <alignment vertical="top"/>
    </xf>
    <xf numFmtId="239" fontId="8" fillId="0" borderId="0" xfId="6" applyNumberFormat="1" applyFill="1" applyBorder="1" applyAlignment="1"/>
    <xf numFmtId="239" fontId="7" fillId="0" borderId="0" xfId="4" applyNumberFormat="1">
      <alignment vertical="top"/>
    </xf>
    <xf numFmtId="239" fontId="7" fillId="8" borderId="0" xfId="63" applyNumberFormat="1" applyFill="1">
      <alignment vertical="top"/>
    </xf>
    <xf numFmtId="10" fontId="7" fillId="15" borderId="0" xfId="210" applyNumberFormat="1" applyFont="1" applyFill="1" applyAlignment="1">
      <alignment vertical="top"/>
    </xf>
    <xf numFmtId="43" fontId="7" fillId="9" borderId="0" xfId="10" applyFill="1">
      <alignment vertical="top"/>
    </xf>
    <xf numFmtId="166" fontId="7" fillId="14" borderId="0" xfId="63" applyNumberFormat="1" applyFill="1" applyAlignment="1">
      <alignment horizontal="right" vertical="center"/>
    </xf>
    <xf numFmtId="262" fontId="7" fillId="14" borderId="0" xfId="63" applyNumberFormat="1" applyFill="1" applyAlignment="1">
      <alignment vertical="top"/>
    </xf>
    <xf numFmtId="164" fontId="32" fillId="8" borderId="0" xfId="63" applyNumberFormat="1" applyFont="1" applyFill="1" applyAlignment="1">
      <alignment horizontal="right" vertical="top"/>
    </xf>
    <xf numFmtId="0" fontId="7" fillId="0" borderId="0" xfId="4" applyAlignment="1">
      <alignment horizontal="right" vertical="top"/>
    </xf>
    <xf numFmtId="0" fontId="7" fillId="0" borderId="0" xfId="4" applyAlignment="1">
      <alignment horizontal="right" vertical="center"/>
    </xf>
    <xf numFmtId="49" fontId="8" fillId="21" borderId="80" xfId="6" applyBorder="1" applyAlignment="1"/>
    <xf numFmtId="1" fontId="7" fillId="7" borderId="0" xfId="63" applyNumberFormat="1" applyFill="1">
      <alignment vertical="top"/>
    </xf>
    <xf numFmtId="10" fontId="7" fillId="0" borderId="0" xfId="64" applyFont="1">
      <alignment vertical="top"/>
    </xf>
    <xf numFmtId="166" fontId="7" fillId="8" borderId="0" xfId="63" applyNumberFormat="1" applyFill="1">
      <alignment vertical="top"/>
    </xf>
    <xf numFmtId="0" fontId="7" fillId="21" borderId="1" xfId="4" applyFill="1" applyBorder="1">
      <alignment vertical="top"/>
    </xf>
    <xf numFmtId="49" fontId="8" fillId="0" borderId="0" xfId="6" applyFill="1" applyBorder="1">
      <alignment vertical="top"/>
    </xf>
    <xf numFmtId="265" fontId="7" fillId="15" borderId="0" xfId="63" applyNumberFormat="1" applyFill="1">
      <alignment vertical="top"/>
    </xf>
    <xf numFmtId="43" fontId="7" fillId="8" borderId="0" xfId="4" applyNumberFormat="1" applyFill="1">
      <alignment vertical="top"/>
    </xf>
    <xf numFmtId="265" fontId="7" fillId="156" borderId="0" xfId="63" applyNumberFormat="1" applyFill="1">
      <alignment vertical="top"/>
    </xf>
    <xf numFmtId="9" fontId="7" fillId="156" borderId="0" xfId="4" applyNumberFormat="1" applyFill="1">
      <alignment vertical="top"/>
    </xf>
    <xf numFmtId="10" fontId="3" fillId="7" borderId="0" xfId="64" applyFont="1" applyFill="1">
      <alignment vertical="top"/>
    </xf>
    <xf numFmtId="10" fontId="3" fillId="15" borderId="0" xfId="4" applyNumberFormat="1" applyFont="1" applyFill="1">
      <alignment vertical="top"/>
    </xf>
    <xf numFmtId="164" fontId="7" fillId="7" borderId="0" xfId="11" applyNumberFormat="1">
      <alignment vertical="top"/>
    </xf>
    <xf numFmtId="0" fontId="29" fillId="21" borderId="33" xfId="0" applyFont="1" applyFill="1" applyBorder="1">
      <alignment vertical="top"/>
    </xf>
    <xf numFmtId="164" fontId="7" fillId="15" borderId="0" xfId="63" quotePrefix="1" applyNumberFormat="1" applyFill="1">
      <alignment vertical="top"/>
    </xf>
    <xf numFmtId="213" fontId="7" fillId="0" borderId="0" xfId="4" applyNumberFormat="1">
      <alignment vertical="top"/>
    </xf>
    <xf numFmtId="267" fontId="7" fillId="0" borderId="0" xfId="4" applyNumberFormat="1">
      <alignment vertical="top"/>
    </xf>
    <xf numFmtId="268" fontId="7" fillId="0" borderId="0" xfId="4" applyNumberFormat="1">
      <alignment vertical="top"/>
    </xf>
    <xf numFmtId="269" fontId="7" fillId="11" borderId="0" xfId="10" applyNumberFormat="1">
      <alignment vertical="top"/>
    </xf>
    <xf numFmtId="269" fontId="7" fillId="0" borderId="0" xfId="4" applyNumberFormat="1">
      <alignment vertical="top"/>
    </xf>
    <xf numFmtId="269" fontId="8" fillId="21" borderId="3" xfId="6" applyNumberFormat="1" applyBorder="1">
      <alignment vertical="top"/>
    </xf>
    <xf numFmtId="269" fontId="8" fillId="21" borderId="0" xfId="6" applyNumberFormat="1" applyBorder="1">
      <alignment vertical="top"/>
    </xf>
    <xf numFmtId="269" fontId="8" fillId="21" borderId="33" xfId="6" applyNumberFormat="1" applyBorder="1">
      <alignment vertical="top"/>
    </xf>
    <xf numFmtId="213" fontId="7" fillId="11" borderId="0" xfId="10" applyNumberFormat="1">
      <alignment vertical="top"/>
    </xf>
    <xf numFmtId="213" fontId="8" fillId="21" borderId="3" xfId="6" applyNumberFormat="1" applyBorder="1">
      <alignment vertical="top"/>
    </xf>
    <xf numFmtId="213" fontId="8" fillId="21" borderId="0" xfId="6" applyNumberFormat="1" applyBorder="1">
      <alignment vertical="top"/>
    </xf>
    <xf numFmtId="213" fontId="8" fillId="21" borderId="33" xfId="6" applyNumberFormat="1" applyBorder="1">
      <alignment vertical="top"/>
    </xf>
    <xf numFmtId="269" fontId="7" fillId="14" borderId="0" xfId="63" applyNumberFormat="1" applyFill="1" applyAlignment="1">
      <alignment horizontal="right" vertical="center"/>
    </xf>
    <xf numFmtId="269" fontId="7" fillId="0" borderId="0" xfId="4" applyNumberFormat="1" applyAlignment="1">
      <alignment vertical="center"/>
    </xf>
    <xf numFmtId="269" fontId="8" fillId="21" borderId="3" xfId="6" applyNumberFormat="1" applyBorder="1" applyAlignment="1">
      <alignment vertical="center"/>
    </xf>
    <xf numFmtId="269" fontId="8" fillId="21" borderId="0" xfId="6" applyNumberFormat="1" applyBorder="1" applyAlignment="1">
      <alignment vertical="center"/>
    </xf>
    <xf numFmtId="269" fontId="8" fillId="21" borderId="33" xfId="6" applyNumberFormat="1" applyBorder="1" applyAlignment="1">
      <alignment vertical="center"/>
    </xf>
    <xf numFmtId="269" fontId="7" fillId="0" borderId="0" xfId="63" applyNumberFormat="1" applyFill="1" applyAlignment="1">
      <alignment vertical="center"/>
    </xf>
    <xf numFmtId="269" fontId="7" fillId="14" borderId="0" xfId="63" applyNumberFormat="1" applyFill="1">
      <alignment vertical="top"/>
    </xf>
    <xf numFmtId="269" fontId="32" fillId="8" borderId="0" xfId="63" applyNumberFormat="1" applyFont="1" applyFill="1" applyAlignment="1">
      <alignment horizontal="right" vertical="top"/>
    </xf>
    <xf numFmtId="270" fontId="7" fillId="0" borderId="0" xfId="4" applyNumberFormat="1" applyAlignment="1">
      <alignment vertical="center"/>
    </xf>
    <xf numFmtId="270" fontId="8" fillId="21" borderId="3" xfId="6" applyNumberFormat="1" applyBorder="1" applyAlignment="1">
      <alignment vertical="center"/>
    </xf>
    <xf numFmtId="270" fontId="8" fillId="21" borderId="0" xfId="6" applyNumberFormat="1" applyBorder="1" applyAlignment="1">
      <alignment vertical="center"/>
    </xf>
    <xf numFmtId="270" fontId="8" fillId="21" borderId="33" xfId="6" applyNumberFormat="1" applyBorder="1" applyAlignment="1">
      <alignment vertical="center"/>
    </xf>
    <xf numFmtId="270" fontId="7" fillId="0" borderId="0" xfId="63" applyNumberFormat="1" applyFill="1" applyAlignment="1">
      <alignment vertical="center"/>
    </xf>
    <xf numFmtId="270" fontId="8" fillId="21" borderId="3" xfId="6" applyNumberFormat="1" applyBorder="1">
      <alignment vertical="top"/>
    </xf>
    <xf numFmtId="270" fontId="8" fillId="21" borderId="0" xfId="6" applyNumberFormat="1" applyBorder="1">
      <alignment vertical="top"/>
    </xf>
    <xf numFmtId="270" fontId="8" fillId="21" borderId="33" xfId="6" applyNumberFormat="1" applyBorder="1">
      <alignment vertical="top"/>
    </xf>
    <xf numFmtId="270" fontId="7" fillId="0" borderId="0" xfId="4" applyNumberFormat="1">
      <alignment vertical="top"/>
    </xf>
    <xf numFmtId="270" fontId="32" fillId="8" borderId="0" xfId="63" applyNumberFormat="1" applyFont="1" applyFill="1" applyAlignment="1">
      <alignment horizontal="right" vertical="top"/>
    </xf>
    <xf numFmtId="164" fontId="7" fillId="156" borderId="0" xfId="63" applyNumberFormat="1" applyFill="1">
      <alignment vertical="top"/>
    </xf>
    <xf numFmtId="3" fontId="7" fillId="7" borderId="0" xfId="4" applyNumberFormat="1" applyFill="1">
      <alignment vertical="top"/>
    </xf>
    <xf numFmtId="239" fontId="7" fillId="14" borderId="0" xfId="63" applyNumberFormat="1" applyFill="1">
      <alignment vertical="top"/>
    </xf>
    <xf numFmtId="213" fontId="7" fillId="0" borderId="0" xfId="10" applyNumberFormat="1" applyFill="1">
      <alignment vertical="top"/>
    </xf>
    <xf numFmtId="262" fontId="7" fillId="14" borderId="0" xfId="10" applyNumberFormat="1" applyFill="1">
      <alignment vertical="top"/>
    </xf>
    <xf numFmtId="164" fontId="32" fillId="0" borderId="0" xfId="63" applyNumberFormat="1" applyFont="1" applyFill="1">
      <alignment vertical="top"/>
    </xf>
    <xf numFmtId="166" fontId="7" fillId="0" borderId="0" xfId="63" applyNumberFormat="1" applyFill="1">
      <alignment vertical="top"/>
    </xf>
    <xf numFmtId="164" fontId="0" fillId="8" borderId="0" xfId="63" applyNumberFormat="1" applyFont="1" applyFill="1">
      <alignment vertical="top"/>
    </xf>
    <xf numFmtId="164" fontId="7" fillId="8" borderId="0" xfId="63" applyNumberFormat="1" applyFont="1" applyFill="1">
      <alignment vertical="top"/>
    </xf>
    <xf numFmtId="0" fontId="7" fillId="11" borderId="0" xfId="4" applyFill="1">
      <alignment vertical="top"/>
    </xf>
    <xf numFmtId="271" fontId="7" fillId="7" borderId="0" xfId="8" applyNumberFormat="1" applyFill="1">
      <alignment vertical="top"/>
    </xf>
    <xf numFmtId="49" fontId="11" fillId="0" borderId="0" xfId="61" applyFont="1" applyBorder="1" applyAlignment="1">
      <alignment vertical="top" wrapText="1"/>
    </xf>
    <xf numFmtId="0" fontId="261" fillId="0" borderId="0" xfId="0" applyFont="1">
      <alignment vertical="top"/>
    </xf>
    <xf numFmtId="49" fontId="7" fillId="0" borderId="2" xfId="61" applyFont="1" applyFill="1" applyBorder="1" applyAlignment="1">
      <alignment vertical="top" wrapText="1"/>
    </xf>
    <xf numFmtId="43" fontId="7" fillId="8" borderId="0" xfId="63" applyFill="1">
      <alignment vertical="top"/>
    </xf>
    <xf numFmtId="264" fontId="7" fillId="8" borderId="0" xfId="63" applyNumberFormat="1" applyFill="1">
      <alignment vertical="top"/>
    </xf>
    <xf numFmtId="43" fontId="13" fillId="8" borderId="0" xfId="63" applyFont="1" applyFill="1">
      <alignment vertical="top"/>
    </xf>
    <xf numFmtId="0" fontId="15" fillId="156" borderId="0" xfId="4" applyFont="1" applyFill="1">
      <alignment vertical="top"/>
    </xf>
    <xf numFmtId="164" fontId="7" fillId="156" borderId="0" xfId="4" applyNumberFormat="1" applyFill="1">
      <alignment vertical="top"/>
    </xf>
    <xf numFmtId="49" fontId="8" fillId="21" borderId="1" xfId="6" applyAlignment="1">
      <alignment horizontal="right" vertical="top"/>
    </xf>
    <xf numFmtId="164" fontId="3" fillId="15" borderId="0" xfId="63" applyNumberFormat="1" applyFont="1" applyFill="1">
      <alignment vertical="top"/>
    </xf>
    <xf numFmtId="3" fontId="7" fillId="13" borderId="0" xfId="4" applyNumberFormat="1" applyFill="1">
      <alignment vertical="top"/>
    </xf>
    <xf numFmtId="3" fontId="7" fillId="8" borderId="0" xfId="4" applyNumberFormat="1" applyFill="1">
      <alignment vertical="top"/>
    </xf>
    <xf numFmtId="3" fontId="7" fillId="8" borderId="0" xfId="63" applyNumberFormat="1" applyFill="1">
      <alignment vertical="top"/>
    </xf>
    <xf numFmtId="3" fontId="7" fillId="14" borderId="0" xfId="4" applyNumberFormat="1" applyFill="1">
      <alignment vertical="top"/>
    </xf>
    <xf numFmtId="262" fontId="7" fillId="7" borderId="0" xfId="4" applyNumberFormat="1" applyFill="1">
      <alignment vertical="top"/>
    </xf>
    <xf numFmtId="3" fontId="7" fillId="7" borderId="0" xfId="63" applyNumberFormat="1" applyFill="1">
      <alignment vertical="top"/>
    </xf>
    <xf numFmtId="0" fontId="8" fillId="11" borderId="0" xfId="4" applyFont="1" applyFill="1">
      <alignment vertical="top"/>
    </xf>
    <xf numFmtId="0" fontId="161" fillId="0" borderId="0" xfId="0" applyFont="1">
      <alignment vertical="top"/>
    </xf>
    <xf numFmtId="0" fontId="8" fillId="0" borderId="0" xfId="6" applyNumberFormat="1" applyFill="1" applyBorder="1" applyAlignment="1"/>
    <xf numFmtId="49" fontId="23" fillId="21" borderId="3" xfId="6" applyFont="1" applyBorder="1">
      <alignment vertical="top"/>
    </xf>
    <xf numFmtId="49" fontId="23" fillId="21" borderId="33" xfId="6" applyFont="1" applyBorder="1">
      <alignment vertical="top"/>
    </xf>
    <xf numFmtId="0" fontId="23" fillId="21" borderId="33" xfId="6" applyNumberFormat="1" applyFont="1" applyBorder="1">
      <alignment vertical="top"/>
    </xf>
    <xf numFmtId="0" fontId="11" fillId="154" borderId="0" xfId="4" applyFont="1" applyFill="1">
      <alignment vertical="top"/>
    </xf>
    <xf numFmtId="164" fontId="11" fillId="154" borderId="0" xfId="63" applyNumberFormat="1" applyFont="1" applyFill="1">
      <alignment vertical="top"/>
    </xf>
    <xf numFmtId="164" fontId="11" fillId="0" borderId="0" xfId="4" applyNumberFormat="1" applyFont="1">
      <alignment vertical="top"/>
    </xf>
    <xf numFmtId="49" fontId="23" fillId="21" borderId="79" xfId="6" applyFont="1" applyBorder="1">
      <alignment vertical="top"/>
    </xf>
    <xf numFmtId="49" fontId="23" fillId="21" borderId="14" xfId="6" applyFont="1" applyBorder="1">
      <alignment vertical="top"/>
    </xf>
    <xf numFmtId="10" fontId="7" fillId="11" borderId="0" xfId="64" applyFill="1">
      <alignment vertical="top"/>
    </xf>
    <xf numFmtId="164" fontId="7" fillId="14" borderId="0" xfId="63" applyNumberFormat="1" applyFont="1" applyFill="1">
      <alignment vertical="top"/>
    </xf>
    <xf numFmtId="43" fontId="7" fillId="0" borderId="0" xfId="4" applyNumberFormat="1">
      <alignment vertical="top"/>
    </xf>
    <xf numFmtId="164" fontId="7" fillId="7" borderId="0" xfId="63" applyNumberFormat="1" applyFont="1" applyFill="1">
      <alignment vertical="top"/>
    </xf>
    <xf numFmtId="164" fontId="0" fillId="0" borderId="0" xfId="0" applyNumberFormat="1">
      <alignment vertical="top"/>
    </xf>
    <xf numFmtId="0" fontId="0" fillId="157" borderId="0" xfId="0" applyFill="1">
      <alignment vertical="top"/>
    </xf>
    <xf numFmtId="3" fontId="0" fillId="157" borderId="0" xfId="0" applyNumberFormat="1" applyFill="1">
      <alignment vertical="top"/>
    </xf>
    <xf numFmtId="164" fontId="0" fillId="157" borderId="0" xfId="63" applyNumberFormat="1" applyFont="1" applyFill="1" applyAlignment="1">
      <alignment vertical="top"/>
    </xf>
    <xf numFmtId="0" fontId="8" fillId="11" borderId="0" xfId="4" applyFont="1" applyFill="1" applyAlignment="1">
      <alignment vertical="top" wrapText="1"/>
    </xf>
    <xf numFmtId="49" fontId="22" fillId="0" borderId="14" xfId="61" applyBorder="1" applyAlignment="1">
      <alignment vertical="top"/>
    </xf>
    <xf numFmtId="272" fontId="7" fillId="0" borderId="0" xfId="4" applyNumberFormat="1">
      <alignment vertical="top"/>
    </xf>
    <xf numFmtId="269" fontId="7" fillId="14" borderId="0" xfId="63" applyNumberFormat="1" applyFill="1" applyAlignment="1">
      <alignment vertical="top"/>
    </xf>
    <xf numFmtId="49" fontId="8" fillId="154" borderId="0" xfId="6" applyFill="1" applyBorder="1" applyAlignment="1"/>
    <xf numFmtId="239" fontId="7" fillId="154" borderId="0" xfId="4" applyNumberFormat="1" applyFill="1">
      <alignment vertical="top"/>
    </xf>
    <xf numFmtId="0" fontId="0" fillId="0" borderId="2" xfId="0" applyBorder="1">
      <alignment vertical="top"/>
    </xf>
    <xf numFmtId="166" fontId="262" fillId="0" borderId="0" xfId="63" applyNumberFormat="1" applyFont="1" applyFill="1">
      <alignment vertical="top"/>
    </xf>
    <xf numFmtId="164" fontId="8" fillId="21" borderId="1" xfId="63" applyNumberFormat="1" applyFont="1" applyFill="1" applyBorder="1">
      <alignment vertical="top"/>
    </xf>
    <xf numFmtId="164" fontId="7" fillId="0" borderId="0" xfId="64" applyNumberFormat="1">
      <alignment vertical="top"/>
    </xf>
    <xf numFmtId="164" fontId="7" fillId="11" borderId="0" xfId="10" applyNumberFormat="1">
      <alignment vertical="top"/>
    </xf>
    <xf numFmtId="265" fontId="7" fillId="8" borderId="0" xfId="63" applyNumberFormat="1" applyFill="1">
      <alignment vertical="top"/>
    </xf>
    <xf numFmtId="49" fontId="264" fillId="0" borderId="2" xfId="61" applyFont="1" applyBorder="1" applyAlignment="1">
      <alignment vertical="top" wrapText="1"/>
    </xf>
    <xf numFmtId="164" fontId="0" fillId="156" borderId="0" xfId="63" applyNumberFormat="1" applyFont="1" applyFill="1">
      <alignment vertical="top"/>
    </xf>
    <xf numFmtId="0" fontId="7" fillId="156" borderId="0" xfId="63" applyNumberFormat="1" applyFill="1">
      <alignment vertical="top"/>
    </xf>
    <xf numFmtId="0" fontId="12" fillId="0" borderId="0" xfId="0" applyFont="1">
      <alignment vertical="top"/>
    </xf>
    <xf numFmtId="0" fontId="7" fillId="7" borderId="0" xfId="4" applyFill="1" applyAlignment="1">
      <alignment vertical="top" wrapText="1"/>
    </xf>
    <xf numFmtId="49" fontId="8" fillId="21" borderId="1" xfId="6" applyAlignment="1">
      <alignment horizontal="center"/>
    </xf>
    <xf numFmtId="164" fontId="7" fillId="11" borderId="0" xfId="63" applyNumberFormat="1" applyFont="1" applyFill="1">
      <alignment vertical="top"/>
    </xf>
    <xf numFmtId="164" fontId="7" fillId="156" borderId="0" xfId="63" applyNumberFormat="1" applyFont="1" applyFill="1">
      <alignment vertical="top"/>
    </xf>
    <xf numFmtId="0" fontId="0" fillId="156" borderId="0" xfId="0" applyFill="1">
      <alignment vertical="top"/>
    </xf>
    <xf numFmtId="3" fontId="0" fillId="156" borderId="0" xfId="0" applyNumberFormat="1" applyFill="1">
      <alignment vertical="top"/>
    </xf>
    <xf numFmtId="164" fontId="0" fillId="154" borderId="0" xfId="63" applyNumberFormat="1" applyFont="1" applyFill="1">
      <alignment vertical="top"/>
    </xf>
    <xf numFmtId="164" fontId="0" fillId="154" borderId="0" xfId="0" applyNumberFormat="1" applyFill="1">
      <alignment vertical="top"/>
    </xf>
    <xf numFmtId="269" fontId="7" fillId="0" borderId="0" xfId="63" applyNumberFormat="1" applyFill="1">
      <alignment vertical="top"/>
    </xf>
    <xf numFmtId="166" fontId="7" fillId="13" borderId="0" xfId="63" applyNumberFormat="1" applyFont="1" applyFill="1">
      <alignment vertical="top"/>
    </xf>
    <xf numFmtId="43" fontId="8" fillId="0" borderId="0" xfId="63" applyFont="1" applyFill="1" applyBorder="1" applyAlignment="1"/>
    <xf numFmtId="43" fontId="7" fillId="15" borderId="0" xfId="63" applyFill="1">
      <alignment vertical="top"/>
    </xf>
    <xf numFmtId="262" fontId="8" fillId="21" borderId="3" xfId="6" applyNumberFormat="1" applyBorder="1">
      <alignment vertical="top"/>
    </xf>
    <xf numFmtId="262" fontId="8" fillId="21" borderId="0" xfId="6" applyNumberFormat="1" applyBorder="1">
      <alignment vertical="top"/>
    </xf>
    <xf numFmtId="262" fontId="8" fillId="21" borderId="33" xfId="6" applyNumberFormat="1" applyBorder="1">
      <alignment vertical="top"/>
    </xf>
    <xf numFmtId="164" fontId="13" fillId="0" borderId="0" xfId="63" applyNumberFormat="1" applyFont="1" applyFill="1">
      <alignment vertical="top"/>
    </xf>
    <xf numFmtId="0" fontId="7" fillId="0" borderId="0" xfId="4" applyAlignment="1">
      <alignment horizontal="left" vertical="top" wrapText="1"/>
    </xf>
    <xf numFmtId="262" fontId="7" fillId="14" borderId="0" xfId="4" applyNumberFormat="1" applyFill="1" applyAlignment="1">
      <alignment horizontal="right" vertical="center"/>
    </xf>
    <xf numFmtId="262" fontId="7" fillId="14" borderId="0" xfId="63" applyNumberFormat="1" applyFill="1" applyAlignment="1">
      <alignment horizontal="right" vertical="center"/>
    </xf>
    <xf numFmtId="262" fontId="7" fillId="14" borderId="0" xfId="4" applyNumberFormat="1" applyFill="1" applyAlignment="1">
      <alignment vertical="center"/>
    </xf>
    <xf numFmtId="262" fontId="7" fillId="14" borderId="0" xfId="63" applyNumberFormat="1" applyFill="1" applyAlignment="1">
      <alignment vertical="center"/>
    </xf>
    <xf numFmtId="166" fontId="7" fillId="14" borderId="0" xfId="63" applyNumberFormat="1" applyFill="1" applyAlignment="1">
      <alignment horizontal="right" vertical="center"/>
    </xf>
    <xf numFmtId="166" fontId="7" fillId="14" borderId="0" xfId="63" applyNumberFormat="1" applyFill="1" applyAlignment="1">
      <alignment vertical="center"/>
    </xf>
    <xf numFmtId="0" fontId="7" fillId="0" borderId="0" xfId="4" applyAlignment="1">
      <alignment horizontal="left" vertical="top"/>
    </xf>
    <xf numFmtId="0" fontId="11" fillId="0" borderId="0" xfId="4" applyFont="1" applyAlignment="1">
      <alignment horizontal="left" vertical="top" wrapText="1"/>
    </xf>
    <xf numFmtId="14" fontId="7" fillId="0" borderId="0" xfId="4" applyNumberFormat="1" applyAlignment="1">
      <alignment horizontal="left" vertical="top" wrapText="1"/>
    </xf>
    <xf numFmtId="0" fontId="11" fillId="0" borderId="0" xfId="4" applyFont="1" applyAlignment="1">
      <alignment horizontal="left" vertical="top"/>
    </xf>
    <xf numFmtId="262" fontId="7" fillId="14" borderId="0" xfId="4" applyNumberFormat="1" applyFill="1" applyAlignment="1">
      <alignment horizontal="center" vertical="center"/>
    </xf>
    <xf numFmtId="262" fontId="7" fillId="14" borderId="0" xfId="63" applyNumberFormat="1" applyFill="1" applyAlignment="1">
      <alignment horizontal="center" vertical="center"/>
    </xf>
    <xf numFmtId="263" fontId="7" fillId="0" borderId="0" xfId="4" applyNumberFormat="1" applyAlignment="1">
      <alignment horizontal="left" vertical="top" wrapText="1"/>
    </xf>
  </cellXfs>
  <cellStyles count="50043">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_x000d__x000a_JournalTemplate=C:\COMFO\CTALK\JOURSTD.TPL_x000d__x000a_LbStateAddress=3 3 0 251 1 89 2 311_x000d__x000a_LbStateJou_x tennet p5" xfId="50032" xr:uid="{00000000-0005-0000-0000-000037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6" xr:uid="{C603D2CD-DAC9-49A5-A8DA-74145E99A1A7}"/>
    <cellStyle name="Cel Input" xfId="11" xr:uid="{00000000-0005-0000-0000-0000660B0000}"/>
    <cellStyle name="Cel Input Data" xfId="50033"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7"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 6" xfId="50042" xr:uid="{1A90DED0-A519-486D-84E1-9A759E64354A}"/>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4"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12" xfId="50039" xr:uid="{50B8962D-4879-4493-A0E5-1EA3DCC33AA9}"/>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5" xr:uid="{B705E836-8AFF-4720-B451-CE162FBBA804}"/>
    <cellStyle name="Standaard 38" xfId="50038" xr:uid="{180D48B1-8CE3-4A19-9610-3F6EEDF1E398}"/>
    <cellStyle name="Standaard 38 2" xfId="50040" xr:uid="{88293A07-81CB-4F84-BC16-EC0D557EE63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40" xfId="50041" xr:uid="{79BD4EC2-785D-4D9B-974E-F01C62B8989A}"/>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ard_NG-TAR(i)-10-08 Concept" xfId="50031" xr:uid="{00000000-0005-0000-0000-0000B3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40">
    <dxf>
      <fill>
        <patternFill patternType="solid">
          <fgColor indexed="64"/>
          <bgColor rgb="FFCCCCFF"/>
        </patternFill>
      </fill>
    </dxf>
    <dxf>
      <numFmt numFmtId="0" formatCode="General"/>
      <fill>
        <patternFill patternType="solid">
          <fgColor indexed="64"/>
          <bgColor rgb="FFCCCCFF"/>
        </patternFill>
      </fill>
    </dxf>
    <dxf>
      <font>
        <color theme="1"/>
      </font>
      <numFmt numFmtId="164" formatCode="_ * #,##0_ ;_ * \-#,##0_ ;_ * &quot;-&quot;??_ ;_ @_ "/>
      <fill>
        <patternFill patternType="solid">
          <fgColor indexed="64"/>
          <bgColor rgb="FFCCCCFF"/>
        </patternFill>
      </fill>
      <alignment horizontal="general" vertical="top" textRotation="0" wrapText="0" indent="0" justifyLastLine="0" shrinkToFit="0" readingOrder="0"/>
    </dxf>
    <dxf>
      <font>
        <color theme="1"/>
      </font>
      <numFmt numFmtId="164" formatCode="_ * #,##0_ ;_ * \-#,##0_ ;_ * &quot;-&quot;??_ ;_ @_ "/>
      <fill>
        <patternFill patternType="solid">
          <fgColor indexed="64"/>
          <bgColor rgb="FFCCCCFF"/>
        </patternFill>
      </fill>
      <alignment horizontal="general" vertical="top" textRotation="0" wrapText="0" indent="0" justifyLastLine="0" shrinkToFit="0" readingOrder="0"/>
    </dxf>
    <dxf>
      <fill>
        <patternFill patternType="solid">
          <fgColor indexed="64"/>
          <bgColor rgb="FFCCCCFF"/>
        </patternFill>
      </fill>
    </dxf>
    <dxf>
      <numFmt numFmtId="0" formatCode="General"/>
      <fill>
        <patternFill patternType="solid">
          <fgColor indexed="64"/>
          <bgColor rgb="FFCCCCFF"/>
        </patternFill>
      </fill>
    </dxf>
    <dxf>
      <numFmt numFmtId="0" formatCode="General"/>
      <fill>
        <patternFill patternType="solid">
          <fgColor indexed="64"/>
          <bgColor rgb="FFCCCCFF"/>
        </patternFill>
      </fill>
    </dxf>
    <dxf>
      <border outline="0">
        <bottom style="thin">
          <color indexed="64"/>
        </bottom>
      </border>
    </dxf>
    <dxf>
      <numFmt numFmtId="0" formatCode="Genera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numFmt numFmtId="0" formatCode="General"/>
    </dxf>
    <dxf>
      <numFmt numFmtId="0" formatCode="General"/>
    </dxf>
    <dxf>
      <border outline="0">
        <bottom style="thin">
          <color indexed="64"/>
        </bottom>
      </border>
    </dxf>
    <dxf>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fill>
        <patternFill patternType="solid">
          <fgColor indexed="64"/>
          <bgColor rgb="FF99FF99"/>
        </patternFill>
      </fill>
    </dxf>
    <dxf>
      <numFmt numFmtId="3" formatCode="#,##0"/>
      <fill>
        <patternFill patternType="solid">
          <fgColor indexed="64"/>
          <bgColor rgb="FF99FF99"/>
        </patternFill>
      </fill>
    </dxf>
    <dxf>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border outline="0">
        <bottom style="thin">
          <color indexed="64"/>
        </bottom>
      </border>
    </dxf>
    <dxf>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font>
        <color theme="1"/>
      </font>
      <numFmt numFmtId="164" formatCode="_ * #,##0_ ;_ * \-#,##0_ ;_ * &quot;-&quot;??_ ;_ @_ "/>
      <fill>
        <patternFill patternType="none">
          <fgColor indexed="64"/>
          <bgColor indexed="65"/>
        </patternFill>
      </fill>
    </dxf>
    <dxf>
      <fill>
        <patternFill patternType="solid">
          <fgColor indexed="64"/>
          <bgColor rgb="FF99FF99"/>
        </patternFill>
      </fill>
    </dxf>
    <dxf>
      <border outline="0">
        <bottom style="thin">
          <color indexed="64"/>
        </bottom>
      </border>
    </dxf>
    <dxf>
      <numFmt numFmtId="0" formatCode="General"/>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fill>
        <patternFill patternType="solid">
          <fgColor indexed="64"/>
          <bgColor rgb="FF99FF99"/>
        </patternFill>
      </fill>
    </dxf>
    <dxf>
      <font>
        <color theme="1"/>
      </font>
      <numFmt numFmtId="164" formatCode="_ * #,##0_ ;_ * \-#,##0_ ;_ * &quot;-&quot;??_ ;_ @_ "/>
      <fill>
        <patternFill patternType="solid">
          <fgColor indexed="64"/>
          <bgColor rgb="FF99FF99"/>
        </patternFill>
      </fill>
    </dxf>
    <dxf>
      <fill>
        <patternFill patternType="solid">
          <fgColor indexed="64"/>
          <bgColor rgb="FF99FF99"/>
        </patternFill>
      </fill>
    </dxf>
    <dxf>
      <fill>
        <patternFill>
          <bgColor rgb="FFCCCCFF"/>
        </patternFill>
      </fill>
    </dxf>
  </dxfs>
  <tableStyles count="1" defaultTableStyle="TableStyleMedium2" defaultPivotStyle="PivotStyleLight16">
    <tableStyle name="Tabelstijl 1" pivot="0" count="1" xr9:uid="{5451145C-A42F-4D8F-85E0-C4016193A675}">
      <tableStyleElement type="wholeTable" dxfId="39"/>
    </tableStyle>
  </tableStyles>
  <colors>
    <mruColors>
      <color rgb="FFFFCCFF"/>
      <color rgb="FFFFFFCC"/>
      <color rgb="FF99FF99"/>
      <color rgb="FFCCFFCC"/>
      <color rgb="FFCCFF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onnections" Target="connections.xml"/><Relationship Id="rId40" Type="http://schemas.openxmlformats.org/officeDocument/2006/relationships/sheetMetadata" Target="metadata.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46" Type="http://schemas.openxmlformats.org/officeDocument/2006/relationships/customXml" Target="../customXml/item5.xml"/><Relationship Id="rId20" Type="http://schemas.openxmlformats.org/officeDocument/2006/relationships/worksheet" Target="worksheets/sheet20.xml"/><Relationship Id="rId4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11206</xdr:colOff>
      <xdr:row>15</xdr:row>
      <xdr:rowOff>56030</xdr:rowOff>
    </xdr:from>
    <xdr:to>
      <xdr:col>5</xdr:col>
      <xdr:colOff>659206</xdr:colOff>
      <xdr:row>15</xdr:row>
      <xdr:rowOff>56030</xdr:rowOff>
    </xdr:to>
    <xdr:cxnSp macro="">
      <xdr:nvCxnSpPr>
        <xdr:cNvPr id="69" name="Rechte verbindingslijn met pijl 96">
          <a:extLst>
            <a:ext uri="{FF2B5EF4-FFF2-40B4-BE49-F238E27FC236}">
              <a16:creationId xmlns:a16="http://schemas.microsoft.com/office/drawing/2014/main" id="{00000000-0008-0000-0100-000045000000}"/>
            </a:ext>
          </a:extLst>
        </xdr:cNvPr>
        <xdr:cNvCxnSpPr/>
      </xdr:nvCxnSpPr>
      <xdr:spPr>
        <a:xfrm flipV="1">
          <a:off x="3541059" y="2521324"/>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168088</xdr:colOff>
      <xdr:row>34</xdr:row>
      <xdr:rowOff>67235</xdr:rowOff>
    </xdr:from>
    <xdr:to>
      <xdr:col>13</xdr:col>
      <xdr:colOff>636794</xdr:colOff>
      <xdr:row>34</xdr:row>
      <xdr:rowOff>67235</xdr:rowOff>
    </xdr:to>
    <xdr:cxnSp macro="">
      <xdr:nvCxnSpPr>
        <xdr:cNvPr id="83" name="Rechte verbindingslijn met pijl 96">
          <a:extLst>
            <a:ext uri="{FF2B5EF4-FFF2-40B4-BE49-F238E27FC236}">
              <a16:creationId xmlns:a16="http://schemas.microsoft.com/office/drawing/2014/main" id="{00000000-0008-0000-0100-000053000000}"/>
            </a:ext>
          </a:extLst>
        </xdr:cNvPr>
        <xdr:cNvCxnSpPr/>
      </xdr:nvCxnSpPr>
      <xdr:spPr>
        <a:xfrm flipV="1">
          <a:off x="909917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34</xdr:row>
      <xdr:rowOff>89647</xdr:rowOff>
    </xdr:from>
    <xdr:to>
      <xdr:col>17</xdr:col>
      <xdr:colOff>659206</xdr:colOff>
      <xdr:row>34</xdr:row>
      <xdr:rowOff>89647</xdr:rowOff>
    </xdr:to>
    <xdr:cxnSp macro="">
      <xdr:nvCxnSpPr>
        <xdr:cNvPr id="84" name="Rechte verbindingslijn met pijl 96">
          <a:extLst>
            <a:ext uri="{FF2B5EF4-FFF2-40B4-BE49-F238E27FC236}">
              <a16:creationId xmlns:a16="http://schemas.microsoft.com/office/drawing/2014/main" id="{00000000-0008-0000-0100-000054000000}"/>
            </a:ext>
          </a:extLst>
        </xdr:cNvPr>
        <xdr:cNvCxnSpPr/>
      </xdr:nvCxnSpPr>
      <xdr:spPr>
        <a:xfrm flipV="1">
          <a:off x="11911853" y="4706471"/>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168088</xdr:colOff>
      <xdr:row>34</xdr:row>
      <xdr:rowOff>67235</xdr:rowOff>
    </xdr:from>
    <xdr:to>
      <xdr:col>21</xdr:col>
      <xdr:colOff>636794</xdr:colOff>
      <xdr:row>34</xdr:row>
      <xdr:rowOff>67235</xdr:rowOff>
    </xdr:to>
    <xdr:cxnSp macro="">
      <xdr:nvCxnSpPr>
        <xdr:cNvPr id="86" name="Rechte verbindingslijn met pijl 96">
          <a:extLst>
            <a:ext uri="{FF2B5EF4-FFF2-40B4-BE49-F238E27FC236}">
              <a16:creationId xmlns:a16="http://schemas.microsoft.com/office/drawing/2014/main" id="{00000000-0008-0000-0100-000056000000}"/>
            </a:ext>
          </a:extLst>
        </xdr:cNvPr>
        <xdr:cNvCxnSpPr/>
      </xdr:nvCxnSpPr>
      <xdr:spPr>
        <a:xfrm flipV="1">
          <a:off x="1467970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112059</xdr:rowOff>
    </xdr:from>
    <xdr:to>
      <xdr:col>6</xdr:col>
      <xdr:colOff>0</xdr:colOff>
      <xdr:row>40</xdr:row>
      <xdr:rowOff>67235</xdr:rowOff>
    </xdr:to>
    <xdr:cxnSp macro="">
      <xdr:nvCxnSpPr>
        <xdr:cNvPr id="11" name="Rechte verbindingslijn met pijl 10">
          <a:extLst>
            <a:ext uri="{FF2B5EF4-FFF2-40B4-BE49-F238E27FC236}">
              <a16:creationId xmlns:a16="http://schemas.microsoft.com/office/drawing/2014/main" id="{22FEF959-F227-4706-91E0-4D31975D78B7}"/>
            </a:ext>
          </a:extLst>
        </xdr:cNvPr>
        <xdr:cNvCxnSpPr/>
      </xdr:nvCxnSpPr>
      <xdr:spPr>
        <a:xfrm>
          <a:off x="4202206" y="3653118"/>
          <a:ext cx="717176" cy="2823882"/>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11206</xdr:colOff>
      <xdr:row>32</xdr:row>
      <xdr:rowOff>100853</xdr:rowOff>
    </xdr:from>
    <xdr:to>
      <xdr:col>6</xdr:col>
      <xdr:colOff>23812</xdr:colOff>
      <xdr:row>44</xdr:row>
      <xdr:rowOff>130969</xdr:rowOff>
    </xdr:to>
    <xdr:cxnSp macro="">
      <xdr:nvCxnSpPr>
        <xdr:cNvPr id="15" name="Rechte verbindingslijn met pijl 14">
          <a:extLst>
            <a:ext uri="{FF2B5EF4-FFF2-40B4-BE49-F238E27FC236}">
              <a16:creationId xmlns:a16="http://schemas.microsoft.com/office/drawing/2014/main" id="{389B1D54-8F93-4B14-BB6A-F2A0F2D5BF7D}"/>
            </a:ext>
          </a:extLst>
        </xdr:cNvPr>
        <xdr:cNvCxnSpPr/>
      </xdr:nvCxnSpPr>
      <xdr:spPr>
        <a:xfrm>
          <a:off x="4202206" y="5720603"/>
          <a:ext cx="726981" cy="2173241"/>
        </a:xfrm>
        <a:prstGeom prst="straightConnector1">
          <a:avLst/>
        </a:prstGeom>
        <a:ln>
          <a:solidFill>
            <a:schemeClr val="tx1"/>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22</xdr:row>
      <xdr:rowOff>21981</xdr:rowOff>
    </xdr:from>
    <xdr:to>
      <xdr:col>5</xdr:col>
      <xdr:colOff>409575</xdr:colOff>
      <xdr:row>48</xdr:row>
      <xdr:rowOff>85725</xdr:rowOff>
    </xdr:to>
    <xdr:cxnSp macro="">
      <xdr:nvCxnSpPr>
        <xdr:cNvPr id="30" name="Rechte verbindingslijn 29">
          <a:extLst>
            <a:ext uri="{FF2B5EF4-FFF2-40B4-BE49-F238E27FC236}">
              <a16:creationId xmlns:a16="http://schemas.microsoft.com/office/drawing/2014/main" id="{0AB88F3F-39BB-4892-8BD9-85D2AF26FC33}"/>
            </a:ext>
          </a:extLst>
        </xdr:cNvPr>
        <xdr:cNvCxnSpPr/>
      </xdr:nvCxnSpPr>
      <xdr:spPr>
        <a:xfrm flipH="1" flipV="1">
          <a:off x="4581525" y="3822456"/>
          <a:ext cx="28575" cy="4045194"/>
        </a:xfrm>
        <a:prstGeom prst="line">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48</xdr:row>
      <xdr:rowOff>81644</xdr:rowOff>
    </xdr:from>
    <xdr:to>
      <xdr:col>5</xdr:col>
      <xdr:colOff>413971</xdr:colOff>
      <xdr:row>48</xdr:row>
      <xdr:rowOff>82691</xdr:rowOff>
    </xdr:to>
    <xdr:cxnSp macro="">
      <xdr:nvCxnSpPr>
        <xdr:cNvPr id="35" name="Rechte verbindingslijn 34">
          <a:extLst>
            <a:ext uri="{FF2B5EF4-FFF2-40B4-BE49-F238E27FC236}">
              <a16:creationId xmlns:a16="http://schemas.microsoft.com/office/drawing/2014/main" id="{F966E2D7-4013-41AF-94F7-2D2AAC60D61E}"/>
            </a:ext>
          </a:extLst>
        </xdr:cNvPr>
        <xdr:cNvCxnSpPr/>
      </xdr:nvCxnSpPr>
      <xdr:spPr>
        <a:xfrm>
          <a:off x="4259036" y="7966983"/>
          <a:ext cx="366346" cy="1047"/>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379535</xdr:colOff>
      <xdr:row>22</xdr:row>
      <xdr:rowOff>13189</xdr:rowOff>
    </xdr:from>
    <xdr:to>
      <xdr:col>15</xdr:col>
      <xdr:colOff>1047750</xdr:colOff>
      <xdr:row>22</xdr:row>
      <xdr:rowOff>13607</xdr:rowOff>
    </xdr:to>
    <xdr:cxnSp macro="">
      <xdr:nvCxnSpPr>
        <xdr:cNvPr id="50" name="Rechte verbindingslijn 49">
          <a:extLst>
            <a:ext uri="{FF2B5EF4-FFF2-40B4-BE49-F238E27FC236}">
              <a16:creationId xmlns:a16="http://schemas.microsoft.com/office/drawing/2014/main" id="{F6B454FD-2004-4193-B5AB-F61AE9457E5B}"/>
            </a:ext>
          </a:extLst>
        </xdr:cNvPr>
        <xdr:cNvCxnSpPr/>
      </xdr:nvCxnSpPr>
      <xdr:spPr>
        <a:xfrm>
          <a:off x="4570535" y="3795975"/>
          <a:ext cx="7961644" cy="418"/>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1033096</xdr:colOff>
      <xdr:row>22</xdr:row>
      <xdr:rowOff>0</xdr:rowOff>
    </xdr:from>
    <xdr:to>
      <xdr:col>15</xdr:col>
      <xdr:colOff>1047750</xdr:colOff>
      <xdr:row>33</xdr:row>
      <xdr:rowOff>7327</xdr:rowOff>
    </xdr:to>
    <xdr:cxnSp macro="">
      <xdr:nvCxnSpPr>
        <xdr:cNvPr id="42" name="Rechte verbindingslijn met pijl 41">
          <a:extLst>
            <a:ext uri="{FF2B5EF4-FFF2-40B4-BE49-F238E27FC236}">
              <a16:creationId xmlns:a16="http://schemas.microsoft.com/office/drawing/2014/main" id="{854A845F-3279-49DB-AEEC-C0E663DC3175}"/>
            </a:ext>
          </a:extLst>
        </xdr:cNvPr>
        <xdr:cNvCxnSpPr/>
      </xdr:nvCxnSpPr>
      <xdr:spPr>
        <a:xfrm>
          <a:off x="12551019" y="3260481"/>
          <a:ext cx="14654" cy="202223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25</xdr:row>
      <xdr:rowOff>13607</xdr:rowOff>
    </xdr:from>
    <xdr:to>
      <xdr:col>6</xdr:col>
      <xdr:colOff>0</xdr:colOff>
      <xdr:row>52</xdr:row>
      <xdr:rowOff>107156</xdr:rowOff>
    </xdr:to>
    <xdr:cxnSp macro="">
      <xdr:nvCxnSpPr>
        <xdr:cNvPr id="48" name="Rechte verbindingslijn met pijl 47">
          <a:extLst>
            <a:ext uri="{FF2B5EF4-FFF2-40B4-BE49-F238E27FC236}">
              <a16:creationId xmlns:a16="http://schemas.microsoft.com/office/drawing/2014/main" id="{1D44BDBF-C067-498A-9E3B-C7CF7F31FEB8}"/>
            </a:ext>
          </a:extLst>
        </xdr:cNvPr>
        <xdr:cNvCxnSpPr/>
      </xdr:nvCxnSpPr>
      <xdr:spPr>
        <a:xfrm flipV="1">
          <a:off x="4214812" y="4383201"/>
          <a:ext cx="690563" cy="4201205"/>
        </a:xfrm>
        <a:prstGeom prst="straightConnector1">
          <a:avLst/>
        </a:prstGeom>
        <a:ln>
          <a:solidFill>
            <a:schemeClr val="tx1"/>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35719</xdr:colOff>
      <xdr:row>29</xdr:row>
      <xdr:rowOff>95250</xdr:rowOff>
    </xdr:from>
    <xdr:to>
      <xdr:col>6</xdr:col>
      <xdr:colOff>0</xdr:colOff>
      <xdr:row>56</xdr:row>
      <xdr:rowOff>71437</xdr:rowOff>
    </xdr:to>
    <xdr:cxnSp macro="">
      <xdr:nvCxnSpPr>
        <xdr:cNvPr id="52" name="Rechte verbindingslijn met pijl 51">
          <a:extLst>
            <a:ext uri="{FF2B5EF4-FFF2-40B4-BE49-F238E27FC236}">
              <a16:creationId xmlns:a16="http://schemas.microsoft.com/office/drawing/2014/main" id="{38EC4FBE-740F-47DD-AD7E-458A74124E3F}"/>
            </a:ext>
          </a:extLst>
        </xdr:cNvPr>
        <xdr:cNvCxnSpPr/>
      </xdr:nvCxnSpPr>
      <xdr:spPr>
        <a:xfrm flipV="1">
          <a:off x="4226719" y="5179219"/>
          <a:ext cx="678656" cy="4083843"/>
        </a:xfrm>
        <a:prstGeom prst="straightConnector1">
          <a:avLst/>
        </a:prstGeom>
        <a:ln>
          <a:solidFill>
            <a:schemeClr val="tx1"/>
          </a:solidFill>
          <a:prstDash val="lgDashDot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7327</xdr:colOff>
      <xdr:row>36</xdr:row>
      <xdr:rowOff>142875</xdr:rowOff>
    </xdr:from>
    <xdr:to>
      <xdr:col>6</xdr:col>
      <xdr:colOff>0</xdr:colOff>
      <xdr:row>60</xdr:row>
      <xdr:rowOff>109904</xdr:rowOff>
    </xdr:to>
    <xdr:cxnSp macro="">
      <xdr:nvCxnSpPr>
        <xdr:cNvPr id="59" name="Rechte verbindingslijn met pijl 58">
          <a:extLst>
            <a:ext uri="{FF2B5EF4-FFF2-40B4-BE49-F238E27FC236}">
              <a16:creationId xmlns:a16="http://schemas.microsoft.com/office/drawing/2014/main" id="{180C19F9-7DF3-4D49-8EF9-7D5FE957B553}"/>
            </a:ext>
          </a:extLst>
        </xdr:cNvPr>
        <xdr:cNvCxnSpPr/>
      </xdr:nvCxnSpPr>
      <xdr:spPr>
        <a:xfrm flipV="1">
          <a:off x="4198327" y="6477000"/>
          <a:ext cx="707048" cy="353890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40</xdr:row>
      <xdr:rowOff>166687</xdr:rowOff>
    </xdr:from>
    <xdr:to>
      <xdr:col>6</xdr:col>
      <xdr:colOff>11906</xdr:colOff>
      <xdr:row>64</xdr:row>
      <xdr:rowOff>109904</xdr:rowOff>
    </xdr:to>
    <xdr:cxnSp macro="">
      <xdr:nvCxnSpPr>
        <xdr:cNvPr id="61" name="Rechte verbindingslijn met pijl 60">
          <a:extLst>
            <a:ext uri="{FF2B5EF4-FFF2-40B4-BE49-F238E27FC236}">
              <a16:creationId xmlns:a16="http://schemas.microsoft.com/office/drawing/2014/main" id="{274FFB60-4730-4835-8732-F580F2D6A44F}"/>
            </a:ext>
          </a:extLst>
        </xdr:cNvPr>
        <xdr:cNvCxnSpPr/>
      </xdr:nvCxnSpPr>
      <xdr:spPr>
        <a:xfrm flipV="1">
          <a:off x="4191000" y="7215187"/>
          <a:ext cx="726281" cy="3515092"/>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28</xdr:row>
      <xdr:rowOff>89647</xdr:rowOff>
    </xdr:from>
    <xdr:to>
      <xdr:col>10</xdr:col>
      <xdr:colOff>11205</xdr:colOff>
      <xdr:row>33</xdr:row>
      <xdr:rowOff>11206</xdr:rowOff>
    </xdr:to>
    <xdr:cxnSp macro="">
      <xdr:nvCxnSpPr>
        <xdr:cNvPr id="63" name="Rechte verbindingslijn met pijl 62">
          <a:extLst>
            <a:ext uri="{FF2B5EF4-FFF2-40B4-BE49-F238E27FC236}">
              <a16:creationId xmlns:a16="http://schemas.microsoft.com/office/drawing/2014/main" id="{580F6792-5AB4-457D-ADC7-8D590324D98D}"/>
            </a:ext>
          </a:extLst>
        </xdr:cNvPr>
        <xdr:cNvCxnSpPr/>
      </xdr:nvCxnSpPr>
      <xdr:spPr>
        <a:xfrm>
          <a:off x="7810500" y="4347882"/>
          <a:ext cx="717176" cy="8180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54428</xdr:colOff>
      <xdr:row>32</xdr:row>
      <xdr:rowOff>149679</xdr:rowOff>
    </xdr:from>
    <xdr:to>
      <xdr:col>9</xdr:col>
      <xdr:colOff>707571</xdr:colOff>
      <xdr:row>33</xdr:row>
      <xdr:rowOff>95250</xdr:rowOff>
    </xdr:to>
    <xdr:cxnSp macro="">
      <xdr:nvCxnSpPr>
        <xdr:cNvPr id="65" name="Rechte verbindingslijn met pijl 64">
          <a:extLst>
            <a:ext uri="{FF2B5EF4-FFF2-40B4-BE49-F238E27FC236}">
              <a16:creationId xmlns:a16="http://schemas.microsoft.com/office/drawing/2014/main" id="{8B720C64-8C22-4A29-B928-1FD576CA9D62}"/>
            </a:ext>
          </a:extLst>
        </xdr:cNvPr>
        <xdr:cNvCxnSpPr/>
      </xdr:nvCxnSpPr>
      <xdr:spPr>
        <a:xfrm>
          <a:off x="7851321" y="5701393"/>
          <a:ext cx="653143" cy="1224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34</xdr:row>
      <xdr:rowOff>11206</xdr:rowOff>
    </xdr:from>
    <xdr:to>
      <xdr:col>10</xdr:col>
      <xdr:colOff>0</xdr:colOff>
      <xdr:row>36</xdr:row>
      <xdr:rowOff>89647</xdr:rowOff>
    </xdr:to>
    <xdr:cxnSp macro="">
      <xdr:nvCxnSpPr>
        <xdr:cNvPr id="72" name="Rechte verbindingslijn met pijl 71">
          <a:extLst>
            <a:ext uri="{FF2B5EF4-FFF2-40B4-BE49-F238E27FC236}">
              <a16:creationId xmlns:a16="http://schemas.microsoft.com/office/drawing/2014/main" id="{272F8184-93B4-4494-9B7D-2BE8D4ED6B32}"/>
            </a:ext>
          </a:extLst>
        </xdr:cNvPr>
        <xdr:cNvCxnSpPr/>
      </xdr:nvCxnSpPr>
      <xdr:spPr>
        <a:xfrm flipV="1">
          <a:off x="7810500" y="5345206"/>
          <a:ext cx="705971" cy="4370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168088</xdr:colOff>
      <xdr:row>34</xdr:row>
      <xdr:rowOff>145676</xdr:rowOff>
    </xdr:from>
    <xdr:to>
      <xdr:col>10</xdr:col>
      <xdr:colOff>11205</xdr:colOff>
      <xdr:row>40</xdr:row>
      <xdr:rowOff>123264</xdr:rowOff>
    </xdr:to>
    <xdr:cxnSp macro="">
      <xdr:nvCxnSpPr>
        <xdr:cNvPr id="74" name="Rechte verbindingslijn met pijl 73">
          <a:extLst>
            <a:ext uri="{FF2B5EF4-FFF2-40B4-BE49-F238E27FC236}">
              <a16:creationId xmlns:a16="http://schemas.microsoft.com/office/drawing/2014/main" id="{20820FA2-FDC1-4107-A4BE-AE035467DE68}"/>
            </a:ext>
          </a:extLst>
        </xdr:cNvPr>
        <xdr:cNvCxnSpPr/>
      </xdr:nvCxnSpPr>
      <xdr:spPr>
        <a:xfrm flipV="1">
          <a:off x="7788088" y="5479676"/>
          <a:ext cx="739588" cy="105335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27214</xdr:rowOff>
    </xdr:from>
    <xdr:to>
      <xdr:col>9</xdr:col>
      <xdr:colOff>707571</xdr:colOff>
      <xdr:row>44</xdr:row>
      <xdr:rowOff>47625</xdr:rowOff>
    </xdr:to>
    <xdr:cxnSp macro="">
      <xdr:nvCxnSpPr>
        <xdr:cNvPr id="76" name="Rechte verbindingslijn met pijl 75">
          <a:extLst>
            <a:ext uri="{FF2B5EF4-FFF2-40B4-BE49-F238E27FC236}">
              <a16:creationId xmlns:a16="http://schemas.microsoft.com/office/drawing/2014/main" id="{90CDBAC9-6326-4ED4-AF66-4F95E6730280}"/>
            </a:ext>
          </a:extLst>
        </xdr:cNvPr>
        <xdr:cNvCxnSpPr/>
      </xdr:nvCxnSpPr>
      <xdr:spPr>
        <a:xfrm flipV="1">
          <a:off x="7786687" y="6361339"/>
          <a:ext cx="707572" cy="144916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47624</xdr:colOff>
      <xdr:row>36</xdr:row>
      <xdr:rowOff>44824</xdr:rowOff>
    </xdr:from>
    <xdr:to>
      <xdr:col>10</xdr:col>
      <xdr:colOff>112058</xdr:colOff>
      <xdr:row>48</xdr:row>
      <xdr:rowOff>23812</xdr:rowOff>
    </xdr:to>
    <xdr:cxnSp macro="">
      <xdr:nvCxnSpPr>
        <xdr:cNvPr id="78" name="Rechte verbindingslijn met pijl 77">
          <a:extLst>
            <a:ext uri="{FF2B5EF4-FFF2-40B4-BE49-F238E27FC236}">
              <a16:creationId xmlns:a16="http://schemas.microsoft.com/office/drawing/2014/main" id="{0B61592B-0A7B-4812-AC6B-09678DB8D350}"/>
            </a:ext>
          </a:extLst>
        </xdr:cNvPr>
        <xdr:cNvCxnSpPr/>
      </xdr:nvCxnSpPr>
      <xdr:spPr>
        <a:xfrm flipV="1">
          <a:off x="7834312" y="6378949"/>
          <a:ext cx="778809" cy="21221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44824</xdr:rowOff>
    </xdr:from>
    <xdr:to>
      <xdr:col>11</xdr:col>
      <xdr:colOff>224117</xdr:colOff>
      <xdr:row>52</xdr:row>
      <xdr:rowOff>47625</xdr:rowOff>
    </xdr:to>
    <xdr:cxnSp macro="">
      <xdr:nvCxnSpPr>
        <xdr:cNvPr id="80" name="Rechte verbindingslijn met pijl 79">
          <a:extLst>
            <a:ext uri="{FF2B5EF4-FFF2-40B4-BE49-F238E27FC236}">
              <a16:creationId xmlns:a16="http://schemas.microsoft.com/office/drawing/2014/main" id="{643EE2DD-A706-4ED0-97ED-A1DDC6ACDFE6}"/>
            </a:ext>
          </a:extLst>
        </xdr:cNvPr>
        <xdr:cNvCxnSpPr/>
      </xdr:nvCxnSpPr>
      <xdr:spPr>
        <a:xfrm flipV="1">
          <a:off x="7786687" y="6378949"/>
          <a:ext cx="1117086" cy="286030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xdr:row>
      <xdr:rowOff>0</xdr:rowOff>
    </xdr:from>
    <xdr:to>
      <xdr:col>5</xdr:col>
      <xdr:colOff>694764</xdr:colOff>
      <xdr:row>24</xdr:row>
      <xdr:rowOff>11207</xdr:rowOff>
    </xdr:to>
    <xdr:cxnSp macro="">
      <xdr:nvCxnSpPr>
        <xdr:cNvPr id="34" name="Rechte verbindingslijn met pijl 33">
          <a:extLst>
            <a:ext uri="{FF2B5EF4-FFF2-40B4-BE49-F238E27FC236}">
              <a16:creationId xmlns:a16="http://schemas.microsoft.com/office/drawing/2014/main" id="{AE02218E-C864-4B21-B972-D461FE523468}"/>
            </a:ext>
          </a:extLst>
        </xdr:cNvPr>
        <xdr:cNvCxnSpPr/>
      </xdr:nvCxnSpPr>
      <xdr:spPr>
        <a:xfrm>
          <a:off x="4191000" y="3429000"/>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166688</xdr:colOff>
      <xdr:row>32</xdr:row>
      <xdr:rowOff>81643</xdr:rowOff>
    </xdr:from>
    <xdr:to>
      <xdr:col>6</xdr:col>
      <xdr:colOff>0</xdr:colOff>
      <xdr:row>60</xdr:row>
      <xdr:rowOff>23812</xdr:rowOff>
    </xdr:to>
    <xdr:cxnSp macro="">
      <xdr:nvCxnSpPr>
        <xdr:cNvPr id="45" name="Rechte verbindingslijn met pijl 44">
          <a:extLst>
            <a:ext uri="{FF2B5EF4-FFF2-40B4-BE49-F238E27FC236}">
              <a16:creationId xmlns:a16="http://schemas.microsoft.com/office/drawing/2014/main" id="{0F2E527D-4EFC-4315-B43D-0EA3439D2682}"/>
            </a:ext>
          </a:extLst>
        </xdr:cNvPr>
        <xdr:cNvCxnSpPr/>
      </xdr:nvCxnSpPr>
      <xdr:spPr>
        <a:xfrm flipV="1">
          <a:off x="4179094" y="5701393"/>
          <a:ext cx="726281" cy="422841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2722</xdr:colOff>
      <xdr:row>28</xdr:row>
      <xdr:rowOff>97971</xdr:rowOff>
    </xdr:from>
    <xdr:to>
      <xdr:col>5</xdr:col>
      <xdr:colOff>697486</xdr:colOff>
      <xdr:row>32</xdr:row>
      <xdr:rowOff>109178</xdr:rowOff>
    </xdr:to>
    <xdr:cxnSp macro="">
      <xdr:nvCxnSpPr>
        <xdr:cNvPr id="47" name="Rechte verbindingslijn met pijl 46">
          <a:extLst>
            <a:ext uri="{FF2B5EF4-FFF2-40B4-BE49-F238E27FC236}">
              <a16:creationId xmlns:a16="http://schemas.microsoft.com/office/drawing/2014/main" id="{9C5D2336-1614-4587-A7BD-5DD1BAF12BD0}"/>
            </a:ext>
          </a:extLst>
        </xdr:cNvPr>
        <xdr:cNvCxnSpPr/>
      </xdr:nvCxnSpPr>
      <xdr:spPr>
        <a:xfrm>
          <a:off x="4193722" y="4942114"/>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12248</xdr:colOff>
      <xdr:row>32</xdr:row>
      <xdr:rowOff>127908</xdr:rowOff>
    </xdr:from>
    <xdr:to>
      <xdr:col>5</xdr:col>
      <xdr:colOff>702469</xdr:colOff>
      <xdr:row>52</xdr:row>
      <xdr:rowOff>59531</xdr:rowOff>
    </xdr:to>
    <xdr:cxnSp macro="">
      <xdr:nvCxnSpPr>
        <xdr:cNvPr id="53" name="Rechte verbindingslijn met pijl 52">
          <a:extLst>
            <a:ext uri="{FF2B5EF4-FFF2-40B4-BE49-F238E27FC236}">
              <a16:creationId xmlns:a16="http://schemas.microsoft.com/office/drawing/2014/main" id="{443814F4-B7A7-4282-B092-012300388B08}"/>
            </a:ext>
          </a:extLst>
        </xdr:cNvPr>
        <xdr:cNvCxnSpPr/>
      </xdr:nvCxnSpPr>
      <xdr:spPr>
        <a:xfrm>
          <a:off x="4203248" y="5747658"/>
          <a:ext cx="690221" cy="350349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36</xdr:row>
      <xdr:rowOff>54428</xdr:rowOff>
    </xdr:from>
    <xdr:to>
      <xdr:col>5</xdr:col>
      <xdr:colOff>678656</xdr:colOff>
      <xdr:row>48</xdr:row>
      <xdr:rowOff>83344</xdr:rowOff>
    </xdr:to>
    <xdr:cxnSp macro="">
      <xdr:nvCxnSpPr>
        <xdr:cNvPr id="55" name="Rechte verbindingslijn met pijl 54">
          <a:extLst>
            <a:ext uri="{FF2B5EF4-FFF2-40B4-BE49-F238E27FC236}">
              <a16:creationId xmlns:a16="http://schemas.microsoft.com/office/drawing/2014/main" id="{DF381007-79BB-40DC-8148-43805C97A6AE}"/>
            </a:ext>
          </a:extLst>
        </xdr:cNvPr>
        <xdr:cNvCxnSpPr/>
      </xdr:nvCxnSpPr>
      <xdr:spPr>
        <a:xfrm>
          <a:off x="4204607" y="6388553"/>
          <a:ext cx="665049" cy="2172041"/>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20410</xdr:colOff>
      <xdr:row>40</xdr:row>
      <xdr:rowOff>64633</xdr:rowOff>
    </xdr:from>
    <xdr:to>
      <xdr:col>6</xdr:col>
      <xdr:colOff>11906</xdr:colOff>
      <xdr:row>68</xdr:row>
      <xdr:rowOff>88446</xdr:rowOff>
    </xdr:to>
    <xdr:cxnSp macro="">
      <xdr:nvCxnSpPr>
        <xdr:cNvPr id="10" name="Rechte verbindingslijn met pijl 9">
          <a:extLst>
            <a:ext uri="{FF2B5EF4-FFF2-40B4-BE49-F238E27FC236}">
              <a16:creationId xmlns:a16="http://schemas.microsoft.com/office/drawing/2014/main" id="{44F50D98-1322-4F0C-BF28-00902C0DA389}"/>
            </a:ext>
          </a:extLst>
        </xdr:cNvPr>
        <xdr:cNvCxnSpPr/>
      </xdr:nvCxnSpPr>
      <xdr:spPr>
        <a:xfrm flipV="1">
          <a:off x="4231821" y="7215187"/>
          <a:ext cx="705871" cy="4432527"/>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40</xdr:row>
      <xdr:rowOff>95250</xdr:rowOff>
    </xdr:from>
    <xdr:to>
      <xdr:col>5</xdr:col>
      <xdr:colOff>702469</xdr:colOff>
      <xdr:row>49</xdr:row>
      <xdr:rowOff>0</xdr:rowOff>
    </xdr:to>
    <xdr:cxnSp macro="">
      <xdr:nvCxnSpPr>
        <xdr:cNvPr id="13" name="Rechte verbindingslijn met pijl 12">
          <a:extLst>
            <a:ext uri="{FF2B5EF4-FFF2-40B4-BE49-F238E27FC236}">
              <a16:creationId xmlns:a16="http://schemas.microsoft.com/office/drawing/2014/main" id="{51EA80B6-1FF0-4E92-874E-6D0EACC0D8D3}"/>
            </a:ext>
          </a:extLst>
        </xdr:cNvPr>
        <xdr:cNvCxnSpPr/>
      </xdr:nvCxnSpPr>
      <xdr:spPr>
        <a:xfrm>
          <a:off x="4204607" y="7143750"/>
          <a:ext cx="688862" cy="151209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47625</xdr:colOff>
      <xdr:row>36</xdr:row>
      <xdr:rowOff>35719</xdr:rowOff>
    </xdr:from>
    <xdr:to>
      <xdr:col>11</xdr:col>
      <xdr:colOff>607219</xdr:colOff>
      <xdr:row>56</xdr:row>
      <xdr:rowOff>59531</xdr:rowOff>
    </xdr:to>
    <xdr:cxnSp macro="">
      <xdr:nvCxnSpPr>
        <xdr:cNvPr id="18" name="Rechte verbindingslijn met pijl 17">
          <a:extLst>
            <a:ext uri="{FF2B5EF4-FFF2-40B4-BE49-F238E27FC236}">
              <a16:creationId xmlns:a16="http://schemas.microsoft.com/office/drawing/2014/main" id="{1C67343B-C833-448D-86A0-F90A4FC24BB5}"/>
            </a:ext>
          </a:extLst>
        </xdr:cNvPr>
        <xdr:cNvCxnSpPr/>
      </xdr:nvCxnSpPr>
      <xdr:spPr>
        <a:xfrm flipV="1">
          <a:off x="7750969" y="6369844"/>
          <a:ext cx="1428750" cy="35956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166686</xdr:colOff>
      <xdr:row>44</xdr:row>
      <xdr:rowOff>59531</xdr:rowOff>
    </xdr:from>
    <xdr:to>
      <xdr:col>6</xdr:col>
      <xdr:colOff>11906</xdr:colOff>
      <xdr:row>56</xdr:row>
      <xdr:rowOff>142875</xdr:rowOff>
    </xdr:to>
    <xdr:cxnSp macro="">
      <xdr:nvCxnSpPr>
        <xdr:cNvPr id="20" name="Rechte verbindingslijn met pijl 19">
          <a:extLst>
            <a:ext uri="{FF2B5EF4-FFF2-40B4-BE49-F238E27FC236}">
              <a16:creationId xmlns:a16="http://schemas.microsoft.com/office/drawing/2014/main" id="{BBF74369-86B3-4CDB-8CCE-54D53E01DEE7}"/>
            </a:ext>
          </a:extLst>
        </xdr:cNvPr>
        <xdr:cNvCxnSpPr/>
      </xdr:nvCxnSpPr>
      <xdr:spPr>
        <a:xfrm>
          <a:off x="4143374" y="7822406"/>
          <a:ext cx="714376" cy="222646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7" xr16:uid="{6085BEDC-9721-410E-A451-A713ADB05C4D}" autoFormatId="16" applyNumberFormats="0" applyBorderFormats="0" applyFontFormats="0" applyPatternFormats="0" applyAlignmentFormats="0" applyWidthHeightFormats="0">
  <queryTableRefresh nextId="8">
    <queryTableFields count="7">
      <queryTableField id="1" name="Index" tableColumnId="1"/>
      <queryTableField id="2" name="Investeringsbedrag" tableColumnId="2"/>
      <queryTableField id="3" name="Jaar begin afschrijven" tableColumnId="3"/>
      <queryTableField id="4" name="Activacategorie" tableColumnId="4"/>
      <queryTableField id="5" name="Vervanging / uitbreiding" tableColumnId="5"/>
      <queryTableField id="6" name="Ombouwtaak" tableColumnId="6"/>
      <queryTableField id="7" name="Bestandsnaam"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93D32D77-13D5-4465-912B-8458EA628D4F}" autoFormatId="16" applyNumberFormats="0" applyBorderFormats="0" applyFontFormats="0" applyPatternFormats="0" applyAlignmentFormats="0" applyWidthHeightFormats="0">
  <queryTableRefresh nextId="7">
    <queryTableFields count="6">
      <queryTableField id="1" name="Index" tableColumnId="1"/>
      <queryTableField id="2" name="Investeringsbedrag" tableColumnId="2"/>
      <queryTableField id="3" name="Jaar begin afschrijven" tableColumnId="3"/>
      <queryTableField id="4" name="Activacategorie" tableColumnId="4"/>
      <queryTableField id="5" name="Bestandsnaam" tableColumnId="5"/>
      <queryTableField id="6" name="Versi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DE55C95C-0089-40BE-A972-B48FEABB81ED}" autoFormatId="16" applyNumberFormats="0" applyBorderFormats="0" applyFontFormats="0" applyPatternFormats="0" applyAlignmentFormats="0" applyWidthHeightFormats="0">
  <queryTableRefresh nextId="9">
    <queryTableFields count="8">
      <queryTableField id="1" name="Index" tableColumnId="1"/>
      <queryTableField id="2" name="Activaklasse" tableColumnId="2"/>
      <queryTableField id="3" name="Oorspronkelijk investeringsjaar" tableColumnId="3"/>
      <queryTableField id="4" name="Desinvestering (oorspronkelijke investeringsbedrag)" tableColumnId="4"/>
      <queryTableField id="5" name="Opbrengsten die samenhangen met desinvestering" tableColumnId="5"/>
      <queryTableField id="6" name="Jaar" tableColumnId="6"/>
      <queryTableField id="7" name="Bestandsnaam" tableColumnId="7"/>
      <queryTableField id="8" name="Versie" tableColumnId="8"/>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5" xr16:uid="{4ACF9F52-69E0-4676-B700-42A4E0AE213D}" autoFormatId="16" applyNumberFormats="0" applyBorderFormats="0" applyFontFormats="0" applyPatternFormats="0" applyAlignmentFormats="0" applyWidthHeightFormats="0">
  <queryTableRefresh nextId="10">
    <queryTableFields count="9">
      <queryTableField id="1" name="Categorie" tableColumnId="1"/>
      <queryTableField id="2" name="Subcategorie" tableColumnId="2"/>
      <queryTableField id="3" name="Jaar" tableColumnId="3"/>
      <queryTableField id="4" name="Omzetregulering tariefgereguleerd" tableColumnId="4"/>
      <queryTableField id="5" name="Overboek- en terugkoopregeling" tableColumnId="5"/>
      <queryTableField id="6" name="Veilinggelden" tableColumnId="6"/>
      <queryTableField id="7" name="Saldo administratieve onbalans" tableColumnId="7"/>
      <queryTableField id="8" name="Bestandsnaam" tableColumnId="8"/>
      <queryTableField id="9" name="Versie"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6" xr16:uid="{2B2CF06B-CC49-4DD6-9712-FF1199383F32}" autoFormatId="16" applyNumberFormats="0" applyBorderFormats="0" applyFontFormats="0" applyPatternFormats="0" applyAlignmentFormats="0" applyWidthHeightFormats="0">
  <queryTableRefresh nextId="21">
    <queryTableFields count="7">
      <queryTableField id="1" name="Categorie" tableColumnId="1"/>
      <queryTableField id="2" name="Subcategorie" tableColumnId="2"/>
      <queryTableField id="3" name="Jaar" tableColumnId="3"/>
      <queryTableField id="5" name="TT/BT/AT" tableColumnId="5"/>
      <queryTableField id="6" name="KC" tableColumnId="6"/>
      <queryTableField id="17" name="Bestandsnaam" tableColumnId="17"/>
      <queryTableField id="18" name="Versie"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A7C93-B450-460F-971C-4E09B7976CA4}" name="WUI_Ombouw" displayName="WUI_Ombouw" ref="B19:H58" tableType="queryTable" totalsRowShown="0" headerRowCellStyle="_kop2 Bloktitel">
  <autoFilter ref="B19:H58" xr:uid="{E7DA7C93-B450-460F-971C-4E09B7976CA4}"/>
  <sortState xmlns:xlrd2="http://schemas.microsoft.com/office/spreadsheetml/2017/richdata2" ref="B20:H50">
    <sortCondition ref="D19:D39"/>
  </sortState>
  <tableColumns count="7">
    <tableColumn id="1" xr3:uid="{7EEB421B-CC9A-4CE7-BCAE-B63F69C68E8E}" uniqueName="1" name="Index" queryTableFieldId="1" dataDxfId="38"/>
    <tableColumn id="2" xr3:uid="{FD41C2D7-6835-40E6-A9A5-3814881A6D19}" uniqueName="2" name="Investeringsbedrag" queryTableFieldId="2" dataDxfId="37" dataCellStyle="Komma"/>
    <tableColumn id="3" xr3:uid="{AA1173C8-5786-4999-B694-3FFC0560A270}" uniqueName="3" name="Jaar begin afschrijven" queryTableFieldId="3" dataDxfId="36"/>
    <tableColumn id="4" xr3:uid="{3A7FCBED-2EAC-4409-AB04-C96A08F772E6}" uniqueName="4" name="Activacategorie" queryTableFieldId="4" dataDxfId="35"/>
    <tableColumn id="5" xr3:uid="{0821367A-ACED-4AA8-89AB-D5A1DAC1ABE7}" uniqueName="5" name="Vervanging / uitbreiding" queryTableFieldId="5" dataDxfId="34"/>
    <tableColumn id="6" xr3:uid="{13AC745B-711A-4B7A-838C-0B8B8DA04C3F}" uniqueName="6" name="Ombouwtaak" queryTableFieldId="6" dataDxfId="33"/>
    <tableColumn id="7" xr3:uid="{D6351E6A-652D-4FFE-A686-1564C909C4FE}" uniqueName="7" name="Bestandsnaam" queryTableFieldId="7" dataDxfId="32"/>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DC1CB6-3DB3-4CDA-8E67-B24E47D5606F}" name="Investeringen_2" displayName="Investeringen_2" ref="B19:G142" tableType="queryTable" totalsRowShown="0" headerRowBorderDxfId="31" headerRowCellStyle="_kop2 Bloktitel">
  <autoFilter ref="B19:G142" xr:uid="{E6DC1CB6-3DB3-4CDA-8E67-B24E47D5606F}"/>
  <tableColumns count="6">
    <tableColumn id="1" xr3:uid="{14DB8885-7602-4D19-99E4-091E101C795F}" uniqueName="1" name="Index" queryTableFieldId="1" dataDxfId="30"/>
    <tableColumn id="2" xr3:uid="{E7BDA9CB-D694-4ED4-94CF-33E2A25CEFDD}" uniqueName="2" name="Investeringsbedrag" queryTableFieldId="2" dataDxfId="29" dataCellStyle="Komma"/>
    <tableColumn id="3" xr3:uid="{74C5678D-BED5-4D51-82F8-CB57C4CDE794}" uniqueName="3" name="Jaar begin afschrijven" queryTableFieldId="3" dataDxfId="28"/>
    <tableColumn id="4" xr3:uid="{6C014AE5-1C7F-4839-AC66-C9602F636B39}" uniqueName="4" name="Activacategorie" queryTableFieldId="4" dataDxfId="27"/>
    <tableColumn id="5" xr3:uid="{263AD9B9-093A-4277-9A29-0FD417142C06}" uniqueName="5" name="Bestandsnaam" queryTableFieldId="5" dataDxfId="26"/>
    <tableColumn id="6" xr3:uid="{2FD7DD34-1CA4-40C4-A31A-506B085DCCE8}" uniqueName="6" name="Versie" queryTableFieldId="6" dataDxfId="25"/>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F217E6-A6B5-4FD0-95DC-AE5B51CED7F3}" name="Desinvestering" displayName="Desinvestering" ref="B19:I801" tableType="queryTable" totalsRowShown="0" headerRowBorderDxfId="24" headerRowCellStyle="_kop2 Bloktitel">
  <autoFilter ref="B19:I801" xr:uid="{0EF217E6-A6B5-4FD0-95DC-AE5B51CED7F3}"/>
  <tableColumns count="8">
    <tableColumn id="1" xr3:uid="{E1DE3244-D29E-470D-B196-2F3B80A7782A}" uniqueName="1" name="Index" queryTableFieldId="1" dataDxfId="23"/>
    <tableColumn id="2" xr3:uid="{C491040B-0017-4105-BD8E-4A0184B95C43}" uniqueName="2" name="Activaklasse" queryTableFieldId="2" dataDxfId="22"/>
    <tableColumn id="3" xr3:uid="{E5FB1711-CAA7-4F08-A54D-FB02740B2213}" uniqueName="3" name="Oorspronkelijk investeringsjaar" queryTableFieldId="3" dataDxfId="21"/>
    <tableColumn id="4" xr3:uid="{C83E17F0-737D-4858-A089-C2D3FD51DA70}" uniqueName="4" name="Desinvestering (oorspronkelijke investeringsbedrag)" queryTableFieldId="4" dataDxfId="20"/>
    <tableColumn id="5" xr3:uid="{E10B213C-9216-4C1F-815E-6F3528767FBD}" uniqueName="5" name="Opbrengsten die samenhangen met desinvestering" queryTableFieldId="5" dataDxfId="19"/>
    <tableColumn id="6" xr3:uid="{496A5B91-F853-43DF-A0F7-32A3BD59BF5E}" uniqueName="6" name="Jaar" queryTableFieldId="6" dataDxfId="18"/>
    <tableColumn id="7" xr3:uid="{1C144628-344F-4581-B0BC-90494468E6DC}" uniqueName="7" name="Bestandsnaam" queryTableFieldId="7" dataDxfId="17"/>
    <tableColumn id="8" xr3:uid="{74399678-1CC5-4D6D-B1BD-54C01BA39AB8}" uniqueName="8" name="Versie" queryTableFieldId="8" dataDxfId="16"/>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05D590-B7A6-463F-859A-99073FEE8503}" name="Omzet" displayName="Omzet" ref="B19:J25" tableType="queryTable" totalsRowShown="0" headerRowBorderDxfId="15" headerRowCellStyle="_kop2 Bloktitel">
  <autoFilter ref="B19:J25" xr:uid="{1A05D590-B7A6-463F-859A-99073FEE8503}"/>
  <tableColumns count="9">
    <tableColumn id="1" xr3:uid="{E3EB2548-1AE0-48E2-A931-8562D1C155C5}" uniqueName="1" name="Categorie" queryTableFieldId="1" dataDxfId="14"/>
    <tableColumn id="2" xr3:uid="{C70C5C65-91AE-4BD7-BDE3-24004C555153}" uniqueName="2" name="Subcategorie" queryTableFieldId="2" dataDxfId="13"/>
    <tableColumn id="3" xr3:uid="{73C31474-373A-486F-82ED-7E2C9F53946B}" uniqueName="3" name="Jaar" queryTableFieldId="3"/>
    <tableColumn id="4" xr3:uid="{11C972A8-A6A8-4827-8D82-2BE50BCF0A32}" uniqueName="4" name="Omzetregulering tariefgereguleerd" queryTableFieldId="4" dataDxfId="12" dataCellStyle="Komma"/>
    <tableColumn id="5" xr3:uid="{F248660C-C640-4340-9C5E-2F0DB9155CAF}" uniqueName="5" name="Overboek- en terugkoopregeling" queryTableFieldId="5" dataDxfId="11" dataCellStyle="Komma"/>
    <tableColumn id="6" xr3:uid="{0FCE2788-BA83-4D96-9957-0A0444F814A4}" uniqueName="6" name="Veilinggelden" queryTableFieldId="6" dataDxfId="10" dataCellStyle="Komma"/>
    <tableColumn id="7" xr3:uid="{507B605C-6B25-4FC5-BE1B-8CEDEE8043C1}" uniqueName="7" name="Saldo administratieve onbalans" queryTableFieldId="7" dataDxfId="9" dataCellStyle="Komma"/>
    <tableColumn id="8" xr3:uid="{A4EFEEDE-EB15-4D8F-86E1-C599FFD4E316}" uniqueName="8" name="Bestandsnaam" queryTableFieldId="8" dataDxfId="8"/>
    <tableColumn id="9" xr3:uid="{99F847F5-D701-4BCE-843E-8830BB7BE08D}" uniqueName="9" name="Versie" queryTableFieldId="9"/>
  </tableColumns>
  <tableStyleInfo name="Tabelstijl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13D16F-B985-474A-823F-F4766EE1E60A}" name="Operationele_kosten" displayName="Operationele_kosten" ref="B19:H31" tableType="queryTable" totalsRowShown="0" headerRowBorderDxfId="7" headerRowCellStyle="_kop2 Bloktitel">
  <autoFilter ref="B19:H31" xr:uid="{3613D16F-B985-474A-823F-F4766EE1E60A}"/>
  <tableColumns count="7">
    <tableColumn id="1" xr3:uid="{5A73A4A7-6BAE-4E1C-9E2E-5607263EEDC8}" uniqueName="1" name="Categorie" queryTableFieldId="1" dataDxfId="6"/>
    <tableColumn id="2" xr3:uid="{8E9C1922-BFEA-4BEB-9F79-78096EF5847E}" uniqueName="2" name="Subcategorie" queryTableFieldId="2" dataDxfId="5"/>
    <tableColumn id="3" xr3:uid="{103CDD32-8A57-45D2-A879-95C8D731BF01}" uniqueName="3" name="Jaar" queryTableFieldId="3" dataDxfId="4"/>
    <tableColumn id="5" xr3:uid="{600EE3AE-9F13-4712-A1B1-647E5E779BCF}" uniqueName="5" name="TT/BT/AT" queryTableFieldId="5" dataDxfId="3" dataCellStyle="Komma"/>
    <tableColumn id="6" xr3:uid="{B32F2C95-4022-4832-B838-0A040BA98D13}" uniqueName="6" name="KC" queryTableFieldId="6" dataDxfId="2" dataCellStyle="Komma"/>
    <tableColumn id="17" xr3:uid="{42C7F4BB-2190-4484-998E-A86B1CBACB65}" uniqueName="17" name="Bestandsnaam" queryTableFieldId="17" dataDxfId="1"/>
    <tableColumn id="18" xr3:uid="{F28F57AC-61F7-4BA7-9E3A-45CAE3AFE017}" uniqueName="18" name="Versie" queryTableFieldId="18" dataDxfId="0"/>
  </tableColumns>
  <tableStyleInfo name="Tabelstijl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TE-Tarievenbesluiten@acm.n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hyperlink" Target="https://wetten.overheid.nl/BWBR0037948/2021-04-30" TargetMode="External"/><Relationship Id="rId13" Type="http://schemas.openxmlformats.org/officeDocument/2006/relationships/hyperlink" Target="https://www.acm.nl/nl/publicaties/gewijzigd-methodebesluit-gts-2022-2026" TargetMode="External"/><Relationship Id="rId3" Type="http://schemas.openxmlformats.org/officeDocument/2006/relationships/hyperlink" Target="https://www.acm.nl/nl/publicaties/x-factorbesluit-gts-2022-2026" TargetMode="External"/><Relationship Id="rId7" Type="http://schemas.openxmlformats.org/officeDocument/2006/relationships/hyperlink" Target="https://www.acm.nl/sites/default/files/documents/rekenmodule-tarieven-gts-2022_1.xlsx" TargetMode="External"/><Relationship Id="rId12" Type="http://schemas.openxmlformats.org/officeDocument/2006/relationships/hyperlink" Target="https://www.acm.nl/nl/publicaties/tarievenbesluit-gts-2023" TargetMode="External"/><Relationship Id="rId17" Type="http://schemas.openxmlformats.org/officeDocument/2006/relationships/printerSettings" Target="../printerSettings/printerSettings3.bin"/><Relationship Id="rId2" Type="http://schemas.openxmlformats.org/officeDocument/2006/relationships/hyperlink" Target="https://www.acm.nl/nl/publicaties/gewijzigd-methodebesluit-gts-2017-2021" TargetMode="External"/><Relationship Id="rId16" Type="http://schemas.openxmlformats.org/officeDocument/2006/relationships/hyperlink" Target="https://www.acm.nl/nl/publicaties/tarievenbesluit-gts-2025" TargetMode="External"/><Relationship Id="rId1" Type="http://schemas.openxmlformats.org/officeDocument/2006/relationships/hyperlink" Target="https://www.acm.nl/nl/publicaties/tarievenbesluit-gts-2021" TargetMode="External"/><Relationship Id="rId6" Type="http://schemas.openxmlformats.org/officeDocument/2006/relationships/hyperlink" Target="https://opendata.cbs.nl/statline/" TargetMode="External"/><Relationship Id="rId11" Type="http://schemas.openxmlformats.org/officeDocument/2006/relationships/hyperlink" Target="https://www.acm.nl/nl/publicaties/tarievenbesluit-gts-2024" TargetMode="External"/><Relationship Id="rId5" Type="http://schemas.openxmlformats.org/officeDocument/2006/relationships/hyperlink" Target="https://www.acm.nl/nl/publicaties/x-factorbesluit-gts-2022-2026" TargetMode="External"/><Relationship Id="rId15" Type="http://schemas.openxmlformats.org/officeDocument/2006/relationships/hyperlink" Target="https://www.acm.nl/nl/publicaties/tarievenbesluit-gts-2026" TargetMode="External"/><Relationship Id="rId10" Type="http://schemas.openxmlformats.org/officeDocument/2006/relationships/hyperlink" Target="https://www.acm.nl/system/files/documents/tarievenbesluit-gts-2024.pdf" TargetMode="External"/><Relationship Id="rId4" Type="http://schemas.openxmlformats.org/officeDocument/2006/relationships/hyperlink" Target="https://www.acm.nl/nl/publicaties/methodebesluit-gts-2022-2026" TargetMode="External"/><Relationship Id="rId9" Type="http://schemas.openxmlformats.org/officeDocument/2006/relationships/hyperlink" Target="https://www.dnb.nl/statistieken/data-zoeken/" TargetMode="External"/><Relationship Id="rId14" Type="http://schemas.openxmlformats.org/officeDocument/2006/relationships/hyperlink" Target="https://www.acm.nl/nl/publicaties/gewijzigd-x-factorbesluit-gts-2022-2026"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9"/>
  <sheetViews>
    <sheetView showGridLines="0" zoomScale="85" zoomScaleNormal="85" workbookViewId="0">
      <pane ySplit="3" topLeftCell="A4" activePane="bottomLeft" state="frozen"/>
      <selection pane="bottomLeft"/>
      <selection activeCell="A4" sqref="A4"/>
    </sheetView>
  </sheetViews>
  <sheetFormatPr defaultColWidth="9" defaultRowHeight="12.75"/>
  <cols>
    <col min="1" max="1" width="2.5703125" style="3" customWidth="1"/>
    <col min="2" max="2" width="39.85546875" style="3" customWidth="1"/>
    <col min="3" max="3" width="91.85546875" style="3" customWidth="1"/>
    <col min="4" max="16384" width="9" style="3"/>
  </cols>
  <sheetData>
    <row r="2" spans="2:3" s="7" customFormat="1" ht="18">
      <c r="B2" s="7" t="s">
        <v>0</v>
      </c>
    </row>
    <row r="13" spans="2:3" s="8" customFormat="1">
      <c r="B13" s="8" t="s">
        <v>1</v>
      </c>
    </row>
    <row r="15" spans="2:3">
      <c r="B15" s="9" t="s">
        <v>2</v>
      </c>
      <c r="C15" s="91" t="s">
        <v>3</v>
      </c>
    </row>
    <row r="16" spans="2:3">
      <c r="B16" s="9" t="s">
        <v>4</v>
      </c>
      <c r="C16" s="9" t="s">
        <v>0</v>
      </c>
    </row>
    <row r="17" spans="2:3">
      <c r="B17" s="9" t="s">
        <v>5</v>
      </c>
      <c r="C17" s="9" t="s">
        <v>6</v>
      </c>
    </row>
    <row r="18" spans="2:3">
      <c r="B18" s="9" t="s">
        <v>7</v>
      </c>
      <c r="C18" s="9" t="s">
        <v>8</v>
      </c>
    </row>
    <row r="19" spans="2:3">
      <c r="B19" s="9" t="s">
        <v>9</v>
      </c>
      <c r="C19" s="24" t="s">
        <v>10</v>
      </c>
    </row>
    <row r="20" spans="2:3">
      <c r="B20" s="9" t="s">
        <v>11</v>
      </c>
      <c r="C20" s="333"/>
    </row>
    <row r="21" spans="2:3">
      <c r="B21" s="9" t="s">
        <v>12</v>
      </c>
      <c r="C21" s="9" t="s">
        <v>10</v>
      </c>
    </row>
    <row r="22" spans="2:3">
      <c r="B22" s="9" t="s">
        <v>13</v>
      </c>
      <c r="C22" s="9" t="s">
        <v>6</v>
      </c>
    </row>
    <row r="25" spans="2:3" s="8" customFormat="1">
      <c r="B25" s="8" t="s">
        <v>14</v>
      </c>
    </row>
    <row r="27" spans="2:3">
      <c r="B27" s="9" t="s">
        <v>15</v>
      </c>
      <c r="C27" s="9" t="s">
        <v>16</v>
      </c>
    </row>
    <row r="28" spans="2:3">
      <c r="B28" s="9" t="s">
        <v>17</v>
      </c>
      <c r="C28" s="9" t="s">
        <v>16</v>
      </c>
    </row>
    <row r="29" spans="2:3" ht="25.5">
      <c r="B29" s="9" t="s">
        <v>18</v>
      </c>
      <c r="C29" s="151" t="s">
        <v>19</v>
      </c>
    </row>
    <row r="30" spans="2:3">
      <c r="B30" s="9" t="s">
        <v>20</v>
      </c>
      <c r="C30" s="57" t="s">
        <v>16</v>
      </c>
    </row>
    <row r="31" spans="2:3">
      <c r="B31" s="9" t="s">
        <v>21</v>
      </c>
      <c r="C31" s="57" t="s">
        <v>10</v>
      </c>
    </row>
    <row r="32" spans="2:3">
      <c r="B32" s="9" t="s">
        <v>13</v>
      </c>
      <c r="C32" s="9" t="s">
        <v>6</v>
      </c>
    </row>
    <row r="34" spans="2:4">
      <c r="B34" s="359" t="s">
        <v>22</v>
      </c>
      <c r="C34" s="359"/>
      <c r="D34" s="5"/>
    </row>
    <row r="36" spans="2:4" s="8" customFormat="1">
      <c r="B36" s="8" t="s">
        <v>23</v>
      </c>
      <c r="C36" s="8" t="s">
        <v>24</v>
      </c>
      <c r="D36" s="8" t="s">
        <v>25</v>
      </c>
    </row>
    <row r="38" spans="2:4">
      <c r="C38" s="136" t="s">
        <v>26</v>
      </c>
    </row>
    <row r="39" spans="2:4" ht="13.5" customHeight="1">
      <c r="C39" s="136"/>
    </row>
  </sheetData>
  <mergeCells count="1">
    <mergeCell ref="B34:C34"/>
  </mergeCells>
  <hyperlinks>
    <hyperlink ref="C38" r:id="rId1" xr:uid="{7BAADCB6-E9E4-4907-A0A8-1D77239C367F}"/>
  </hyperlinks>
  <pageMargins left="0.75" right="0.75" top="1" bottom="1" header="0.5" footer="0.5"/>
  <pageSetup paperSize="9" orientation="portrait" r:id="rId2"/>
  <headerFooter alignWithMargins="0">
    <oddFooter>&amp;C_x000D_&amp;1#&amp;"Calibri"&amp;10&amp;K000000 Vertrouwelijk/Confidential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CDE9-D067-4C15-9ADB-B6B4F8311CAD}">
  <sheetPr>
    <tabColor rgb="FFCCFFCC"/>
  </sheetPr>
  <dimension ref="A2:AG26"/>
  <sheetViews>
    <sheetView showGridLines="0" zoomScale="85" zoomScaleNormal="85" workbookViewId="0">
      <pane xSplit="4" ySplit="6" topLeftCell="F7" activePane="bottomRight" state="frozen"/>
      <selection pane="bottomRight"/>
      <selection pane="bottomLeft"/>
      <selection pane="topRight"/>
    </sheetView>
  </sheetViews>
  <sheetFormatPr defaultColWidth="9" defaultRowHeight="12.75"/>
  <cols>
    <col min="1" max="1" width="2.5703125" style="199" customWidth="1"/>
    <col min="2" max="2" width="62" style="3" customWidth="1"/>
    <col min="3" max="3" width="2.5703125" style="3" customWidth="1"/>
    <col min="4" max="4" width="13.5703125" style="3" customWidth="1"/>
    <col min="5" max="5" width="2.5703125" style="3" customWidth="1"/>
    <col min="6" max="6" width="19.5703125" style="3" bestFit="1" customWidth="1"/>
    <col min="7" max="7" width="2.5703125" style="3" customWidth="1"/>
    <col min="8" max="9" width="21.5703125" style="3" bestFit="1" customWidth="1"/>
    <col min="10" max="10" width="16.5703125" style="3" bestFit="1" customWidth="1"/>
    <col min="11" max="16" width="14.5703125" style="3" customWidth="1"/>
    <col min="17" max="17" width="2.5703125" style="3" customWidth="1"/>
    <col min="18" max="18" width="73.5703125" style="3" bestFit="1" customWidth="1"/>
    <col min="19" max="19" width="2.5703125" style="3" customWidth="1"/>
    <col min="20" max="20" width="13.5703125" style="3" customWidth="1"/>
    <col min="21" max="33" width="13.5703125" style="199" customWidth="1"/>
    <col min="34" max="16384" width="9" style="3"/>
  </cols>
  <sheetData>
    <row r="2" spans="2:20" s="12" customFormat="1" ht="18">
      <c r="B2" s="12" t="s">
        <v>541</v>
      </c>
    </row>
    <row r="4" spans="2:20">
      <c r="B4" s="16" t="s">
        <v>202</v>
      </c>
      <c r="C4" s="2"/>
    </row>
    <row r="5" spans="2:20" ht="71.25" customHeight="1">
      <c r="B5" s="359" t="s">
        <v>542</v>
      </c>
      <c r="C5" s="359"/>
      <c r="D5" s="359"/>
      <c r="F5" s="13"/>
    </row>
    <row r="8" spans="2:20" s="8" customFormat="1" ht="12.75" customHeight="1">
      <c r="B8" s="8" t="s">
        <v>162</v>
      </c>
    </row>
    <row r="9" spans="2:20" s="200" customFormat="1" ht="12.75" customHeight="1"/>
    <row r="10" spans="2:20" s="8" customFormat="1" ht="12.75" customHeight="1">
      <c r="B10" s="8" t="s">
        <v>543</v>
      </c>
      <c r="F10" s="8" t="s">
        <v>390</v>
      </c>
      <c r="H10" s="8" t="s">
        <v>303</v>
      </c>
      <c r="I10" s="8" t="s">
        <v>544</v>
      </c>
      <c r="J10" s="8" t="s">
        <v>537</v>
      </c>
      <c r="R10" s="8" t="s">
        <v>206</v>
      </c>
      <c r="T10" s="8" t="s">
        <v>207</v>
      </c>
    </row>
    <row r="11" spans="2:20">
      <c r="B11" s="199"/>
    </row>
    <row r="12" spans="2:20">
      <c r="B12" s="3" t="s">
        <v>545</v>
      </c>
      <c r="F12" s="201">
        <v>2011</v>
      </c>
      <c r="H12" s="202">
        <v>30</v>
      </c>
      <c r="I12" s="202">
        <v>22704728.687201399</v>
      </c>
      <c r="J12" s="203">
        <v>17376205.576952007</v>
      </c>
      <c r="R12" s="3" t="s">
        <v>546</v>
      </c>
      <c r="T12" s="3" t="s">
        <v>547</v>
      </c>
    </row>
    <row r="13" spans="2:20">
      <c r="B13" s="3" t="s">
        <v>548</v>
      </c>
      <c r="F13" s="201">
        <v>2012</v>
      </c>
      <c r="H13" s="202">
        <v>30</v>
      </c>
      <c r="I13" s="202">
        <v>1408497.2920886443</v>
      </c>
      <c r="J13" s="203">
        <v>1104502.0714844635</v>
      </c>
      <c r="L13" s="208"/>
      <c r="M13" s="208"/>
      <c r="N13" s="208"/>
      <c r="O13" s="208"/>
      <c r="P13" s="208"/>
      <c r="R13" s="13"/>
    </row>
    <row r="14" spans="2:20">
      <c r="B14" s="3" t="s">
        <v>549</v>
      </c>
      <c r="F14" s="201">
        <v>2013</v>
      </c>
      <c r="H14" s="202">
        <v>30</v>
      </c>
      <c r="I14" s="202">
        <v>337946.31023100798</v>
      </c>
      <c r="J14" s="203">
        <v>271685.95797538623</v>
      </c>
      <c r="L14" s="208"/>
      <c r="M14" s="208"/>
      <c r="N14" s="208"/>
      <c r="O14" s="208"/>
      <c r="P14" s="208"/>
      <c r="R14" s="13"/>
    </row>
    <row r="15" spans="2:20">
      <c r="B15" s="3" t="s">
        <v>550</v>
      </c>
      <c r="F15" s="201">
        <v>2014</v>
      </c>
      <c r="H15" s="202">
        <v>30</v>
      </c>
      <c r="I15" s="202">
        <v>167929.59201100032</v>
      </c>
      <c r="J15" s="203">
        <v>137435.09908722798</v>
      </c>
      <c r="L15" s="208"/>
      <c r="M15" s="208"/>
      <c r="N15" s="208"/>
      <c r="O15" s="208"/>
      <c r="P15" s="208"/>
      <c r="R15" s="13"/>
    </row>
    <row r="16" spans="2:20">
      <c r="B16" s="3" t="s">
        <v>551</v>
      </c>
      <c r="F16" s="201">
        <v>2015</v>
      </c>
      <c r="H16" s="202">
        <v>30</v>
      </c>
      <c r="I16" s="202">
        <v>2621.3116059707399</v>
      </c>
      <c r="J16" s="203">
        <v>2218.4673824688466</v>
      </c>
    </row>
    <row r="18" spans="1:20" s="8" customFormat="1" ht="12" customHeight="1">
      <c r="B18" s="8" t="s">
        <v>552</v>
      </c>
      <c r="D18" s="8" t="s">
        <v>204</v>
      </c>
      <c r="F18" s="8" t="s">
        <v>205</v>
      </c>
      <c r="H18" s="46">
        <v>2018</v>
      </c>
      <c r="I18" s="46">
        <v>2019</v>
      </c>
      <c r="J18" s="46">
        <v>2020</v>
      </c>
      <c r="K18" s="46">
        <v>2021</v>
      </c>
      <c r="L18" s="46">
        <v>2022</v>
      </c>
      <c r="M18" s="46">
        <v>2023</v>
      </c>
      <c r="N18" s="46">
        <v>2024</v>
      </c>
      <c r="O18" s="46">
        <v>2025</v>
      </c>
      <c r="P18" s="46">
        <v>2026</v>
      </c>
      <c r="R18" s="8" t="s">
        <v>206</v>
      </c>
      <c r="T18" s="8" t="s">
        <v>207</v>
      </c>
    </row>
    <row r="19" spans="1:20">
      <c r="N19" s="89"/>
    </row>
    <row r="20" spans="1:20">
      <c r="B20" s="2" t="s">
        <v>553</v>
      </c>
      <c r="N20" s="89"/>
    </row>
    <row r="21" spans="1:20">
      <c r="A21" s="3"/>
      <c r="B21" s="3" t="s">
        <v>554</v>
      </c>
      <c r="D21" s="3" t="s">
        <v>482</v>
      </c>
      <c r="H21" s="204"/>
      <c r="I21" s="204"/>
      <c r="K21" s="206"/>
      <c r="L21" s="207"/>
      <c r="N21" s="89"/>
      <c r="O21" s="281">
        <v>546009</v>
      </c>
      <c r="R21" s="342"/>
    </row>
    <row r="22" spans="1:20">
      <c r="A22" s="3"/>
      <c r="N22" s="89"/>
    </row>
    <row r="23" spans="1:20">
      <c r="A23" s="3"/>
      <c r="B23" s="2" t="s">
        <v>555</v>
      </c>
      <c r="N23" s="89"/>
    </row>
    <row r="24" spans="1:20">
      <c r="A24" s="3"/>
      <c r="B24" s="3" t="s">
        <v>556</v>
      </c>
      <c r="D24" s="3" t="s">
        <v>482</v>
      </c>
      <c r="H24" s="205"/>
      <c r="I24" s="205"/>
      <c r="J24" s="207"/>
      <c r="K24" s="206"/>
      <c r="L24" s="207"/>
      <c r="N24" s="89"/>
      <c r="O24" s="281">
        <v>3477699</v>
      </c>
      <c r="R24" s="342"/>
    </row>
    <row r="25" spans="1:20">
      <c r="N25" s="89"/>
    </row>
    <row r="26" spans="1:20">
      <c r="N26" s="89"/>
    </row>
  </sheetData>
  <mergeCells count="1">
    <mergeCell ref="B5:D5"/>
  </mergeCells>
  <pageMargins left="0.7" right="0.7" top="0.75" bottom="0.75" header="0.3" footer="0.3"/>
  <headerFooter>
    <oddFooter>&amp;C_x000D_&amp;1#&amp;"Calibri"&amp;10&amp;K000000 Vertrouwelijk/Confidential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sheetPr>
  <dimension ref="A2:V279"/>
  <sheetViews>
    <sheetView showGridLines="0" zoomScale="85" zoomScaleNormal="85" workbookViewId="0">
      <pane xSplit="4" ySplit="10" topLeftCell="E11" activePane="bottomRight" state="frozen"/>
      <selection pane="bottomRight"/>
      <selection pane="bottomLeft"/>
      <selection pane="topRight"/>
    </sheetView>
  </sheetViews>
  <sheetFormatPr defaultColWidth="9" defaultRowHeight="12.75"/>
  <cols>
    <col min="1" max="1" width="2.5703125" style="3" customWidth="1"/>
    <col min="2" max="2" width="70" style="3" bestFit="1" customWidth="1"/>
    <col min="3" max="3" width="2.5703125" style="3" customWidth="1"/>
    <col min="4" max="4" width="11.5703125" style="3" bestFit="1" customWidth="1"/>
    <col min="5" max="5" width="2.5703125" style="3" customWidth="1"/>
    <col min="6" max="6" width="14.85546875" style="3" customWidth="1"/>
    <col min="7" max="7" width="12.85546875" style="3" customWidth="1"/>
    <col min="8" max="10" width="11.28515625" style="3" customWidth="1"/>
    <col min="11" max="11" width="22.5703125" style="3" customWidth="1"/>
    <col min="12" max="17" width="12.28515625" style="3" bestFit="1" customWidth="1"/>
    <col min="18" max="19" width="16.28515625" style="3" bestFit="1" customWidth="1"/>
    <col min="20" max="21" width="12.28515625" style="3" bestFit="1" customWidth="1"/>
    <col min="22" max="33" width="13.5703125" style="3" customWidth="1"/>
    <col min="34" max="16384" width="9" style="3"/>
  </cols>
  <sheetData>
    <row r="2" spans="1:22" s="12" customFormat="1" ht="18">
      <c r="B2" s="12" t="s">
        <v>557</v>
      </c>
    </row>
    <row r="4" spans="1:22">
      <c r="B4" s="16" t="s">
        <v>202</v>
      </c>
      <c r="C4" s="2"/>
    </row>
    <row r="5" spans="1:22" ht="15.75" customHeight="1">
      <c r="B5" s="366" t="s">
        <v>558</v>
      </c>
      <c r="C5" s="366"/>
      <c r="D5" s="366"/>
      <c r="F5" s="13"/>
    </row>
    <row r="7" spans="1:22">
      <c r="B7" s="17" t="s">
        <v>158</v>
      </c>
    </row>
    <row r="8" spans="1:22" ht="69.75" customHeight="1">
      <c r="B8" s="359" t="s">
        <v>559</v>
      </c>
      <c r="C8" s="359"/>
      <c r="D8" s="359"/>
    </row>
    <row r="10" spans="1:22" s="8" customFormat="1" ht="12.75" customHeight="1">
      <c r="I10" s="46"/>
      <c r="J10" s="46"/>
      <c r="K10" s="46"/>
      <c r="L10" s="46"/>
      <c r="M10" s="46"/>
      <c r="N10" s="46"/>
      <c r="O10" s="46"/>
      <c r="P10" s="46"/>
      <c r="Q10" s="46"/>
    </row>
    <row r="11" spans="1:22">
      <c r="B11" s="2"/>
    </row>
    <row r="12" spans="1:22" s="33" customFormat="1" ht="12.75" customHeight="1">
      <c r="A12" s="97"/>
      <c r="B12" s="33" t="s">
        <v>522</v>
      </c>
      <c r="J12" s="184"/>
      <c r="K12" s="184"/>
      <c r="L12" s="184"/>
      <c r="M12" s="184"/>
      <c r="N12" s="184"/>
      <c r="O12" s="184"/>
      <c r="P12" s="184"/>
      <c r="Q12" s="184"/>
      <c r="R12" s="184"/>
      <c r="T12" s="33" t="s">
        <v>206</v>
      </c>
      <c r="V12" s="33" t="s">
        <v>207</v>
      </c>
    </row>
    <row r="13" spans="1:22" s="34" customFormat="1" ht="12.75" customHeight="1">
      <c r="A13" s="98"/>
      <c r="B13" s="34" t="s">
        <v>162</v>
      </c>
      <c r="D13" s="34" t="s">
        <v>204</v>
      </c>
      <c r="F13" s="34" t="s">
        <v>560</v>
      </c>
      <c r="H13" s="100">
        <v>2017</v>
      </c>
      <c r="I13" s="100">
        <v>2018</v>
      </c>
      <c r="J13" s="100">
        <v>2019</v>
      </c>
      <c r="K13" s="100">
        <v>2020</v>
      </c>
      <c r="L13" s="100">
        <v>2021</v>
      </c>
      <c r="M13" s="100">
        <v>2022</v>
      </c>
      <c r="N13" s="100">
        <v>2023</v>
      </c>
      <c r="O13" s="100">
        <v>2024</v>
      </c>
      <c r="P13" s="100">
        <v>2025</v>
      </c>
      <c r="Q13" s="100">
        <v>2026</v>
      </c>
    </row>
    <row r="15" spans="1:22" s="240" customFormat="1">
      <c r="B15" s="8" t="s">
        <v>561</v>
      </c>
      <c r="C15" s="8"/>
      <c r="D15" s="8"/>
    </row>
    <row r="17" spans="2:20">
      <c r="B17" s="3" t="s">
        <v>562</v>
      </c>
      <c r="D17" s="3" t="s">
        <v>214</v>
      </c>
      <c r="F17" s="245">
        <v>0.77</v>
      </c>
      <c r="T17" s="3" t="s">
        <v>563</v>
      </c>
    </row>
    <row r="19" spans="2:20" s="240" customFormat="1">
      <c r="B19" s="8" t="s">
        <v>564</v>
      </c>
      <c r="C19" s="8"/>
      <c r="D19" s="8"/>
    </row>
    <row r="21" spans="2:20">
      <c r="B21" s="3" t="s">
        <v>565</v>
      </c>
      <c r="D21" s="3" t="s">
        <v>482</v>
      </c>
      <c r="H21" s="10"/>
      <c r="I21" s="10"/>
      <c r="J21" s="10"/>
      <c r="K21" s="10"/>
      <c r="L21" s="10"/>
      <c r="M21" s="244">
        <v>7339829.2418518746</v>
      </c>
      <c r="N21" s="244">
        <v>6662159.7393988082</v>
      </c>
      <c r="O21" s="244">
        <v>6117183.5197096057</v>
      </c>
      <c r="P21" s="244">
        <v>5719048.4597574808</v>
      </c>
      <c r="Q21" s="244">
        <v>5428026.4892949341</v>
      </c>
      <c r="T21" s="3" t="s">
        <v>306</v>
      </c>
    </row>
    <row r="22" spans="2:20">
      <c r="B22" s="3" t="s">
        <v>566</v>
      </c>
      <c r="D22" s="3" t="s">
        <v>482</v>
      </c>
      <c r="H22" s="10"/>
      <c r="I22" s="10"/>
      <c r="J22" s="10"/>
      <c r="K22" s="10"/>
      <c r="L22" s="10"/>
      <c r="M22" s="244">
        <v>92112966.285529599</v>
      </c>
      <c r="N22" s="244">
        <v>85450806.546130821</v>
      </c>
      <c r="O22" s="244">
        <v>79333623.026421189</v>
      </c>
      <c r="P22" s="244">
        <v>73614574.566663712</v>
      </c>
      <c r="Q22" s="244">
        <v>68186548.077368766</v>
      </c>
      <c r="T22" s="3" t="s">
        <v>306</v>
      </c>
    </row>
    <row r="24" spans="2:20" s="8" customFormat="1">
      <c r="B24" s="8" t="s">
        <v>552</v>
      </c>
    </row>
    <row r="26" spans="2:20">
      <c r="B26" s="2" t="s">
        <v>567</v>
      </c>
    </row>
    <row r="27" spans="2:20">
      <c r="B27" t="s">
        <v>568</v>
      </c>
      <c r="D27" s="3" t="s">
        <v>482</v>
      </c>
      <c r="H27" s="10"/>
      <c r="I27" s="10"/>
      <c r="J27" s="244">
        <v>4311221.7573385285</v>
      </c>
      <c r="K27" s="10"/>
      <c r="L27" s="10"/>
      <c r="M27" s="10"/>
      <c r="N27" s="10"/>
      <c r="O27" s="10"/>
      <c r="P27" s="10"/>
      <c r="Q27" s="10"/>
      <c r="T27" s="3" t="s">
        <v>569</v>
      </c>
    </row>
    <row r="28" spans="2:20">
      <c r="B28" s="118" t="s">
        <v>570</v>
      </c>
      <c r="D28" s="3" t="s">
        <v>482</v>
      </c>
      <c r="H28" s="10"/>
      <c r="I28" s="10"/>
      <c r="J28" s="244">
        <v>5089135.5900731999</v>
      </c>
      <c r="K28" s="10"/>
      <c r="L28" s="10"/>
      <c r="M28" s="10"/>
      <c r="N28" s="10"/>
      <c r="O28" s="10"/>
      <c r="P28" s="10"/>
      <c r="Q28" s="10"/>
      <c r="T28" s="3" t="s">
        <v>569</v>
      </c>
    </row>
    <row r="30" spans="2:20">
      <c r="B30" s="2" t="s">
        <v>571</v>
      </c>
    </row>
    <row r="31" spans="2:20">
      <c r="B31" s="3" t="s">
        <v>572</v>
      </c>
      <c r="D31" s="3" t="s">
        <v>482</v>
      </c>
      <c r="H31" s="244">
        <v>1320509.5900000001</v>
      </c>
      <c r="I31" s="244">
        <v>1966066.3200000003</v>
      </c>
      <c r="J31" s="244">
        <v>1575548.13</v>
      </c>
      <c r="K31" s="10"/>
      <c r="L31" s="10"/>
      <c r="M31" s="10"/>
      <c r="N31" s="10"/>
      <c r="O31" s="10"/>
      <c r="P31" s="10"/>
      <c r="Q31" s="10"/>
      <c r="T31" s="3" t="s">
        <v>569</v>
      </c>
    </row>
    <row r="33" spans="2:16">
      <c r="B33" s="2"/>
    </row>
    <row r="34" spans="2:16">
      <c r="B34" s="89"/>
      <c r="C34" s="89"/>
      <c r="D34" s="89"/>
      <c r="E34" s="89"/>
      <c r="F34" s="89"/>
      <c r="G34" s="89"/>
      <c r="H34" s="185"/>
      <c r="I34" s="89"/>
      <c r="J34" s="185"/>
      <c r="K34" s="186"/>
    </row>
    <row r="35" spans="2:16">
      <c r="B35" s="89"/>
      <c r="C35" s="89"/>
      <c r="D35" s="89"/>
      <c r="E35" s="89"/>
      <c r="F35" s="89"/>
      <c r="G35" s="89"/>
      <c r="H35" s="185"/>
      <c r="I35" s="89"/>
      <c r="J35" s="185"/>
      <c r="K35" s="186"/>
    </row>
    <row r="37" spans="2:16">
      <c r="B37" s="89"/>
      <c r="C37" s="89"/>
      <c r="D37" s="89"/>
      <c r="E37" s="89"/>
      <c r="F37" s="89"/>
      <c r="G37" s="89"/>
      <c r="H37" s="185"/>
      <c r="I37" s="89"/>
      <c r="J37" s="185"/>
      <c r="K37" s="186"/>
      <c r="O37" s="88"/>
      <c r="P37" s="88"/>
    </row>
    <row r="38" spans="2:16">
      <c r="B38" s="89"/>
      <c r="C38" s="89"/>
      <c r="D38" s="89"/>
      <c r="E38" s="89"/>
      <c r="F38" s="89"/>
      <c r="G38" s="89"/>
      <c r="H38" s="185"/>
      <c r="I38" s="89"/>
      <c r="J38" s="185"/>
      <c r="K38" s="186"/>
      <c r="O38" s="88"/>
      <c r="P38" s="88"/>
    </row>
    <row r="39" spans="2:16">
      <c r="B39" s="89"/>
      <c r="C39" s="89"/>
      <c r="D39" s="89"/>
      <c r="E39" s="89"/>
      <c r="F39" s="89"/>
      <c r="G39" s="89"/>
      <c r="H39" s="185"/>
      <c r="I39" s="89"/>
      <c r="J39" s="185"/>
      <c r="K39" s="186"/>
      <c r="O39" s="88"/>
      <c r="P39" s="88"/>
    </row>
    <row r="40" spans="2:16">
      <c r="B40" s="89"/>
      <c r="C40" s="89"/>
      <c r="D40" s="89"/>
      <c r="E40" s="89"/>
      <c r="F40" s="89"/>
      <c r="G40" s="89"/>
      <c r="H40" s="185"/>
      <c r="I40" s="89"/>
      <c r="J40" s="185"/>
      <c r="K40" s="186"/>
    </row>
    <row r="41" spans="2:16">
      <c r="B41" s="89"/>
      <c r="C41" s="89"/>
      <c r="D41" s="89"/>
      <c r="E41" s="89"/>
      <c r="F41" s="89"/>
      <c r="G41" s="89"/>
      <c r="H41" s="185"/>
      <c r="I41" s="89"/>
      <c r="J41" s="185"/>
      <c r="K41" s="186"/>
    </row>
    <row r="42" spans="2:16">
      <c r="B42" s="89"/>
      <c r="C42" s="89"/>
      <c r="D42" s="89"/>
      <c r="E42" s="89"/>
      <c r="F42" s="89"/>
      <c r="G42" s="89"/>
      <c r="H42" s="185"/>
      <c r="I42" s="89"/>
      <c r="J42" s="185"/>
      <c r="K42" s="186"/>
    </row>
    <row r="43" spans="2:16">
      <c r="B43" s="89"/>
      <c r="C43" s="89"/>
      <c r="D43" s="89"/>
      <c r="E43" s="89"/>
      <c r="F43" s="89"/>
      <c r="G43" s="89"/>
      <c r="H43" s="185"/>
      <c r="I43" s="89"/>
      <c r="J43" s="185"/>
      <c r="K43" s="186"/>
    </row>
    <row r="44" spans="2:16">
      <c r="B44" s="89"/>
      <c r="C44" s="89"/>
      <c r="D44" s="89"/>
      <c r="E44" s="89"/>
      <c r="F44" s="89"/>
      <c r="G44" s="89"/>
      <c r="H44" s="185"/>
      <c r="I44" s="89"/>
      <c r="J44" s="185"/>
      <c r="K44" s="186"/>
    </row>
    <row r="45" spans="2:16">
      <c r="B45" s="89"/>
      <c r="C45" s="89"/>
      <c r="D45" s="89"/>
      <c r="E45" s="89"/>
      <c r="F45" s="89"/>
      <c r="G45" s="89"/>
      <c r="H45" s="185"/>
      <c r="I45" s="89"/>
      <c r="J45" s="185"/>
      <c r="K45" s="186"/>
    </row>
    <row r="46" spans="2:16">
      <c r="B46" s="89"/>
      <c r="C46" s="89"/>
      <c r="D46" s="89"/>
      <c r="E46" s="89"/>
      <c r="F46" s="89"/>
      <c r="G46" s="89"/>
      <c r="H46" s="185"/>
      <c r="I46" s="89"/>
      <c r="J46" s="185"/>
      <c r="K46" s="186"/>
    </row>
    <row r="47" spans="2:16">
      <c r="B47" s="89"/>
      <c r="C47" s="89"/>
      <c r="D47" s="89"/>
      <c r="E47" s="89"/>
      <c r="F47" s="89"/>
      <c r="G47" s="89"/>
      <c r="H47" s="185"/>
      <c r="I47" s="89"/>
      <c r="J47" s="185"/>
      <c r="K47" s="186"/>
    </row>
    <row r="48" spans="2:16">
      <c r="B48" s="89"/>
      <c r="C48" s="89"/>
      <c r="D48" s="89"/>
      <c r="E48" s="89"/>
      <c r="F48" s="89"/>
      <c r="G48" s="89"/>
      <c r="H48" s="185"/>
      <c r="I48" s="89"/>
      <c r="J48" s="185"/>
      <c r="K48" s="186"/>
    </row>
    <row r="49" spans="2:11">
      <c r="B49" s="89"/>
      <c r="C49" s="89"/>
      <c r="D49" s="89"/>
      <c r="E49" s="89"/>
      <c r="F49" s="89"/>
      <c r="G49" s="89"/>
      <c r="H49" s="185"/>
      <c r="I49" s="89"/>
      <c r="J49" s="185"/>
      <c r="K49" s="186"/>
    </row>
    <row r="50" spans="2:11">
      <c r="B50" s="89"/>
      <c r="C50" s="89"/>
      <c r="D50" s="89"/>
      <c r="E50" s="89"/>
      <c r="F50" s="89"/>
      <c r="G50" s="89"/>
      <c r="H50" s="185"/>
      <c r="I50" s="89"/>
      <c r="J50" s="185"/>
      <c r="K50" s="186"/>
    </row>
    <row r="51" spans="2:11">
      <c r="B51" s="89"/>
      <c r="C51" s="89"/>
      <c r="D51" s="89"/>
      <c r="E51" s="89"/>
      <c r="F51" s="89"/>
      <c r="G51" s="89"/>
      <c r="H51" s="185"/>
      <c r="I51" s="89"/>
      <c r="J51" s="185"/>
      <c r="K51" s="186"/>
    </row>
    <row r="52" spans="2:11">
      <c r="B52" s="89"/>
      <c r="C52" s="89"/>
      <c r="D52" s="89"/>
      <c r="E52" s="89"/>
      <c r="F52" s="89"/>
      <c r="G52" s="89"/>
      <c r="H52" s="185"/>
      <c r="I52" s="89"/>
      <c r="J52" s="185"/>
      <c r="K52" s="186"/>
    </row>
    <row r="53" spans="2:11">
      <c r="B53" s="89"/>
      <c r="C53" s="89"/>
      <c r="D53" s="89"/>
      <c r="E53" s="89"/>
      <c r="F53" s="89"/>
      <c r="G53" s="89"/>
      <c r="H53" s="185"/>
      <c r="I53" s="89"/>
      <c r="J53" s="185"/>
      <c r="K53" s="186"/>
    </row>
    <row r="54" spans="2:11">
      <c r="B54" s="89"/>
      <c r="C54" s="89"/>
      <c r="D54" s="89"/>
      <c r="E54" s="89"/>
      <c r="F54" s="89"/>
      <c r="G54" s="89"/>
      <c r="H54" s="185"/>
      <c r="I54" s="89"/>
      <c r="J54" s="185"/>
      <c r="K54" s="186"/>
    </row>
    <row r="55" spans="2:11">
      <c r="B55" s="89"/>
      <c r="C55" s="89"/>
      <c r="D55" s="89"/>
      <c r="E55" s="89"/>
      <c r="F55" s="89"/>
      <c r="G55" s="89"/>
      <c r="H55" s="185"/>
      <c r="I55" s="89"/>
      <c r="J55" s="185"/>
      <c r="K55" s="186"/>
    </row>
    <row r="56" spans="2:11">
      <c r="B56" s="89"/>
      <c r="C56" s="89"/>
      <c r="D56" s="89"/>
      <c r="E56" s="89"/>
      <c r="F56" s="89"/>
      <c r="G56" s="89"/>
      <c r="H56" s="185"/>
      <c r="I56" s="89"/>
      <c r="J56" s="185"/>
      <c r="K56" s="186"/>
    </row>
    <row r="57" spans="2:11">
      <c r="B57" s="89"/>
      <c r="C57" s="89"/>
      <c r="D57" s="89"/>
      <c r="E57" s="89"/>
      <c r="F57" s="89"/>
      <c r="G57" s="89"/>
      <c r="H57" s="185"/>
      <c r="I57" s="89"/>
      <c r="J57" s="185"/>
      <c r="K57" s="186"/>
    </row>
    <row r="58" spans="2:11">
      <c r="B58" s="89"/>
      <c r="C58" s="89"/>
      <c r="D58" s="89"/>
      <c r="E58" s="89"/>
      <c r="F58" s="89"/>
      <c r="G58" s="89"/>
      <c r="H58" s="185"/>
      <c r="I58" s="89"/>
      <c r="J58" s="185"/>
      <c r="K58" s="186"/>
    </row>
    <row r="59" spans="2:11">
      <c r="B59" s="89"/>
      <c r="C59" s="89"/>
      <c r="D59" s="89"/>
      <c r="E59" s="89"/>
      <c r="F59" s="89"/>
      <c r="G59" s="89"/>
      <c r="H59" s="185"/>
      <c r="I59" s="89"/>
      <c r="J59" s="185"/>
      <c r="K59" s="186"/>
    </row>
    <row r="60" spans="2:11">
      <c r="B60" s="89"/>
      <c r="C60" s="89"/>
      <c r="D60" s="89"/>
      <c r="E60" s="89"/>
      <c r="F60" s="89"/>
      <c r="G60" s="89"/>
      <c r="H60" s="185"/>
      <c r="I60" s="89"/>
      <c r="J60" s="185"/>
      <c r="K60" s="186"/>
    </row>
    <row r="61" spans="2:11">
      <c r="B61" s="89"/>
      <c r="C61" s="89"/>
      <c r="D61" s="89"/>
      <c r="E61" s="89"/>
      <c r="F61" s="89"/>
      <c r="G61" s="89"/>
      <c r="H61" s="185"/>
      <c r="I61" s="89"/>
      <c r="J61" s="185"/>
      <c r="K61" s="186"/>
    </row>
    <row r="62" spans="2:11">
      <c r="B62" s="89"/>
      <c r="C62" s="89"/>
      <c r="D62" s="89"/>
      <c r="E62" s="89"/>
      <c r="F62" s="89"/>
      <c r="G62" s="89"/>
      <c r="H62" s="185"/>
      <c r="I62" s="89"/>
      <c r="J62" s="185"/>
      <c r="K62" s="186"/>
    </row>
    <row r="63" spans="2:11">
      <c r="B63" s="89"/>
      <c r="C63" s="89"/>
      <c r="D63" s="89"/>
      <c r="E63" s="89"/>
      <c r="F63" s="89"/>
      <c r="G63" s="89"/>
      <c r="H63" s="185"/>
      <c r="I63" s="89"/>
      <c r="J63" s="185"/>
      <c r="K63" s="186"/>
    </row>
    <row r="64" spans="2:11">
      <c r="B64" s="89"/>
      <c r="C64" s="89"/>
      <c r="D64" s="89"/>
      <c r="E64" s="89"/>
      <c r="F64" s="89"/>
      <c r="G64" s="89"/>
      <c r="H64" s="185"/>
      <c r="I64" s="89"/>
      <c r="J64" s="185"/>
      <c r="K64" s="186"/>
    </row>
    <row r="65" spans="2:11">
      <c r="B65" s="89"/>
      <c r="C65" s="89"/>
      <c r="D65" s="89"/>
      <c r="E65" s="89"/>
      <c r="F65" s="89"/>
      <c r="G65" s="89"/>
      <c r="H65" s="185"/>
      <c r="I65" s="89"/>
      <c r="J65" s="185"/>
      <c r="K65" s="186"/>
    </row>
    <row r="66" spans="2:11">
      <c r="B66" s="89"/>
      <c r="C66" s="89"/>
      <c r="D66" s="89"/>
      <c r="E66" s="89"/>
      <c r="F66" s="89"/>
      <c r="G66" s="89"/>
      <c r="H66" s="185"/>
      <c r="I66" s="89"/>
      <c r="J66" s="185"/>
      <c r="K66" s="186"/>
    </row>
    <row r="67" spans="2:11">
      <c r="B67" s="89"/>
      <c r="C67" s="89"/>
      <c r="D67" s="89"/>
      <c r="E67" s="89"/>
      <c r="F67" s="89"/>
      <c r="G67" s="89"/>
      <c r="H67" s="185"/>
      <c r="I67" s="89"/>
      <c r="J67" s="185"/>
      <c r="K67" s="186"/>
    </row>
    <row r="68" spans="2:11">
      <c r="B68" s="89"/>
      <c r="C68" s="89"/>
      <c r="D68" s="89"/>
      <c r="E68" s="89"/>
      <c r="F68" s="89"/>
      <c r="G68" s="89"/>
      <c r="H68" s="185"/>
      <c r="I68" s="89"/>
      <c r="J68" s="185"/>
      <c r="K68" s="186"/>
    </row>
    <row r="69" spans="2:11">
      <c r="B69" s="89"/>
      <c r="C69" s="89"/>
      <c r="D69" s="89"/>
      <c r="E69" s="89"/>
      <c r="F69" s="89"/>
      <c r="G69" s="89"/>
      <c r="H69" s="185"/>
      <c r="I69" s="89"/>
      <c r="J69" s="185"/>
      <c r="K69" s="186"/>
    </row>
    <row r="70" spans="2:11">
      <c r="B70" s="89"/>
      <c r="C70" s="89"/>
      <c r="D70" s="89"/>
      <c r="E70" s="89"/>
      <c r="F70" s="89"/>
      <c r="G70" s="89"/>
      <c r="H70" s="185"/>
      <c r="I70" s="89"/>
      <c r="J70" s="185"/>
      <c r="K70" s="186"/>
    </row>
    <row r="71" spans="2:11">
      <c r="B71" s="89"/>
      <c r="C71" s="89"/>
      <c r="D71" s="89"/>
      <c r="E71" s="89"/>
      <c r="F71" s="89"/>
      <c r="G71" s="89"/>
      <c r="H71" s="185"/>
      <c r="I71" s="89"/>
      <c r="J71" s="185"/>
      <c r="K71" s="186"/>
    </row>
    <row r="72" spans="2:11">
      <c r="B72" s="89"/>
      <c r="C72" s="89"/>
      <c r="D72" s="89"/>
      <c r="E72" s="89"/>
      <c r="F72" s="89"/>
      <c r="G72" s="89"/>
      <c r="H72" s="185"/>
      <c r="I72" s="89"/>
      <c r="J72" s="185"/>
      <c r="K72" s="186"/>
    </row>
    <row r="73" spans="2:11">
      <c r="B73" s="89"/>
      <c r="C73" s="89"/>
      <c r="D73" s="89"/>
      <c r="E73" s="89"/>
      <c r="F73" s="89"/>
      <c r="G73" s="89"/>
      <c r="H73" s="185"/>
      <c r="I73" s="89"/>
      <c r="J73" s="185"/>
      <c r="K73" s="186"/>
    </row>
    <row r="74" spans="2:11">
      <c r="B74" s="89"/>
      <c r="C74" s="89"/>
      <c r="D74" s="89"/>
      <c r="E74" s="89"/>
      <c r="F74" s="89"/>
      <c r="G74" s="89"/>
      <c r="H74" s="185"/>
      <c r="I74" s="89"/>
      <c r="J74" s="185"/>
      <c r="K74" s="186"/>
    </row>
    <row r="75" spans="2:11">
      <c r="B75" s="89"/>
      <c r="C75" s="89"/>
      <c r="D75" s="89"/>
      <c r="E75" s="89"/>
      <c r="F75" s="89"/>
      <c r="G75" s="89"/>
      <c r="H75" s="185"/>
      <c r="I75" s="89"/>
      <c r="J75" s="185"/>
      <c r="K75" s="186"/>
    </row>
    <row r="76" spans="2:11">
      <c r="B76" s="89"/>
      <c r="C76" s="89"/>
      <c r="D76" s="89"/>
      <c r="E76" s="89"/>
      <c r="F76" s="89"/>
      <c r="G76" s="89"/>
      <c r="H76" s="185"/>
      <c r="I76" s="89"/>
      <c r="J76" s="185"/>
      <c r="K76" s="186"/>
    </row>
    <row r="77" spans="2:11">
      <c r="B77" s="89"/>
      <c r="C77" s="89"/>
      <c r="D77" s="89"/>
      <c r="E77" s="89"/>
      <c r="F77" s="89"/>
      <c r="G77" s="89"/>
      <c r="H77" s="185"/>
      <c r="I77" s="89"/>
      <c r="J77" s="185"/>
      <c r="K77" s="186"/>
    </row>
    <row r="78" spans="2:11">
      <c r="B78" s="89"/>
      <c r="C78" s="89"/>
      <c r="D78" s="89"/>
      <c r="E78" s="89"/>
      <c r="F78" s="89"/>
      <c r="G78" s="89"/>
      <c r="H78" s="185"/>
      <c r="I78" s="89"/>
      <c r="J78" s="185"/>
      <c r="K78" s="186"/>
    </row>
    <row r="79" spans="2:11">
      <c r="B79" s="89"/>
      <c r="C79" s="89"/>
      <c r="D79" s="89"/>
      <c r="E79" s="89"/>
      <c r="F79" s="89"/>
      <c r="G79" s="89"/>
      <c r="H79" s="185"/>
      <c r="I79" s="89"/>
      <c r="J79" s="185"/>
      <c r="K79" s="186"/>
    </row>
    <row r="80" spans="2:11">
      <c r="B80" s="89"/>
      <c r="C80" s="89"/>
      <c r="D80" s="89"/>
      <c r="E80" s="89"/>
      <c r="F80" s="89"/>
      <c r="G80" s="89"/>
      <c r="H80" s="185"/>
      <c r="I80" s="89"/>
      <c r="J80" s="185"/>
      <c r="K80" s="186"/>
    </row>
    <row r="81" spans="2:11">
      <c r="B81" s="89"/>
      <c r="C81" s="89"/>
      <c r="D81" s="89"/>
      <c r="E81" s="89"/>
      <c r="F81" s="89"/>
      <c r="G81" s="89"/>
      <c r="H81" s="185"/>
      <c r="I81" s="89"/>
      <c r="J81" s="185"/>
      <c r="K81" s="186"/>
    </row>
    <row r="82" spans="2:11">
      <c r="B82" s="89"/>
      <c r="C82" s="89"/>
      <c r="D82" s="89"/>
      <c r="E82" s="89"/>
      <c r="F82" s="89"/>
      <c r="G82" s="89"/>
      <c r="H82" s="185"/>
      <c r="I82" s="89"/>
      <c r="J82" s="185"/>
      <c r="K82" s="186"/>
    </row>
    <row r="83" spans="2:11">
      <c r="B83" s="89"/>
      <c r="C83" s="89"/>
      <c r="D83" s="89"/>
      <c r="E83" s="89"/>
      <c r="F83" s="89"/>
      <c r="G83" s="89"/>
      <c r="H83" s="185"/>
      <c r="I83" s="89"/>
      <c r="J83" s="185"/>
      <c r="K83" s="186"/>
    </row>
    <row r="84" spans="2:11">
      <c r="B84" s="89"/>
      <c r="C84" s="89"/>
      <c r="D84" s="89"/>
      <c r="E84" s="89"/>
      <c r="F84" s="89"/>
      <c r="G84" s="89"/>
      <c r="H84" s="185"/>
      <c r="I84" s="89"/>
      <c r="J84" s="185"/>
      <c r="K84" s="186"/>
    </row>
    <row r="85" spans="2:11">
      <c r="B85" s="89"/>
      <c r="C85" s="89"/>
      <c r="D85" s="89"/>
      <c r="E85" s="89"/>
      <c r="F85" s="89"/>
      <c r="G85" s="89"/>
      <c r="H85" s="185"/>
      <c r="I85" s="89"/>
      <c r="J85" s="185"/>
      <c r="K85" s="186"/>
    </row>
    <row r="86" spans="2:11">
      <c r="B86" s="89"/>
      <c r="C86" s="89"/>
      <c r="D86" s="89"/>
      <c r="E86" s="89"/>
      <c r="F86" s="89"/>
      <c r="G86" s="89"/>
      <c r="H86" s="185"/>
      <c r="I86" s="89"/>
      <c r="J86" s="185"/>
      <c r="K86" s="186"/>
    </row>
    <row r="87" spans="2:11">
      <c r="B87" s="89"/>
      <c r="C87" s="89"/>
      <c r="D87" s="89"/>
      <c r="E87" s="89"/>
      <c r="F87" s="89"/>
      <c r="G87" s="89"/>
      <c r="H87" s="185"/>
      <c r="I87" s="89"/>
      <c r="J87" s="185"/>
      <c r="K87" s="186"/>
    </row>
    <row r="88" spans="2:11">
      <c r="B88" s="89"/>
      <c r="C88" s="89"/>
      <c r="D88" s="89"/>
      <c r="E88" s="89"/>
      <c r="F88" s="89"/>
      <c r="G88" s="89"/>
      <c r="H88" s="185"/>
      <c r="I88" s="89"/>
      <c r="J88" s="185"/>
      <c r="K88" s="186"/>
    </row>
    <row r="89" spans="2:11">
      <c r="B89" s="89"/>
      <c r="C89" s="89"/>
      <c r="D89" s="89"/>
      <c r="E89" s="89"/>
      <c r="F89" s="89"/>
      <c r="G89" s="89"/>
      <c r="H89" s="185"/>
      <c r="I89" s="89"/>
      <c r="J89" s="185"/>
      <c r="K89" s="186"/>
    </row>
    <row r="90" spans="2:11">
      <c r="B90" s="89"/>
      <c r="C90" s="89"/>
      <c r="D90" s="89"/>
      <c r="E90" s="89"/>
      <c r="F90" s="89"/>
      <c r="G90" s="89"/>
      <c r="H90" s="185"/>
      <c r="I90" s="89"/>
      <c r="J90" s="185"/>
      <c r="K90" s="186"/>
    </row>
    <row r="91" spans="2:11">
      <c r="B91" s="89"/>
      <c r="C91" s="89"/>
      <c r="D91" s="89"/>
      <c r="E91" s="89"/>
      <c r="F91" s="89"/>
      <c r="G91" s="89"/>
      <c r="H91" s="185"/>
      <c r="I91" s="89"/>
      <c r="J91" s="185"/>
      <c r="K91" s="186"/>
    </row>
    <row r="92" spans="2:11">
      <c r="B92" s="89"/>
      <c r="C92" s="89"/>
      <c r="D92" s="89"/>
      <c r="E92" s="89"/>
      <c r="F92" s="89"/>
      <c r="G92" s="89"/>
      <c r="H92" s="185"/>
      <c r="I92" s="89"/>
      <c r="J92" s="185"/>
      <c r="K92" s="186"/>
    </row>
    <row r="93" spans="2:11">
      <c r="B93" s="89"/>
      <c r="C93" s="89"/>
      <c r="D93" s="89"/>
      <c r="E93" s="89"/>
      <c r="F93" s="89"/>
      <c r="G93" s="89"/>
      <c r="H93" s="185"/>
      <c r="I93" s="89"/>
      <c r="J93" s="185"/>
      <c r="K93" s="186"/>
    </row>
    <row r="94" spans="2:11">
      <c r="B94" s="89"/>
      <c r="C94" s="89"/>
      <c r="D94" s="89"/>
      <c r="E94" s="89"/>
      <c r="F94" s="89"/>
      <c r="G94" s="89"/>
      <c r="H94" s="185"/>
      <c r="I94" s="89"/>
      <c r="J94" s="185"/>
      <c r="K94" s="186"/>
    </row>
    <row r="95" spans="2:11">
      <c r="B95" s="89"/>
      <c r="C95" s="89"/>
      <c r="D95" s="89"/>
      <c r="E95" s="89"/>
      <c r="F95" s="89"/>
      <c r="G95" s="89"/>
      <c r="H95" s="185"/>
      <c r="I95" s="89"/>
      <c r="J95" s="185"/>
      <c r="K95" s="186"/>
    </row>
    <row r="96" spans="2:11">
      <c r="B96" s="89"/>
      <c r="C96" s="89"/>
      <c r="D96" s="89"/>
      <c r="E96" s="89"/>
      <c r="F96" s="89"/>
      <c r="G96" s="89"/>
      <c r="H96" s="185"/>
      <c r="I96" s="89"/>
      <c r="J96" s="185"/>
      <c r="K96" s="186"/>
    </row>
    <row r="97" spans="2:11">
      <c r="B97" s="89"/>
      <c r="C97" s="89"/>
      <c r="D97" s="89"/>
      <c r="E97" s="89"/>
      <c r="F97" s="89"/>
      <c r="G97" s="89"/>
      <c r="H97" s="185"/>
      <c r="I97" s="89"/>
      <c r="J97" s="185"/>
      <c r="K97" s="186"/>
    </row>
    <row r="98" spans="2:11">
      <c r="B98" s="89"/>
      <c r="C98" s="89"/>
      <c r="D98" s="89"/>
      <c r="E98" s="89"/>
      <c r="F98" s="89"/>
      <c r="G98" s="89"/>
      <c r="H98" s="185"/>
      <c r="I98" s="89"/>
      <c r="J98" s="185"/>
      <c r="K98" s="186"/>
    </row>
    <row r="99" spans="2:11">
      <c r="B99" s="89"/>
      <c r="C99" s="89"/>
      <c r="D99" s="89"/>
      <c r="E99" s="89"/>
      <c r="F99" s="89"/>
      <c r="G99" s="89"/>
      <c r="H99" s="185"/>
      <c r="I99" s="89"/>
      <c r="J99" s="185"/>
      <c r="K99" s="186"/>
    </row>
    <row r="100" spans="2:11">
      <c r="B100" s="89"/>
      <c r="C100" s="89"/>
      <c r="D100" s="89"/>
      <c r="E100" s="89"/>
      <c r="F100" s="89"/>
      <c r="G100" s="89"/>
      <c r="H100" s="185"/>
      <c r="I100" s="89"/>
      <c r="J100" s="185"/>
      <c r="K100" s="186"/>
    </row>
    <row r="101" spans="2:11">
      <c r="B101" s="89"/>
      <c r="C101" s="89"/>
      <c r="D101" s="89"/>
      <c r="E101" s="89"/>
      <c r="F101" s="89"/>
      <c r="G101" s="89"/>
      <c r="H101" s="185"/>
      <c r="I101" s="89"/>
      <c r="J101" s="185"/>
      <c r="K101" s="186"/>
    </row>
    <row r="102" spans="2:11">
      <c r="B102" s="89"/>
      <c r="C102" s="89"/>
      <c r="D102" s="89"/>
      <c r="E102" s="89"/>
      <c r="F102" s="89"/>
      <c r="G102" s="89"/>
      <c r="H102" s="185"/>
      <c r="I102" s="89"/>
      <c r="J102" s="185"/>
      <c r="K102" s="186"/>
    </row>
    <row r="103" spans="2:11">
      <c r="B103" s="89"/>
      <c r="C103" s="89"/>
      <c r="D103" s="89"/>
      <c r="E103" s="89"/>
      <c r="F103" s="89"/>
      <c r="G103" s="89"/>
      <c r="H103" s="185"/>
      <c r="I103" s="89"/>
      <c r="J103" s="185"/>
      <c r="K103" s="186"/>
    </row>
    <row r="104" spans="2:11">
      <c r="B104" s="89"/>
      <c r="C104" s="89"/>
      <c r="D104" s="89"/>
      <c r="E104" s="89"/>
      <c r="F104" s="89"/>
      <c r="G104" s="89"/>
      <c r="H104" s="185"/>
      <c r="I104" s="89"/>
      <c r="J104" s="185"/>
      <c r="K104" s="186"/>
    </row>
    <row r="105" spans="2:11">
      <c r="B105" s="89"/>
      <c r="C105" s="89"/>
      <c r="D105" s="89"/>
      <c r="E105" s="89"/>
      <c r="F105" s="89"/>
      <c r="G105" s="89"/>
      <c r="H105" s="185"/>
      <c r="I105" s="89"/>
      <c r="J105" s="185"/>
      <c r="K105" s="186"/>
    </row>
    <row r="106" spans="2:11">
      <c r="B106" s="89"/>
      <c r="C106" s="89"/>
      <c r="D106" s="89"/>
      <c r="E106" s="89"/>
      <c r="F106" s="89"/>
      <c r="G106" s="89"/>
      <c r="H106" s="185"/>
      <c r="I106" s="89"/>
      <c r="J106" s="185"/>
      <c r="K106" s="186"/>
    </row>
    <row r="107" spans="2:11">
      <c r="B107" s="89"/>
      <c r="C107" s="89"/>
      <c r="D107" s="89"/>
      <c r="E107" s="89"/>
      <c r="F107" s="89"/>
      <c r="G107" s="89"/>
      <c r="H107" s="185"/>
      <c r="I107" s="89"/>
      <c r="J107" s="185"/>
      <c r="K107" s="186"/>
    </row>
    <row r="108" spans="2:11">
      <c r="B108" s="89"/>
      <c r="C108" s="89"/>
      <c r="D108" s="89"/>
      <c r="E108" s="89"/>
      <c r="F108" s="89"/>
      <c r="G108" s="89"/>
      <c r="H108" s="185"/>
      <c r="I108" s="89"/>
      <c r="J108" s="185"/>
      <c r="K108" s="186"/>
    </row>
    <row r="109" spans="2:11">
      <c r="B109" s="89"/>
      <c r="C109" s="89"/>
      <c r="D109" s="89"/>
      <c r="E109" s="89"/>
      <c r="F109" s="89"/>
      <c r="G109" s="89"/>
      <c r="H109" s="185"/>
      <c r="I109" s="89"/>
      <c r="J109" s="185"/>
      <c r="K109" s="186"/>
    </row>
    <row r="110" spans="2:11">
      <c r="B110" s="89"/>
      <c r="C110" s="89"/>
      <c r="D110" s="89"/>
      <c r="E110" s="89"/>
      <c r="F110" s="89"/>
      <c r="G110" s="89"/>
      <c r="H110" s="185"/>
      <c r="I110" s="89"/>
      <c r="J110" s="185"/>
      <c r="K110" s="186"/>
    </row>
    <row r="111" spans="2:11">
      <c r="B111" s="89"/>
      <c r="C111" s="89"/>
      <c r="D111" s="89"/>
      <c r="E111" s="89"/>
      <c r="F111" s="89"/>
      <c r="G111" s="89"/>
      <c r="H111" s="185"/>
      <c r="I111" s="89"/>
      <c r="J111" s="185"/>
      <c r="K111" s="186"/>
    </row>
    <row r="112" spans="2:11">
      <c r="B112" s="89"/>
      <c r="C112" s="89"/>
      <c r="D112" s="89"/>
      <c r="E112" s="89"/>
      <c r="F112" s="89"/>
      <c r="G112" s="89"/>
      <c r="H112" s="185"/>
      <c r="I112" s="89"/>
      <c r="J112" s="185"/>
      <c r="K112" s="186"/>
    </row>
    <row r="113" spans="2:11">
      <c r="B113" s="89"/>
      <c r="C113" s="89"/>
      <c r="D113" s="89"/>
      <c r="E113" s="89"/>
      <c r="F113" s="89"/>
      <c r="G113" s="89"/>
      <c r="H113" s="185"/>
      <c r="I113" s="89"/>
      <c r="J113" s="185"/>
      <c r="K113" s="186"/>
    </row>
    <row r="114" spans="2:11">
      <c r="B114" s="89"/>
      <c r="C114" s="89"/>
      <c r="D114" s="89"/>
      <c r="E114" s="89"/>
      <c r="F114" s="89"/>
      <c r="G114" s="89"/>
      <c r="H114" s="185"/>
      <c r="I114" s="89"/>
      <c r="J114" s="185"/>
      <c r="K114" s="186"/>
    </row>
    <row r="115" spans="2:11">
      <c r="B115" s="89"/>
      <c r="C115" s="89"/>
      <c r="D115" s="89"/>
      <c r="E115" s="89"/>
      <c r="F115" s="89"/>
      <c r="G115" s="89"/>
      <c r="H115" s="185"/>
      <c r="I115" s="89"/>
      <c r="J115" s="185"/>
      <c r="K115" s="186"/>
    </row>
    <row r="116" spans="2:11">
      <c r="B116" s="89"/>
      <c r="C116" s="89"/>
      <c r="D116" s="89"/>
      <c r="E116" s="89"/>
      <c r="F116" s="89"/>
      <c r="G116" s="89"/>
      <c r="H116" s="185"/>
      <c r="I116" s="89"/>
      <c r="J116" s="185"/>
      <c r="K116" s="186"/>
    </row>
    <row r="117" spans="2:11">
      <c r="B117" s="89"/>
      <c r="C117" s="89"/>
      <c r="D117" s="89"/>
      <c r="E117" s="89"/>
      <c r="F117" s="89"/>
      <c r="G117" s="89"/>
      <c r="H117" s="185"/>
      <c r="I117" s="89"/>
      <c r="J117" s="185"/>
      <c r="K117" s="186"/>
    </row>
    <row r="118" spans="2:11">
      <c r="B118" s="89"/>
      <c r="C118" s="89"/>
      <c r="D118" s="89"/>
      <c r="E118" s="89"/>
      <c r="F118" s="89"/>
      <c r="G118" s="89"/>
      <c r="H118" s="185"/>
      <c r="I118" s="89"/>
      <c r="J118" s="185"/>
      <c r="K118" s="186"/>
    </row>
    <row r="119" spans="2:11">
      <c r="B119" s="89"/>
      <c r="C119" s="89"/>
      <c r="D119" s="89"/>
      <c r="E119" s="89"/>
      <c r="F119" s="89"/>
      <c r="G119" s="89"/>
      <c r="H119" s="185"/>
      <c r="I119" s="89"/>
      <c r="J119" s="185"/>
      <c r="K119" s="186"/>
    </row>
    <row r="120" spans="2:11">
      <c r="B120" s="89"/>
      <c r="C120" s="89"/>
      <c r="D120" s="89"/>
      <c r="E120" s="89"/>
      <c r="F120" s="89"/>
      <c r="G120" s="89"/>
      <c r="H120" s="185"/>
      <c r="I120" s="89"/>
      <c r="J120" s="185"/>
      <c r="K120" s="186"/>
    </row>
    <row r="121" spans="2:11">
      <c r="B121" s="89"/>
      <c r="C121" s="89"/>
      <c r="D121" s="89"/>
      <c r="E121" s="89"/>
      <c r="F121" s="89"/>
      <c r="G121" s="89"/>
      <c r="H121" s="185"/>
      <c r="I121" s="89"/>
      <c r="J121" s="185"/>
      <c r="K121" s="186"/>
    </row>
    <row r="122" spans="2:11">
      <c r="B122" s="89"/>
      <c r="C122" s="89"/>
      <c r="D122" s="89"/>
      <c r="E122" s="89"/>
      <c r="F122" s="89"/>
      <c r="G122" s="89"/>
      <c r="H122" s="185"/>
      <c r="I122" s="89"/>
      <c r="J122" s="185"/>
      <c r="K122" s="186"/>
    </row>
    <row r="123" spans="2:11">
      <c r="B123" s="89"/>
      <c r="C123" s="89"/>
      <c r="D123" s="89"/>
      <c r="E123" s="89"/>
      <c r="F123" s="89"/>
      <c r="G123" s="89"/>
      <c r="H123" s="185"/>
      <c r="I123" s="89"/>
      <c r="J123" s="185"/>
      <c r="K123" s="186"/>
    </row>
    <row r="124" spans="2:11">
      <c r="B124" s="89"/>
      <c r="C124" s="89"/>
      <c r="D124" s="89"/>
      <c r="E124" s="89"/>
      <c r="F124" s="89"/>
      <c r="G124" s="89"/>
      <c r="H124" s="185"/>
      <c r="I124" s="89"/>
      <c r="J124" s="185"/>
      <c r="K124" s="186"/>
    </row>
    <row r="125" spans="2:11">
      <c r="B125" s="89"/>
      <c r="C125" s="89"/>
      <c r="D125" s="89"/>
      <c r="E125" s="89"/>
      <c r="F125" s="89"/>
      <c r="G125" s="89"/>
      <c r="H125" s="185"/>
      <c r="I125" s="89"/>
      <c r="J125" s="185"/>
      <c r="K125" s="186"/>
    </row>
    <row r="126" spans="2:11">
      <c r="B126" s="89"/>
      <c r="C126" s="89"/>
      <c r="D126" s="89"/>
      <c r="E126" s="89"/>
      <c r="F126" s="89"/>
      <c r="G126" s="89"/>
      <c r="H126" s="185"/>
      <c r="I126" s="89"/>
      <c r="J126" s="185"/>
      <c r="K126" s="186"/>
    </row>
    <row r="127" spans="2:11">
      <c r="B127" s="89"/>
      <c r="C127" s="89"/>
      <c r="D127" s="89"/>
      <c r="E127" s="89"/>
      <c r="F127" s="89"/>
      <c r="G127" s="89"/>
      <c r="H127" s="185"/>
      <c r="I127" s="89"/>
      <c r="J127" s="185"/>
      <c r="K127" s="186"/>
    </row>
    <row r="128" spans="2:11">
      <c r="B128" s="89"/>
      <c r="C128" s="89"/>
      <c r="D128" s="89"/>
      <c r="E128" s="89"/>
      <c r="F128" s="89"/>
      <c r="G128" s="89"/>
      <c r="H128" s="185"/>
      <c r="I128" s="89"/>
      <c r="J128" s="185"/>
      <c r="K128" s="186"/>
    </row>
    <row r="129" spans="2:11">
      <c r="B129" s="89"/>
      <c r="C129" s="89"/>
      <c r="D129" s="89"/>
      <c r="E129" s="89"/>
      <c r="F129" s="89"/>
      <c r="G129" s="89"/>
      <c r="H129" s="185"/>
      <c r="I129" s="89"/>
      <c r="J129" s="185"/>
      <c r="K129" s="186"/>
    </row>
    <row r="130" spans="2:11">
      <c r="B130" s="89"/>
      <c r="C130" s="89"/>
      <c r="D130" s="89"/>
      <c r="E130" s="89"/>
      <c r="F130" s="89"/>
      <c r="G130" s="89"/>
      <c r="H130" s="185"/>
      <c r="I130" s="89"/>
      <c r="J130" s="185"/>
      <c r="K130" s="186"/>
    </row>
    <row r="131" spans="2:11">
      <c r="B131" s="89"/>
      <c r="C131" s="89"/>
      <c r="D131" s="89"/>
      <c r="E131" s="89"/>
      <c r="F131" s="89"/>
      <c r="G131" s="89"/>
      <c r="H131" s="185"/>
      <c r="I131" s="89"/>
      <c r="J131" s="185"/>
      <c r="K131" s="186"/>
    </row>
    <row r="132" spans="2:11">
      <c r="B132" s="89"/>
      <c r="C132" s="89"/>
      <c r="D132" s="89"/>
      <c r="E132" s="89"/>
      <c r="F132" s="89"/>
      <c r="G132" s="89"/>
      <c r="H132" s="185"/>
      <c r="I132" s="89"/>
      <c r="J132" s="185"/>
      <c r="K132" s="186"/>
    </row>
    <row r="133" spans="2:11">
      <c r="B133" s="89"/>
      <c r="C133" s="89"/>
      <c r="D133" s="89"/>
      <c r="E133" s="89"/>
      <c r="F133" s="89"/>
      <c r="G133" s="89"/>
      <c r="H133" s="185"/>
      <c r="I133" s="89"/>
      <c r="J133" s="185"/>
      <c r="K133" s="186"/>
    </row>
    <row r="134" spans="2:11">
      <c r="B134" s="89"/>
      <c r="C134" s="89"/>
      <c r="D134" s="89"/>
      <c r="E134" s="89"/>
      <c r="F134" s="89"/>
      <c r="G134" s="89"/>
      <c r="H134" s="185"/>
      <c r="I134" s="89"/>
      <c r="J134" s="185"/>
      <c r="K134" s="186"/>
    </row>
    <row r="135" spans="2:11">
      <c r="B135" s="89"/>
      <c r="C135" s="89"/>
      <c r="D135" s="89"/>
      <c r="E135" s="89"/>
      <c r="F135" s="89"/>
      <c r="G135" s="89"/>
      <c r="H135" s="185"/>
      <c r="I135" s="89"/>
      <c r="J135" s="185"/>
      <c r="K135" s="186"/>
    </row>
    <row r="136" spans="2:11">
      <c r="B136" s="89"/>
      <c r="C136" s="89"/>
      <c r="D136" s="89"/>
      <c r="E136" s="89"/>
      <c r="F136" s="89"/>
      <c r="G136" s="89"/>
      <c r="H136" s="185"/>
      <c r="I136" s="89"/>
      <c r="J136" s="185"/>
      <c r="K136" s="186"/>
    </row>
    <row r="137" spans="2:11">
      <c r="B137" s="89"/>
      <c r="C137" s="89"/>
      <c r="D137" s="89"/>
      <c r="E137" s="89"/>
      <c r="F137" s="89"/>
      <c r="G137" s="89"/>
      <c r="H137" s="185"/>
      <c r="I137" s="89"/>
      <c r="J137" s="185"/>
      <c r="K137" s="186"/>
    </row>
    <row r="138" spans="2:11">
      <c r="B138" s="89"/>
      <c r="C138" s="89"/>
      <c r="D138" s="89"/>
      <c r="E138" s="89"/>
      <c r="F138" s="89"/>
      <c r="G138" s="89"/>
      <c r="H138" s="185"/>
      <c r="I138" s="89"/>
      <c r="J138" s="185"/>
      <c r="K138" s="186"/>
    </row>
    <row r="139" spans="2:11">
      <c r="B139" s="89"/>
      <c r="C139" s="89"/>
      <c r="D139" s="89"/>
      <c r="E139" s="89"/>
      <c r="F139" s="89"/>
      <c r="G139" s="89"/>
      <c r="H139" s="185"/>
      <c r="I139" s="89"/>
      <c r="J139" s="185"/>
      <c r="K139" s="186"/>
    </row>
    <row r="140" spans="2:11">
      <c r="B140" s="89"/>
      <c r="C140" s="89"/>
      <c r="D140" s="89"/>
      <c r="E140" s="89"/>
      <c r="F140" s="89"/>
      <c r="G140" s="89"/>
      <c r="H140" s="185"/>
      <c r="I140" s="89"/>
      <c r="J140" s="185"/>
      <c r="K140" s="186"/>
    </row>
    <row r="141" spans="2:11">
      <c r="B141" s="89"/>
      <c r="C141" s="89"/>
      <c r="D141" s="89"/>
      <c r="E141" s="89"/>
      <c r="F141" s="89"/>
      <c r="G141" s="89"/>
      <c r="H141" s="185"/>
      <c r="I141" s="89"/>
      <c r="J141" s="185"/>
      <c r="K141" s="186"/>
    </row>
    <row r="142" spans="2:11">
      <c r="B142" s="89"/>
      <c r="C142" s="89"/>
      <c r="D142" s="89"/>
      <c r="E142" s="89"/>
      <c r="F142" s="89"/>
      <c r="G142" s="89"/>
      <c r="H142" s="185"/>
      <c r="I142" s="89"/>
      <c r="J142" s="185"/>
      <c r="K142" s="186"/>
    </row>
    <row r="143" spans="2:11">
      <c r="B143" s="89"/>
      <c r="C143" s="89"/>
      <c r="D143" s="89"/>
      <c r="E143" s="89"/>
      <c r="F143" s="89"/>
      <c r="G143" s="89"/>
      <c r="H143" s="185"/>
      <c r="I143" s="89"/>
      <c r="J143" s="185"/>
      <c r="K143" s="186"/>
    </row>
    <row r="144" spans="2:11">
      <c r="B144" s="89"/>
      <c r="C144" s="89"/>
      <c r="D144" s="89"/>
      <c r="E144" s="89"/>
      <c r="F144" s="89"/>
      <c r="G144" s="89"/>
      <c r="H144" s="185"/>
      <c r="I144" s="89"/>
      <c r="J144" s="185"/>
      <c r="K144" s="186"/>
    </row>
    <row r="145" spans="2:11">
      <c r="B145" s="89"/>
      <c r="C145" s="89"/>
      <c r="D145" s="89"/>
      <c r="E145" s="89"/>
      <c r="F145" s="89"/>
      <c r="G145" s="89"/>
      <c r="H145" s="185"/>
      <c r="I145" s="89"/>
      <c r="J145" s="185"/>
      <c r="K145" s="186"/>
    </row>
    <row r="146" spans="2:11">
      <c r="B146" s="89"/>
      <c r="C146" s="89"/>
      <c r="D146" s="89"/>
      <c r="E146" s="89"/>
      <c r="F146" s="89"/>
      <c r="G146" s="89"/>
      <c r="H146" s="185"/>
      <c r="I146" s="89"/>
      <c r="J146" s="185"/>
      <c r="K146" s="186"/>
    </row>
    <row r="147" spans="2:11">
      <c r="B147" s="89"/>
      <c r="C147" s="89"/>
      <c r="D147" s="89"/>
      <c r="E147" s="89"/>
      <c r="F147" s="89"/>
      <c r="G147" s="89"/>
      <c r="H147" s="185"/>
      <c r="I147" s="89"/>
      <c r="J147" s="185"/>
      <c r="K147" s="186"/>
    </row>
    <row r="148" spans="2:11">
      <c r="B148" s="89"/>
      <c r="C148" s="89"/>
      <c r="D148" s="89"/>
      <c r="E148" s="89"/>
      <c r="F148" s="89"/>
      <c r="G148" s="89"/>
      <c r="H148" s="185"/>
      <c r="I148" s="89"/>
      <c r="J148" s="185"/>
      <c r="K148" s="186"/>
    </row>
    <row r="149" spans="2:11">
      <c r="B149" s="89"/>
      <c r="C149" s="89"/>
      <c r="D149" s="89"/>
      <c r="E149" s="89"/>
      <c r="F149" s="89"/>
      <c r="G149" s="89"/>
      <c r="H149" s="185"/>
      <c r="I149" s="89"/>
      <c r="J149" s="185"/>
      <c r="K149" s="186"/>
    </row>
    <row r="150" spans="2:11">
      <c r="B150" s="89"/>
      <c r="C150" s="89"/>
      <c r="D150" s="89"/>
      <c r="E150" s="89"/>
      <c r="F150" s="89"/>
      <c r="G150" s="89"/>
      <c r="H150" s="185"/>
      <c r="I150" s="89"/>
      <c r="J150" s="185"/>
      <c r="K150" s="186"/>
    </row>
    <row r="151" spans="2:11">
      <c r="B151" s="89"/>
      <c r="C151" s="89"/>
      <c r="D151" s="89"/>
      <c r="E151" s="89"/>
      <c r="F151" s="89"/>
      <c r="G151" s="89"/>
      <c r="H151" s="185"/>
      <c r="I151" s="89"/>
      <c r="J151" s="185"/>
      <c r="K151" s="186"/>
    </row>
    <row r="152" spans="2:11">
      <c r="B152" s="89"/>
      <c r="C152" s="89"/>
      <c r="D152" s="89"/>
      <c r="E152" s="89"/>
      <c r="F152" s="89"/>
      <c r="G152" s="89"/>
      <c r="H152" s="185"/>
      <c r="I152" s="89"/>
      <c r="J152" s="185"/>
      <c r="K152" s="186"/>
    </row>
    <row r="153" spans="2:11">
      <c r="B153" s="89"/>
      <c r="C153" s="89"/>
      <c r="D153" s="89"/>
      <c r="E153" s="89"/>
      <c r="F153" s="89"/>
      <c r="G153" s="89"/>
      <c r="H153" s="185"/>
      <c r="I153" s="89"/>
      <c r="J153" s="185"/>
      <c r="K153" s="186"/>
    </row>
    <row r="154" spans="2:11">
      <c r="B154" s="89"/>
      <c r="C154" s="89"/>
      <c r="D154" s="89"/>
      <c r="E154" s="89"/>
      <c r="F154" s="89"/>
      <c r="G154" s="89"/>
      <c r="H154" s="185"/>
      <c r="I154" s="89"/>
      <c r="J154" s="185"/>
      <c r="K154" s="186"/>
    </row>
    <row r="155" spans="2:11">
      <c r="B155" s="89"/>
      <c r="C155" s="89"/>
      <c r="D155" s="89"/>
      <c r="E155" s="89"/>
      <c r="F155" s="89"/>
      <c r="G155" s="89"/>
      <c r="H155" s="185"/>
      <c r="I155" s="89"/>
      <c r="J155" s="185"/>
      <c r="K155" s="186"/>
    </row>
    <row r="156" spans="2:11">
      <c r="B156" s="89"/>
      <c r="C156" s="89"/>
      <c r="D156" s="89"/>
      <c r="E156" s="89"/>
      <c r="F156" s="89"/>
      <c r="G156" s="89"/>
      <c r="H156" s="185"/>
      <c r="I156" s="89"/>
      <c r="J156" s="185"/>
      <c r="K156" s="186"/>
    </row>
    <row r="157" spans="2:11">
      <c r="B157" s="89"/>
      <c r="C157" s="89"/>
      <c r="D157" s="89"/>
      <c r="E157" s="89"/>
      <c r="F157" s="89"/>
      <c r="G157" s="89"/>
      <c r="H157" s="185"/>
      <c r="I157" s="89"/>
      <c r="J157" s="185"/>
      <c r="K157" s="186"/>
    </row>
    <row r="158" spans="2:11">
      <c r="B158" s="89"/>
      <c r="C158" s="89"/>
      <c r="D158" s="89"/>
      <c r="E158" s="89"/>
      <c r="F158" s="89"/>
      <c r="G158" s="89"/>
      <c r="H158" s="185"/>
      <c r="I158" s="89"/>
      <c r="J158" s="185"/>
      <c r="K158" s="186"/>
    </row>
    <row r="159" spans="2:11">
      <c r="B159" s="89"/>
      <c r="C159" s="89"/>
      <c r="D159" s="89"/>
      <c r="E159" s="89"/>
      <c r="F159" s="89"/>
      <c r="G159" s="89"/>
      <c r="H159" s="185"/>
      <c r="I159" s="89"/>
      <c r="J159" s="185"/>
      <c r="K159" s="186"/>
    </row>
    <row r="160" spans="2:11">
      <c r="B160" s="89"/>
      <c r="C160" s="89"/>
      <c r="D160" s="89"/>
      <c r="E160" s="89"/>
      <c r="F160" s="89"/>
      <c r="G160" s="89"/>
      <c r="H160" s="185"/>
      <c r="I160" s="89"/>
      <c r="J160" s="185"/>
      <c r="K160" s="186"/>
    </row>
    <row r="161" spans="2:11">
      <c r="B161" s="89"/>
      <c r="C161" s="89"/>
      <c r="D161" s="89"/>
      <c r="E161" s="89"/>
      <c r="F161" s="89"/>
      <c r="G161" s="89"/>
      <c r="H161" s="185"/>
      <c r="I161" s="89"/>
      <c r="J161" s="185"/>
      <c r="K161" s="186"/>
    </row>
    <row r="162" spans="2:11">
      <c r="B162" s="89"/>
      <c r="C162" s="89"/>
      <c r="D162" s="89"/>
      <c r="E162" s="89"/>
      <c r="F162" s="89"/>
      <c r="G162" s="89"/>
      <c r="H162" s="185"/>
      <c r="I162" s="89"/>
      <c r="J162" s="185"/>
      <c r="K162" s="186"/>
    </row>
    <row r="163" spans="2:11">
      <c r="B163" s="89"/>
      <c r="C163" s="89"/>
      <c r="D163" s="89"/>
      <c r="E163" s="89"/>
      <c r="F163" s="89"/>
      <c r="G163" s="89"/>
      <c r="H163" s="185"/>
      <c r="I163" s="89"/>
      <c r="J163" s="185"/>
      <c r="K163" s="186"/>
    </row>
    <row r="164" spans="2:11">
      <c r="B164" s="89"/>
      <c r="C164" s="89"/>
      <c r="D164" s="89"/>
      <c r="E164" s="89"/>
      <c r="F164" s="89"/>
      <c r="G164" s="89"/>
      <c r="H164" s="185"/>
      <c r="I164" s="89"/>
      <c r="J164" s="185"/>
      <c r="K164" s="186"/>
    </row>
    <row r="165" spans="2:11">
      <c r="B165" s="89"/>
      <c r="C165" s="89"/>
      <c r="D165" s="89"/>
      <c r="E165" s="89"/>
      <c r="F165" s="89"/>
      <c r="G165" s="89"/>
      <c r="H165" s="185"/>
      <c r="I165" s="89"/>
      <c r="J165" s="185"/>
      <c r="K165" s="186"/>
    </row>
    <row r="166" spans="2:11">
      <c r="B166" s="89"/>
      <c r="C166" s="89"/>
      <c r="D166" s="89"/>
      <c r="E166" s="89"/>
      <c r="F166" s="89"/>
      <c r="G166" s="89"/>
      <c r="H166" s="185"/>
      <c r="I166" s="89"/>
      <c r="J166" s="185"/>
      <c r="K166" s="186"/>
    </row>
    <row r="167" spans="2:11">
      <c r="B167" s="89"/>
      <c r="C167" s="89"/>
      <c r="D167" s="89"/>
      <c r="E167" s="89"/>
      <c r="F167" s="89"/>
      <c r="G167" s="89"/>
      <c r="H167" s="185"/>
      <c r="I167" s="89"/>
      <c r="J167" s="185"/>
      <c r="K167" s="186"/>
    </row>
    <row r="168" spans="2:11">
      <c r="B168" s="89"/>
      <c r="C168" s="89"/>
      <c r="D168" s="89"/>
      <c r="E168" s="89"/>
      <c r="F168" s="89"/>
      <c r="G168" s="89"/>
      <c r="H168" s="185"/>
      <c r="I168" s="89"/>
      <c r="J168" s="185"/>
      <c r="K168" s="186"/>
    </row>
    <row r="169" spans="2:11">
      <c r="B169" s="89"/>
      <c r="C169" s="89"/>
      <c r="D169" s="89"/>
      <c r="E169" s="89"/>
      <c r="F169" s="89"/>
      <c r="G169" s="89"/>
      <c r="H169" s="185"/>
      <c r="I169" s="89"/>
      <c r="J169" s="185"/>
      <c r="K169" s="186"/>
    </row>
    <row r="170" spans="2:11">
      <c r="B170" s="89"/>
      <c r="C170" s="89"/>
      <c r="D170" s="89"/>
      <c r="E170" s="89"/>
      <c r="F170" s="89"/>
      <c r="G170" s="89"/>
      <c r="H170" s="185"/>
      <c r="I170" s="89"/>
      <c r="J170" s="185"/>
      <c r="K170" s="186"/>
    </row>
    <row r="171" spans="2:11">
      <c r="B171" s="89"/>
      <c r="C171" s="89"/>
      <c r="D171" s="89"/>
      <c r="E171" s="89"/>
      <c r="F171" s="89"/>
      <c r="G171" s="89"/>
      <c r="H171" s="185"/>
      <c r="I171" s="89"/>
      <c r="J171" s="185"/>
      <c r="K171" s="186"/>
    </row>
    <row r="172" spans="2:11">
      <c r="B172" s="89"/>
      <c r="C172" s="89"/>
      <c r="D172" s="89"/>
      <c r="E172" s="89"/>
      <c r="F172" s="89"/>
      <c r="G172" s="89"/>
      <c r="H172" s="185"/>
      <c r="I172" s="89"/>
      <c r="J172" s="185"/>
      <c r="K172" s="186"/>
    </row>
    <row r="173" spans="2:11">
      <c r="B173" s="89"/>
      <c r="C173" s="89"/>
      <c r="D173" s="89"/>
      <c r="E173" s="89"/>
      <c r="F173" s="89"/>
      <c r="G173" s="89"/>
      <c r="H173" s="185"/>
      <c r="I173" s="89"/>
      <c r="J173" s="185"/>
      <c r="K173" s="186"/>
    </row>
    <row r="174" spans="2:11">
      <c r="B174" s="89"/>
      <c r="C174" s="89"/>
      <c r="D174" s="89"/>
      <c r="E174" s="89"/>
      <c r="F174" s="89"/>
      <c r="G174" s="89"/>
      <c r="H174" s="185"/>
      <c r="I174" s="89"/>
      <c r="J174" s="185"/>
      <c r="K174" s="186"/>
    </row>
    <row r="175" spans="2:11">
      <c r="B175" s="89"/>
      <c r="C175" s="89"/>
      <c r="D175" s="89"/>
      <c r="E175" s="89"/>
      <c r="F175" s="89"/>
      <c r="G175" s="89"/>
      <c r="H175" s="185"/>
      <c r="I175" s="89"/>
      <c r="J175" s="185"/>
      <c r="K175" s="186"/>
    </row>
    <row r="176" spans="2:11">
      <c r="B176" s="89"/>
      <c r="C176" s="89"/>
      <c r="D176" s="89"/>
      <c r="E176" s="89"/>
      <c r="F176" s="89"/>
      <c r="G176" s="89"/>
      <c r="H176" s="185"/>
      <c r="I176" s="89"/>
      <c r="J176" s="185"/>
      <c r="K176" s="186"/>
    </row>
    <row r="177" spans="2:11">
      <c r="B177" s="89"/>
      <c r="C177" s="89"/>
      <c r="D177" s="89"/>
      <c r="E177" s="89"/>
      <c r="F177" s="89"/>
      <c r="G177" s="89"/>
      <c r="H177" s="185"/>
      <c r="I177" s="89"/>
      <c r="J177" s="185"/>
      <c r="K177" s="186"/>
    </row>
    <row r="178" spans="2:11">
      <c r="B178" s="89"/>
      <c r="C178" s="89"/>
      <c r="D178" s="89"/>
      <c r="E178" s="89"/>
      <c r="F178" s="89"/>
      <c r="G178" s="89"/>
      <c r="H178" s="185"/>
      <c r="I178" s="89"/>
      <c r="J178" s="185"/>
      <c r="K178" s="186"/>
    </row>
    <row r="179" spans="2:11">
      <c r="B179" s="89"/>
      <c r="C179" s="89"/>
      <c r="D179" s="89"/>
      <c r="E179" s="89"/>
      <c r="F179" s="89"/>
      <c r="G179" s="89"/>
      <c r="H179" s="185"/>
      <c r="I179" s="89"/>
      <c r="J179" s="185"/>
      <c r="K179" s="186"/>
    </row>
    <row r="180" spans="2:11">
      <c r="B180" s="89"/>
      <c r="C180" s="89"/>
      <c r="D180" s="89"/>
      <c r="E180" s="89"/>
      <c r="F180" s="89"/>
      <c r="G180" s="89"/>
      <c r="H180" s="185"/>
      <c r="I180" s="89"/>
      <c r="J180" s="185"/>
      <c r="K180" s="186"/>
    </row>
    <row r="181" spans="2:11">
      <c r="B181" s="89"/>
      <c r="C181" s="89"/>
      <c r="D181" s="89"/>
      <c r="E181" s="89"/>
      <c r="F181" s="89"/>
      <c r="G181" s="89"/>
      <c r="H181" s="185"/>
      <c r="I181" s="89"/>
      <c r="J181" s="185"/>
      <c r="K181" s="186"/>
    </row>
    <row r="182" spans="2:11">
      <c r="B182" s="89"/>
      <c r="C182" s="89"/>
      <c r="D182" s="89"/>
      <c r="E182" s="89"/>
      <c r="F182" s="89"/>
      <c r="G182" s="89"/>
      <c r="H182" s="185"/>
      <c r="I182" s="89"/>
      <c r="J182" s="185"/>
      <c r="K182" s="186"/>
    </row>
    <row r="183" spans="2:11">
      <c r="B183" s="89"/>
      <c r="C183" s="89"/>
      <c r="D183" s="89"/>
      <c r="E183" s="89"/>
      <c r="F183" s="89"/>
      <c r="G183" s="89"/>
      <c r="H183" s="185"/>
      <c r="I183" s="89"/>
      <c r="J183" s="185"/>
      <c r="K183" s="186"/>
    </row>
    <row r="184" spans="2:11">
      <c r="B184" s="89"/>
      <c r="C184" s="89"/>
      <c r="D184" s="89"/>
      <c r="E184" s="89"/>
      <c r="F184" s="89"/>
      <c r="G184" s="89"/>
      <c r="H184" s="185"/>
      <c r="I184" s="89"/>
      <c r="J184" s="185"/>
      <c r="K184" s="186"/>
    </row>
    <row r="185" spans="2:11">
      <c r="B185" s="89"/>
      <c r="C185" s="89"/>
      <c r="D185" s="89"/>
      <c r="E185" s="89"/>
      <c r="F185" s="89"/>
      <c r="G185" s="89"/>
      <c r="H185" s="185"/>
      <c r="I185" s="89"/>
      <c r="J185" s="185"/>
      <c r="K185" s="186"/>
    </row>
    <row r="186" spans="2:11">
      <c r="B186" s="89"/>
      <c r="C186" s="89"/>
      <c r="D186" s="89"/>
      <c r="E186" s="89"/>
      <c r="F186" s="89"/>
      <c r="G186" s="89"/>
      <c r="H186" s="185"/>
      <c r="I186" s="89"/>
      <c r="J186" s="185"/>
      <c r="K186" s="186"/>
    </row>
    <row r="187" spans="2:11">
      <c r="B187" s="89"/>
      <c r="C187" s="89"/>
      <c r="D187" s="89"/>
      <c r="E187" s="89"/>
      <c r="F187" s="89"/>
      <c r="G187" s="89"/>
      <c r="H187" s="185"/>
      <c r="I187" s="89"/>
      <c r="J187" s="185"/>
      <c r="K187" s="186"/>
    </row>
    <row r="188" spans="2:11">
      <c r="B188" s="89"/>
      <c r="C188" s="89"/>
      <c r="D188" s="89"/>
      <c r="E188" s="89"/>
      <c r="F188" s="89"/>
      <c r="G188" s="89"/>
      <c r="H188" s="185"/>
      <c r="I188" s="89"/>
      <c r="J188" s="185"/>
      <c r="K188" s="186"/>
    </row>
    <row r="189" spans="2:11">
      <c r="B189" s="89"/>
      <c r="C189" s="89"/>
      <c r="D189" s="89"/>
      <c r="E189" s="89"/>
      <c r="F189" s="89"/>
      <c r="G189" s="89"/>
      <c r="H189" s="185"/>
      <c r="I189" s="89"/>
      <c r="J189" s="185"/>
      <c r="K189" s="186"/>
    </row>
    <row r="190" spans="2:11">
      <c r="B190" s="89"/>
      <c r="C190" s="89"/>
      <c r="D190" s="89"/>
      <c r="E190" s="89"/>
      <c r="F190" s="89"/>
      <c r="G190" s="89"/>
      <c r="H190" s="185"/>
      <c r="I190" s="89"/>
      <c r="J190" s="185"/>
      <c r="K190" s="186"/>
    </row>
    <row r="191" spans="2:11">
      <c r="B191" s="89"/>
      <c r="C191" s="89"/>
      <c r="D191" s="89"/>
      <c r="E191" s="89"/>
      <c r="F191" s="89"/>
      <c r="G191" s="89"/>
      <c r="H191" s="185"/>
      <c r="I191" s="89"/>
      <c r="J191" s="185"/>
      <c r="K191" s="186"/>
    </row>
    <row r="192" spans="2:11">
      <c r="B192" s="89"/>
      <c r="C192" s="89"/>
      <c r="D192" s="89"/>
      <c r="E192" s="89"/>
      <c r="F192" s="89"/>
      <c r="G192" s="89"/>
      <c r="H192" s="185"/>
      <c r="I192" s="89"/>
      <c r="J192" s="185"/>
      <c r="K192" s="186"/>
    </row>
    <row r="193" spans="2:11">
      <c r="B193" s="89"/>
      <c r="C193" s="89"/>
      <c r="D193" s="89"/>
      <c r="E193" s="89"/>
      <c r="F193" s="89"/>
      <c r="G193" s="89"/>
      <c r="H193" s="185"/>
      <c r="I193" s="89"/>
      <c r="J193" s="185"/>
      <c r="K193" s="186"/>
    </row>
    <row r="194" spans="2:11">
      <c r="B194" s="89"/>
      <c r="C194" s="89"/>
      <c r="D194" s="89"/>
      <c r="E194" s="89"/>
      <c r="F194" s="89"/>
      <c r="G194" s="89"/>
      <c r="H194" s="185"/>
      <c r="I194" s="89"/>
      <c r="J194" s="185"/>
      <c r="K194" s="186"/>
    </row>
    <row r="195" spans="2:11">
      <c r="B195" s="89"/>
      <c r="C195" s="89"/>
      <c r="D195" s="89"/>
      <c r="E195" s="89"/>
      <c r="F195" s="89"/>
      <c r="G195" s="89"/>
      <c r="H195" s="185"/>
      <c r="I195" s="89"/>
      <c r="J195" s="185"/>
      <c r="K195" s="186"/>
    </row>
    <row r="196" spans="2:11">
      <c r="B196" s="89"/>
      <c r="C196" s="89"/>
      <c r="D196" s="89"/>
      <c r="E196" s="89"/>
      <c r="F196" s="89"/>
      <c r="G196" s="89"/>
      <c r="H196" s="185"/>
      <c r="I196" s="89"/>
      <c r="J196" s="185"/>
      <c r="K196" s="186"/>
    </row>
    <row r="197" spans="2:11">
      <c r="B197" s="89"/>
      <c r="C197" s="89"/>
      <c r="D197" s="89"/>
      <c r="E197" s="89"/>
      <c r="F197" s="89"/>
      <c r="G197" s="89"/>
      <c r="H197" s="185"/>
      <c r="I197" s="89"/>
      <c r="J197" s="185"/>
      <c r="K197" s="186"/>
    </row>
    <row r="198" spans="2:11">
      <c r="B198" s="89"/>
      <c r="C198" s="89"/>
      <c r="D198" s="89"/>
      <c r="E198" s="89"/>
      <c r="F198" s="89"/>
      <c r="G198" s="89"/>
      <c r="H198" s="185"/>
      <c r="I198" s="89"/>
      <c r="J198" s="185"/>
      <c r="K198" s="186"/>
    </row>
    <row r="199" spans="2:11">
      <c r="B199" s="89"/>
      <c r="C199" s="89"/>
      <c r="D199" s="89"/>
      <c r="E199" s="89"/>
      <c r="F199" s="89"/>
      <c r="G199" s="89"/>
      <c r="H199" s="185"/>
      <c r="I199" s="89"/>
      <c r="J199" s="185"/>
      <c r="K199" s="186"/>
    </row>
    <row r="200" spans="2:11">
      <c r="B200" s="89"/>
      <c r="C200" s="89"/>
      <c r="D200" s="89"/>
      <c r="E200" s="89"/>
      <c r="F200" s="89"/>
      <c r="G200" s="89"/>
      <c r="H200" s="185"/>
      <c r="I200" s="89"/>
      <c r="J200" s="185"/>
      <c r="K200" s="186"/>
    </row>
    <row r="201" spans="2:11">
      <c r="B201" s="89"/>
      <c r="C201" s="89"/>
      <c r="D201" s="89"/>
      <c r="E201" s="89"/>
      <c r="F201" s="89"/>
      <c r="G201" s="89"/>
      <c r="H201" s="185"/>
      <c r="I201" s="89"/>
      <c r="J201" s="185"/>
      <c r="K201" s="186"/>
    </row>
    <row r="202" spans="2:11">
      <c r="B202" s="89"/>
      <c r="C202" s="89"/>
      <c r="D202" s="89"/>
      <c r="E202" s="89"/>
      <c r="F202" s="89"/>
      <c r="G202" s="89"/>
      <c r="H202" s="185"/>
      <c r="I202" s="89"/>
      <c r="J202" s="185"/>
      <c r="K202" s="186"/>
    </row>
    <row r="203" spans="2:11">
      <c r="B203" s="89"/>
      <c r="C203" s="89"/>
      <c r="D203" s="89"/>
      <c r="E203" s="89"/>
      <c r="F203" s="89"/>
      <c r="G203" s="89"/>
      <c r="H203" s="185"/>
      <c r="I203" s="89"/>
      <c r="J203" s="185"/>
      <c r="K203" s="186"/>
    </row>
    <row r="204" spans="2:11">
      <c r="B204" s="89"/>
      <c r="C204" s="89"/>
      <c r="D204" s="89"/>
      <c r="E204" s="89"/>
      <c r="F204" s="89"/>
      <c r="G204" s="89"/>
      <c r="H204" s="185"/>
      <c r="I204" s="89"/>
      <c r="J204" s="185"/>
      <c r="K204" s="186"/>
    </row>
    <row r="205" spans="2:11">
      <c r="B205" s="89"/>
      <c r="C205" s="89"/>
      <c r="D205" s="89"/>
      <c r="E205" s="89"/>
      <c r="F205" s="89"/>
      <c r="G205" s="89"/>
      <c r="H205" s="185"/>
      <c r="I205" s="89"/>
      <c r="J205" s="185"/>
      <c r="K205" s="186"/>
    </row>
    <row r="206" spans="2:11">
      <c r="B206" s="89"/>
      <c r="C206" s="89"/>
      <c r="D206" s="89"/>
      <c r="E206" s="89"/>
      <c r="F206" s="89"/>
      <c r="G206" s="89"/>
      <c r="H206" s="185"/>
      <c r="I206" s="89"/>
      <c r="J206" s="185"/>
      <c r="K206" s="186"/>
    </row>
    <row r="207" spans="2:11">
      <c r="B207" s="89"/>
      <c r="C207" s="89"/>
      <c r="D207" s="89"/>
      <c r="E207" s="89"/>
      <c r="F207" s="89"/>
      <c r="G207" s="89"/>
      <c r="H207" s="185"/>
      <c r="I207" s="89"/>
      <c r="J207" s="185"/>
      <c r="K207" s="186"/>
    </row>
    <row r="208" spans="2:11">
      <c r="B208" s="89"/>
      <c r="C208" s="89"/>
      <c r="D208" s="89"/>
      <c r="E208" s="89"/>
      <c r="F208" s="89"/>
      <c r="G208" s="89"/>
      <c r="H208" s="185"/>
      <c r="I208" s="89"/>
      <c r="J208" s="185"/>
      <c r="K208" s="186"/>
    </row>
    <row r="209" spans="2:11">
      <c r="B209" s="89"/>
      <c r="C209" s="89"/>
      <c r="D209" s="89"/>
      <c r="E209" s="89"/>
      <c r="F209" s="89"/>
      <c r="G209" s="89"/>
      <c r="H209" s="185"/>
      <c r="I209" s="89"/>
      <c r="J209" s="185"/>
      <c r="K209" s="186"/>
    </row>
    <row r="210" spans="2:11">
      <c r="B210" s="89"/>
      <c r="C210" s="89"/>
      <c r="D210" s="89"/>
      <c r="E210" s="89"/>
      <c r="F210" s="89"/>
      <c r="G210" s="89"/>
      <c r="H210" s="185"/>
      <c r="I210" s="89"/>
      <c r="J210" s="185"/>
      <c r="K210" s="186"/>
    </row>
    <row r="211" spans="2:11">
      <c r="B211" s="89"/>
      <c r="C211" s="89"/>
      <c r="D211" s="89"/>
      <c r="E211" s="89"/>
      <c r="F211" s="89"/>
      <c r="G211" s="89"/>
      <c r="H211" s="185"/>
      <c r="I211" s="89"/>
      <c r="J211" s="185"/>
      <c r="K211" s="186"/>
    </row>
    <row r="212" spans="2:11">
      <c r="B212" s="89"/>
      <c r="C212" s="89"/>
      <c r="D212" s="89"/>
      <c r="E212" s="89"/>
      <c r="F212" s="89"/>
      <c r="G212" s="89"/>
      <c r="H212" s="185"/>
      <c r="I212" s="89"/>
      <c r="J212" s="185"/>
      <c r="K212" s="186"/>
    </row>
    <row r="213" spans="2:11">
      <c r="B213" s="89"/>
      <c r="C213" s="89"/>
      <c r="D213" s="89"/>
      <c r="E213" s="89"/>
      <c r="F213" s="89"/>
      <c r="G213" s="89"/>
      <c r="H213" s="185"/>
      <c r="I213" s="89"/>
      <c r="J213" s="185"/>
      <c r="K213" s="186"/>
    </row>
    <row r="214" spans="2:11">
      <c r="B214" s="89"/>
      <c r="C214" s="89"/>
      <c r="D214" s="89"/>
      <c r="E214" s="89"/>
      <c r="F214" s="89"/>
      <c r="G214" s="89"/>
      <c r="H214" s="185"/>
      <c r="I214" s="89"/>
      <c r="J214" s="185"/>
      <c r="K214" s="186"/>
    </row>
    <row r="215" spans="2:11">
      <c r="B215" s="89"/>
      <c r="C215" s="89"/>
      <c r="D215" s="89"/>
      <c r="E215" s="89"/>
      <c r="F215" s="89"/>
      <c r="G215" s="89"/>
      <c r="H215" s="185"/>
      <c r="I215" s="89"/>
      <c r="J215" s="185"/>
      <c r="K215" s="186"/>
    </row>
    <row r="216" spans="2:11">
      <c r="B216" s="89"/>
      <c r="C216" s="89"/>
      <c r="D216" s="89"/>
      <c r="E216" s="89"/>
      <c r="F216" s="89"/>
      <c r="G216" s="89"/>
      <c r="H216" s="185"/>
      <c r="I216" s="89"/>
      <c r="J216" s="185"/>
      <c r="K216" s="186"/>
    </row>
    <row r="217" spans="2:11">
      <c r="B217" s="89"/>
      <c r="C217" s="89"/>
      <c r="D217" s="89"/>
      <c r="E217" s="89"/>
      <c r="F217" s="89"/>
      <c r="G217" s="89"/>
      <c r="H217" s="185"/>
      <c r="I217" s="89"/>
      <c r="J217" s="185"/>
      <c r="K217" s="186"/>
    </row>
    <row r="218" spans="2:11">
      <c r="B218" s="89"/>
      <c r="C218" s="89"/>
      <c r="D218" s="89"/>
      <c r="E218" s="89"/>
      <c r="F218" s="89"/>
      <c r="G218" s="89"/>
      <c r="H218" s="185"/>
      <c r="I218" s="89"/>
      <c r="J218" s="185"/>
      <c r="K218" s="186"/>
    </row>
    <row r="219" spans="2:11">
      <c r="B219" s="89"/>
      <c r="C219" s="89"/>
      <c r="D219" s="89"/>
      <c r="E219" s="89"/>
      <c r="F219" s="89"/>
      <c r="G219" s="89"/>
      <c r="H219" s="185"/>
      <c r="I219" s="89"/>
      <c r="J219" s="185"/>
      <c r="K219" s="186"/>
    </row>
    <row r="220" spans="2:11">
      <c r="B220" s="89"/>
      <c r="C220" s="89"/>
      <c r="D220" s="89"/>
      <c r="E220" s="89"/>
      <c r="F220" s="89"/>
      <c r="G220" s="89"/>
      <c r="H220" s="185"/>
      <c r="I220" s="89"/>
      <c r="J220" s="185"/>
      <c r="K220" s="186"/>
    </row>
    <row r="221" spans="2:11">
      <c r="B221" s="89"/>
      <c r="C221" s="89"/>
      <c r="D221" s="89"/>
      <c r="E221" s="89"/>
      <c r="F221" s="89"/>
      <c r="G221" s="89"/>
      <c r="H221" s="185"/>
      <c r="I221" s="89"/>
      <c r="J221" s="185"/>
      <c r="K221" s="186"/>
    </row>
    <row r="222" spans="2:11">
      <c r="B222" s="89"/>
      <c r="C222" s="89"/>
      <c r="D222" s="89"/>
      <c r="E222" s="89"/>
      <c r="F222" s="89"/>
      <c r="G222" s="89"/>
      <c r="H222" s="185"/>
      <c r="I222" s="89"/>
      <c r="J222" s="185"/>
      <c r="K222" s="186"/>
    </row>
    <row r="223" spans="2:11">
      <c r="B223" s="89"/>
      <c r="C223" s="89"/>
      <c r="D223" s="89"/>
      <c r="E223" s="89"/>
      <c r="F223" s="89"/>
      <c r="G223" s="89"/>
      <c r="H223" s="185"/>
      <c r="I223" s="89"/>
      <c r="J223" s="185"/>
      <c r="K223" s="186"/>
    </row>
    <row r="224" spans="2:11">
      <c r="B224" s="89"/>
      <c r="C224" s="89"/>
      <c r="D224" s="89"/>
      <c r="E224" s="89"/>
      <c r="F224" s="89"/>
      <c r="G224" s="89"/>
      <c r="H224" s="185"/>
      <c r="I224" s="89"/>
      <c r="J224" s="185"/>
      <c r="K224" s="186"/>
    </row>
    <row r="225" spans="2:11">
      <c r="B225" s="89"/>
      <c r="C225" s="89"/>
      <c r="D225" s="89"/>
      <c r="E225" s="89"/>
      <c r="F225" s="89"/>
      <c r="G225" s="89"/>
      <c r="H225" s="185"/>
      <c r="I225" s="89"/>
      <c r="J225" s="185"/>
      <c r="K225" s="186"/>
    </row>
    <row r="226" spans="2:11">
      <c r="B226" s="89"/>
      <c r="C226" s="89"/>
      <c r="D226" s="89"/>
      <c r="E226" s="89"/>
      <c r="F226" s="89"/>
      <c r="G226" s="89"/>
      <c r="H226" s="185"/>
      <c r="I226" s="89"/>
      <c r="J226" s="185"/>
      <c r="K226" s="186"/>
    </row>
    <row r="227" spans="2:11">
      <c r="B227" s="89"/>
      <c r="C227" s="89"/>
      <c r="D227" s="89"/>
      <c r="E227" s="89"/>
      <c r="F227" s="89"/>
      <c r="G227" s="89"/>
      <c r="H227" s="185"/>
      <c r="I227" s="89"/>
      <c r="J227" s="185"/>
      <c r="K227" s="186"/>
    </row>
    <row r="228" spans="2:11">
      <c r="B228" s="89"/>
      <c r="C228" s="89"/>
      <c r="D228" s="89"/>
      <c r="E228" s="89"/>
      <c r="F228" s="89"/>
      <c r="G228" s="89"/>
      <c r="H228" s="185"/>
      <c r="I228" s="89"/>
      <c r="J228" s="185"/>
      <c r="K228" s="186"/>
    </row>
    <row r="229" spans="2:11">
      <c r="B229" s="89"/>
      <c r="C229" s="89"/>
      <c r="D229" s="89"/>
      <c r="E229" s="89"/>
      <c r="F229" s="89"/>
      <c r="G229" s="89"/>
      <c r="H229" s="185"/>
      <c r="I229" s="89"/>
      <c r="J229" s="185"/>
      <c r="K229" s="186"/>
    </row>
    <row r="230" spans="2:11">
      <c r="B230" s="89"/>
      <c r="C230" s="89"/>
      <c r="D230" s="89"/>
      <c r="E230" s="89"/>
      <c r="F230" s="89"/>
      <c r="G230" s="89"/>
      <c r="H230" s="185"/>
      <c r="I230" s="89"/>
      <c r="J230" s="185"/>
      <c r="K230" s="186"/>
    </row>
    <row r="231" spans="2:11">
      <c r="B231" s="89"/>
      <c r="C231" s="89"/>
      <c r="D231" s="89"/>
      <c r="E231" s="89"/>
      <c r="F231" s="89"/>
      <c r="G231" s="89"/>
      <c r="H231" s="185"/>
      <c r="I231" s="89"/>
      <c r="J231" s="185"/>
      <c r="K231" s="186"/>
    </row>
    <row r="232" spans="2:11">
      <c r="B232" s="89"/>
      <c r="C232" s="89"/>
      <c r="D232" s="89"/>
      <c r="E232" s="89"/>
      <c r="F232" s="89"/>
      <c r="G232" s="89"/>
      <c r="H232" s="185"/>
      <c r="I232" s="89"/>
      <c r="J232" s="185"/>
      <c r="K232" s="186"/>
    </row>
    <row r="233" spans="2:11">
      <c r="B233" s="89"/>
      <c r="C233" s="89"/>
      <c r="D233" s="89"/>
      <c r="E233" s="89"/>
      <c r="F233" s="89"/>
      <c r="G233" s="89"/>
      <c r="H233" s="185"/>
      <c r="I233" s="89"/>
      <c r="J233" s="185"/>
      <c r="K233" s="186"/>
    </row>
    <row r="234" spans="2:11">
      <c r="B234" s="89"/>
      <c r="C234" s="89"/>
      <c r="D234" s="89"/>
      <c r="E234" s="89"/>
      <c r="F234" s="89"/>
      <c r="G234" s="89"/>
      <c r="H234" s="185"/>
      <c r="I234" s="89"/>
      <c r="J234" s="185"/>
      <c r="K234" s="186"/>
    </row>
    <row r="235" spans="2:11">
      <c r="B235" s="89"/>
      <c r="C235" s="89"/>
      <c r="D235" s="89"/>
      <c r="E235" s="89"/>
      <c r="F235" s="89"/>
      <c r="G235" s="89"/>
      <c r="H235" s="185"/>
      <c r="I235" s="89"/>
      <c r="J235" s="185"/>
      <c r="K235" s="186"/>
    </row>
    <row r="236" spans="2:11">
      <c r="B236" s="89"/>
      <c r="C236" s="89"/>
      <c r="D236" s="89"/>
      <c r="E236" s="89"/>
      <c r="F236" s="89"/>
      <c r="G236" s="89"/>
      <c r="H236" s="185"/>
      <c r="I236" s="89"/>
      <c r="J236" s="185"/>
      <c r="K236" s="186"/>
    </row>
    <row r="237" spans="2:11">
      <c r="B237" s="89"/>
      <c r="C237" s="89"/>
      <c r="D237" s="89"/>
      <c r="E237" s="89"/>
      <c r="F237" s="89"/>
      <c r="G237" s="89"/>
      <c r="H237" s="185"/>
      <c r="I237" s="89"/>
      <c r="J237" s="185"/>
      <c r="K237" s="186"/>
    </row>
    <row r="238" spans="2:11">
      <c r="B238" s="89"/>
      <c r="C238" s="89"/>
      <c r="D238" s="89"/>
      <c r="E238" s="89"/>
      <c r="F238" s="89"/>
      <c r="G238" s="89"/>
      <c r="H238" s="185"/>
      <c r="I238" s="89"/>
      <c r="J238" s="185"/>
      <c r="K238" s="186"/>
    </row>
    <row r="239" spans="2:11">
      <c r="B239" s="89"/>
      <c r="C239" s="89"/>
      <c r="D239" s="89"/>
      <c r="E239" s="89"/>
      <c r="F239" s="89"/>
      <c r="G239" s="89"/>
      <c r="H239" s="185"/>
      <c r="I239" s="89"/>
      <c r="J239" s="185"/>
      <c r="K239" s="186"/>
    </row>
    <row r="240" spans="2:11">
      <c r="B240" s="89"/>
      <c r="C240" s="89"/>
      <c r="D240" s="89"/>
      <c r="E240" s="89"/>
      <c r="F240" s="89"/>
      <c r="G240" s="89"/>
      <c r="H240" s="185"/>
      <c r="I240" s="89"/>
      <c r="J240" s="185"/>
      <c r="K240" s="186"/>
    </row>
    <row r="241" spans="2:11">
      <c r="B241" s="89"/>
      <c r="C241" s="89"/>
      <c r="D241" s="89"/>
      <c r="E241" s="89"/>
      <c r="F241" s="89"/>
      <c r="G241" s="89"/>
      <c r="H241" s="185"/>
      <c r="I241" s="89"/>
      <c r="J241" s="185"/>
      <c r="K241" s="186"/>
    </row>
    <row r="242" spans="2:11">
      <c r="B242" s="89"/>
      <c r="C242" s="89"/>
      <c r="D242" s="89"/>
      <c r="E242" s="89"/>
      <c r="F242" s="89"/>
      <c r="G242" s="89"/>
      <c r="H242" s="185"/>
      <c r="I242" s="89"/>
      <c r="J242" s="185"/>
      <c r="K242" s="186"/>
    </row>
    <row r="243" spans="2:11">
      <c r="B243" s="89"/>
      <c r="C243" s="89"/>
      <c r="D243" s="89"/>
      <c r="E243" s="89"/>
      <c r="F243" s="89"/>
      <c r="G243" s="89"/>
      <c r="H243" s="185"/>
      <c r="I243" s="89"/>
      <c r="J243" s="185"/>
      <c r="K243" s="186"/>
    </row>
    <row r="244" spans="2:11">
      <c r="B244" s="89"/>
      <c r="C244" s="89"/>
      <c r="D244" s="89"/>
      <c r="E244" s="89"/>
      <c r="F244" s="89"/>
      <c r="G244" s="89"/>
      <c r="H244" s="185"/>
      <c r="I244" s="89"/>
      <c r="J244" s="185"/>
      <c r="K244" s="186"/>
    </row>
    <row r="245" spans="2:11">
      <c r="B245" s="89"/>
      <c r="C245" s="89"/>
      <c r="D245" s="89"/>
      <c r="E245" s="89"/>
      <c r="F245" s="89"/>
      <c r="G245" s="89"/>
      <c r="H245" s="185"/>
      <c r="I245" s="89"/>
      <c r="J245" s="185"/>
      <c r="K245" s="186"/>
    </row>
    <row r="246" spans="2:11">
      <c r="B246" s="89"/>
      <c r="C246" s="89"/>
      <c r="D246" s="89"/>
      <c r="E246" s="89"/>
      <c r="F246" s="89"/>
      <c r="G246" s="89"/>
      <c r="H246" s="185"/>
      <c r="I246" s="89"/>
      <c r="J246" s="185"/>
      <c r="K246" s="186"/>
    </row>
    <row r="247" spans="2:11">
      <c r="B247" s="89"/>
      <c r="C247" s="89"/>
      <c r="D247" s="89"/>
      <c r="E247" s="89"/>
      <c r="F247" s="89"/>
      <c r="G247" s="89"/>
      <c r="H247" s="185"/>
      <c r="I247" s="89"/>
      <c r="J247" s="185"/>
      <c r="K247" s="186"/>
    </row>
    <row r="248" spans="2:11">
      <c r="B248" s="89"/>
      <c r="C248" s="89"/>
      <c r="D248" s="89"/>
      <c r="E248" s="89"/>
      <c r="F248" s="89"/>
      <c r="G248" s="89"/>
      <c r="H248" s="185"/>
      <c r="I248" s="89"/>
      <c r="J248" s="185"/>
      <c r="K248" s="186"/>
    </row>
    <row r="249" spans="2:11">
      <c r="B249" s="89"/>
      <c r="C249" s="89"/>
      <c r="D249" s="89"/>
      <c r="E249" s="89"/>
      <c r="F249" s="89"/>
      <c r="G249" s="89"/>
      <c r="H249" s="185"/>
      <c r="I249" s="89"/>
      <c r="J249" s="185"/>
      <c r="K249" s="186"/>
    </row>
    <row r="250" spans="2:11">
      <c r="B250" s="89"/>
      <c r="C250" s="89"/>
      <c r="D250" s="89"/>
      <c r="E250" s="89"/>
      <c r="F250" s="89"/>
      <c r="G250" s="89"/>
      <c r="H250" s="185"/>
      <c r="I250" s="89"/>
      <c r="J250" s="185"/>
      <c r="K250" s="186"/>
    </row>
    <row r="251" spans="2:11">
      <c r="B251" s="89"/>
      <c r="C251" s="89"/>
      <c r="D251" s="89"/>
      <c r="E251" s="89"/>
      <c r="F251" s="89"/>
      <c r="G251" s="89"/>
      <c r="H251" s="185"/>
      <c r="I251" s="89"/>
      <c r="J251" s="185"/>
      <c r="K251" s="186"/>
    </row>
    <row r="252" spans="2:11">
      <c r="B252" s="89"/>
      <c r="C252" s="89"/>
      <c r="D252" s="89"/>
      <c r="E252" s="89"/>
      <c r="F252" s="89"/>
      <c r="G252" s="89"/>
      <c r="H252" s="185"/>
      <c r="I252" s="89"/>
      <c r="J252" s="185"/>
      <c r="K252" s="186"/>
    </row>
    <row r="253" spans="2:11">
      <c r="B253" s="89"/>
      <c r="C253" s="89"/>
      <c r="D253" s="89"/>
      <c r="E253" s="89"/>
      <c r="F253" s="89"/>
      <c r="G253" s="89"/>
      <c r="H253" s="185"/>
      <c r="I253" s="89"/>
      <c r="J253" s="185"/>
      <c r="K253" s="186"/>
    </row>
    <row r="254" spans="2:11">
      <c r="B254" s="89"/>
      <c r="C254" s="89"/>
      <c r="D254" s="89"/>
      <c r="E254" s="89"/>
      <c r="F254" s="89"/>
      <c r="G254" s="89"/>
      <c r="H254" s="185"/>
      <c r="I254" s="89"/>
      <c r="J254" s="185"/>
      <c r="K254" s="186"/>
    </row>
    <row r="255" spans="2:11">
      <c r="B255" s="89"/>
      <c r="C255" s="89"/>
      <c r="D255" s="89"/>
      <c r="E255" s="89"/>
      <c r="F255" s="89"/>
      <c r="G255" s="89"/>
      <c r="H255" s="185"/>
      <c r="I255" s="89"/>
      <c r="J255" s="185"/>
      <c r="K255" s="186"/>
    </row>
    <row r="256" spans="2:11">
      <c r="B256" s="89"/>
      <c r="C256" s="89"/>
      <c r="D256" s="89"/>
      <c r="E256" s="89"/>
      <c r="F256" s="89"/>
      <c r="G256" s="89"/>
      <c r="H256" s="185"/>
      <c r="I256" s="89"/>
      <c r="J256" s="185"/>
      <c r="K256" s="186"/>
    </row>
    <row r="257" spans="2:11">
      <c r="B257" s="89"/>
      <c r="C257" s="89"/>
      <c r="D257" s="89"/>
      <c r="E257" s="89"/>
      <c r="F257" s="89"/>
      <c r="G257" s="89"/>
      <c r="H257" s="185"/>
      <c r="I257" s="89"/>
      <c r="J257" s="185"/>
      <c r="K257" s="186"/>
    </row>
    <row r="258" spans="2:11">
      <c r="B258" s="89"/>
      <c r="C258" s="89"/>
      <c r="D258" s="89"/>
      <c r="E258" s="89"/>
      <c r="F258" s="89"/>
      <c r="G258" s="89"/>
      <c r="H258" s="185"/>
      <c r="I258" s="89"/>
      <c r="J258" s="185"/>
      <c r="K258" s="186"/>
    </row>
    <row r="259" spans="2:11">
      <c r="B259" s="89"/>
      <c r="C259" s="89"/>
      <c r="D259" s="89"/>
      <c r="E259" s="89"/>
      <c r="F259" s="89"/>
      <c r="G259" s="89"/>
      <c r="H259" s="185"/>
      <c r="I259" s="89"/>
      <c r="J259" s="185"/>
      <c r="K259" s="186"/>
    </row>
    <row r="260" spans="2:11">
      <c r="B260" s="89"/>
      <c r="C260" s="89"/>
      <c r="D260" s="89"/>
      <c r="E260" s="89"/>
      <c r="F260" s="89"/>
      <c r="G260" s="89"/>
      <c r="H260" s="185"/>
      <c r="I260" s="89"/>
      <c r="J260" s="185"/>
      <c r="K260" s="186"/>
    </row>
    <row r="261" spans="2:11">
      <c r="B261" s="89"/>
      <c r="C261" s="89"/>
      <c r="D261" s="89"/>
      <c r="E261" s="89"/>
      <c r="F261" s="89"/>
      <c r="G261" s="89"/>
      <c r="H261" s="185"/>
      <c r="I261" s="89"/>
      <c r="J261" s="185"/>
      <c r="K261" s="186"/>
    </row>
    <row r="262" spans="2:11">
      <c r="B262" s="89"/>
      <c r="C262" s="89"/>
      <c r="D262" s="89"/>
      <c r="E262" s="89"/>
      <c r="F262" s="89"/>
      <c r="G262" s="89"/>
      <c r="H262" s="185"/>
      <c r="I262" s="89"/>
      <c r="J262" s="185"/>
      <c r="K262" s="186"/>
    </row>
    <row r="263" spans="2:11">
      <c r="B263" s="89"/>
      <c r="C263" s="89"/>
      <c r="D263" s="89"/>
      <c r="E263" s="89"/>
      <c r="F263" s="89"/>
      <c r="G263" s="89"/>
      <c r="H263" s="185"/>
      <c r="I263" s="89"/>
      <c r="J263" s="185"/>
      <c r="K263" s="186"/>
    </row>
    <row r="264" spans="2:11">
      <c r="B264" s="89"/>
      <c r="C264" s="89"/>
      <c r="D264" s="89"/>
      <c r="E264" s="89"/>
      <c r="F264" s="89"/>
      <c r="G264" s="89"/>
      <c r="H264" s="185"/>
      <c r="I264" s="89"/>
      <c r="J264" s="185"/>
      <c r="K264" s="186"/>
    </row>
    <row r="265" spans="2:11">
      <c r="B265" s="89"/>
      <c r="C265" s="89"/>
      <c r="D265" s="89"/>
      <c r="E265" s="89"/>
      <c r="F265" s="89"/>
      <c r="G265" s="89"/>
      <c r="H265" s="185"/>
      <c r="I265" s="89"/>
      <c r="J265" s="185"/>
      <c r="K265" s="186"/>
    </row>
    <row r="266" spans="2:11">
      <c r="B266" s="89"/>
      <c r="C266" s="89"/>
      <c r="D266" s="89"/>
      <c r="E266" s="89"/>
      <c r="F266" s="89"/>
      <c r="G266" s="89"/>
      <c r="H266" s="185"/>
      <c r="I266" s="89"/>
      <c r="J266" s="185"/>
      <c r="K266" s="186"/>
    </row>
    <row r="267" spans="2:11">
      <c r="B267" s="89"/>
      <c r="C267" s="89"/>
      <c r="D267" s="89"/>
      <c r="E267" s="89"/>
      <c r="F267" s="89"/>
      <c r="G267" s="89"/>
      <c r="H267" s="185"/>
      <c r="I267" s="89"/>
      <c r="J267" s="185"/>
      <c r="K267" s="186"/>
    </row>
    <row r="268" spans="2:11">
      <c r="B268" s="89"/>
      <c r="C268" s="89"/>
      <c r="D268" s="89"/>
      <c r="E268" s="89"/>
      <c r="F268" s="89"/>
      <c r="G268" s="89"/>
      <c r="H268" s="185"/>
      <c r="I268" s="89"/>
      <c r="J268" s="185"/>
      <c r="K268" s="186"/>
    </row>
    <row r="269" spans="2:11">
      <c r="B269" s="89"/>
      <c r="C269" s="89"/>
      <c r="D269" s="89"/>
      <c r="E269" s="89"/>
      <c r="F269" s="89"/>
      <c r="G269" s="89"/>
      <c r="H269" s="185"/>
      <c r="I269" s="89"/>
      <c r="J269" s="185"/>
      <c r="K269" s="186"/>
    </row>
    <row r="270" spans="2:11">
      <c r="B270" s="89"/>
      <c r="C270" s="89"/>
      <c r="D270" s="89"/>
      <c r="E270" s="89"/>
      <c r="F270" s="89"/>
      <c r="G270" s="89"/>
      <c r="H270" s="185"/>
      <c r="I270" s="89"/>
      <c r="J270" s="185"/>
      <c r="K270" s="186"/>
    </row>
    <row r="271" spans="2:11">
      <c r="B271" s="89"/>
      <c r="C271" s="89"/>
      <c r="D271" s="89"/>
      <c r="E271" s="89"/>
      <c r="F271" s="89"/>
      <c r="G271" s="89"/>
      <c r="H271" s="185"/>
      <c r="I271" s="89"/>
      <c r="J271" s="185"/>
      <c r="K271" s="186"/>
    </row>
    <row r="272" spans="2:11">
      <c r="B272" s="89"/>
      <c r="C272" s="89"/>
      <c r="D272" s="89"/>
      <c r="E272" s="89"/>
      <c r="F272" s="89"/>
      <c r="G272" s="89"/>
      <c r="H272" s="185"/>
      <c r="I272" s="89"/>
      <c r="J272" s="185"/>
      <c r="K272" s="186"/>
    </row>
    <row r="273" spans="2:11">
      <c r="B273" s="89"/>
      <c r="C273" s="89"/>
      <c r="D273" s="89"/>
      <c r="E273" s="89"/>
      <c r="F273" s="89"/>
      <c r="G273" s="89"/>
      <c r="H273" s="185"/>
      <c r="I273" s="89"/>
      <c r="J273" s="185"/>
      <c r="K273" s="186"/>
    </row>
    <row r="274" spans="2:11">
      <c r="B274" s="89"/>
      <c r="C274" s="89"/>
      <c r="D274" s="89"/>
      <c r="E274" s="89"/>
      <c r="F274" s="89"/>
      <c r="G274" s="89"/>
      <c r="H274" s="185"/>
      <c r="I274" s="89"/>
      <c r="J274" s="185"/>
      <c r="K274" s="186"/>
    </row>
    <row r="275" spans="2:11">
      <c r="B275" s="89"/>
      <c r="C275" s="89"/>
      <c r="D275" s="89"/>
      <c r="E275" s="89"/>
      <c r="F275" s="89"/>
      <c r="G275" s="89"/>
      <c r="H275" s="185"/>
      <c r="I275" s="89"/>
      <c r="J275" s="185"/>
      <c r="K275" s="186"/>
    </row>
    <row r="276" spans="2:11">
      <c r="B276" s="89"/>
      <c r="C276" s="89"/>
      <c r="D276" s="89"/>
      <c r="E276" s="89"/>
      <c r="F276" s="89"/>
      <c r="G276" s="89"/>
      <c r="H276" s="185"/>
      <c r="I276" s="89"/>
      <c r="J276" s="185"/>
      <c r="K276" s="186"/>
    </row>
    <row r="277" spans="2:11">
      <c r="B277" s="89"/>
      <c r="C277" s="89"/>
      <c r="D277" s="89"/>
      <c r="E277" s="89"/>
      <c r="F277" s="89"/>
      <c r="G277" s="89"/>
      <c r="H277" s="185"/>
      <c r="I277" s="89"/>
      <c r="J277" s="185"/>
      <c r="K277" s="186"/>
    </row>
    <row r="278" spans="2:11">
      <c r="B278" s="89"/>
      <c r="C278" s="89"/>
      <c r="D278" s="89"/>
      <c r="E278" s="89"/>
      <c r="F278" s="89"/>
      <c r="G278" s="89"/>
      <c r="H278" s="185"/>
      <c r="I278" s="89"/>
      <c r="J278" s="185"/>
      <c r="K278" s="186"/>
    </row>
    <row r="279" spans="2:11">
      <c r="B279" s="89"/>
      <c r="C279" s="89"/>
      <c r="D279" s="89"/>
      <c r="E279" s="89"/>
      <c r="F279" s="89"/>
      <c r="G279" s="89"/>
      <c r="H279" s="185"/>
      <c r="I279" s="89"/>
      <c r="J279" s="185"/>
      <c r="K279" s="186"/>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6BD8-7267-4A98-B779-2A8F4F79EDD0}">
  <sheetPr>
    <tabColor rgb="FFCCFFCC"/>
  </sheetPr>
  <dimension ref="A2:T325"/>
  <sheetViews>
    <sheetView showGridLines="0" zoomScale="85" zoomScaleNormal="85" workbookViewId="0"/>
  </sheetViews>
  <sheetFormatPr defaultColWidth="9" defaultRowHeight="12.75"/>
  <cols>
    <col min="1" max="1" width="2.5703125" style="3" customWidth="1"/>
    <col min="2" max="2" width="62.5703125" style="3" customWidth="1"/>
    <col min="3" max="3" width="2.5703125" style="3" customWidth="1"/>
    <col min="4" max="4" width="9.85546875" style="3" customWidth="1"/>
    <col min="5" max="5" width="2.5703125" style="3" customWidth="1"/>
    <col min="6" max="6" width="34.5703125" style="3" customWidth="1"/>
    <col min="7" max="7" width="20.5703125" style="3" customWidth="1"/>
    <col min="8" max="8" width="24.28515625" style="3" customWidth="1"/>
    <col min="9" max="9" width="21.5703125" style="3" bestFit="1" customWidth="1"/>
    <col min="10" max="10" width="26" style="3" bestFit="1" customWidth="1"/>
    <col min="11" max="11" width="44.5703125" style="3" bestFit="1" customWidth="1"/>
    <col min="12" max="12" width="10.28515625" style="3" customWidth="1"/>
    <col min="13" max="13" width="7.28515625" style="3" customWidth="1"/>
    <col min="14" max="14" width="14.5703125" style="3" customWidth="1"/>
    <col min="15" max="15" width="2.5703125" style="3" customWidth="1"/>
    <col min="16" max="16" width="20.5703125" style="3" customWidth="1"/>
    <col min="17" max="17" width="2.5703125" style="3" customWidth="1"/>
    <col min="18" max="31" width="13.5703125" style="3" customWidth="1"/>
    <col min="32" max="16384" width="9" style="3"/>
  </cols>
  <sheetData>
    <row r="2" spans="1:20" s="12" customFormat="1" ht="18">
      <c r="B2" s="12" t="s">
        <v>573</v>
      </c>
    </row>
    <row r="4" spans="1:20">
      <c r="B4" s="16" t="s">
        <v>202</v>
      </c>
      <c r="C4" s="2"/>
    </row>
    <row r="5" spans="1:20" ht="15.75" customHeight="1">
      <c r="B5" s="366" t="s">
        <v>558</v>
      </c>
      <c r="C5" s="366"/>
      <c r="D5" s="366"/>
      <c r="F5" s="13"/>
    </row>
    <row r="7" spans="1:20">
      <c r="B7" s="17" t="s">
        <v>158</v>
      </c>
    </row>
    <row r="8" spans="1:20" ht="33" customHeight="1">
      <c r="B8" s="367" t="s">
        <v>574</v>
      </c>
      <c r="C8" s="367"/>
      <c r="D8" s="367"/>
    </row>
    <row r="9" spans="1:20" s="33" customFormat="1" ht="12.75" customHeight="1">
      <c r="A9" s="97"/>
      <c r="B9" s="33" t="s">
        <v>575</v>
      </c>
      <c r="H9" s="184"/>
      <c r="I9" s="184"/>
      <c r="J9" s="184"/>
      <c r="K9" s="184"/>
      <c r="L9" s="184"/>
      <c r="M9" s="184"/>
      <c r="N9" s="184"/>
      <c r="O9" s="184"/>
      <c r="P9" s="184"/>
      <c r="R9" s="33" t="s">
        <v>206</v>
      </c>
      <c r="T9" s="33" t="s">
        <v>207</v>
      </c>
    </row>
    <row r="10" spans="1:20" s="34" customFormat="1" ht="12.75" customHeight="1">
      <c r="A10" s="98"/>
      <c r="B10" s="34" t="s">
        <v>162</v>
      </c>
      <c r="D10" s="34" t="s">
        <v>204</v>
      </c>
      <c r="F10" s="34" t="s">
        <v>302</v>
      </c>
      <c r="G10" s="34" t="s">
        <v>576</v>
      </c>
      <c r="H10" s="100" t="s">
        <v>577</v>
      </c>
      <c r="I10" s="100" t="s">
        <v>578</v>
      </c>
      <c r="J10" s="100" t="s">
        <v>579</v>
      </c>
      <c r="K10" s="100" t="s">
        <v>580</v>
      </c>
      <c r="L10" s="100"/>
      <c r="M10" s="100"/>
      <c r="N10" s="100"/>
      <c r="O10" s="100"/>
      <c r="P10" s="100"/>
    </row>
    <row r="12" spans="1:20">
      <c r="B12" s="92" t="s">
        <v>581</v>
      </c>
      <c r="C12" s="89"/>
      <c r="D12" s="89"/>
      <c r="E12" s="89"/>
      <c r="F12" s="92" t="s">
        <v>314</v>
      </c>
      <c r="G12" s="92">
        <v>1971</v>
      </c>
      <c r="H12" s="322">
        <v>47083.78</v>
      </c>
      <c r="I12" s="92">
        <v>2021</v>
      </c>
      <c r="J12" s="322">
        <v>0</v>
      </c>
      <c r="K12" s="146">
        <v>38383584.379999995</v>
      </c>
      <c r="O12" s="88"/>
      <c r="P12" s="88"/>
      <c r="R12" s="3" t="s">
        <v>502</v>
      </c>
    </row>
    <row r="13" spans="1:20">
      <c r="B13" s="92" t="s">
        <v>582</v>
      </c>
      <c r="C13" s="89"/>
      <c r="D13" s="89"/>
      <c r="E13" s="89"/>
      <c r="F13" s="92" t="s">
        <v>321</v>
      </c>
      <c r="G13" s="92">
        <v>1961</v>
      </c>
      <c r="H13" s="322">
        <v>50334.43</v>
      </c>
      <c r="I13" s="92">
        <v>2021</v>
      </c>
      <c r="J13" s="322">
        <v>0</v>
      </c>
      <c r="K13" s="322"/>
      <c r="O13" s="88"/>
      <c r="P13" s="88"/>
      <c r="R13" s="3" t="s">
        <v>502</v>
      </c>
    </row>
    <row r="14" spans="1:20">
      <c r="B14" s="92" t="s">
        <v>583</v>
      </c>
      <c r="C14" s="89"/>
      <c r="D14" s="89"/>
      <c r="E14" s="89"/>
      <c r="F14" s="92" t="s">
        <v>321</v>
      </c>
      <c r="G14" s="92">
        <v>1972</v>
      </c>
      <c r="H14" s="322">
        <v>2621.49</v>
      </c>
      <c r="I14" s="92">
        <v>2021</v>
      </c>
      <c r="J14" s="322">
        <v>0</v>
      </c>
      <c r="K14" s="146"/>
      <c r="O14" s="88"/>
      <c r="P14" s="88"/>
      <c r="R14" s="3" t="s">
        <v>502</v>
      </c>
    </row>
    <row r="15" spans="1:20">
      <c r="B15" s="92" t="s">
        <v>584</v>
      </c>
      <c r="C15" s="89"/>
      <c r="D15" s="89"/>
      <c r="E15" s="89"/>
      <c r="F15" s="92" t="s">
        <v>327</v>
      </c>
      <c r="G15" s="92">
        <v>1997</v>
      </c>
      <c r="H15" s="322">
        <v>151227.48000000004</v>
      </c>
      <c r="I15" s="92">
        <v>2021</v>
      </c>
      <c r="J15" s="322">
        <v>0</v>
      </c>
      <c r="K15" s="146"/>
      <c r="R15" s="3" t="s">
        <v>502</v>
      </c>
    </row>
    <row r="16" spans="1:20">
      <c r="B16" s="92" t="s">
        <v>585</v>
      </c>
      <c r="C16" s="89"/>
      <c r="D16" s="89"/>
      <c r="E16" s="89"/>
      <c r="F16" s="92" t="s">
        <v>335</v>
      </c>
      <c r="G16" s="92">
        <v>2009</v>
      </c>
      <c r="H16" s="322">
        <v>1313895.18</v>
      </c>
      <c r="I16" s="92">
        <v>2021</v>
      </c>
      <c r="J16" s="322">
        <v>0</v>
      </c>
      <c r="K16" s="146"/>
      <c r="R16" s="3" t="s">
        <v>502</v>
      </c>
    </row>
    <row r="17" spans="2:18">
      <c r="B17" s="92" t="s">
        <v>586</v>
      </c>
      <c r="C17" s="89"/>
      <c r="D17" s="89"/>
      <c r="E17" s="89"/>
      <c r="F17" s="92" t="s">
        <v>371</v>
      </c>
      <c r="G17" s="92">
        <v>2009</v>
      </c>
      <c r="H17" s="322">
        <v>3658553.4539964925</v>
      </c>
      <c r="I17" s="92">
        <v>2021</v>
      </c>
      <c r="J17" s="322">
        <v>0</v>
      </c>
      <c r="K17" s="146">
        <v>114985168</v>
      </c>
      <c r="R17" s="3" t="s">
        <v>502</v>
      </c>
    </row>
    <row r="18" spans="2:18">
      <c r="B18" s="92" t="s">
        <v>587</v>
      </c>
      <c r="C18" s="89"/>
      <c r="D18" s="89"/>
      <c r="E18" s="89"/>
      <c r="F18" s="92" t="s">
        <v>371</v>
      </c>
      <c r="G18" s="92">
        <v>2010</v>
      </c>
      <c r="H18" s="322">
        <v>17379179.522018339</v>
      </c>
      <c r="I18" s="92">
        <v>2021</v>
      </c>
      <c r="J18" s="322">
        <v>0</v>
      </c>
      <c r="K18" s="146"/>
      <c r="R18" s="3" t="s">
        <v>502</v>
      </c>
    </row>
    <row r="19" spans="2:18">
      <c r="B19" s="92" t="s">
        <v>588</v>
      </c>
      <c r="C19" s="89"/>
      <c r="D19" s="89"/>
      <c r="E19" s="89"/>
      <c r="F19" s="92" t="s">
        <v>331</v>
      </c>
      <c r="G19" s="92">
        <v>2010</v>
      </c>
      <c r="H19" s="322">
        <v>2369604.1752097155</v>
      </c>
      <c r="I19" s="92">
        <v>2021</v>
      </c>
      <c r="J19" s="322">
        <v>0</v>
      </c>
      <c r="K19" s="146"/>
      <c r="R19" s="3" t="s">
        <v>502</v>
      </c>
    </row>
    <row r="20" spans="2:18">
      <c r="B20" s="92" t="s">
        <v>589</v>
      </c>
      <c r="C20" s="89"/>
      <c r="D20" s="89"/>
      <c r="E20" s="89"/>
      <c r="F20" s="92" t="s">
        <v>372</v>
      </c>
      <c r="G20" s="92">
        <v>2010</v>
      </c>
      <c r="H20" s="322">
        <v>137063.35897796138</v>
      </c>
      <c r="I20" s="92">
        <v>2021</v>
      </c>
      <c r="J20" s="322">
        <v>0</v>
      </c>
      <c r="K20" s="146"/>
      <c r="R20" s="3" t="s">
        <v>502</v>
      </c>
    </row>
    <row r="21" spans="2:18">
      <c r="B21" s="92" t="s">
        <v>590</v>
      </c>
      <c r="C21" s="89"/>
      <c r="D21" s="89"/>
      <c r="E21" s="89"/>
      <c r="F21" s="92" t="s">
        <v>336</v>
      </c>
      <c r="G21" s="92">
        <v>2011</v>
      </c>
      <c r="H21" s="322">
        <v>852201.48356837523</v>
      </c>
      <c r="I21" s="92">
        <v>2021</v>
      </c>
      <c r="J21" s="322">
        <v>0</v>
      </c>
      <c r="K21" s="146"/>
      <c r="R21" s="3" t="s">
        <v>502</v>
      </c>
    </row>
    <row r="22" spans="2:18">
      <c r="B22" s="92" t="s">
        <v>591</v>
      </c>
      <c r="C22" s="89"/>
      <c r="D22" s="89"/>
      <c r="E22" s="89"/>
      <c r="F22" s="92" t="s">
        <v>352</v>
      </c>
      <c r="G22" s="92">
        <v>2011</v>
      </c>
      <c r="H22" s="322">
        <v>3100554.2541983742</v>
      </c>
      <c r="I22" s="92">
        <v>2021</v>
      </c>
      <c r="J22" s="322">
        <v>2372891.9585730941</v>
      </c>
      <c r="K22" s="146">
        <v>56326732</v>
      </c>
      <c r="R22" s="3" t="s">
        <v>502</v>
      </c>
    </row>
    <row r="23" spans="2:18">
      <c r="B23" s="92" t="s">
        <v>592</v>
      </c>
      <c r="C23" s="89"/>
      <c r="D23" s="89"/>
      <c r="E23" s="89"/>
      <c r="F23" s="92" t="s">
        <v>371</v>
      </c>
      <c r="G23" s="92">
        <v>2011</v>
      </c>
      <c r="H23" s="322">
        <v>30115806.268534236</v>
      </c>
      <c r="I23" s="92">
        <v>2021</v>
      </c>
      <c r="J23" s="322">
        <v>0</v>
      </c>
      <c r="K23" s="146"/>
      <c r="R23" s="3" t="s">
        <v>502</v>
      </c>
    </row>
    <row r="24" spans="2:18">
      <c r="B24" s="92" t="s">
        <v>593</v>
      </c>
      <c r="C24" s="89"/>
      <c r="D24" s="89"/>
      <c r="E24" s="89"/>
      <c r="F24" s="92" t="s">
        <v>321</v>
      </c>
      <c r="G24" s="92">
        <v>2011</v>
      </c>
      <c r="H24" s="322">
        <v>2437521.6070272112</v>
      </c>
      <c r="I24" s="92">
        <v>2021</v>
      </c>
      <c r="J24" s="322">
        <v>1865464.9930189459</v>
      </c>
      <c r="K24" s="146"/>
      <c r="R24" s="3" t="s">
        <v>502</v>
      </c>
    </row>
    <row r="25" spans="2:18">
      <c r="B25" s="92" t="s">
        <v>594</v>
      </c>
      <c r="C25" s="89"/>
      <c r="D25" s="89"/>
      <c r="E25" s="89"/>
      <c r="F25" s="92" t="s">
        <v>331</v>
      </c>
      <c r="G25" s="92">
        <v>2011</v>
      </c>
      <c r="H25" s="322">
        <v>322323.48030063207</v>
      </c>
      <c r="I25" s="92">
        <v>2021</v>
      </c>
      <c r="J25" s="322">
        <v>0</v>
      </c>
      <c r="K25" s="146"/>
      <c r="R25" s="3" t="s">
        <v>502</v>
      </c>
    </row>
    <row r="26" spans="2:18">
      <c r="B26" s="92" t="s">
        <v>595</v>
      </c>
      <c r="C26" s="89"/>
      <c r="D26" s="89"/>
      <c r="E26" s="89"/>
      <c r="F26" s="92" t="s">
        <v>342</v>
      </c>
      <c r="G26" s="92">
        <v>2011</v>
      </c>
      <c r="H26" s="322">
        <v>4126005.7948834877</v>
      </c>
      <c r="I26" s="92">
        <v>2021</v>
      </c>
      <c r="J26" s="322">
        <v>0</v>
      </c>
      <c r="K26" s="146"/>
      <c r="R26" s="3" t="s">
        <v>502</v>
      </c>
    </row>
    <row r="27" spans="2:18">
      <c r="B27" s="92" t="s">
        <v>596</v>
      </c>
      <c r="C27" s="89"/>
      <c r="D27" s="89"/>
      <c r="E27" s="89"/>
      <c r="F27" s="92" t="s">
        <v>371</v>
      </c>
      <c r="G27" s="92">
        <v>2012</v>
      </c>
      <c r="H27" s="322">
        <v>22695798.709637098</v>
      </c>
      <c r="I27" s="92">
        <v>2021</v>
      </c>
      <c r="J27" s="322">
        <v>0</v>
      </c>
      <c r="K27" s="146"/>
      <c r="R27" s="3" t="s">
        <v>502</v>
      </c>
    </row>
    <row r="28" spans="2:18">
      <c r="B28" s="92" t="s">
        <v>597</v>
      </c>
      <c r="C28" s="89"/>
      <c r="D28" s="89"/>
      <c r="E28" s="89"/>
      <c r="F28" s="92" t="s">
        <v>371</v>
      </c>
      <c r="G28" s="92">
        <v>2013</v>
      </c>
      <c r="H28" s="322">
        <v>18719949.80436749</v>
      </c>
      <c r="I28" s="92">
        <v>2021</v>
      </c>
      <c r="J28" s="322">
        <v>0</v>
      </c>
      <c r="K28" s="146"/>
      <c r="R28" s="3" t="s">
        <v>502</v>
      </c>
    </row>
    <row r="29" spans="2:18">
      <c r="B29" s="92" t="s">
        <v>598</v>
      </c>
      <c r="C29" s="89"/>
      <c r="D29" s="89"/>
      <c r="E29" s="89"/>
      <c r="F29" s="92" t="s">
        <v>342</v>
      </c>
      <c r="G29" s="92">
        <v>2013</v>
      </c>
      <c r="H29" s="322">
        <v>14233.766853302437</v>
      </c>
      <c r="I29" s="92">
        <v>2021</v>
      </c>
      <c r="J29" s="322">
        <v>2395.0433871794298</v>
      </c>
      <c r="K29" s="146"/>
      <c r="R29" s="3" t="s">
        <v>502</v>
      </c>
    </row>
    <row r="30" spans="2:18">
      <c r="B30" s="92" t="s">
        <v>599</v>
      </c>
      <c r="C30" s="89"/>
      <c r="D30" s="89"/>
      <c r="E30" s="89"/>
      <c r="F30" s="92" t="s">
        <v>331</v>
      </c>
      <c r="G30" s="92">
        <v>2013</v>
      </c>
      <c r="H30" s="322">
        <v>717715.3058753697</v>
      </c>
      <c r="I30" s="92">
        <v>2021</v>
      </c>
      <c r="J30" s="322">
        <v>120766.29573396736</v>
      </c>
      <c r="K30" s="146"/>
      <c r="R30" s="3" t="s">
        <v>502</v>
      </c>
    </row>
    <row r="31" spans="2:18">
      <c r="B31" s="92" t="s">
        <v>600</v>
      </c>
      <c r="C31" s="89"/>
      <c r="D31" s="89"/>
      <c r="E31" s="89"/>
      <c r="F31" s="92" t="s">
        <v>371</v>
      </c>
      <c r="G31" s="92">
        <v>2014</v>
      </c>
      <c r="H31" s="322">
        <v>29278944.009914741</v>
      </c>
      <c r="I31" s="92">
        <v>2021</v>
      </c>
      <c r="J31" s="322">
        <v>0</v>
      </c>
      <c r="K31" s="146"/>
      <c r="R31" s="3" t="s">
        <v>502</v>
      </c>
    </row>
    <row r="32" spans="2:18">
      <c r="B32" s="92" t="s">
        <v>601</v>
      </c>
      <c r="C32" s="89"/>
      <c r="D32" s="89"/>
      <c r="E32" s="89"/>
      <c r="F32" s="92" t="s">
        <v>376</v>
      </c>
      <c r="G32" s="92">
        <v>2014</v>
      </c>
      <c r="H32" s="322">
        <v>149619.99545874962</v>
      </c>
      <c r="I32" s="92">
        <v>2021</v>
      </c>
      <c r="J32" s="322">
        <v>40816.786477904512</v>
      </c>
      <c r="K32" s="146"/>
      <c r="R32" s="3" t="s">
        <v>502</v>
      </c>
    </row>
    <row r="33" spans="2:18">
      <c r="B33" s="92" t="s">
        <v>602</v>
      </c>
      <c r="C33" s="89"/>
      <c r="D33" s="89"/>
      <c r="E33" s="89"/>
      <c r="F33" s="92" t="s">
        <v>372</v>
      </c>
      <c r="G33" s="92">
        <v>2014</v>
      </c>
      <c r="H33" s="322">
        <v>180341</v>
      </c>
      <c r="I33" s="92">
        <v>2021</v>
      </c>
      <c r="J33" s="322">
        <v>0</v>
      </c>
      <c r="K33" s="146"/>
      <c r="R33" s="3" t="s">
        <v>502</v>
      </c>
    </row>
    <row r="34" spans="2:18">
      <c r="B34" s="92" t="s">
        <v>603</v>
      </c>
      <c r="C34" s="89"/>
      <c r="D34" s="89"/>
      <c r="E34" s="89"/>
      <c r="F34" s="92" t="s">
        <v>371</v>
      </c>
      <c r="G34" s="92">
        <v>2015</v>
      </c>
      <c r="H34" s="322">
        <v>16219637.049707994</v>
      </c>
      <c r="I34" s="92">
        <v>2021</v>
      </c>
      <c r="J34" s="322">
        <v>0</v>
      </c>
      <c r="K34" s="146"/>
      <c r="R34" s="3" t="s">
        <v>502</v>
      </c>
    </row>
    <row r="35" spans="2:18">
      <c r="B35" s="92" t="s">
        <v>604</v>
      </c>
      <c r="C35" s="89"/>
      <c r="D35" s="89"/>
      <c r="E35" s="89"/>
      <c r="F35" s="92" t="s">
        <v>342</v>
      </c>
      <c r="G35" s="92">
        <v>2015</v>
      </c>
      <c r="H35" s="322">
        <v>9111235.8707030155</v>
      </c>
      <c r="I35" s="92">
        <v>2021</v>
      </c>
      <c r="J35" s="322">
        <v>3445348.23215965</v>
      </c>
      <c r="K35" s="146"/>
      <c r="R35" s="3" t="s">
        <v>502</v>
      </c>
    </row>
    <row r="36" spans="2:18">
      <c r="B36" s="92" t="s">
        <v>605</v>
      </c>
      <c r="C36" s="89"/>
      <c r="D36" s="89"/>
      <c r="E36" s="89"/>
      <c r="F36" s="92" t="s">
        <v>331</v>
      </c>
      <c r="G36" s="92">
        <v>2015</v>
      </c>
      <c r="H36" s="322">
        <v>1215996.3265953835</v>
      </c>
      <c r="I36" s="92">
        <v>2021</v>
      </c>
      <c r="J36" s="322">
        <v>459820.25420057232</v>
      </c>
      <c r="K36" s="146"/>
      <c r="R36" s="3" t="s">
        <v>502</v>
      </c>
    </row>
    <row r="37" spans="2:18">
      <c r="B37" s="92" t="s">
        <v>606</v>
      </c>
      <c r="C37" s="89"/>
      <c r="D37" s="89"/>
      <c r="E37" s="89"/>
      <c r="F37" s="92" t="s">
        <v>341</v>
      </c>
      <c r="G37" s="92">
        <v>2015</v>
      </c>
      <c r="H37" s="322">
        <v>7968.6502792695001</v>
      </c>
      <c r="I37" s="92">
        <v>2021</v>
      </c>
      <c r="J37" s="322">
        <v>3013.2877188110033</v>
      </c>
      <c r="K37" s="146"/>
      <c r="R37" s="3" t="s">
        <v>502</v>
      </c>
    </row>
    <row r="38" spans="2:18">
      <c r="B38" s="92" t="s">
        <v>607</v>
      </c>
      <c r="C38" s="89"/>
      <c r="D38" s="89"/>
      <c r="E38" s="89"/>
      <c r="F38" s="92" t="s">
        <v>371</v>
      </c>
      <c r="G38" s="92">
        <v>2016</v>
      </c>
      <c r="H38" s="322">
        <v>15289349.60564645</v>
      </c>
      <c r="I38" s="92">
        <v>2021</v>
      </c>
      <c r="J38" s="322">
        <v>0</v>
      </c>
      <c r="K38" s="146"/>
      <c r="R38" s="3" t="s">
        <v>502</v>
      </c>
    </row>
    <row r="39" spans="2:18">
      <c r="B39" s="92" t="s">
        <v>608</v>
      </c>
      <c r="C39" s="89"/>
      <c r="D39" s="89"/>
      <c r="E39" s="89"/>
      <c r="F39" s="92" t="s">
        <v>335</v>
      </c>
      <c r="G39" s="92">
        <v>2016</v>
      </c>
      <c r="H39" s="322">
        <v>1481397.6896878041</v>
      </c>
      <c r="I39" s="92">
        <v>2021</v>
      </c>
      <c r="J39" s="322">
        <v>714515.13830443297</v>
      </c>
      <c r="K39" s="146"/>
      <c r="R39" s="3" t="s">
        <v>502</v>
      </c>
    </row>
    <row r="40" spans="2:18">
      <c r="B40" s="92" t="s">
        <v>609</v>
      </c>
      <c r="C40" s="89"/>
      <c r="D40" s="89"/>
      <c r="E40" s="89"/>
      <c r="F40" s="92" t="s">
        <v>342</v>
      </c>
      <c r="G40" s="92">
        <v>2016</v>
      </c>
      <c r="H40" s="322">
        <v>5338260.5379699524</v>
      </c>
      <c r="I40" s="92">
        <v>2021</v>
      </c>
      <c r="J40" s="322">
        <v>2574776.5054207225</v>
      </c>
      <c r="K40" s="146"/>
      <c r="R40" s="3" t="s">
        <v>502</v>
      </c>
    </row>
    <row r="41" spans="2:18">
      <c r="B41" s="92" t="s">
        <v>610</v>
      </c>
      <c r="C41" s="89"/>
      <c r="D41" s="89"/>
      <c r="E41" s="89"/>
      <c r="F41" s="92" t="s">
        <v>371</v>
      </c>
      <c r="G41" s="92">
        <v>2017</v>
      </c>
      <c r="H41" s="322">
        <v>17348227.126304951</v>
      </c>
      <c r="I41" s="92">
        <v>2021</v>
      </c>
      <c r="J41" s="322">
        <v>1855729.3459505453</v>
      </c>
      <c r="K41" s="146"/>
      <c r="R41" s="3" t="s">
        <v>502</v>
      </c>
    </row>
    <row r="42" spans="2:18">
      <c r="B42" s="92" t="s">
        <v>611</v>
      </c>
      <c r="C42" s="89"/>
      <c r="D42" s="89"/>
      <c r="E42" s="89"/>
      <c r="F42" s="92" t="s">
        <v>314</v>
      </c>
      <c r="G42" s="92">
        <v>2012</v>
      </c>
      <c r="H42" s="322">
        <v>56189.23</v>
      </c>
      <c r="I42" s="92">
        <v>2021</v>
      </c>
      <c r="J42" s="322">
        <v>3224.0442736663617</v>
      </c>
      <c r="K42" s="146"/>
      <c r="R42" s="3" t="s">
        <v>502</v>
      </c>
    </row>
    <row r="43" spans="2:18">
      <c r="B43" s="92" t="s">
        <v>612</v>
      </c>
      <c r="C43" s="89"/>
      <c r="D43" s="89"/>
      <c r="E43" s="89"/>
      <c r="F43" s="92" t="s">
        <v>371</v>
      </c>
      <c r="G43" s="92">
        <v>2018</v>
      </c>
      <c r="H43" s="322">
        <v>20811887.293785572</v>
      </c>
      <c r="I43" s="92">
        <v>2021</v>
      </c>
      <c r="J43" s="322">
        <v>6586494.0110704908</v>
      </c>
      <c r="K43" s="146"/>
      <c r="R43" s="3" t="s">
        <v>502</v>
      </c>
    </row>
    <row r="44" spans="2:18">
      <c r="B44" s="92" t="s">
        <v>613</v>
      </c>
      <c r="C44" s="89"/>
      <c r="D44" s="89"/>
      <c r="E44" s="89"/>
      <c r="F44" s="92" t="s">
        <v>371</v>
      </c>
      <c r="G44" s="92">
        <v>2005</v>
      </c>
      <c r="H44" s="322">
        <v>3284081.86</v>
      </c>
      <c r="I44" s="92">
        <v>2021</v>
      </c>
      <c r="J44" s="322">
        <v>0</v>
      </c>
      <c r="K44" s="146"/>
      <c r="R44" s="3" t="s">
        <v>502</v>
      </c>
    </row>
    <row r="45" spans="2:18">
      <c r="B45" s="92" t="s">
        <v>614</v>
      </c>
      <c r="C45" s="89"/>
      <c r="D45" s="89"/>
      <c r="E45" s="89"/>
      <c r="F45" s="92" t="s">
        <v>342</v>
      </c>
      <c r="G45" s="92">
        <v>2005</v>
      </c>
      <c r="H45" s="322">
        <v>1438517.3199999998</v>
      </c>
      <c r="I45" s="92">
        <v>2021</v>
      </c>
      <c r="J45" s="322">
        <v>0</v>
      </c>
      <c r="K45" s="146"/>
      <c r="R45" s="3" t="s">
        <v>502</v>
      </c>
    </row>
    <row r="46" spans="2:18">
      <c r="B46" s="92" t="s">
        <v>615</v>
      </c>
      <c r="C46" s="89"/>
      <c r="D46" s="89"/>
      <c r="E46" s="89"/>
      <c r="F46" s="92" t="s">
        <v>335</v>
      </c>
      <c r="G46" s="92">
        <v>2005</v>
      </c>
      <c r="H46" s="322">
        <v>499809.02999999997</v>
      </c>
      <c r="I46" s="92">
        <v>2021</v>
      </c>
      <c r="J46" s="322">
        <v>0</v>
      </c>
      <c r="K46" s="146"/>
      <c r="R46" s="3" t="s">
        <v>502</v>
      </c>
    </row>
    <row r="47" spans="2:18">
      <c r="B47" s="92" t="s">
        <v>616</v>
      </c>
      <c r="C47" s="89"/>
      <c r="D47" s="89"/>
      <c r="E47" s="89"/>
      <c r="F47" s="92" t="s">
        <v>343</v>
      </c>
      <c r="G47" s="92">
        <v>2005</v>
      </c>
      <c r="H47" s="322">
        <v>245809.3</v>
      </c>
      <c r="I47" s="92">
        <v>2021</v>
      </c>
      <c r="J47" s="322">
        <v>0</v>
      </c>
      <c r="K47" s="146"/>
      <c r="R47" s="3" t="s">
        <v>502</v>
      </c>
    </row>
    <row r="48" spans="2:18">
      <c r="B48" s="92" t="s">
        <v>617</v>
      </c>
      <c r="C48" s="89"/>
      <c r="D48" s="89"/>
      <c r="E48" s="89"/>
      <c r="F48" s="92" t="s">
        <v>331</v>
      </c>
      <c r="G48" s="92">
        <v>2005</v>
      </c>
      <c r="H48" s="322">
        <v>58217.59</v>
      </c>
      <c r="I48" s="92">
        <v>2021</v>
      </c>
      <c r="J48" s="322">
        <v>0</v>
      </c>
      <c r="K48" s="146"/>
      <c r="R48" s="3" t="s">
        <v>502</v>
      </c>
    </row>
    <row r="49" spans="2:18">
      <c r="B49" s="92" t="s">
        <v>618</v>
      </c>
      <c r="C49" s="89"/>
      <c r="D49" s="89"/>
      <c r="E49" s="89"/>
      <c r="F49" s="92" t="s">
        <v>371</v>
      </c>
      <c r="G49" s="92">
        <v>2006</v>
      </c>
      <c r="H49" s="322">
        <v>4639319.7116944697</v>
      </c>
      <c r="I49" s="92">
        <v>2021</v>
      </c>
      <c r="J49" s="322">
        <v>0</v>
      </c>
      <c r="K49" s="146"/>
      <c r="R49" s="3" t="s">
        <v>502</v>
      </c>
    </row>
    <row r="50" spans="2:18">
      <c r="B50" s="92" t="s">
        <v>619</v>
      </c>
      <c r="C50" s="89"/>
      <c r="D50" s="89"/>
      <c r="E50" s="89"/>
      <c r="F50" s="92" t="s">
        <v>327</v>
      </c>
      <c r="G50" s="92">
        <v>2006</v>
      </c>
      <c r="H50" s="322">
        <v>68586.959999999992</v>
      </c>
      <c r="I50" s="92">
        <v>2021</v>
      </c>
      <c r="J50" s="322">
        <v>0</v>
      </c>
      <c r="K50" s="146"/>
      <c r="R50" s="3" t="s">
        <v>502</v>
      </c>
    </row>
    <row r="51" spans="2:18">
      <c r="B51" s="92" t="s">
        <v>620</v>
      </c>
      <c r="C51" s="89"/>
      <c r="D51" s="89"/>
      <c r="E51" s="89"/>
      <c r="F51" s="92" t="s">
        <v>352</v>
      </c>
      <c r="G51" s="92">
        <v>2006</v>
      </c>
      <c r="H51" s="322">
        <v>104600</v>
      </c>
      <c r="I51" s="92">
        <v>2021</v>
      </c>
      <c r="J51" s="322">
        <v>64112.024048213396</v>
      </c>
      <c r="K51" s="146"/>
      <c r="R51" s="3" t="s">
        <v>502</v>
      </c>
    </row>
    <row r="52" spans="2:18">
      <c r="B52" s="92" t="s">
        <v>621</v>
      </c>
      <c r="C52" s="89"/>
      <c r="D52" s="89"/>
      <c r="E52" s="89"/>
      <c r="F52" s="92" t="s">
        <v>330</v>
      </c>
      <c r="G52" s="92">
        <v>2006</v>
      </c>
      <c r="H52" s="322">
        <v>243251.93</v>
      </c>
      <c r="I52" s="92">
        <v>2021</v>
      </c>
      <c r="J52" s="322">
        <v>0</v>
      </c>
      <c r="K52" s="146"/>
      <c r="R52" s="3" t="s">
        <v>502</v>
      </c>
    </row>
    <row r="53" spans="2:18">
      <c r="B53" s="92" t="s">
        <v>622</v>
      </c>
      <c r="C53" s="89"/>
      <c r="D53" s="89"/>
      <c r="E53" s="89"/>
      <c r="F53" s="92" t="s">
        <v>331</v>
      </c>
      <c r="G53" s="92">
        <v>2006</v>
      </c>
      <c r="H53" s="322">
        <v>585474.13</v>
      </c>
      <c r="I53" s="92">
        <v>2021</v>
      </c>
      <c r="J53" s="322">
        <v>0</v>
      </c>
      <c r="K53" s="146"/>
      <c r="R53" s="3" t="s">
        <v>502</v>
      </c>
    </row>
    <row r="54" spans="2:18">
      <c r="B54" s="92" t="s">
        <v>623</v>
      </c>
      <c r="C54" s="89"/>
      <c r="D54" s="89"/>
      <c r="E54" s="89"/>
      <c r="F54" s="92" t="s">
        <v>327</v>
      </c>
      <c r="G54" s="92">
        <v>2007</v>
      </c>
      <c r="H54" s="322">
        <v>332079.90999999997</v>
      </c>
      <c r="I54" s="92">
        <v>2021</v>
      </c>
      <c r="J54" s="322">
        <v>0</v>
      </c>
      <c r="K54" s="146"/>
      <c r="R54" s="3" t="s">
        <v>502</v>
      </c>
    </row>
    <row r="55" spans="2:18">
      <c r="B55" s="92" t="s">
        <v>624</v>
      </c>
      <c r="C55" s="89"/>
      <c r="D55" s="89"/>
      <c r="E55" s="89"/>
      <c r="F55" s="92" t="s">
        <v>352</v>
      </c>
      <c r="G55" s="92">
        <v>2007</v>
      </c>
      <c r="H55" s="322">
        <v>163550.16999999998</v>
      </c>
      <c r="I55" s="92">
        <v>2021</v>
      </c>
      <c r="J55" s="322">
        <v>105677.9899746046</v>
      </c>
      <c r="K55" s="146"/>
      <c r="R55" s="3" t="s">
        <v>502</v>
      </c>
    </row>
    <row r="56" spans="2:18">
      <c r="B56" s="92" t="s">
        <v>625</v>
      </c>
      <c r="C56" s="89"/>
      <c r="D56" s="89"/>
      <c r="E56" s="89"/>
      <c r="F56" s="92" t="s">
        <v>371</v>
      </c>
      <c r="G56" s="92">
        <v>2007</v>
      </c>
      <c r="H56" s="322">
        <v>21517730.71653875</v>
      </c>
      <c r="I56" s="92">
        <v>2021</v>
      </c>
      <c r="J56" s="322">
        <v>0</v>
      </c>
      <c r="K56" s="146"/>
      <c r="R56" s="3" t="s">
        <v>502</v>
      </c>
    </row>
    <row r="57" spans="2:18">
      <c r="B57" s="92" t="s">
        <v>626</v>
      </c>
      <c r="C57" s="89"/>
      <c r="D57" s="89"/>
      <c r="E57" s="89"/>
      <c r="F57" s="92" t="s">
        <v>331</v>
      </c>
      <c r="G57" s="92">
        <v>2007</v>
      </c>
      <c r="H57" s="322">
        <v>611283.49</v>
      </c>
      <c r="I57" s="92">
        <v>2021</v>
      </c>
      <c r="J57" s="322">
        <v>0</v>
      </c>
      <c r="K57" s="146"/>
      <c r="R57" s="3" t="s">
        <v>502</v>
      </c>
    </row>
    <row r="58" spans="2:18">
      <c r="B58" s="92" t="s">
        <v>627</v>
      </c>
      <c r="C58" s="89"/>
      <c r="D58" s="89"/>
      <c r="E58" s="89"/>
      <c r="F58" s="92" t="s">
        <v>330</v>
      </c>
      <c r="G58" s="92">
        <v>2007</v>
      </c>
      <c r="H58" s="322">
        <v>87193.72</v>
      </c>
      <c r="I58" s="92">
        <v>2021</v>
      </c>
      <c r="J58" s="322">
        <v>0</v>
      </c>
      <c r="K58" s="146"/>
      <c r="R58" s="3" t="s">
        <v>502</v>
      </c>
    </row>
    <row r="59" spans="2:18">
      <c r="B59" s="92" t="s">
        <v>628</v>
      </c>
      <c r="C59" s="89"/>
      <c r="D59" s="89"/>
      <c r="E59" s="89"/>
      <c r="F59" s="92" t="s">
        <v>340</v>
      </c>
      <c r="G59" s="92">
        <v>2007</v>
      </c>
      <c r="H59" s="322">
        <v>25760.58</v>
      </c>
      <c r="I59" s="92">
        <v>2021</v>
      </c>
      <c r="J59" s="322">
        <v>0</v>
      </c>
      <c r="K59" s="146"/>
      <c r="R59" s="3" t="s">
        <v>502</v>
      </c>
    </row>
    <row r="60" spans="2:18">
      <c r="B60" s="92" t="s">
        <v>629</v>
      </c>
      <c r="C60" s="89"/>
      <c r="D60" s="89"/>
      <c r="E60" s="89"/>
      <c r="F60" s="92" t="s">
        <v>373</v>
      </c>
      <c r="G60" s="92">
        <v>2007</v>
      </c>
      <c r="H60" s="322">
        <v>140047.50693888956</v>
      </c>
      <c r="I60" s="92">
        <v>2021</v>
      </c>
      <c r="J60" s="322">
        <v>0</v>
      </c>
      <c r="K60" s="146"/>
      <c r="R60" s="3" t="s">
        <v>502</v>
      </c>
    </row>
    <row r="61" spans="2:18">
      <c r="B61" s="92" t="s">
        <v>630</v>
      </c>
      <c r="C61" s="89"/>
      <c r="D61" s="89"/>
      <c r="E61" s="89"/>
      <c r="F61" s="92" t="s">
        <v>371</v>
      </c>
      <c r="G61" s="92">
        <v>2008</v>
      </c>
      <c r="H61" s="322">
        <v>1405801.5634173665</v>
      </c>
      <c r="I61" s="92">
        <v>2021</v>
      </c>
      <c r="J61" s="322">
        <v>0</v>
      </c>
      <c r="K61" s="146"/>
      <c r="R61" s="3" t="s">
        <v>502</v>
      </c>
    </row>
    <row r="62" spans="2:18">
      <c r="B62" s="92" t="s">
        <v>631</v>
      </c>
      <c r="C62" s="89"/>
      <c r="D62" s="89"/>
      <c r="E62" s="89"/>
      <c r="F62" s="92" t="s">
        <v>340</v>
      </c>
      <c r="G62" s="92">
        <v>2008</v>
      </c>
      <c r="H62" s="322">
        <v>6485.6</v>
      </c>
      <c r="I62" s="92">
        <v>2021</v>
      </c>
      <c r="J62" s="322">
        <v>0</v>
      </c>
      <c r="K62" s="146"/>
      <c r="R62" s="3" t="s">
        <v>502</v>
      </c>
    </row>
    <row r="63" spans="2:18">
      <c r="B63" s="92" t="s">
        <v>632</v>
      </c>
      <c r="C63" s="89"/>
      <c r="D63" s="89"/>
      <c r="E63" s="89"/>
      <c r="F63" s="92" t="s">
        <v>312</v>
      </c>
      <c r="G63" s="92">
        <v>1956</v>
      </c>
      <c r="H63" s="322">
        <v>32433.599999999999</v>
      </c>
      <c r="I63" s="92">
        <v>2021</v>
      </c>
      <c r="J63" s="322">
        <v>275057.7098199001</v>
      </c>
      <c r="K63" s="146"/>
      <c r="R63" s="3" t="s">
        <v>502</v>
      </c>
    </row>
    <row r="64" spans="2:18">
      <c r="B64" s="92" t="s">
        <v>633</v>
      </c>
      <c r="C64" s="89"/>
      <c r="D64" s="89"/>
      <c r="E64" s="89"/>
      <c r="F64" s="92" t="s">
        <v>312</v>
      </c>
      <c r="G64" s="92">
        <v>1968</v>
      </c>
      <c r="H64" s="322">
        <v>219516.18</v>
      </c>
      <c r="I64" s="92">
        <v>2021</v>
      </c>
      <c r="J64" s="322">
        <v>1219692.8562955547</v>
      </c>
      <c r="K64" s="146"/>
      <c r="R64" s="3" t="s">
        <v>502</v>
      </c>
    </row>
    <row r="65" spans="2:18">
      <c r="B65" s="92" t="s">
        <v>634</v>
      </c>
      <c r="C65" s="89"/>
      <c r="D65" s="89"/>
      <c r="E65" s="89"/>
      <c r="F65" s="92" t="s">
        <v>312</v>
      </c>
      <c r="G65" s="92">
        <v>1972</v>
      </c>
      <c r="H65" s="322">
        <v>411128.51</v>
      </c>
      <c r="I65" s="92">
        <v>2021</v>
      </c>
      <c r="J65" s="322">
        <v>1824024.3386379536</v>
      </c>
      <c r="K65" s="146"/>
      <c r="R65" s="3" t="s">
        <v>502</v>
      </c>
    </row>
    <row r="66" spans="2:18">
      <c r="B66" s="92" t="s">
        <v>635</v>
      </c>
      <c r="C66" s="89"/>
      <c r="D66" s="89"/>
      <c r="E66" s="89"/>
      <c r="F66" s="92" t="s">
        <v>314</v>
      </c>
      <c r="G66" s="92">
        <v>1970</v>
      </c>
      <c r="H66" s="322">
        <v>65342.54</v>
      </c>
      <c r="I66" s="92">
        <v>2021</v>
      </c>
      <c r="J66" s="322">
        <v>0</v>
      </c>
      <c r="K66" s="146"/>
      <c r="R66" s="3" t="s">
        <v>502</v>
      </c>
    </row>
    <row r="67" spans="2:18">
      <c r="B67" s="92" t="s">
        <v>636</v>
      </c>
      <c r="C67" s="89"/>
      <c r="D67" s="89"/>
      <c r="E67" s="89"/>
      <c r="F67" s="92" t="s">
        <v>321</v>
      </c>
      <c r="G67" s="92">
        <v>1980</v>
      </c>
      <c r="H67" s="322">
        <v>1188787.02</v>
      </c>
      <c r="I67" s="92">
        <v>2021</v>
      </c>
      <c r="J67" s="322">
        <v>0</v>
      </c>
      <c r="K67" s="146"/>
      <c r="R67" s="3" t="s">
        <v>502</v>
      </c>
    </row>
    <row r="68" spans="2:18">
      <c r="B68" s="92" t="s">
        <v>637</v>
      </c>
      <c r="C68" s="89"/>
      <c r="D68" s="89"/>
      <c r="E68" s="89"/>
      <c r="F68" s="92" t="s">
        <v>321</v>
      </c>
      <c r="G68" s="92">
        <v>1971</v>
      </c>
      <c r="H68" s="322">
        <v>1287617.6299999999</v>
      </c>
      <c r="I68" s="92">
        <v>2021</v>
      </c>
      <c r="J68" s="322">
        <v>0</v>
      </c>
      <c r="K68" s="146"/>
      <c r="R68" s="3" t="s">
        <v>502</v>
      </c>
    </row>
    <row r="69" spans="2:18">
      <c r="B69" s="92" t="s">
        <v>638</v>
      </c>
      <c r="C69" s="89"/>
      <c r="D69" s="89"/>
      <c r="E69" s="89"/>
      <c r="F69" s="92" t="s">
        <v>321</v>
      </c>
      <c r="G69" s="92">
        <v>1986</v>
      </c>
      <c r="H69" s="322">
        <v>986052.31</v>
      </c>
      <c r="I69" s="92">
        <v>2021</v>
      </c>
      <c r="J69" s="322">
        <v>0</v>
      </c>
      <c r="K69" s="146"/>
      <c r="R69" s="3" t="s">
        <v>502</v>
      </c>
    </row>
    <row r="70" spans="2:18">
      <c r="B70" s="92" t="s">
        <v>639</v>
      </c>
      <c r="C70" s="89"/>
      <c r="D70" s="89"/>
      <c r="E70" s="89"/>
      <c r="F70" s="92" t="s">
        <v>321</v>
      </c>
      <c r="G70" s="92">
        <v>1988</v>
      </c>
      <c r="H70" s="322">
        <v>45049.48</v>
      </c>
      <c r="I70" s="92">
        <v>2021</v>
      </c>
      <c r="J70" s="322">
        <v>0</v>
      </c>
      <c r="K70" s="146"/>
      <c r="R70" s="3" t="s">
        <v>502</v>
      </c>
    </row>
    <row r="71" spans="2:18">
      <c r="B71" s="92" t="s">
        <v>640</v>
      </c>
      <c r="C71" s="89"/>
      <c r="D71" s="89"/>
      <c r="E71" s="89"/>
      <c r="F71" s="92" t="s">
        <v>312</v>
      </c>
      <c r="G71" s="92">
        <v>1969</v>
      </c>
      <c r="H71" s="322">
        <v>35732.019999999997</v>
      </c>
      <c r="I71" s="92">
        <v>2021</v>
      </c>
      <c r="J71" s="322">
        <v>192194.60406110552</v>
      </c>
      <c r="K71" s="146"/>
      <c r="R71" s="3" t="s">
        <v>502</v>
      </c>
    </row>
    <row r="72" spans="2:18">
      <c r="B72" s="92" t="s">
        <v>641</v>
      </c>
      <c r="C72" s="89"/>
      <c r="D72" s="89"/>
      <c r="E72" s="89"/>
      <c r="F72" s="92" t="s">
        <v>321</v>
      </c>
      <c r="G72" s="92">
        <v>1993</v>
      </c>
      <c r="H72" s="322">
        <v>4915025</v>
      </c>
      <c r="I72" s="92">
        <v>2021</v>
      </c>
      <c r="J72" s="322">
        <v>420683.7813984917</v>
      </c>
      <c r="K72" s="146"/>
      <c r="R72" s="3" t="s">
        <v>502</v>
      </c>
    </row>
    <row r="73" spans="2:18">
      <c r="B73" s="92" t="s">
        <v>642</v>
      </c>
      <c r="C73" s="89"/>
      <c r="D73" s="89"/>
      <c r="E73" s="89"/>
      <c r="F73" s="92" t="s">
        <v>312</v>
      </c>
      <c r="G73" s="92">
        <v>1990</v>
      </c>
      <c r="H73" s="322">
        <v>4936129.59</v>
      </c>
      <c r="I73" s="92">
        <v>2021</v>
      </c>
      <c r="J73" s="322">
        <v>9367389.4688880406</v>
      </c>
      <c r="K73" s="146"/>
      <c r="R73" s="3" t="s">
        <v>502</v>
      </c>
    </row>
    <row r="74" spans="2:18">
      <c r="B74" s="92" t="s">
        <v>643</v>
      </c>
      <c r="C74" s="89"/>
      <c r="D74" s="89"/>
      <c r="E74" s="89"/>
      <c r="F74" s="92" t="s">
        <v>330</v>
      </c>
      <c r="G74" s="92">
        <v>1994</v>
      </c>
      <c r="H74" s="322">
        <v>5646696.2199999997</v>
      </c>
      <c r="I74" s="92">
        <v>2021</v>
      </c>
      <c r="J74" s="322">
        <v>0</v>
      </c>
      <c r="K74" s="146"/>
      <c r="R74" s="3" t="s">
        <v>502</v>
      </c>
    </row>
    <row r="75" spans="2:18">
      <c r="B75" s="92" t="s">
        <v>644</v>
      </c>
      <c r="C75" s="89"/>
      <c r="D75" s="89"/>
      <c r="E75" s="89"/>
      <c r="F75" s="92" t="s">
        <v>321</v>
      </c>
      <c r="G75" s="92">
        <v>1994</v>
      </c>
      <c r="H75" s="322">
        <v>326095.09000000003</v>
      </c>
      <c r="I75" s="92">
        <v>2021</v>
      </c>
      <c r="J75" s="322">
        <v>45606.0937185246</v>
      </c>
      <c r="K75" s="146"/>
      <c r="R75" s="3" t="s">
        <v>502</v>
      </c>
    </row>
    <row r="76" spans="2:18">
      <c r="B76" s="92" t="s">
        <v>645</v>
      </c>
      <c r="C76" s="89"/>
      <c r="D76" s="89"/>
      <c r="E76" s="89"/>
      <c r="F76" s="92" t="s">
        <v>314</v>
      </c>
      <c r="G76" s="92">
        <v>1993</v>
      </c>
      <c r="H76" s="322">
        <v>174007.47</v>
      </c>
      <c r="I76" s="92">
        <v>2021</v>
      </c>
      <c r="J76" s="322">
        <v>0</v>
      </c>
      <c r="K76" s="146"/>
      <c r="R76" s="3" t="s">
        <v>502</v>
      </c>
    </row>
    <row r="77" spans="2:18">
      <c r="B77" s="92" t="s">
        <v>646</v>
      </c>
      <c r="C77" s="89"/>
      <c r="D77" s="89"/>
      <c r="E77" s="89"/>
      <c r="F77" s="92" t="s">
        <v>352</v>
      </c>
      <c r="G77" s="92">
        <v>1991</v>
      </c>
      <c r="H77" s="322">
        <v>475302.12</v>
      </c>
      <c r="I77" s="92">
        <v>2021</v>
      </c>
      <c r="J77" s="322">
        <v>0</v>
      </c>
      <c r="K77" s="146"/>
      <c r="R77" s="3" t="s">
        <v>502</v>
      </c>
    </row>
    <row r="78" spans="2:18">
      <c r="B78" s="92" t="s">
        <v>647</v>
      </c>
      <c r="C78" s="89"/>
      <c r="D78" s="89"/>
      <c r="E78" s="89"/>
      <c r="F78" s="92" t="s">
        <v>327</v>
      </c>
      <c r="G78" s="92">
        <v>1995</v>
      </c>
      <c r="H78" s="322">
        <v>365539.92999999993</v>
      </c>
      <c r="I78" s="92">
        <v>2021</v>
      </c>
      <c r="J78" s="322">
        <v>0</v>
      </c>
      <c r="K78" s="146"/>
      <c r="R78" s="3" t="s">
        <v>502</v>
      </c>
    </row>
    <row r="79" spans="2:18">
      <c r="B79" s="92" t="s">
        <v>648</v>
      </c>
      <c r="C79" s="89"/>
      <c r="D79" s="89"/>
      <c r="E79" s="89"/>
      <c r="F79" s="92" t="s">
        <v>327</v>
      </c>
      <c r="G79" s="92">
        <v>1994</v>
      </c>
      <c r="H79" s="322">
        <v>6615395.4499999993</v>
      </c>
      <c r="I79" s="92">
        <v>2021</v>
      </c>
      <c r="J79" s="322">
        <v>0</v>
      </c>
      <c r="K79" s="146"/>
      <c r="R79" s="3" t="s">
        <v>502</v>
      </c>
    </row>
    <row r="80" spans="2:18">
      <c r="B80" s="92" t="s">
        <v>649</v>
      </c>
      <c r="C80" s="89"/>
      <c r="D80" s="89"/>
      <c r="E80" s="89"/>
      <c r="F80" s="92" t="s">
        <v>352</v>
      </c>
      <c r="G80" s="92">
        <v>1998</v>
      </c>
      <c r="H80" s="322">
        <v>789493.11</v>
      </c>
      <c r="I80" s="92">
        <v>2021</v>
      </c>
      <c r="J80" s="322">
        <v>263672.8175889462</v>
      </c>
      <c r="K80" s="146"/>
      <c r="R80" s="3" t="s">
        <v>502</v>
      </c>
    </row>
    <row r="81" spans="2:18">
      <c r="B81" s="92" t="s">
        <v>650</v>
      </c>
      <c r="C81" s="89"/>
      <c r="D81" s="89"/>
      <c r="E81" s="89"/>
      <c r="F81" s="92" t="s">
        <v>352</v>
      </c>
      <c r="G81" s="92">
        <v>1995</v>
      </c>
      <c r="H81" s="322">
        <v>93310335.520000011</v>
      </c>
      <c r="I81" s="92">
        <v>2021</v>
      </c>
      <c r="J81" s="322">
        <v>17806929.596040629</v>
      </c>
      <c r="K81" s="146"/>
      <c r="R81" s="3" t="s">
        <v>502</v>
      </c>
    </row>
    <row r="82" spans="2:18">
      <c r="B82" s="92" t="s">
        <v>651</v>
      </c>
      <c r="C82" s="89"/>
      <c r="D82" s="89"/>
      <c r="E82" s="89"/>
      <c r="F82" s="92" t="s">
        <v>330</v>
      </c>
      <c r="G82" s="92">
        <v>1997</v>
      </c>
      <c r="H82" s="322">
        <v>3767.74</v>
      </c>
      <c r="I82" s="92">
        <v>2021</v>
      </c>
      <c r="J82" s="322">
        <v>0</v>
      </c>
      <c r="K82" s="146"/>
      <c r="R82" s="3" t="s">
        <v>502</v>
      </c>
    </row>
    <row r="83" spans="2:18">
      <c r="B83" s="92" t="s">
        <v>652</v>
      </c>
      <c r="C83" s="89"/>
      <c r="D83" s="89"/>
      <c r="E83" s="89"/>
      <c r="F83" s="92" t="s">
        <v>327</v>
      </c>
      <c r="G83" s="92">
        <v>2002</v>
      </c>
      <c r="H83" s="322">
        <v>257167.26</v>
      </c>
      <c r="I83" s="92">
        <v>2021</v>
      </c>
      <c r="J83" s="322">
        <v>0</v>
      </c>
      <c r="K83" s="146"/>
      <c r="R83" s="3" t="s">
        <v>502</v>
      </c>
    </row>
    <row r="84" spans="2:18">
      <c r="B84" s="92" t="s">
        <v>653</v>
      </c>
      <c r="C84" s="89"/>
      <c r="D84" s="89"/>
      <c r="E84" s="89"/>
      <c r="F84" s="92" t="s">
        <v>352</v>
      </c>
      <c r="G84" s="92">
        <v>1997</v>
      </c>
      <c r="H84" s="322">
        <v>9956.39</v>
      </c>
      <c r="I84" s="92">
        <v>2021</v>
      </c>
      <c r="J84" s="322">
        <v>2886.7927731398736</v>
      </c>
      <c r="K84" s="146"/>
      <c r="R84" s="3" t="s">
        <v>502</v>
      </c>
    </row>
    <row r="85" spans="2:18">
      <c r="B85" s="92" t="s">
        <v>654</v>
      </c>
      <c r="C85" s="89"/>
      <c r="D85" s="89"/>
      <c r="E85" s="89"/>
      <c r="F85" s="92" t="s">
        <v>330</v>
      </c>
      <c r="G85" s="92">
        <v>2002</v>
      </c>
      <c r="H85" s="322">
        <v>259859.76</v>
      </c>
      <c r="I85" s="92">
        <v>2021</v>
      </c>
      <c r="J85" s="322">
        <v>0</v>
      </c>
      <c r="K85" s="146"/>
      <c r="R85" s="3" t="s">
        <v>502</v>
      </c>
    </row>
    <row r="86" spans="2:18">
      <c r="B86" s="92" t="s">
        <v>655</v>
      </c>
      <c r="C86" s="89"/>
      <c r="D86" s="89"/>
      <c r="E86" s="89"/>
      <c r="F86" s="92" t="s">
        <v>371</v>
      </c>
      <c r="G86" s="92">
        <v>1998</v>
      </c>
      <c r="H86" s="322">
        <v>194674.43</v>
      </c>
      <c r="I86" s="92">
        <v>2021</v>
      </c>
      <c r="J86" s="322">
        <v>0</v>
      </c>
      <c r="K86" s="146"/>
      <c r="R86" s="3" t="s">
        <v>502</v>
      </c>
    </row>
    <row r="87" spans="2:18">
      <c r="B87" s="92" t="s">
        <v>656</v>
      </c>
      <c r="C87" s="89"/>
      <c r="D87" s="89"/>
      <c r="E87" s="89"/>
      <c r="F87" s="92" t="s">
        <v>340</v>
      </c>
      <c r="G87" s="92">
        <v>2000</v>
      </c>
      <c r="H87" s="322">
        <v>5437.76</v>
      </c>
      <c r="I87" s="92">
        <v>2021</v>
      </c>
      <c r="J87" s="322">
        <v>0</v>
      </c>
      <c r="K87" s="146"/>
      <c r="R87" s="3" t="s">
        <v>502</v>
      </c>
    </row>
    <row r="88" spans="2:18">
      <c r="B88" s="92" t="s">
        <v>657</v>
      </c>
      <c r="C88" s="89"/>
      <c r="D88" s="89"/>
      <c r="E88" s="89"/>
      <c r="F88" s="92" t="s">
        <v>330</v>
      </c>
      <c r="G88" s="92">
        <v>1998</v>
      </c>
      <c r="H88" s="322">
        <v>159402.09</v>
      </c>
      <c r="I88" s="92">
        <v>2021</v>
      </c>
      <c r="J88" s="322">
        <v>0</v>
      </c>
      <c r="K88" s="146"/>
      <c r="R88" s="3" t="s">
        <v>502</v>
      </c>
    </row>
    <row r="89" spans="2:18">
      <c r="B89" s="92" t="s">
        <v>658</v>
      </c>
      <c r="C89" s="89"/>
      <c r="D89" s="89"/>
      <c r="E89" s="89"/>
      <c r="F89" s="92" t="s">
        <v>327</v>
      </c>
      <c r="G89" s="92">
        <v>1998</v>
      </c>
      <c r="H89" s="322">
        <v>120568.99000000002</v>
      </c>
      <c r="I89" s="92">
        <v>2021</v>
      </c>
      <c r="J89" s="322">
        <v>0</v>
      </c>
      <c r="K89" s="146"/>
      <c r="R89" s="3" t="s">
        <v>502</v>
      </c>
    </row>
    <row r="90" spans="2:18">
      <c r="B90" s="92" t="s">
        <v>659</v>
      </c>
      <c r="C90" s="89"/>
      <c r="D90" s="89"/>
      <c r="E90" s="89"/>
      <c r="F90" s="92" t="s">
        <v>371</v>
      </c>
      <c r="G90" s="92">
        <v>2002</v>
      </c>
      <c r="H90" s="322">
        <v>342396.39</v>
      </c>
      <c r="I90" s="92">
        <v>2021</v>
      </c>
      <c r="J90" s="322">
        <v>0</v>
      </c>
      <c r="K90" s="146"/>
      <c r="R90" s="3" t="s">
        <v>502</v>
      </c>
    </row>
    <row r="91" spans="2:18">
      <c r="B91" s="92" t="s">
        <v>660</v>
      </c>
      <c r="C91" s="89"/>
      <c r="D91" s="89"/>
      <c r="E91" s="89"/>
      <c r="F91" s="92" t="s">
        <v>373</v>
      </c>
      <c r="G91" s="92">
        <v>2000</v>
      </c>
      <c r="H91" s="322">
        <v>717051.87</v>
      </c>
      <c r="I91" s="92">
        <v>2021</v>
      </c>
      <c r="J91" s="322">
        <v>0</v>
      </c>
      <c r="K91" s="146"/>
      <c r="R91" s="3" t="s">
        <v>502</v>
      </c>
    </row>
    <row r="92" spans="2:18">
      <c r="B92" s="92" t="s">
        <v>661</v>
      </c>
      <c r="C92" s="89"/>
      <c r="D92" s="89"/>
      <c r="E92" s="89"/>
      <c r="F92" s="92" t="s">
        <v>330</v>
      </c>
      <c r="G92" s="92">
        <v>1999</v>
      </c>
      <c r="H92" s="322">
        <v>64305.72</v>
      </c>
      <c r="I92" s="92">
        <v>2021</v>
      </c>
      <c r="J92" s="322">
        <v>0</v>
      </c>
      <c r="K92" s="146"/>
      <c r="R92" s="3" t="s">
        <v>502</v>
      </c>
    </row>
    <row r="93" spans="2:18">
      <c r="B93" s="92" t="s">
        <v>662</v>
      </c>
      <c r="C93" s="89"/>
      <c r="D93" s="89"/>
      <c r="E93" s="89"/>
      <c r="F93" s="92" t="s">
        <v>327</v>
      </c>
      <c r="G93" s="92">
        <v>1999</v>
      </c>
      <c r="H93" s="322">
        <v>41263.56</v>
      </c>
      <c r="I93" s="92">
        <v>2021</v>
      </c>
      <c r="J93" s="322">
        <v>0</v>
      </c>
      <c r="K93" s="146"/>
      <c r="R93" s="3" t="s">
        <v>502</v>
      </c>
    </row>
    <row r="94" spans="2:18">
      <c r="B94" s="92" t="s">
        <v>663</v>
      </c>
      <c r="C94" s="89"/>
      <c r="D94" s="89"/>
      <c r="E94" s="89"/>
      <c r="F94" s="92" t="s">
        <v>330</v>
      </c>
      <c r="G94" s="92">
        <v>2000</v>
      </c>
      <c r="H94" s="322">
        <v>5312.4</v>
      </c>
      <c r="I94" s="92">
        <v>2021</v>
      </c>
      <c r="J94" s="322">
        <v>0</v>
      </c>
      <c r="K94" s="146"/>
      <c r="R94" s="3" t="s">
        <v>502</v>
      </c>
    </row>
    <row r="95" spans="2:18">
      <c r="B95" s="92" t="s">
        <v>664</v>
      </c>
      <c r="C95" s="89"/>
      <c r="D95" s="89"/>
      <c r="E95" s="89"/>
      <c r="F95" s="92" t="s">
        <v>371</v>
      </c>
      <c r="G95" s="92">
        <v>2001</v>
      </c>
      <c r="H95" s="322">
        <v>1754908.7700000003</v>
      </c>
      <c r="I95" s="92">
        <v>2021</v>
      </c>
      <c r="J95" s="322">
        <v>0</v>
      </c>
      <c r="K95" s="146"/>
      <c r="R95" s="3" t="s">
        <v>502</v>
      </c>
    </row>
    <row r="96" spans="2:18">
      <c r="B96" s="92" t="s">
        <v>665</v>
      </c>
      <c r="C96" s="89"/>
      <c r="D96" s="89"/>
      <c r="E96" s="89"/>
      <c r="F96" s="92" t="s">
        <v>335</v>
      </c>
      <c r="G96" s="92">
        <v>2000</v>
      </c>
      <c r="H96" s="322">
        <v>86461.709999999992</v>
      </c>
      <c r="I96" s="92">
        <v>2021</v>
      </c>
      <c r="J96" s="322">
        <v>0</v>
      </c>
      <c r="K96" s="146"/>
      <c r="R96" s="3" t="s">
        <v>502</v>
      </c>
    </row>
    <row r="97" spans="2:18">
      <c r="B97" s="92" t="s">
        <v>666</v>
      </c>
      <c r="C97" s="89"/>
      <c r="D97" s="89"/>
      <c r="E97" s="89"/>
      <c r="F97" s="92" t="s">
        <v>340</v>
      </c>
      <c r="G97" s="92">
        <v>1998</v>
      </c>
      <c r="H97" s="322">
        <v>3630.24</v>
      </c>
      <c r="I97" s="92">
        <v>2021</v>
      </c>
      <c r="J97" s="322">
        <v>0</v>
      </c>
      <c r="K97" s="146"/>
      <c r="R97" s="3" t="s">
        <v>502</v>
      </c>
    </row>
    <row r="98" spans="2:18">
      <c r="B98" s="92" t="s">
        <v>667</v>
      </c>
      <c r="C98" s="89"/>
      <c r="D98" s="89"/>
      <c r="E98" s="89"/>
      <c r="F98" s="92" t="s">
        <v>371</v>
      </c>
      <c r="G98" s="92">
        <v>2000</v>
      </c>
      <c r="H98" s="322">
        <v>63690.75</v>
      </c>
      <c r="I98" s="92">
        <v>2021</v>
      </c>
      <c r="J98" s="322">
        <v>0</v>
      </c>
      <c r="K98" s="146"/>
      <c r="R98" s="3" t="s">
        <v>502</v>
      </c>
    </row>
    <row r="99" spans="2:18">
      <c r="B99" s="92" t="s">
        <v>668</v>
      </c>
      <c r="C99" s="89"/>
      <c r="D99" s="89"/>
      <c r="E99" s="89"/>
      <c r="F99" s="92" t="s">
        <v>327</v>
      </c>
      <c r="G99" s="92">
        <v>2000</v>
      </c>
      <c r="H99" s="322">
        <v>53314.77</v>
      </c>
      <c r="I99" s="92">
        <v>2021</v>
      </c>
      <c r="J99" s="322">
        <v>0</v>
      </c>
      <c r="K99" s="146"/>
      <c r="R99" s="3" t="s">
        <v>502</v>
      </c>
    </row>
    <row r="100" spans="2:18">
      <c r="B100" s="92" t="s">
        <v>669</v>
      </c>
      <c r="C100" s="89"/>
      <c r="D100" s="89"/>
      <c r="E100" s="89"/>
      <c r="F100" s="92" t="s">
        <v>342</v>
      </c>
      <c r="G100" s="92">
        <v>2000</v>
      </c>
      <c r="H100" s="322">
        <v>36334.86</v>
      </c>
      <c r="I100" s="92">
        <v>2021</v>
      </c>
      <c r="J100" s="322">
        <v>0</v>
      </c>
      <c r="K100" s="146"/>
      <c r="R100" s="3" t="s">
        <v>502</v>
      </c>
    </row>
    <row r="101" spans="2:18">
      <c r="B101" s="92" t="s">
        <v>670</v>
      </c>
      <c r="C101" s="89"/>
      <c r="D101" s="89"/>
      <c r="E101" s="89"/>
      <c r="F101" s="92" t="s">
        <v>321</v>
      </c>
      <c r="G101" s="92">
        <v>2000</v>
      </c>
      <c r="H101" s="322">
        <v>61022.52</v>
      </c>
      <c r="I101" s="92">
        <v>2021</v>
      </c>
      <c r="J101" s="322">
        <v>25541.383007029126</v>
      </c>
      <c r="K101" s="146"/>
      <c r="R101" s="3" t="s">
        <v>502</v>
      </c>
    </row>
    <row r="102" spans="2:18">
      <c r="B102" s="92" t="s">
        <v>671</v>
      </c>
      <c r="C102" s="89"/>
      <c r="D102" s="89"/>
      <c r="E102" s="89"/>
      <c r="F102" s="92" t="s">
        <v>335</v>
      </c>
      <c r="G102" s="92">
        <v>2001</v>
      </c>
      <c r="H102" s="322">
        <v>11928.48</v>
      </c>
      <c r="I102" s="92">
        <v>2021</v>
      </c>
      <c r="J102" s="322">
        <v>0</v>
      </c>
      <c r="K102" s="146"/>
      <c r="R102" s="3" t="s">
        <v>502</v>
      </c>
    </row>
    <row r="103" spans="2:18">
      <c r="B103" s="92" t="s">
        <v>672</v>
      </c>
      <c r="C103" s="89"/>
      <c r="D103" s="89"/>
      <c r="E103" s="89"/>
      <c r="F103" s="92" t="s">
        <v>342</v>
      </c>
      <c r="G103" s="92">
        <v>2001</v>
      </c>
      <c r="H103" s="322">
        <v>70639.289999999994</v>
      </c>
      <c r="I103" s="92">
        <v>2021</v>
      </c>
      <c r="J103" s="322">
        <v>0</v>
      </c>
      <c r="K103" s="146"/>
      <c r="R103" s="3" t="s">
        <v>502</v>
      </c>
    </row>
    <row r="104" spans="2:18">
      <c r="B104" s="92" t="s">
        <v>673</v>
      </c>
      <c r="C104" s="89"/>
      <c r="D104" s="89"/>
      <c r="E104" s="89"/>
      <c r="F104" s="92" t="s">
        <v>330</v>
      </c>
      <c r="G104" s="92">
        <v>2001</v>
      </c>
      <c r="H104" s="322">
        <v>55051.729999999996</v>
      </c>
      <c r="I104" s="92">
        <v>2021</v>
      </c>
      <c r="J104" s="322">
        <v>0</v>
      </c>
      <c r="K104" s="146"/>
      <c r="R104" s="3" t="s">
        <v>502</v>
      </c>
    </row>
    <row r="105" spans="2:18">
      <c r="B105" s="92" t="s">
        <v>674</v>
      </c>
      <c r="C105" s="89"/>
      <c r="D105" s="89"/>
      <c r="E105" s="89"/>
      <c r="F105" s="92" t="s">
        <v>331</v>
      </c>
      <c r="G105" s="92">
        <v>2002</v>
      </c>
      <c r="H105" s="322">
        <v>26546</v>
      </c>
      <c r="I105" s="92">
        <v>2021</v>
      </c>
      <c r="J105" s="322">
        <v>0</v>
      </c>
      <c r="K105" s="146"/>
      <c r="R105" s="3" t="s">
        <v>502</v>
      </c>
    </row>
    <row r="106" spans="2:18">
      <c r="B106" s="92" t="s">
        <v>675</v>
      </c>
      <c r="C106" s="89"/>
      <c r="D106" s="89"/>
      <c r="E106" s="89"/>
      <c r="F106" s="92" t="s">
        <v>311</v>
      </c>
      <c r="G106" s="92">
        <v>2001</v>
      </c>
      <c r="H106" s="322">
        <v>16968.61</v>
      </c>
      <c r="I106" s="92">
        <v>2021</v>
      </c>
      <c r="J106" s="322">
        <v>0</v>
      </c>
      <c r="K106" s="146"/>
      <c r="R106" s="3" t="s">
        <v>502</v>
      </c>
    </row>
    <row r="107" spans="2:18">
      <c r="B107" s="92" t="s">
        <v>676</v>
      </c>
      <c r="C107" s="89"/>
      <c r="D107" s="89"/>
      <c r="E107" s="89"/>
      <c r="F107" s="92" t="s">
        <v>327</v>
      </c>
      <c r="G107" s="92">
        <v>2001</v>
      </c>
      <c r="H107" s="322">
        <v>7752.83</v>
      </c>
      <c r="I107" s="92">
        <v>2021</v>
      </c>
      <c r="J107" s="322">
        <v>0</v>
      </c>
      <c r="K107" s="146"/>
      <c r="R107" s="3" t="s">
        <v>502</v>
      </c>
    </row>
    <row r="108" spans="2:18">
      <c r="B108" s="92" t="s">
        <v>677</v>
      </c>
      <c r="C108" s="89"/>
      <c r="D108" s="89"/>
      <c r="E108" s="89"/>
      <c r="F108" s="92" t="s">
        <v>373</v>
      </c>
      <c r="G108" s="92">
        <v>2001</v>
      </c>
      <c r="H108" s="322">
        <v>757040.92</v>
      </c>
      <c r="I108" s="92">
        <v>2021</v>
      </c>
      <c r="J108" s="322">
        <v>0</v>
      </c>
      <c r="K108" s="146"/>
      <c r="R108" s="3" t="s">
        <v>502</v>
      </c>
    </row>
    <row r="109" spans="2:18">
      <c r="B109" s="92" t="s">
        <v>678</v>
      </c>
      <c r="C109" s="89"/>
      <c r="D109" s="89"/>
      <c r="E109" s="89"/>
      <c r="F109" s="92" t="s">
        <v>340</v>
      </c>
      <c r="G109" s="92">
        <v>2001</v>
      </c>
      <c r="H109" s="322">
        <v>2746.92</v>
      </c>
      <c r="I109" s="92">
        <v>2021</v>
      </c>
      <c r="J109" s="322">
        <v>0</v>
      </c>
      <c r="K109" s="146"/>
      <c r="R109" s="3" t="s">
        <v>502</v>
      </c>
    </row>
    <row r="110" spans="2:18">
      <c r="B110" s="92" t="s">
        <v>679</v>
      </c>
      <c r="C110" s="89"/>
      <c r="D110" s="89"/>
      <c r="E110" s="89"/>
      <c r="F110" s="92" t="s">
        <v>335</v>
      </c>
      <c r="G110" s="92">
        <v>2002</v>
      </c>
      <c r="H110" s="322">
        <v>108571.05</v>
      </c>
      <c r="I110" s="92">
        <v>2021</v>
      </c>
      <c r="J110" s="322">
        <v>0</v>
      </c>
      <c r="K110" s="146"/>
      <c r="R110" s="3" t="s">
        <v>502</v>
      </c>
    </row>
    <row r="111" spans="2:18">
      <c r="B111" s="92" t="s">
        <v>680</v>
      </c>
      <c r="C111" s="89"/>
      <c r="D111" s="89"/>
      <c r="E111" s="89"/>
      <c r="F111" s="92" t="s">
        <v>373</v>
      </c>
      <c r="G111" s="92">
        <v>2002</v>
      </c>
      <c r="H111" s="322">
        <v>27589.78</v>
      </c>
      <c r="I111" s="92">
        <v>2021</v>
      </c>
      <c r="J111" s="322">
        <v>0</v>
      </c>
      <c r="K111" s="146"/>
      <c r="R111" s="3" t="s">
        <v>502</v>
      </c>
    </row>
    <row r="112" spans="2:18">
      <c r="B112" s="92" t="s">
        <v>681</v>
      </c>
      <c r="C112" s="89"/>
      <c r="D112" s="89"/>
      <c r="E112" s="89"/>
      <c r="F112" s="92" t="s">
        <v>342</v>
      </c>
      <c r="G112" s="92">
        <v>2002</v>
      </c>
      <c r="H112" s="322">
        <v>7905</v>
      </c>
      <c r="I112" s="92">
        <v>2021</v>
      </c>
      <c r="J112" s="322">
        <v>0</v>
      </c>
      <c r="K112" s="146"/>
      <c r="R112" s="3" t="s">
        <v>502</v>
      </c>
    </row>
    <row r="113" spans="2:18">
      <c r="B113" s="92" t="s">
        <v>682</v>
      </c>
      <c r="C113" s="89"/>
      <c r="D113" s="89"/>
      <c r="E113" s="89"/>
      <c r="F113" s="92" t="s">
        <v>340</v>
      </c>
      <c r="G113" s="92">
        <v>2002</v>
      </c>
      <c r="H113" s="322">
        <v>1243</v>
      </c>
      <c r="I113" s="92">
        <v>2021</v>
      </c>
      <c r="J113" s="322">
        <v>0</v>
      </c>
      <c r="K113" s="146"/>
      <c r="R113" s="3" t="s">
        <v>502</v>
      </c>
    </row>
    <row r="114" spans="2:18">
      <c r="B114" s="92" t="s">
        <v>683</v>
      </c>
      <c r="C114" s="89"/>
      <c r="D114" s="89"/>
      <c r="E114" s="89"/>
      <c r="F114" s="92" t="s">
        <v>321</v>
      </c>
      <c r="G114" s="92">
        <v>2002</v>
      </c>
      <c r="H114" s="322">
        <v>68637.27</v>
      </c>
      <c r="I114" s="92">
        <v>2021</v>
      </c>
      <c r="J114" s="322">
        <v>33068.469795601901</v>
      </c>
      <c r="K114" s="146"/>
      <c r="R114" s="3" t="s">
        <v>502</v>
      </c>
    </row>
    <row r="115" spans="2:18">
      <c r="B115" s="92" t="s">
        <v>684</v>
      </c>
      <c r="C115" s="89"/>
      <c r="D115" s="89"/>
      <c r="E115" s="89"/>
      <c r="F115" s="92" t="s">
        <v>330</v>
      </c>
      <c r="G115" s="92">
        <v>2003</v>
      </c>
      <c r="H115" s="322">
        <v>108222.26</v>
      </c>
      <c r="I115" s="92">
        <v>2021</v>
      </c>
      <c r="J115" s="322">
        <v>0</v>
      </c>
      <c r="K115" s="146"/>
      <c r="R115" s="3" t="s">
        <v>502</v>
      </c>
    </row>
    <row r="116" spans="2:18">
      <c r="B116" s="92" t="s">
        <v>685</v>
      </c>
      <c r="C116" s="89"/>
      <c r="D116" s="89"/>
      <c r="E116" s="89"/>
      <c r="F116" s="92" t="s">
        <v>335</v>
      </c>
      <c r="G116" s="92">
        <v>2003</v>
      </c>
      <c r="H116" s="322">
        <v>135681.9</v>
      </c>
      <c r="I116" s="92">
        <v>2021</v>
      </c>
      <c r="J116" s="322">
        <v>0</v>
      </c>
      <c r="K116" s="146"/>
      <c r="R116" s="3" t="s">
        <v>502</v>
      </c>
    </row>
    <row r="117" spans="2:18">
      <c r="B117" s="92" t="s">
        <v>686</v>
      </c>
      <c r="C117" s="89"/>
      <c r="D117" s="89"/>
      <c r="E117" s="89"/>
      <c r="F117" s="92" t="s">
        <v>371</v>
      </c>
      <c r="G117" s="92">
        <v>2003</v>
      </c>
      <c r="H117" s="322">
        <v>869353.66999999993</v>
      </c>
      <c r="I117" s="92">
        <v>2021</v>
      </c>
      <c r="J117" s="322">
        <v>0</v>
      </c>
      <c r="K117" s="146"/>
      <c r="R117" s="3" t="s">
        <v>502</v>
      </c>
    </row>
    <row r="118" spans="2:18">
      <c r="B118" s="92" t="s">
        <v>687</v>
      </c>
      <c r="C118" s="89"/>
      <c r="D118" s="89"/>
      <c r="E118" s="89"/>
      <c r="F118" s="92" t="s">
        <v>373</v>
      </c>
      <c r="G118" s="92">
        <v>2003</v>
      </c>
      <c r="H118" s="322">
        <v>1210667.97</v>
      </c>
      <c r="I118" s="92">
        <v>2021</v>
      </c>
      <c r="J118" s="322">
        <v>0</v>
      </c>
      <c r="K118" s="146"/>
      <c r="R118" s="3" t="s">
        <v>502</v>
      </c>
    </row>
    <row r="119" spans="2:18">
      <c r="B119" s="92" t="s">
        <v>688</v>
      </c>
      <c r="C119" s="89"/>
      <c r="D119" s="89"/>
      <c r="E119" s="89"/>
      <c r="F119" s="92" t="s">
        <v>331</v>
      </c>
      <c r="G119" s="92">
        <v>2003</v>
      </c>
      <c r="H119" s="322">
        <v>62325</v>
      </c>
      <c r="I119" s="92">
        <v>2021</v>
      </c>
      <c r="J119" s="322">
        <v>0</v>
      </c>
      <c r="K119" s="146"/>
      <c r="R119" s="3" t="s">
        <v>502</v>
      </c>
    </row>
    <row r="120" spans="2:18">
      <c r="B120" s="92" t="s">
        <v>689</v>
      </c>
      <c r="C120" s="89"/>
      <c r="D120" s="89"/>
      <c r="E120" s="89"/>
      <c r="F120" s="92" t="s">
        <v>321</v>
      </c>
      <c r="G120" s="92">
        <v>2003</v>
      </c>
      <c r="H120" s="322">
        <v>206366.74</v>
      </c>
      <c r="I120" s="92">
        <v>2021</v>
      </c>
      <c r="J120" s="322">
        <v>105414.90479883776</v>
      </c>
      <c r="K120" s="146"/>
      <c r="R120" s="3" t="s">
        <v>502</v>
      </c>
    </row>
    <row r="121" spans="2:18">
      <c r="B121" s="92" t="s">
        <v>690</v>
      </c>
      <c r="C121" s="89"/>
      <c r="D121" s="89"/>
      <c r="E121" s="89"/>
      <c r="F121" s="92" t="s">
        <v>340</v>
      </c>
      <c r="G121" s="92">
        <v>2003</v>
      </c>
      <c r="H121" s="322">
        <v>1830.54</v>
      </c>
      <c r="I121" s="92">
        <v>2021</v>
      </c>
      <c r="J121" s="322">
        <v>0</v>
      </c>
      <c r="K121" s="146"/>
      <c r="R121" s="3" t="s">
        <v>502</v>
      </c>
    </row>
    <row r="122" spans="2:18">
      <c r="B122" s="92" t="s">
        <v>691</v>
      </c>
      <c r="C122" s="89"/>
      <c r="D122" s="89"/>
      <c r="E122" s="89"/>
      <c r="F122" s="92" t="s">
        <v>371</v>
      </c>
      <c r="G122" s="92">
        <v>2004</v>
      </c>
      <c r="H122" s="322">
        <v>2583848.4300000002</v>
      </c>
      <c r="I122" s="92">
        <v>2021</v>
      </c>
      <c r="J122" s="322">
        <v>0</v>
      </c>
      <c r="K122" s="146"/>
      <c r="R122" s="3" t="s">
        <v>502</v>
      </c>
    </row>
    <row r="123" spans="2:18">
      <c r="B123" s="92" t="s">
        <v>692</v>
      </c>
      <c r="C123" s="89"/>
      <c r="D123" s="89"/>
      <c r="E123" s="89"/>
      <c r="F123" s="92" t="s">
        <v>373</v>
      </c>
      <c r="G123" s="92">
        <v>2004</v>
      </c>
      <c r="H123" s="322">
        <v>263122.5</v>
      </c>
      <c r="I123" s="92">
        <v>2021</v>
      </c>
      <c r="J123" s="322">
        <v>0</v>
      </c>
      <c r="K123" s="146"/>
      <c r="R123" s="3" t="s">
        <v>502</v>
      </c>
    </row>
    <row r="124" spans="2:18">
      <c r="B124" s="92" t="s">
        <v>693</v>
      </c>
      <c r="C124" s="89"/>
      <c r="D124" s="89"/>
      <c r="E124" s="89"/>
      <c r="F124" s="92" t="s">
        <v>330</v>
      </c>
      <c r="G124" s="92">
        <v>2004</v>
      </c>
      <c r="H124" s="322">
        <v>142655</v>
      </c>
      <c r="I124" s="92">
        <v>2021</v>
      </c>
      <c r="J124" s="322">
        <v>0</v>
      </c>
      <c r="K124" s="146"/>
      <c r="R124" s="3" t="s">
        <v>502</v>
      </c>
    </row>
    <row r="125" spans="2:18">
      <c r="B125" s="92" t="s">
        <v>694</v>
      </c>
      <c r="C125" s="89"/>
      <c r="D125" s="89"/>
      <c r="E125" s="89"/>
      <c r="F125" s="92" t="s">
        <v>335</v>
      </c>
      <c r="G125" s="92">
        <v>2004</v>
      </c>
      <c r="H125" s="322">
        <v>77020.09</v>
      </c>
      <c r="I125" s="92">
        <v>2021</v>
      </c>
      <c r="J125" s="322">
        <v>0</v>
      </c>
      <c r="K125" s="146"/>
      <c r="R125" s="3" t="s">
        <v>502</v>
      </c>
    </row>
    <row r="126" spans="2:18">
      <c r="B126" s="92" t="s">
        <v>695</v>
      </c>
      <c r="C126" s="89"/>
      <c r="D126" s="89"/>
      <c r="E126" s="89"/>
      <c r="F126" s="92" t="s">
        <v>342</v>
      </c>
      <c r="G126" s="92">
        <v>2004</v>
      </c>
      <c r="H126" s="322">
        <v>195332.07</v>
      </c>
      <c r="I126" s="92">
        <v>2021</v>
      </c>
      <c r="J126" s="322">
        <v>0</v>
      </c>
      <c r="K126" s="146"/>
      <c r="R126" s="3" t="s">
        <v>502</v>
      </c>
    </row>
    <row r="127" spans="2:18">
      <c r="B127" s="92" t="s">
        <v>696</v>
      </c>
      <c r="C127" s="89"/>
      <c r="D127" s="89"/>
      <c r="E127" s="89"/>
      <c r="F127" s="92" t="s">
        <v>340</v>
      </c>
      <c r="G127" s="92">
        <v>2004</v>
      </c>
      <c r="H127" s="322">
        <v>1265</v>
      </c>
      <c r="I127" s="92">
        <v>2021</v>
      </c>
      <c r="J127" s="322">
        <v>0</v>
      </c>
      <c r="K127" s="146"/>
      <c r="R127" s="3" t="s">
        <v>502</v>
      </c>
    </row>
    <row r="128" spans="2:18">
      <c r="B128" s="92" t="s">
        <v>697</v>
      </c>
      <c r="C128" s="89"/>
      <c r="D128" s="89"/>
      <c r="E128" s="89"/>
      <c r="F128" s="92" t="s">
        <v>327</v>
      </c>
      <c r="G128" s="92">
        <v>2004</v>
      </c>
      <c r="H128" s="322">
        <v>62865.23</v>
      </c>
      <c r="I128" s="92">
        <v>2021</v>
      </c>
      <c r="J128" s="322">
        <v>0</v>
      </c>
      <c r="K128" s="146"/>
      <c r="R128" s="3" t="s">
        <v>502</v>
      </c>
    </row>
    <row r="129" spans="2:18">
      <c r="B129" s="92" t="s">
        <v>698</v>
      </c>
      <c r="C129" s="89"/>
      <c r="D129" s="89"/>
      <c r="E129" s="89"/>
      <c r="F129" s="92" t="s">
        <v>339</v>
      </c>
      <c r="G129" s="92">
        <v>2004</v>
      </c>
      <c r="H129" s="322">
        <v>47369.03</v>
      </c>
      <c r="I129" s="92">
        <v>2021</v>
      </c>
      <c r="J129" s="322">
        <v>0</v>
      </c>
      <c r="K129" s="146"/>
      <c r="R129" s="3" t="s">
        <v>502</v>
      </c>
    </row>
    <row r="130" spans="2:18">
      <c r="B130" s="92" t="s">
        <v>699</v>
      </c>
      <c r="C130" s="89"/>
      <c r="D130" s="89"/>
      <c r="E130" s="89"/>
      <c r="F130" s="92" t="s">
        <v>321</v>
      </c>
      <c r="G130" s="92">
        <v>2005</v>
      </c>
      <c r="H130" s="322">
        <v>13716.41</v>
      </c>
      <c r="I130" s="92">
        <v>2021</v>
      </c>
      <c r="J130" s="322">
        <v>7968.2289834864932</v>
      </c>
      <c r="K130" s="146"/>
      <c r="R130" s="3" t="s">
        <v>502</v>
      </c>
    </row>
    <row r="131" spans="2:18">
      <c r="B131" s="92" t="s">
        <v>700</v>
      </c>
      <c r="C131" s="89"/>
      <c r="D131" s="89"/>
      <c r="E131" s="89"/>
      <c r="F131" s="92" t="s">
        <v>340</v>
      </c>
      <c r="G131" s="92">
        <v>2005</v>
      </c>
      <c r="H131" s="322">
        <v>5690.5</v>
      </c>
      <c r="I131" s="92">
        <v>2021</v>
      </c>
      <c r="J131" s="322">
        <v>0</v>
      </c>
      <c r="K131" s="146"/>
      <c r="R131" s="3" t="s">
        <v>502</v>
      </c>
    </row>
    <row r="132" spans="2:18">
      <c r="B132" s="92" t="s">
        <v>701</v>
      </c>
      <c r="C132" s="89"/>
      <c r="D132" s="89"/>
      <c r="E132" s="89"/>
      <c r="F132" s="92" t="s">
        <v>327</v>
      </c>
      <c r="G132" s="92">
        <v>2005</v>
      </c>
      <c r="H132" s="322">
        <v>149702.98000000001</v>
      </c>
      <c r="I132" s="92">
        <v>2021</v>
      </c>
      <c r="J132" s="322">
        <v>0</v>
      </c>
      <c r="K132" s="146"/>
      <c r="R132" s="3" t="s">
        <v>502</v>
      </c>
    </row>
    <row r="133" spans="2:18">
      <c r="B133" s="92" t="s">
        <v>702</v>
      </c>
      <c r="C133" s="89"/>
      <c r="D133" s="89"/>
      <c r="E133" s="89"/>
      <c r="F133" s="92" t="s">
        <v>339</v>
      </c>
      <c r="G133" s="92">
        <v>2005</v>
      </c>
      <c r="H133" s="322">
        <v>144500</v>
      </c>
      <c r="I133" s="92">
        <v>2021</v>
      </c>
      <c r="J133" s="322">
        <v>0</v>
      </c>
      <c r="K133" s="146"/>
      <c r="R133" s="3" t="s">
        <v>502</v>
      </c>
    </row>
    <row r="134" spans="2:18">
      <c r="B134" s="92" t="s">
        <v>703</v>
      </c>
      <c r="C134" s="89"/>
      <c r="D134" s="89"/>
      <c r="E134" s="89"/>
      <c r="F134" s="92" t="s">
        <v>330</v>
      </c>
      <c r="G134" s="92">
        <v>2005</v>
      </c>
      <c r="H134" s="322">
        <v>22500</v>
      </c>
      <c r="I134" s="92">
        <v>2021</v>
      </c>
      <c r="J134" s="322">
        <v>0</v>
      </c>
      <c r="K134" s="146"/>
      <c r="R134" s="3" t="s">
        <v>502</v>
      </c>
    </row>
    <row r="135" spans="2:18">
      <c r="B135" s="92" t="s">
        <v>704</v>
      </c>
      <c r="C135" s="89"/>
      <c r="D135" s="89"/>
      <c r="E135" s="89"/>
      <c r="F135" s="92" t="s">
        <v>342</v>
      </c>
      <c r="G135" s="92">
        <v>2006</v>
      </c>
      <c r="H135" s="322">
        <v>23374</v>
      </c>
      <c r="I135" s="92">
        <v>2021</v>
      </c>
      <c r="J135" s="322">
        <v>0</v>
      </c>
      <c r="K135" s="146"/>
      <c r="R135" s="3" t="s">
        <v>502</v>
      </c>
    </row>
    <row r="136" spans="2:18">
      <c r="B136" s="92" t="s">
        <v>705</v>
      </c>
      <c r="C136" s="89"/>
      <c r="D136" s="89"/>
      <c r="E136" s="89"/>
      <c r="F136" s="92" t="s">
        <v>321</v>
      </c>
      <c r="G136" s="92">
        <v>2006</v>
      </c>
      <c r="H136" s="322">
        <v>216791.4</v>
      </c>
      <c r="I136" s="92">
        <v>2021</v>
      </c>
      <c r="J136" s="322">
        <v>132877.0119526372</v>
      </c>
      <c r="K136" s="146"/>
      <c r="R136" s="3" t="s">
        <v>502</v>
      </c>
    </row>
    <row r="137" spans="2:18">
      <c r="B137" s="92" t="s">
        <v>706</v>
      </c>
      <c r="C137" s="89"/>
      <c r="D137" s="89"/>
      <c r="E137" s="89"/>
      <c r="F137" s="92" t="s">
        <v>335</v>
      </c>
      <c r="G137" s="92">
        <v>2006</v>
      </c>
      <c r="H137" s="322">
        <v>39984.959999999999</v>
      </c>
      <c r="I137" s="92">
        <v>2021</v>
      </c>
      <c r="J137" s="322">
        <v>0</v>
      </c>
      <c r="K137" s="146"/>
      <c r="R137" s="3" t="s">
        <v>502</v>
      </c>
    </row>
    <row r="138" spans="2:18">
      <c r="B138" s="92" t="s">
        <v>707</v>
      </c>
      <c r="C138" s="89"/>
      <c r="D138" s="89"/>
      <c r="E138" s="89"/>
      <c r="F138" s="92" t="s">
        <v>321</v>
      </c>
      <c r="G138" s="92">
        <v>2007</v>
      </c>
      <c r="H138" s="322">
        <v>25858.771191949236</v>
      </c>
      <c r="I138" s="92">
        <v>2021</v>
      </c>
      <c r="J138" s="322">
        <v>16708.652536273155</v>
      </c>
      <c r="K138" s="146"/>
      <c r="R138" s="3" t="s">
        <v>502</v>
      </c>
    </row>
    <row r="139" spans="2:18">
      <c r="B139" s="92" t="s">
        <v>708</v>
      </c>
      <c r="C139" s="89"/>
      <c r="D139" s="89"/>
      <c r="E139" s="89"/>
      <c r="F139" s="92" t="s">
        <v>335</v>
      </c>
      <c r="G139" s="92">
        <v>2007</v>
      </c>
      <c r="H139" s="322">
        <v>1088351.8199999998</v>
      </c>
      <c r="I139" s="92">
        <v>2021</v>
      </c>
      <c r="J139" s="322">
        <v>0</v>
      </c>
      <c r="K139" s="146"/>
      <c r="R139" s="3" t="s">
        <v>502</v>
      </c>
    </row>
    <row r="140" spans="2:18">
      <c r="B140" s="92" t="s">
        <v>709</v>
      </c>
      <c r="C140" s="89"/>
      <c r="D140" s="89"/>
      <c r="E140" s="89"/>
      <c r="F140" s="92" t="s">
        <v>342</v>
      </c>
      <c r="G140" s="92">
        <v>2007</v>
      </c>
      <c r="H140" s="322">
        <v>661943.85</v>
      </c>
      <c r="I140" s="92">
        <v>2021</v>
      </c>
      <c r="J140" s="322">
        <v>0</v>
      </c>
      <c r="K140" s="146"/>
      <c r="R140" s="3" t="s">
        <v>502</v>
      </c>
    </row>
    <row r="141" spans="2:18">
      <c r="B141" s="92" t="s">
        <v>710</v>
      </c>
      <c r="C141" s="89"/>
      <c r="D141" s="89"/>
      <c r="E141" s="89"/>
      <c r="F141" s="92" t="s">
        <v>339</v>
      </c>
      <c r="G141" s="92">
        <v>2007</v>
      </c>
      <c r="H141" s="322">
        <v>154091.65000000002</v>
      </c>
      <c r="I141" s="92">
        <v>2021</v>
      </c>
      <c r="J141" s="322">
        <v>0</v>
      </c>
      <c r="K141" s="146"/>
      <c r="R141" s="3" t="s">
        <v>502</v>
      </c>
    </row>
    <row r="142" spans="2:18">
      <c r="B142" s="92" t="s">
        <v>711</v>
      </c>
      <c r="C142" s="89"/>
      <c r="D142" s="89"/>
      <c r="E142" s="89"/>
      <c r="F142" s="92" t="s">
        <v>314</v>
      </c>
      <c r="G142" s="92">
        <v>2007</v>
      </c>
      <c r="H142" s="322">
        <v>79744.08</v>
      </c>
      <c r="I142" s="92">
        <v>2021</v>
      </c>
      <c r="J142" s="322">
        <v>0</v>
      </c>
      <c r="K142" s="146"/>
      <c r="R142" s="3" t="s">
        <v>502</v>
      </c>
    </row>
    <row r="143" spans="2:18">
      <c r="B143" s="92" t="s">
        <v>712</v>
      </c>
      <c r="C143" s="89"/>
      <c r="D143" s="89"/>
      <c r="E143" s="89"/>
      <c r="F143" s="92" t="s">
        <v>352</v>
      </c>
      <c r="G143" s="92">
        <v>2008</v>
      </c>
      <c r="H143" s="322">
        <v>4978200.5000000009</v>
      </c>
      <c r="I143" s="92">
        <v>2021</v>
      </c>
      <c r="J143" s="322">
        <v>3386936.2239016104</v>
      </c>
      <c r="K143" s="146"/>
      <c r="R143" s="3" t="s">
        <v>502</v>
      </c>
    </row>
    <row r="144" spans="2:18">
      <c r="B144" s="92" t="s">
        <v>713</v>
      </c>
      <c r="C144" s="89"/>
      <c r="D144" s="89"/>
      <c r="E144" s="89"/>
      <c r="F144" s="92" t="s">
        <v>321</v>
      </c>
      <c r="G144" s="92">
        <v>2008</v>
      </c>
      <c r="H144" s="322">
        <v>233293.04544821067</v>
      </c>
      <c r="I144" s="92">
        <v>2021</v>
      </c>
      <c r="J144" s="322">
        <v>158721.74421517763</v>
      </c>
      <c r="K144" s="146"/>
      <c r="R144" s="3" t="s">
        <v>502</v>
      </c>
    </row>
    <row r="145" spans="2:18">
      <c r="B145" s="92" t="s">
        <v>714</v>
      </c>
      <c r="C145" s="89"/>
      <c r="D145" s="89"/>
      <c r="E145" s="89"/>
      <c r="F145" s="92" t="s">
        <v>331</v>
      </c>
      <c r="G145" s="92">
        <v>2008</v>
      </c>
      <c r="H145" s="322">
        <v>178157.88</v>
      </c>
      <c r="I145" s="92">
        <v>2021</v>
      </c>
      <c r="J145" s="322">
        <v>0</v>
      </c>
      <c r="K145" s="146"/>
      <c r="R145" s="3" t="s">
        <v>502</v>
      </c>
    </row>
    <row r="146" spans="2:18">
      <c r="B146" s="92" t="s">
        <v>715</v>
      </c>
      <c r="C146" s="89"/>
      <c r="D146" s="89"/>
      <c r="E146" s="89"/>
      <c r="F146" s="92" t="s">
        <v>342</v>
      </c>
      <c r="G146" s="92">
        <v>2008</v>
      </c>
      <c r="H146" s="322">
        <v>1299449.8500000001</v>
      </c>
      <c r="I146" s="92">
        <v>2021</v>
      </c>
      <c r="J146" s="322">
        <v>0</v>
      </c>
      <c r="K146" s="146"/>
      <c r="R146" s="3" t="s">
        <v>502</v>
      </c>
    </row>
    <row r="147" spans="2:18">
      <c r="B147" s="92" t="s">
        <v>716</v>
      </c>
      <c r="C147" s="89"/>
      <c r="D147" s="89"/>
      <c r="E147" s="89"/>
      <c r="F147" s="92" t="s">
        <v>373</v>
      </c>
      <c r="G147" s="92">
        <v>2008</v>
      </c>
      <c r="H147" s="322">
        <v>8310.1200000000008</v>
      </c>
      <c r="I147" s="92">
        <v>2021</v>
      </c>
      <c r="J147" s="322">
        <v>0</v>
      </c>
      <c r="K147" s="146"/>
      <c r="R147" s="3" t="s">
        <v>502</v>
      </c>
    </row>
    <row r="148" spans="2:18">
      <c r="B148" s="92" t="s">
        <v>717</v>
      </c>
      <c r="C148" s="89"/>
      <c r="D148" s="89"/>
      <c r="E148" s="89"/>
      <c r="F148" s="92" t="s">
        <v>335</v>
      </c>
      <c r="G148" s="92">
        <v>2008</v>
      </c>
      <c r="H148" s="322">
        <v>427546.18</v>
      </c>
      <c r="I148" s="92">
        <v>2021</v>
      </c>
      <c r="J148" s="322">
        <v>0</v>
      </c>
      <c r="K148" s="146"/>
      <c r="R148" s="3" t="s">
        <v>502</v>
      </c>
    </row>
    <row r="149" spans="2:18">
      <c r="B149" s="92" t="s">
        <v>718</v>
      </c>
      <c r="C149" s="89"/>
      <c r="D149" s="89"/>
      <c r="E149" s="89"/>
      <c r="F149" s="92" t="s">
        <v>327</v>
      </c>
      <c r="G149" s="92">
        <v>2008</v>
      </c>
      <c r="H149" s="322">
        <v>1194171.3899999999</v>
      </c>
      <c r="I149" s="92">
        <v>2021</v>
      </c>
      <c r="J149" s="322">
        <v>0</v>
      </c>
      <c r="K149" s="146"/>
      <c r="R149" s="3" t="s">
        <v>502</v>
      </c>
    </row>
    <row r="150" spans="2:18">
      <c r="B150" s="92" t="s">
        <v>719</v>
      </c>
      <c r="C150" s="89"/>
      <c r="D150" s="89"/>
      <c r="E150" s="89"/>
      <c r="F150" s="92" t="s">
        <v>327</v>
      </c>
      <c r="G150" s="92">
        <v>2009</v>
      </c>
      <c r="H150" s="322">
        <v>124506.82</v>
      </c>
      <c r="I150" s="92">
        <v>2021</v>
      </c>
      <c r="J150" s="322">
        <v>0</v>
      </c>
      <c r="K150" s="146"/>
      <c r="R150" s="3" t="s">
        <v>502</v>
      </c>
    </row>
    <row r="151" spans="2:18">
      <c r="B151" s="92" t="s">
        <v>720</v>
      </c>
      <c r="C151" s="89"/>
      <c r="D151" s="89"/>
      <c r="E151" s="89"/>
      <c r="F151" s="92" t="s">
        <v>342</v>
      </c>
      <c r="G151" s="92">
        <v>2009</v>
      </c>
      <c r="H151" s="322">
        <v>285378.59999999998</v>
      </c>
      <c r="I151" s="92">
        <v>2021</v>
      </c>
      <c r="J151" s="322">
        <v>0</v>
      </c>
      <c r="K151" s="146"/>
      <c r="R151" s="3" t="s">
        <v>502</v>
      </c>
    </row>
    <row r="152" spans="2:18">
      <c r="B152" s="92" t="s">
        <v>721</v>
      </c>
      <c r="C152" s="89"/>
      <c r="D152" s="89"/>
      <c r="E152" s="89"/>
      <c r="F152" s="92" t="s">
        <v>321</v>
      </c>
      <c r="G152" s="92">
        <v>2009</v>
      </c>
      <c r="H152" s="322">
        <v>35389.120000000003</v>
      </c>
      <c r="I152" s="92">
        <v>2021</v>
      </c>
      <c r="J152" s="322">
        <v>24744.506996892218</v>
      </c>
      <c r="K152" s="146"/>
      <c r="R152" s="3" t="s">
        <v>502</v>
      </c>
    </row>
    <row r="153" spans="2:18">
      <c r="B153" s="92" t="s">
        <v>722</v>
      </c>
      <c r="C153" s="89"/>
      <c r="D153" s="89"/>
      <c r="E153" s="89"/>
      <c r="F153" s="92" t="s">
        <v>330</v>
      </c>
      <c r="G153" s="92">
        <v>2009</v>
      </c>
      <c r="H153" s="322">
        <v>537011.27</v>
      </c>
      <c r="I153" s="92">
        <v>2021</v>
      </c>
      <c r="J153" s="322">
        <v>0</v>
      </c>
      <c r="K153" s="146"/>
      <c r="R153" s="3" t="s">
        <v>502</v>
      </c>
    </row>
    <row r="154" spans="2:18">
      <c r="B154" s="92" t="s">
        <v>723</v>
      </c>
      <c r="C154" s="89"/>
      <c r="D154" s="89"/>
      <c r="E154" s="89"/>
      <c r="F154" s="92" t="s">
        <v>352</v>
      </c>
      <c r="G154" s="92">
        <v>2009</v>
      </c>
      <c r="H154" s="322">
        <v>2416053.9300000006</v>
      </c>
      <c r="I154" s="92">
        <v>2021</v>
      </c>
      <c r="J154" s="322">
        <v>1689334.5575067692</v>
      </c>
      <c r="K154" s="146"/>
      <c r="R154" s="3" t="s">
        <v>502</v>
      </c>
    </row>
    <row r="155" spans="2:18">
      <c r="B155" s="92" t="s">
        <v>724</v>
      </c>
      <c r="C155" s="89"/>
      <c r="D155" s="89"/>
      <c r="E155" s="89"/>
      <c r="F155" s="92" t="s">
        <v>314</v>
      </c>
      <c r="G155" s="92">
        <v>2009</v>
      </c>
      <c r="H155" s="322">
        <v>97690.9</v>
      </c>
      <c r="I155" s="92">
        <v>2021</v>
      </c>
      <c r="J155" s="322">
        <v>0</v>
      </c>
      <c r="K155" s="146"/>
      <c r="R155" s="3" t="s">
        <v>502</v>
      </c>
    </row>
    <row r="156" spans="2:18">
      <c r="B156" s="92" t="s">
        <v>725</v>
      </c>
      <c r="C156" s="89"/>
      <c r="D156" s="89"/>
      <c r="E156" s="89"/>
      <c r="F156" s="92" t="s">
        <v>340</v>
      </c>
      <c r="G156" s="92">
        <v>2009</v>
      </c>
      <c r="H156" s="322">
        <v>655669.05999999994</v>
      </c>
      <c r="I156" s="92">
        <v>2021</v>
      </c>
      <c r="J156" s="322">
        <v>0</v>
      </c>
      <c r="K156" s="146"/>
      <c r="R156" s="3" t="s">
        <v>502</v>
      </c>
    </row>
    <row r="157" spans="2:18">
      <c r="B157" s="92" t="s">
        <v>726</v>
      </c>
      <c r="C157" s="89"/>
      <c r="D157" s="89"/>
      <c r="E157" s="89"/>
      <c r="F157" s="92" t="s">
        <v>335</v>
      </c>
      <c r="G157" s="92">
        <v>2010</v>
      </c>
      <c r="H157" s="322">
        <v>453194.78213502961</v>
      </c>
      <c r="I157" s="92">
        <v>2021</v>
      </c>
      <c r="J157" s="322">
        <v>0</v>
      </c>
      <c r="K157" s="146"/>
      <c r="R157" s="3" t="s">
        <v>502</v>
      </c>
    </row>
    <row r="158" spans="2:18">
      <c r="B158" s="92" t="s">
        <v>727</v>
      </c>
      <c r="C158" s="89"/>
      <c r="D158" s="89"/>
      <c r="E158" s="89"/>
      <c r="F158" s="92" t="s">
        <v>342</v>
      </c>
      <c r="G158" s="92">
        <v>2010</v>
      </c>
      <c r="H158" s="322">
        <v>179634.02000000002</v>
      </c>
      <c r="I158" s="92">
        <v>2021</v>
      </c>
      <c r="J158" s="322">
        <v>0</v>
      </c>
      <c r="K158" s="146"/>
      <c r="R158" s="3" t="s">
        <v>502</v>
      </c>
    </row>
    <row r="159" spans="2:18">
      <c r="B159" s="92" t="s">
        <v>728</v>
      </c>
      <c r="C159" s="89"/>
      <c r="D159" s="89"/>
      <c r="E159" s="89"/>
      <c r="F159" s="92" t="s">
        <v>339</v>
      </c>
      <c r="G159" s="92">
        <v>2011</v>
      </c>
      <c r="H159" s="322">
        <v>293470.62269139342</v>
      </c>
      <c r="I159" s="92">
        <v>2021</v>
      </c>
      <c r="J159" s="322">
        <v>0</v>
      </c>
      <c r="K159" s="146"/>
      <c r="R159" s="3" t="s">
        <v>502</v>
      </c>
    </row>
    <row r="160" spans="2:18">
      <c r="B160" s="92" t="s">
        <v>729</v>
      </c>
      <c r="C160" s="89"/>
      <c r="D160" s="89"/>
      <c r="E160" s="89"/>
      <c r="F160" s="92" t="s">
        <v>327</v>
      </c>
      <c r="G160" s="92">
        <v>2011</v>
      </c>
      <c r="H160" s="322">
        <v>309147.61872011481</v>
      </c>
      <c r="I160" s="92">
        <v>2021</v>
      </c>
      <c r="J160" s="322">
        <v>0</v>
      </c>
      <c r="K160" s="146"/>
      <c r="R160" s="3" t="s">
        <v>502</v>
      </c>
    </row>
    <row r="161" spans="2:18">
      <c r="B161" s="92" t="s">
        <v>730</v>
      </c>
      <c r="C161" s="89"/>
      <c r="D161" s="89"/>
      <c r="E161" s="89"/>
      <c r="F161" s="92" t="s">
        <v>376</v>
      </c>
      <c r="G161" s="92">
        <v>2011</v>
      </c>
      <c r="H161" s="322">
        <v>24343500.983545668</v>
      </c>
      <c r="I161" s="92">
        <v>2021</v>
      </c>
      <c r="J161" s="322">
        <v>0</v>
      </c>
      <c r="K161" s="146"/>
      <c r="R161" s="3" t="s">
        <v>502</v>
      </c>
    </row>
    <row r="162" spans="2:18">
      <c r="B162" s="92" t="s">
        <v>731</v>
      </c>
      <c r="C162" s="89"/>
      <c r="D162" s="89"/>
      <c r="E162" s="89"/>
      <c r="F162" s="92" t="s">
        <v>335</v>
      </c>
      <c r="G162" s="92">
        <v>2011</v>
      </c>
      <c r="H162" s="322">
        <v>345005.47060998465</v>
      </c>
      <c r="I162" s="92">
        <v>2021</v>
      </c>
      <c r="J162" s="322">
        <v>0</v>
      </c>
      <c r="K162" s="146"/>
      <c r="R162" s="3" t="s">
        <v>502</v>
      </c>
    </row>
    <row r="163" spans="2:18">
      <c r="B163" s="92" t="s">
        <v>732</v>
      </c>
      <c r="C163" s="89"/>
      <c r="D163" s="89"/>
      <c r="E163" s="89"/>
      <c r="F163" s="92" t="s">
        <v>340</v>
      </c>
      <c r="G163" s="92">
        <v>2011</v>
      </c>
      <c r="H163" s="322">
        <v>10931.96</v>
      </c>
      <c r="I163" s="92">
        <v>2021</v>
      </c>
      <c r="J163" s="322">
        <v>0</v>
      </c>
      <c r="K163" s="146"/>
      <c r="R163" s="3" t="s">
        <v>502</v>
      </c>
    </row>
    <row r="164" spans="2:18">
      <c r="B164" s="92" t="s">
        <v>733</v>
      </c>
      <c r="C164" s="89"/>
      <c r="D164" s="89"/>
      <c r="E164" s="89"/>
      <c r="F164" s="92" t="s">
        <v>372</v>
      </c>
      <c r="G164" s="92">
        <v>2012</v>
      </c>
      <c r="H164" s="322">
        <v>817297.73457401327</v>
      </c>
      <c r="I164" s="92">
        <v>2021</v>
      </c>
      <c r="J164" s="322">
        <v>0</v>
      </c>
      <c r="K164" s="146"/>
      <c r="R164" s="3" t="s">
        <v>502</v>
      </c>
    </row>
    <row r="165" spans="2:18">
      <c r="B165" s="92" t="s">
        <v>734</v>
      </c>
      <c r="C165" s="89"/>
      <c r="D165" s="89"/>
      <c r="E165" s="89"/>
      <c r="F165" s="92" t="s">
        <v>335</v>
      </c>
      <c r="G165" s="92">
        <v>2012</v>
      </c>
      <c r="H165" s="322">
        <v>237528.30775638262</v>
      </c>
      <c r="I165" s="92">
        <v>2021</v>
      </c>
      <c r="J165" s="322">
        <v>13628.978016883706</v>
      </c>
      <c r="K165" s="146"/>
      <c r="R165" s="3" t="s">
        <v>502</v>
      </c>
    </row>
    <row r="166" spans="2:18">
      <c r="B166" s="92" t="s">
        <v>735</v>
      </c>
      <c r="C166" s="89"/>
      <c r="D166" s="89"/>
      <c r="E166" s="89"/>
      <c r="F166" s="92" t="s">
        <v>340</v>
      </c>
      <c r="G166" s="92">
        <v>2012</v>
      </c>
      <c r="H166" s="322">
        <v>20000</v>
      </c>
      <c r="I166" s="92">
        <v>2021</v>
      </c>
      <c r="J166" s="322">
        <v>1147.5666328463135</v>
      </c>
      <c r="K166" s="146"/>
      <c r="R166" s="3" t="s">
        <v>502</v>
      </c>
    </row>
    <row r="167" spans="2:18">
      <c r="B167" s="92" t="s">
        <v>736</v>
      </c>
      <c r="C167" s="89"/>
      <c r="D167" s="89"/>
      <c r="E167" s="89"/>
      <c r="F167" s="92" t="s">
        <v>352</v>
      </c>
      <c r="G167" s="92">
        <v>2012</v>
      </c>
      <c r="H167" s="322">
        <v>701380.67501665035</v>
      </c>
      <c r="I167" s="92">
        <v>2021</v>
      </c>
      <c r="J167" s="322">
        <v>550002.05737442558</v>
      </c>
      <c r="K167" s="146"/>
      <c r="R167" s="3" t="s">
        <v>502</v>
      </c>
    </row>
    <row r="168" spans="2:18">
      <c r="B168" s="92" t="s">
        <v>737</v>
      </c>
      <c r="C168" s="89"/>
      <c r="D168" s="89"/>
      <c r="E168" s="89"/>
      <c r="F168" s="92" t="s">
        <v>331</v>
      </c>
      <c r="G168" s="92">
        <v>2012</v>
      </c>
      <c r="H168" s="322">
        <v>102288.01000000001</v>
      </c>
      <c r="I168" s="92">
        <v>2021</v>
      </c>
      <c r="J168" s="322">
        <v>5869.1153608124732</v>
      </c>
      <c r="K168" s="146"/>
      <c r="R168" s="3" t="s">
        <v>502</v>
      </c>
    </row>
    <row r="169" spans="2:18">
      <c r="B169" s="92" t="s">
        <v>738</v>
      </c>
      <c r="C169" s="89"/>
      <c r="D169" s="89"/>
      <c r="E169" s="89"/>
      <c r="F169" s="92" t="s">
        <v>330</v>
      </c>
      <c r="G169" s="92">
        <v>2012</v>
      </c>
      <c r="H169" s="322">
        <v>321753.96830222307</v>
      </c>
      <c r="I169" s="92">
        <v>2021</v>
      </c>
      <c r="J169" s="322">
        <v>18461.705900476001</v>
      </c>
      <c r="K169" s="146"/>
      <c r="R169" s="3" t="s">
        <v>502</v>
      </c>
    </row>
    <row r="170" spans="2:18">
      <c r="B170" s="92" t="s">
        <v>739</v>
      </c>
      <c r="C170" s="89"/>
      <c r="D170" s="89"/>
      <c r="E170" s="89"/>
      <c r="F170" s="92" t="s">
        <v>342</v>
      </c>
      <c r="G170" s="92">
        <v>2012</v>
      </c>
      <c r="H170" s="322">
        <v>341738.83030935976</v>
      </c>
      <c r="I170" s="92">
        <v>2021</v>
      </c>
      <c r="J170" s="322">
        <v>19608.403940547396</v>
      </c>
      <c r="K170" s="146"/>
      <c r="R170" s="3" t="s">
        <v>502</v>
      </c>
    </row>
    <row r="171" spans="2:18">
      <c r="B171" s="92" t="s">
        <v>740</v>
      </c>
      <c r="C171" s="89"/>
      <c r="D171" s="89"/>
      <c r="E171" s="89"/>
      <c r="F171" s="92" t="s">
        <v>327</v>
      </c>
      <c r="G171" s="92">
        <v>2012</v>
      </c>
      <c r="H171" s="322">
        <v>737114.28212566266</v>
      </c>
      <c r="I171" s="92">
        <v>2021</v>
      </c>
      <c r="J171" s="322">
        <v>42294.387738093574</v>
      </c>
      <c r="K171" s="146"/>
      <c r="R171" s="3" t="s">
        <v>502</v>
      </c>
    </row>
    <row r="172" spans="2:18">
      <c r="B172" s="92" t="s">
        <v>741</v>
      </c>
      <c r="C172" s="89"/>
      <c r="D172" s="89"/>
      <c r="E172" s="89"/>
      <c r="F172" s="92" t="s">
        <v>335</v>
      </c>
      <c r="G172" s="92">
        <v>2013</v>
      </c>
      <c r="H172" s="322">
        <v>5005059.40396435</v>
      </c>
      <c r="I172" s="92">
        <v>2021</v>
      </c>
      <c r="J172" s="322">
        <v>842175.83099752699</v>
      </c>
      <c r="K172" s="146"/>
      <c r="R172" s="3" t="s">
        <v>502</v>
      </c>
    </row>
    <row r="173" spans="2:18">
      <c r="B173" s="92" t="s">
        <v>742</v>
      </c>
      <c r="C173" s="89"/>
      <c r="D173" s="89"/>
      <c r="E173" s="89"/>
      <c r="F173" s="92" t="s">
        <v>352</v>
      </c>
      <c r="G173" s="92">
        <v>2013</v>
      </c>
      <c r="H173" s="322">
        <v>1237826.9064472313</v>
      </c>
      <c r="I173" s="92">
        <v>2021</v>
      </c>
      <c r="J173" s="322">
        <v>995129.04477620148</v>
      </c>
      <c r="K173" s="146"/>
      <c r="R173" s="3" t="s">
        <v>502</v>
      </c>
    </row>
    <row r="174" spans="2:18">
      <c r="B174" s="92" t="s">
        <v>743</v>
      </c>
      <c r="C174" s="89"/>
      <c r="D174" s="89"/>
      <c r="E174" s="89"/>
      <c r="F174" s="92" t="s">
        <v>330</v>
      </c>
      <c r="G174" s="92">
        <v>2013</v>
      </c>
      <c r="H174" s="322">
        <v>292655.61609467439</v>
      </c>
      <c r="I174" s="92">
        <v>2021</v>
      </c>
      <c r="J174" s="322">
        <v>49243.668613684422</v>
      </c>
      <c r="K174" s="146"/>
      <c r="R174" s="3" t="s">
        <v>502</v>
      </c>
    </row>
    <row r="175" spans="2:18">
      <c r="B175" s="92" t="s">
        <v>744</v>
      </c>
      <c r="C175" s="89"/>
      <c r="D175" s="89"/>
      <c r="E175" s="89"/>
      <c r="F175" s="92" t="s">
        <v>352</v>
      </c>
      <c r="G175" s="92">
        <v>2014</v>
      </c>
      <c r="H175" s="322">
        <v>4973944.9463818558</v>
      </c>
      <c r="I175" s="92">
        <v>2021</v>
      </c>
      <c r="J175" s="322">
        <v>4070721.5945336674</v>
      </c>
      <c r="K175" s="146"/>
      <c r="R175" s="3" t="s">
        <v>502</v>
      </c>
    </row>
    <row r="176" spans="2:18">
      <c r="B176" s="92" t="s">
        <v>745</v>
      </c>
      <c r="C176" s="89"/>
      <c r="D176" s="89"/>
      <c r="E176" s="89"/>
      <c r="F176" s="92" t="s">
        <v>330</v>
      </c>
      <c r="G176" s="92">
        <v>2014</v>
      </c>
      <c r="H176" s="322">
        <v>332895.6529706032</v>
      </c>
      <c r="I176" s="92">
        <v>2021</v>
      </c>
      <c r="J176" s="322">
        <v>90814.939173486709</v>
      </c>
      <c r="K176" s="146"/>
      <c r="R176" s="3" t="s">
        <v>502</v>
      </c>
    </row>
    <row r="177" spans="2:18">
      <c r="B177" s="92" t="s">
        <v>746</v>
      </c>
      <c r="C177" s="89"/>
      <c r="D177" s="89"/>
      <c r="E177" s="89"/>
      <c r="F177" s="92" t="s">
        <v>331</v>
      </c>
      <c r="G177" s="92">
        <v>2014</v>
      </c>
      <c r="H177" s="322">
        <v>294123.8734031191</v>
      </c>
      <c r="I177" s="92">
        <v>2021</v>
      </c>
      <c r="J177" s="322">
        <v>80237.880651848885</v>
      </c>
      <c r="K177" s="146"/>
      <c r="R177" s="3" t="s">
        <v>502</v>
      </c>
    </row>
    <row r="178" spans="2:18">
      <c r="B178" s="92" t="s">
        <v>747</v>
      </c>
      <c r="C178" s="89"/>
      <c r="D178" s="89"/>
      <c r="E178" s="89"/>
      <c r="F178" s="92" t="s">
        <v>340</v>
      </c>
      <c r="G178" s="92">
        <v>2014</v>
      </c>
      <c r="H178" s="322">
        <v>24919.261718386999</v>
      </c>
      <c r="I178" s="92">
        <v>2021</v>
      </c>
      <c r="J178" s="322">
        <v>6798.0498303573586</v>
      </c>
      <c r="K178" s="146"/>
      <c r="R178" s="3" t="s">
        <v>502</v>
      </c>
    </row>
    <row r="179" spans="2:18">
      <c r="B179" s="92" t="s">
        <v>748</v>
      </c>
      <c r="C179" s="89"/>
      <c r="D179" s="89"/>
      <c r="E179" s="89"/>
      <c r="F179" s="92" t="s">
        <v>335</v>
      </c>
      <c r="G179" s="92">
        <v>2014</v>
      </c>
      <c r="H179" s="322">
        <v>264974.99557180319</v>
      </c>
      <c r="I179" s="92">
        <v>2021</v>
      </c>
      <c r="J179" s="322">
        <v>72285.978776277945</v>
      </c>
      <c r="K179" s="146"/>
      <c r="R179" s="3" t="s">
        <v>502</v>
      </c>
    </row>
    <row r="180" spans="2:18">
      <c r="B180" s="92" t="s">
        <v>749</v>
      </c>
      <c r="C180" s="89"/>
      <c r="D180" s="89"/>
      <c r="E180" s="89"/>
      <c r="F180" s="92" t="s">
        <v>327</v>
      </c>
      <c r="G180" s="92">
        <v>2014</v>
      </c>
      <c r="H180" s="322">
        <v>724167.86511950963</v>
      </c>
      <c r="I180" s="92">
        <v>2021</v>
      </c>
      <c r="J180" s="322">
        <v>197555.1799351057</v>
      </c>
      <c r="K180" s="146"/>
      <c r="R180" s="3" t="s">
        <v>502</v>
      </c>
    </row>
    <row r="181" spans="2:18">
      <c r="B181" s="92" t="s">
        <v>750</v>
      </c>
      <c r="C181" s="89"/>
      <c r="D181" s="89"/>
      <c r="E181" s="89"/>
      <c r="F181" s="92" t="s">
        <v>343</v>
      </c>
      <c r="G181" s="92">
        <v>2014</v>
      </c>
      <c r="H181" s="322">
        <v>1415.9999999999968</v>
      </c>
      <c r="I181" s="92">
        <v>2021</v>
      </c>
      <c r="J181" s="322">
        <v>386.28907503641284</v>
      </c>
      <c r="K181" s="146"/>
      <c r="R181" s="3" t="s">
        <v>502</v>
      </c>
    </row>
    <row r="182" spans="2:18">
      <c r="B182" s="92" t="s">
        <v>751</v>
      </c>
      <c r="C182" s="89"/>
      <c r="D182" s="89"/>
      <c r="E182" s="89"/>
      <c r="F182" s="92" t="s">
        <v>343</v>
      </c>
      <c r="G182" s="92">
        <v>2015</v>
      </c>
      <c r="H182" s="322">
        <v>43315.304046858677</v>
      </c>
      <c r="I182" s="92">
        <v>2021</v>
      </c>
      <c r="J182" s="322">
        <v>16379.370300704035</v>
      </c>
      <c r="K182" s="146"/>
      <c r="R182" s="3" t="s">
        <v>502</v>
      </c>
    </row>
    <row r="183" spans="2:18">
      <c r="B183" s="92" t="s">
        <v>752</v>
      </c>
      <c r="C183" s="89"/>
      <c r="D183" s="89"/>
      <c r="E183" s="89"/>
      <c r="F183" s="92" t="s">
        <v>340</v>
      </c>
      <c r="G183" s="92">
        <v>2015</v>
      </c>
      <c r="H183" s="322">
        <v>78424.550748692549</v>
      </c>
      <c r="I183" s="92">
        <v>2021</v>
      </c>
      <c r="J183" s="322">
        <v>29655.679110310892</v>
      </c>
      <c r="K183" s="146"/>
      <c r="R183" s="3" t="s">
        <v>502</v>
      </c>
    </row>
    <row r="184" spans="2:18">
      <c r="B184" s="92" t="s">
        <v>753</v>
      </c>
      <c r="C184" s="89"/>
      <c r="D184" s="89"/>
      <c r="E184" s="89"/>
      <c r="F184" s="92" t="s">
        <v>335</v>
      </c>
      <c r="G184" s="92">
        <v>2015</v>
      </c>
      <c r="H184" s="322">
        <v>481116.61247078225</v>
      </c>
      <c r="I184" s="92">
        <v>2021</v>
      </c>
      <c r="J184" s="322">
        <v>181930.78236168518</v>
      </c>
      <c r="K184" s="146"/>
      <c r="R184" s="3" t="s">
        <v>502</v>
      </c>
    </row>
    <row r="185" spans="2:18">
      <c r="B185" s="92" t="s">
        <v>754</v>
      </c>
      <c r="C185" s="89"/>
      <c r="D185" s="89"/>
      <c r="E185" s="89"/>
      <c r="F185" s="92" t="s">
        <v>377</v>
      </c>
      <c r="G185" s="92">
        <v>2015</v>
      </c>
      <c r="H185" s="322">
        <v>13785822.782425826</v>
      </c>
      <c r="I185" s="92">
        <v>2021</v>
      </c>
      <c r="J185" s="322">
        <v>8440110.7970265597</v>
      </c>
      <c r="K185" s="146"/>
      <c r="R185" s="3" t="s">
        <v>502</v>
      </c>
    </row>
    <row r="186" spans="2:18">
      <c r="B186" s="92" t="s">
        <v>755</v>
      </c>
      <c r="C186" s="89"/>
      <c r="D186" s="89"/>
      <c r="E186" s="89"/>
      <c r="F186" s="92" t="s">
        <v>339</v>
      </c>
      <c r="G186" s="92">
        <v>2015</v>
      </c>
      <c r="H186" s="322">
        <v>43877.173224174046</v>
      </c>
      <c r="I186" s="92">
        <v>2021</v>
      </c>
      <c r="J186" s="322">
        <v>16591.837083941773</v>
      </c>
      <c r="K186" s="146"/>
      <c r="R186" s="3" t="s">
        <v>502</v>
      </c>
    </row>
    <row r="187" spans="2:18">
      <c r="B187" s="92" t="s">
        <v>756</v>
      </c>
      <c r="C187" s="89"/>
      <c r="D187" s="89"/>
      <c r="E187" s="89"/>
      <c r="F187" s="92" t="s">
        <v>330</v>
      </c>
      <c r="G187" s="92">
        <v>2015</v>
      </c>
      <c r="H187" s="322">
        <v>153470.91831934603</v>
      </c>
      <c r="I187" s="92">
        <v>2021</v>
      </c>
      <c r="J187" s="322">
        <v>58033.922579009974</v>
      </c>
      <c r="K187" s="146"/>
      <c r="R187" s="3" t="s">
        <v>502</v>
      </c>
    </row>
    <row r="188" spans="2:18">
      <c r="B188" s="92" t="s">
        <v>757</v>
      </c>
      <c r="C188" s="89"/>
      <c r="D188" s="89"/>
      <c r="E188" s="89"/>
      <c r="F188" s="92" t="s">
        <v>352</v>
      </c>
      <c r="G188" s="92">
        <v>2015</v>
      </c>
      <c r="H188" s="322">
        <v>2375369.7957282378</v>
      </c>
      <c r="I188" s="92">
        <v>2021</v>
      </c>
      <c r="J188" s="322">
        <v>2010322.0086927759</v>
      </c>
      <c r="K188" s="146"/>
      <c r="R188" s="3" t="s">
        <v>502</v>
      </c>
    </row>
    <row r="189" spans="2:18">
      <c r="B189" s="92" t="s">
        <v>758</v>
      </c>
      <c r="C189" s="89"/>
      <c r="D189" s="89"/>
      <c r="E189" s="89"/>
      <c r="F189" s="92" t="s">
        <v>321</v>
      </c>
      <c r="G189" s="92">
        <v>2015</v>
      </c>
      <c r="H189" s="322">
        <v>516544.29057147249</v>
      </c>
      <c r="I189" s="92">
        <v>2021</v>
      </c>
      <c r="J189" s="322">
        <v>437161.55592610373</v>
      </c>
      <c r="K189" s="146"/>
      <c r="R189" s="3" t="s">
        <v>502</v>
      </c>
    </row>
    <row r="190" spans="2:18">
      <c r="B190" s="92" t="s">
        <v>759</v>
      </c>
      <c r="C190" s="89"/>
      <c r="D190" s="89"/>
      <c r="E190" s="89"/>
      <c r="F190" s="92" t="s">
        <v>327</v>
      </c>
      <c r="G190" s="92">
        <v>2015</v>
      </c>
      <c r="H190" s="322">
        <v>406758.82739129546</v>
      </c>
      <c r="I190" s="92">
        <v>2021</v>
      </c>
      <c r="J190" s="322">
        <v>153812.9214033616</v>
      </c>
      <c r="K190" s="146"/>
      <c r="R190" s="3" t="s">
        <v>502</v>
      </c>
    </row>
    <row r="191" spans="2:18">
      <c r="B191" s="92" t="s">
        <v>760</v>
      </c>
      <c r="C191" s="89"/>
      <c r="D191" s="89"/>
      <c r="E191" s="89"/>
      <c r="F191" s="92" t="s">
        <v>352</v>
      </c>
      <c r="G191" s="92">
        <v>2016</v>
      </c>
      <c r="H191" s="322">
        <v>229380.26938547671</v>
      </c>
      <c r="I191" s="92">
        <v>2021</v>
      </c>
      <c r="J191" s="322">
        <v>200783.5579674957</v>
      </c>
      <c r="K191" s="146"/>
      <c r="R191" s="3" t="s">
        <v>502</v>
      </c>
    </row>
    <row r="192" spans="2:18">
      <c r="B192" s="92" t="s">
        <v>761</v>
      </c>
      <c r="C192" s="89"/>
      <c r="D192" s="89"/>
      <c r="E192" s="89"/>
      <c r="F192" s="92" t="s">
        <v>377</v>
      </c>
      <c r="G192" s="92">
        <v>2016</v>
      </c>
      <c r="H192" s="322">
        <v>529286.5107518764</v>
      </c>
      <c r="I192" s="92">
        <v>2021</v>
      </c>
      <c r="J192" s="322">
        <v>359294.38470756344</v>
      </c>
      <c r="K192" s="146"/>
      <c r="R192" s="3" t="s">
        <v>502</v>
      </c>
    </row>
    <row r="193" spans="2:18">
      <c r="B193" s="92" t="s">
        <v>762</v>
      </c>
      <c r="C193" s="89"/>
      <c r="D193" s="89"/>
      <c r="E193" s="89"/>
      <c r="F193" s="92" t="s">
        <v>339</v>
      </c>
      <c r="G193" s="92">
        <v>2016</v>
      </c>
      <c r="H193" s="322">
        <v>28567.827468907908</v>
      </c>
      <c r="I193" s="92">
        <v>2021</v>
      </c>
      <c r="J193" s="322">
        <v>13778.977338155324</v>
      </c>
      <c r="K193" s="146"/>
      <c r="R193" s="3" t="s">
        <v>502</v>
      </c>
    </row>
    <row r="194" spans="2:18">
      <c r="B194" s="92" t="s">
        <v>763</v>
      </c>
      <c r="C194" s="89"/>
      <c r="D194" s="89"/>
      <c r="E194" s="89"/>
      <c r="F194" s="92" t="s">
        <v>321</v>
      </c>
      <c r="G194" s="92">
        <v>2016</v>
      </c>
      <c r="H194" s="322">
        <v>69569.550579382194</v>
      </c>
      <c r="I194" s="92">
        <v>2021</v>
      </c>
      <c r="J194" s="322">
        <v>60896.353156050573</v>
      </c>
      <c r="K194" s="146"/>
      <c r="R194" s="3" t="s">
        <v>502</v>
      </c>
    </row>
    <row r="195" spans="2:18">
      <c r="B195" s="92" t="s">
        <v>764</v>
      </c>
      <c r="C195" s="89"/>
      <c r="D195" s="89"/>
      <c r="E195" s="89"/>
      <c r="F195" s="92" t="s">
        <v>330</v>
      </c>
      <c r="G195" s="92">
        <v>2016</v>
      </c>
      <c r="H195" s="322">
        <v>285684.31746031862</v>
      </c>
      <c r="I195" s="92">
        <v>2021</v>
      </c>
      <c r="J195" s="322">
        <v>137792.68796118168</v>
      </c>
      <c r="K195" s="146"/>
      <c r="R195" s="3" t="s">
        <v>502</v>
      </c>
    </row>
    <row r="196" spans="2:18">
      <c r="B196" s="92" t="s">
        <v>765</v>
      </c>
      <c r="C196" s="89"/>
      <c r="D196" s="89"/>
      <c r="E196" s="89"/>
      <c r="F196" s="92" t="s">
        <v>327</v>
      </c>
      <c r="G196" s="92">
        <v>2016</v>
      </c>
      <c r="H196" s="322">
        <v>23169.006741347624</v>
      </c>
      <c r="I196" s="92">
        <v>2021</v>
      </c>
      <c r="J196" s="322">
        <v>11174.991139387506</v>
      </c>
      <c r="K196" s="146"/>
      <c r="R196" s="3" t="s">
        <v>502</v>
      </c>
    </row>
    <row r="197" spans="2:18">
      <c r="B197" s="92" t="s">
        <v>766</v>
      </c>
      <c r="C197" s="89"/>
      <c r="D197" s="89"/>
      <c r="E197" s="89"/>
      <c r="F197" s="92" t="s">
        <v>338</v>
      </c>
      <c r="G197" s="92">
        <v>2017</v>
      </c>
      <c r="H197" s="322">
        <v>42505.139899436123</v>
      </c>
      <c r="I197" s="92">
        <v>2021</v>
      </c>
      <c r="J197" s="322">
        <v>25007.119857240814</v>
      </c>
      <c r="K197" s="146"/>
      <c r="R197" s="3" t="s">
        <v>502</v>
      </c>
    </row>
    <row r="198" spans="2:18">
      <c r="B198" s="92" t="s">
        <v>767</v>
      </c>
      <c r="C198" s="89"/>
      <c r="D198" s="89"/>
      <c r="E198" s="89"/>
      <c r="F198" s="92" t="s">
        <v>331</v>
      </c>
      <c r="G198" s="92">
        <v>2017</v>
      </c>
      <c r="H198" s="322">
        <v>283180.78041617683</v>
      </c>
      <c r="I198" s="92">
        <v>2021</v>
      </c>
      <c r="J198" s="322">
        <v>166604.2208986652</v>
      </c>
      <c r="K198" s="146"/>
      <c r="R198" s="3" t="s">
        <v>502</v>
      </c>
    </row>
    <row r="199" spans="2:18">
      <c r="B199" s="92" t="s">
        <v>768</v>
      </c>
      <c r="C199" s="89"/>
      <c r="D199" s="89"/>
      <c r="E199" s="89"/>
      <c r="F199" s="92" t="s">
        <v>331</v>
      </c>
      <c r="G199" s="92">
        <v>2016</v>
      </c>
      <c r="H199" s="322">
        <v>59355.750635093973</v>
      </c>
      <c r="I199" s="92">
        <v>2021</v>
      </c>
      <c r="J199" s="322">
        <v>28628.76232994219</v>
      </c>
      <c r="K199" s="146"/>
      <c r="R199" s="3" t="s">
        <v>502</v>
      </c>
    </row>
    <row r="200" spans="2:18">
      <c r="B200" s="92" t="s">
        <v>769</v>
      </c>
      <c r="C200" s="89"/>
      <c r="D200" s="89"/>
      <c r="E200" s="89"/>
      <c r="F200" s="92" t="s">
        <v>352</v>
      </c>
      <c r="G200" s="92">
        <v>2017</v>
      </c>
      <c r="H200" s="322">
        <v>1235103.6006231268</v>
      </c>
      <c r="I200" s="92">
        <v>2021</v>
      </c>
      <c r="J200" s="322">
        <v>1123005.4133120223</v>
      </c>
      <c r="K200" s="146"/>
      <c r="R200" s="3" t="s">
        <v>502</v>
      </c>
    </row>
    <row r="201" spans="2:18">
      <c r="B201" s="92" t="s">
        <v>770</v>
      </c>
      <c r="C201" s="89"/>
      <c r="D201" s="89"/>
      <c r="E201" s="89"/>
      <c r="F201" s="92" t="s">
        <v>340</v>
      </c>
      <c r="G201" s="92">
        <v>2017</v>
      </c>
      <c r="H201" s="322">
        <v>251242.94461834809</v>
      </c>
      <c r="I201" s="92">
        <v>2021</v>
      </c>
      <c r="J201" s="322">
        <v>147814.18069019204</v>
      </c>
      <c r="K201" s="146"/>
      <c r="R201" s="3" t="s">
        <v>502</v>
      </c>
    </row>
    <row r="202" spans="2:18">
      <c r="B202" s="92" t="s">
        <v>771</v>
      </c>
      <c r="C202" s="89"/>
      <c r="D202" s="89"/>
      <c r="E202" s="89"/>
      <c r="F202" s="92" t="s">
        <v>339</v>
      </c>
      <c r="G202" s="92">
        <v>2017</v>
      </c>
      <c r="H202" s="322">
        <v>342149.84909853589</v>
      </c>
      <c r="I202" s="92">
        <v>2021</v>
      </c>
      <c r="J202" s="322">
        <v>201297.59143922853</v>
      </c>
      <c r="K202" s="146"/>
      <c r="R202" s="3" t="s">
        <v>502</v>
      </c>
    </row>
    <row r="203" spans="2:18">
      <c r="B203" s="92" t="s">
        <v>772</v>
      </c>
      <c r="C203" s="89"/>
      <c r="D203" s="89"/>
      <c r="E203" s="89"/>
      <c r="F203" s="92" t="s">
        <v>334</v>
      </c>
      <c r="G203" s="92">
        <v>2017</v>
      </c>
      <c r="H203" s="322">
        <v>492613.45921199484</v>
      </c>
      <c r="I203" s="92">
        <v>2021</v>
      </c>
      <c r="J203" s="322">
        <v>289820.09815635922</v>
      </c>
      <c r="K203" s="146"/>
      <c r="R203" s="3" t="s">
        <v>502</v>
      </c>
    </row>
    <row r="204" spans="2:18">
      <c r="B204" s="92" t="s">
        <v>773</v>
      </c>
      <c r="C204" s="89"/>
      <c r="D204" s="89"/>
      <c r="E204" s="89"/>
      <c r="F204" s="92" t="s">
        <v>335</v>
      </c>
      <c r="G204" s="92">
        <v>2017</v>
      </c>
      <c r="H204" s="322">
        <v>2185364.6124668787</v>
      </c>
      <c r="I204" s="92">
        <v>2021</v>
      </c>
      <c r="J204" s="322">
        <v>1285719.20772473</v>
      </c>
      <c r="K204" s="146"/>
      <c r="R204" s="3" t="s">
        <v>502</v>
      </c>
    </row>
    <row r="205" spans="2:18">
      <c r="B205" s="92" t="s">
        <v>774</v>
      </c>
      <c r="C205" s="89"/>
      <c r="D205" s="89"/>
      <c r="E205" s="89"/>
      <c r="F205" s="92" t="s">
        <v>342</v>
      </c>
      <c r="G205" s="92">
        <v>2017</v>
      </c>
      <c r="H205" s="322">
        <v>68624.022512808762</v>
      </c>
      <c r="I205" s="92">
        <v>2021</v>
      </c>
      <c r="J205" s="322">
        <v>40373.685632465487</v>
      </c>
      <c r="K205" s="146"/>
      <c r="R205" s="3" t="s">
        <v>502</v>
      </c>
    </row>
    <row r="206" spans="2:18">
      <c r="B206" s="92" t="s">
        <v>775</v>
      </c>
      <c r="C206" s="89"/>
      <c r="D206" s="89"/>
      <c r="E206" s="89"/>
      <c r="F206" s="92" t="s">
        <v>330</v>
      </c>
      <c r="G206" s="92">
        <v>2017</v>
      </c>
      <c r="H206" s="322">
        <v>75086.588886849713</v>
      </c>
      <c r="I206" s="92">
        <v>2021</v>
      </c>
      <c r="J206" s="322">
        <v>44175.81808711389</v>
      </c>
      <c r="K206" s="146"/>
      <c r="R206" s="3" t="s">
        <v>502</v>
      </c>
    </row>
    <row r="207" spans="2:18">
      <c r="B207" s="92" t="s">
        <v>776</v>
      </c>
      <c r="C207" s="89"/>
      <c r="D207" s="89"/>
      <c r="E207" s="89"/>
      <c r="F207" s="92" t="s">
        <v>327</v>
      </c>
      <c r="G207" s="92">
        <v>2017</v>
      </c>
      <c r="H207" s="322">
        <v>894081.48176313401</v>
      </c>
      <c r="I207" s="92">
        <v>2021</v>
      </c>
      <c r="J207" s="322">
        <v>526016.44952794898</v>
      </c>
      <c r="K207" s="146"/>
      <c r="R207" s="3" t="s">
        <v>502</v>
      </c>
    </row>
    <row r="208" spans="2:18">
      <c r="B208" s="92" t="s">
        <v>777</v>
      </c>
      <c r="C208" s="89"/>
      <c r="D208" s="89"/>
      <c r="E208" s="89"/>
      <c r="F208" s="92" t="s">
        <v>330</v>
      </c>
      <c r="G208" s="92">
        <v>2018</v>
      </c>
      <c r="H208" s="322">
        <v>490885.08786120504</v>
      </c>
      <c r="I208" s="92">
        <v>2021</v>
      </c>
      <c r="J208" s="322">
        <v>336600.51580018562</v>
      </c>
      <c r="K208" s="146"/>
      <c r="R208" s="3" t="s">
        <v>502</v>
      </c>
    </row>
    <row r="209" spans="2:18">
      <c r="B209" s="92" t="s">
        <v>778</v>
      </c>
      <c r="C209" s="89"/>
      <c r="D209" s="89"/>
      <c r="E209" s="89"/>
      <c r="F209" s="92" t="s">
        <v>327</v>
      </c>
      <c r="G209" s="92">
        <v>2018</v>
      </c>
      <c r="H209" s="322">
        <v>533703.76265516167</v>
      </c>
      <c r="I209" s="92">
        <v>2021</v>
      </c>
      <c r="J209" s="322">
        <v>365961.33440708811</v>
      </c>
      <c r="K209" s="146"/>
      <c r="R209" s="3" t="s">
        <v>502</v>
      </c>
    </row>
    <row r="210" spans="2:18">
      <c r="B210" s="92" t="s">
        <v>779</v>
      </c>
      <c r="C210" s="89"/>
      <c r="D210" s="89"/>
      <c r="E210" s="89"/>
      <c r="F210" s="92" t="s">
        <v>335</v>
      </c>
      <c r="G210" s="92">
        <v>2018</v>
      </c>
      <c r="H210" s="322">
        <v>2619455.826851733</v>
      </c>
      <c r="I210" s="92">
        <v>2021</v>
      </c>
      <c r="J210" s="322">
        <v>1796164.1211708463</v>
      </c>
      <c r="K210" s="146"/>
      <c r="R210" s="3" t="s">
        <v>502</v>
      </c>
    </row>
    <row r="211" spans="2:18">
      <c r="B211" s="92" t="s">
        <v>780</v>
      </c>
      <c r="C211" s="89"/>
      <c r="D211" s="89"/>
      <c r="E211" s="89"/>
      <c r="F211" s="92" t="s">
        <v>331</v>
      </c>
      <c r="G211" s="92">
        <v>2018</v>
      </c>
      <c r="H211" s="322">
        <v>252164.79428194632</v>
      </c>
      <c r="I211" s="92">
        <v>2021</v>
      </c>
      <c r="J211" s="322">
        <v>172909.7133338665</v>
      </c>
      <c r="K211" s="146"/>
      <c r="R211" s="3" t="s">
        <v>502</v>
      </c>
    </row>
    <row r="212" spans="2:18">
      <c r="B212" s="92" t="s">
        <v>781</v>
      </c>
      <c r="C212" s="89"/>
      <c r="D212" s="89"/>
      <c r="E212" s="89"/>
      <c r="F212" s="92" t="s">
        <v>338</v>
      </c>
      <c r="G212" s="92">
        <v>2018</v>
      </c>
      <c r="H212" s="322">
        <v>13021546.318391869</v>
      </c>
      <c r="I212" s="92">
        <v>2021</v>
      </c>
      <c r="J212" s="322">
        <v>8928890.519742161</v>
      </c>
      <c r="K212" s="146"/>
      <c r="R212" s="3" t="s">
        <v>502</v>
      </c>
    </row>
    <row r="213" spans="2:18">
      <c r="B213" s="92" t="s">
        <v>782</v>
      </c>
      <c r="C213" s="89"/>
      <c r="D213" s="89"/>
      <c r="E213" s="89"/>
      <c r="F213" s="92" t="s">
        <v>352</v>
      </c>
      <c r="G213" s="92">
        <v>2018</v>
      </c>
      <c r="H213" s="322">
        <v>5158473.573657441</v>
      </c>
      <c r="I213" s="92">
        <v>2021</v>
      </c>
      <c r="J213" s="322">
        <v>4806925.7125234623</v>
      </c>
      <c r="K213" s="146"/>
      <c r="R213" s="3" t="s">
        <v>502</v>
      </c>
    </row>
    <row r="214" spans="2:18">
      <c r="B214" s="92" t="s">
        <v>783</v>
      </c>
      <c r="C214" s="89"/>
      <c r="D214" s="89"/>
      <c r="E214" s="89"/>
      <c r="F214" s="92" t="s">
        <v>378</v>
      </c>
      <c r="G214" s="92">
        <v>2018</v>
      </c>
      <c r="H214" s="322">
        <v>21147142.000000007</v>
      </c>
      <c r="I214" s="92">
        <v>2021</v>
      </c>
      <c r="J214" s="322">
        <v>17103297.263965867</v>
      </c>
      <c r="K214" s="146"/>
      <c r="R214" s="3" t="s">
        <v>502</v>
      </c>
    </row>
    <row r="215" spans="2:18">
      <c r="B215" s="92" t="s">
        <v>784</v>
      </c>
      <c r="C215" s="89"/>
      <c r="D215" s="89"/>
      <c r="E215" s="89"/>
      <c r="F215" s="92" t="s">
        <v>374</v>
      </c>
      <c r="G215" s="92">
        <v>2018</v>
      </c>
      <c r="H215" s="322">
        <v>1669649.9999999995</v>
      </c>
      <c r="I215" s="92">
        <v>2021</v>
      </c>
      <c r="J215" s="322">
        <v>528406.65386783984</v>
      </c>
      <c r="K215" s="146"/>
      <c r="R215" s="3" t="s">
        <v>502</v>
      </c>
    </row>
    <row r="216" spans="2:18">
      <c r="B216" s="92" t="s">
        <v>785</v>
      </c>
      <c r="C216" s="89"/>
      <c r="D216" s="89"/>
      <c r="E216" s="89"/>
      <c r="F216" s="92" t="s">
        <v>314</v>
      </c>
      <c r="G216" s="92">
        <v>2017</v>
      </c>
      <c r="H216" s="322">
        <v>41129.587663444909</v>
      </c>
      <c r="I216" s="92">
        <v>2021</v>
      </c>
      <c r="J216" s="322">
        <v>24197.83891576614</v>
      </c>
      <c r="K216" s="146"/>
      <c r="R216" s="3" t="s">
        <v>502</v>
      </c>
    </row>
    <row r="217" spans="2:18">
      <c r="B217" s="92" t="s">
        <v>786</v>
      </c>
      <c r="C217" s="89"/>
      <c r="D217" s="89"/>
      <c r="E217" s="89"/>
      <c r="F217" s="92" t="s">
        <v>321</v>
      </c>
      <c r="G217" s="92">
        <v>2018</v>
      </c>
      <c r="H217" s="322">
        <v>1769813.2968497979</v>
      </c>
      <c r="I217" s="92">
        <v>2021</v>
      </c>
      <c r="J217" s="322">
        <v>1649201.2455850111</v>
      </c>
      <c r="K217" s="146"/>
      <c r="R217" s="3" t="s">
        <v>502</v>
      </c>
    </row>
    <row r="218" spans="2:18">
      <c r="B218" s="92" t="s">
        <v>787</v>
      </c>
      <c r="C218" s="89"/>
      <c r="D218" s="89"/>
      <c r="E218" s="89"/>
      <c r="F218" s="92" t="s">
        <v>342</v>
      </c>
      <c r="G218" s="92">
        <v>2018</v>
      </c>
      <c r="H218" s="322">
        <v>20291.448993786991</v>
      </c>
      <c r="I218" s="92">
        <v>2021</v>
      </c>
      <c r="J218" s="322">
        <v>13913.871833835448</v>
      </c>
      <c r="K218" s="146"/>
      <c r="R218" s="3" t="s">
        <v>502</v>
      </c>
    </row>
    <row r="219" spans="2:18">
      <c r="B219" s="92" t="s">
        <v>788</v>
      </c>
      <c r="C219" s="89"/>
      <c r="D219" s="89"/>
      <c r="E219" s="89"/>
      <c r="F219" s="92" t="s">
        <v>333</v>
      </c>
      <c r="G219" s="92">
        <v>2018</v>
      </c>
      <c r="H219" s="322">
        <v>59796.38767845487</v>
      </c>
      <c r="I219" s="92">
        <v>2021</v>
      </c>
      <c r="J219" s="322">
        <v>41002.457465659885</v>
      </c>
      <c r="K219" s="146"/>
      <c r="R219" s="3" t="s">
        <v>502</v>
      </c>
    </row>
    <row r="220" spans="2:18">
      <c r="B220" s="92" t="s">
        <v>789</v>
      </c>
      <c r="C220" s="89"/>
      <c r="D220" s="89"/>
      <c r="E220" s="89"/>
      <c r="F220" s="92" t="s">
        <v>314</v>
      </c>
      <c r="G220" s="92">
        <v>2018</v>
      </c>
      <c r="H220" s="322">
        <v>70537.619152208252</v>
      </c>
      <c r="I220" s="92">
        <v>2021</v>
      </c>
      <c r="J220" s="322">
        <v>48367.733257897518</v>
      </c>
      <c r="K220" s="146"/>
      <c r="R220" s="3" t="s">
        <v>502</v>
      </c>
    </row>
    <row r="221" spans="2:18">
      <c r="B221" s="92" t="s">
        <v>790</v>
      </c>
      <c r="C221" s="89"/>
      <c r="D221" s="89"/>
      <c r="E221" s="89"/>
      <c r="F221" s="92" t="s">
        <v>375</v>
      </c>
      <c r="G221" s="92">
        <v>2018</v>
      </c>
      <c r="H221" s="322">
        <v>1033593</v>
      </c>
      <c r="I221" s="92">
        <v>2021</v>
      </c>
      <c r="J221" s="322">
        <v>327108.92617687664</v>
      </c>
      <c r="K221" s="146"/>
      <c r="R221" s="3" t="s">
        <v>502</v>
      </c>
    </row>
    <row r="222" spans="2:18">
      <c r="B222" s="92" t="s">
        <v>791</v>
      </c>
      <c r="C222" s="89"/>
      <c r="D222" s="89"/>
      <c r="E222" s="89"/>
      <c r="F222" s="92" t="s">
        <v>371</v>
      </c>
      <c r="G222" s="92">
        <v>2019</v>
      </c>
      <c r="H222" s="322">
        <v>7023542.7917365544</v>
      </c>
      <c r="I222" s="92">
        <v>2021</v>
      </c>
      <c r="J222" s="322">
        <v>3660726.6913954271</v>
      </c>
      <c r="K222" s="146"/>
      <c r="R222" s="3" t="s">
        <v>502</v>
      </c>
    </row>
    <row r="223" spans="2:18">
      <c r="B223" s="92" t="s">
        <v>792</v>
      </c>
      <c r="C223" s="89"/>
      <c r="D223" s="89"/>
      <c r="E223" s="89"/>
      <c r="F223" s="92" t="s">
        <v>342</v>
      </c>
      <c r="G223" s="92">
        <v>2019</v>
      </c>
      <c r="H223" s="322">
        <v>857388.09237261105</v>
      </c>
      <c r="I223" s="92">
        <v>2021</v>
      </c>
      <c r="J223" s="322">
        <v>670316.29927401594</v>
      </c>
      <c r="K223" s="146"/>
      <c r="R223" s="3" t="s">
        <v>502</v>
      </c>
    </row>
    <row r="224" spans="2:18">
      <c r="B224" s="92" t="s">
        <v>793</v>
      </c>
      <c r="C224" s="89"/>
      <c r="D224" s="89"/>
      <c r="E224" s="89"/>
      <c r="F224" s="92" t="s">
        <v>327</v>
      </c>
      <c r="G224" s="92">
        <v>2019</v>
      </c>
      <c r="H224" s="322">
        <v>460067.29247706069</v>
      </c>
      <c r="I224" s="92">
        <v>2021</v>
      </c>
      <c r="J224" s="322">
        <v>359686.13006607577</v>
      </c>
      <c r="K224" s="146"/>
      <c r="R224" s="3" t="s">
        <v>502</v>
      </c>
    </row>
    <row r="225" spans="2:18">
      <c r="B225" s="92" t="s">
        <v>794</v>
      </c>
      <c r="C225" s="89"/>
      <c r="D225" s="89"/>
      <c r="E225" s="89"/>
      <c r="F225" s="92" t="s">
        <v>374</v>
      </c>
      <c r="G225" s="92">
        <v>2019</v>
      </c>
      <c r="H225" s="322">
        <v>119060</v>
      </c>
      <c r="I225" s="92">
        <v>2021</v>
      </c>
      <c r="J225" s="322">
        <v>62055.024479999985</v>
      </c>
      <c r="K225" s="146"/>
      <c r="R225" s="3" t="s">
        <v>502</v>
      </c>
    </row>
    <row r="226" spans="2:18">
      <c r="B226" s="92" t="s">
        <v>795</v>
      </c>
      <c r="C226" s="89"/>
      <c r="D226" s="89"/>
      <c r="E226" s="89"/>
      <c r="F226" s="92" t="s">
        <v>335</v>
      </c>
      <c r="G226" s="92">
        <v>2019</v>
      </c>
      <c r="H226" s="322">
        <v>288666.6970011855</v>
      </c>
      <c r="I226" s="92">
        <v>2021</v>
      </c>
      <c r="J226" s="322">
        <v>225683.08771589081</v>
      </c>
      <c r="K226" s="146"/>
      <c r="R226" s="3" t="s">
        <v>502</v>
      </c>
    </row>
    <row r="227" spans="2:18">
      <c r="B227" s="92" t="s">
        <v>796</v>
      </c>
      <c r="C227" s="89"/>
      <c r="D227" s="89"/>
      <c r="E227" s="89"/>
      <c r="F227" s="92" t="s">
        <v>352</v>
      </c>
      <c r="G227" s="92">
        <v>2019</v>
      </c>
      <c r="H227" s="322">
        <v>1170372.8470650064</v>
      </c>
      <c r="I227" s="92">
        <v>2021</v>
      </c>
      <c r="J227" s="322">
        <v>1118347.433267273</v>
      </c>
      <c r="K227" s="146"/>
      <c r="R227" s="3" t="s">
        <v>502</v>
      </c>
    </row>
    <row r="228" spans="2:18">
      <c r="B228" s="92" t="s">
        <v>797</v>
      </c>
      <c r="C228" s="89"/>
      <c r="D228" s="89"/>
      <c r="E228" s="89"/>
      <c r="F228" s="92" t="s">
        <v>375</v>
      </c>
      <c r="G228" s="92">
        <v>2019</v>
      </c>
      <c r="H228" s="322">
        <v>73704</v>
      </c>
      <c r="I228" s="92">
        <v>2021</v>
      </c>
      <c r="J228" s="322">
        <v>38415.114431999995</v>
      </c>
      <c r="K228" s="146"/>
      <c r="R228" s="3" t="s">
        <v>502</v>
      </c>
    </row>
    <row r="229" spans="2:18">
      <c r="B229" s="92" t="s">
        <v>798</v>
      </c>
      <c r="C229" s="89"/>
      <c r="D229" s="89"/>
      <c r="E229" s="89"/>
      <c r="F229" s="92" t="s">
        <v>373</v>
      </c>
      <c r="G229" s="92">
        <v>2019</v>
      </c>
      <c r="H229" s="322">
        <v>138775.45971332947</v>
      </c>
      <c r="I229" s="92">
        <v>2021</v>
      </c>
      <c r="J229" s="322">
        <v>72330.879806265031</v>
      </c>
      <c r="K229" s="146"/>
      <c r="R229" s="3" t="s">
        <v>502</v>
      </c>
    </row>
    <row r="230" spans="2:18">
      <c r="B230" s="92" t="s">
        <v>799</v>
      </c>
      <c r="C230" s="89"/>
      <c r="D230" s="89"/>
      <c r="E230" s="89"/>
      <c r="F230" s="92" t="s">
        <v>331</v>
      </c>
      <c r="G230" s="92">
        <v>2019</v>
      </c>
      <c r="H230" s="322">
        <v>142771.1801450084</v>
      </c>
      <c r="I230" s="92">
        <v>2021</v>
      </c>
      <c r="J230" s="322">
        <v>111620.22189152931</v>
      </c>
      <c r="K230" s="146"/>
      <c r="R230" s="3" t="s">
        <v>502</v>
      </c>
    </row>
    <row r="231" spans="2:18">
      <c r="B231" s="92" t="s">
        <v>800</v>
      </c>
      <c r="C231" s="89"/>
      <c r="D231" s="89"/>
      <c r="E231" s="89"/>
      <c r="F231" s="92" t="s">
        <v>377</v>
      </c>
      <c r="G231" s="92">
        <v>2018</v>
      </c>
      <c r="H231" s="322">
        <v>66462443.599999994</v>
      </c>
      <c r="I231" s="92">
        <v>2021</v>
      </c>
      <c r="J231" s="322">
        <v>53753217.800323352</v>
      </c>
      <c r="K231" s="146"/>
      <c r="R231" s="3" t="s">
        <v>502</v>
      </c>
    </row>
    <row r="232" spans="2:18">
      <c r="B232" s="92" t="s">
        <v>801</v>
      </c>
      <c r="C232" s="89"/>
      <c r="D232" s="89"/>
      <c r="E232" s="89"/>
      <c r="F232" s="92" t="s">
        <v>379</v>
      </c>
      <c r="G232" s="92">
        <v>2018</v>
      </c>
      <c r="H232" s="322">
        <v>13091088</v>
      </c>
      <c r="I232" s="92">
        <v>2021</v>
      </c>
      <c r="J232" s="322">
        <v>10587755.526147995</v>
      </c>
      <c r="K232" s="146"/>
      <c r="R232" s="3" t="s">
        <v>502</v>
      </c>
    </row>
    <row r="233" spans="2:18">
      <c r="B233" s="92" t="s">
        <v>802</v>
      </c>
      <c r="C233" s="89"/>
      <c r="D233" s="89"/>
      <c r="E233" s="89"/>
      <c r="F233" s="92" t="s">
        <v>378</v>
      </c>
      <c r="G233" s="92">
        <v>2019</v>
      </c>
      <c r="H233" s="322">
        <v>510273.00000000006</v>
      </c>
      <c r="I233" s="92">
        <v>2021</v>
      </c>
      <c r="J233" s="322">
        <v>443263.94964000006</v>
      </c>
      <c r="K233" s="146"/>
      <c r="R233" s="3" t="s">
        <v>502</v>
      </c>
    </row>
    <row r="234" spans="2:18">
      <c r="B234" s="92" t="s">
        <v>803</v>
      </c>
      <c r="C234" s="89"/>
      <c r="D234" s="89"/>
      <c r="E234" s="89"/>
      <c r="F234" s="92" t="s">
        <v>371</v>
      </c>
      <c r="G234" s="92">
        <v>2020</v>
      </c>
      <c r="H234" s="322">
        <v>4054436.8604233577</v>
      </c>
      <c r="I234" s="92">
        <v>2021</v>
      </c>
      <c r="J234" s="322">
        <v>2883515.4951330922</v>
      </c>
      <c r="K234" s="146"/>
      <c r="R234" s="3" t="s">
        <v>502</v>
      </c>
    </row>
    <row r="235" spans="2:18">
      <c r="B235" s="92" t="s">
        <v>804</v>
      </c>
      <c r="C235" s="89"/>
      <c r="D235" s="89"/>
      <c r="E235" s="89"/>
      <c r="F235" s="92" t="s">
        <v>335</v>
      </c>
      <c r="G235" s="92">
        <v>2021</v>
      </c>
      <c r="H235" s="322">
        <v>2667062.5363170211</v>
      </c>
      <c r="I235" s="92">
        <v>2021</v>
      </c>
      <c r="J235" s="322">
        <v>2533709.4095011703</v>
      </c>
      <c r="K235" s="146"/>
      <c r="R235" s="3" t="s">
        <v>502</v>
      </c>
    </row>
    <row r="236" spans="2:18">
      <c r="B236" s="92" t="s">
        <v>805</v>
      </c>
      <c r="C236" s="89"/>
      <c r="D236" s="89"/>
      <c r="E236" s="89"/>
      <c r="F236" s="92" t="s">
        <v>331</v>
      </c>
      <c r="G236" s="92">
        <v>2021</v>
      </c>
      <c r="H236" s="322">
        <v>467492.45719026914</v>
      </c>
      <c r="I236" s="92">
        <v>2021</v>
      </c>
      <c r="J236" s="322">
        <v>444117.83433075569</v>
      </c>
      <c r="K236" s="146"/>
      <c r="R236" s="3" t="s">
        <v>502</v>
      </c>
    </row>
    <row r="237" spans="2:18">
      <c r="B237" s="92" t="s">
        <v>806</v>
      </c>
      <c r="C237" s="89"/>
      <c r="D237" s="89"/>
      <c r="E237" s="89"/>
      <c r="F237" s="92" t="s">
        <v>376</v>
      </c>
      <c r="G237" s="92">
        <v>2021</v>
      </c>
      <c r="H237" s="322">
        <v>3432262.7310020467</v>
      </c>
      <c r="I237" s="92">
        <v>2021</v>
      </c>
      <c r="J237" s="322">
        <v>3260649.5944519443</v>
      </c>
      <c r="K237" s="146"/>
      <c r="R237" s="3" t="s">
        <v>502</v>
      </c>
    </row>
    <row r="238" spans="2:18">
      <c r="B238" s="92" t="s">
        <v>807</v>
      </c>
      <c r="C238" s="89"/>
      <c r="D238" s="89"/>
      <c r="E238" s="89"/>
      <c r="F238" s="92" t="s">
        <v>371</v>
      </c>
      <c r="G238" s="92">
        <v>2021</v>
      </c>
      <c r="H238" s="322">
        <v>8176022.700880779</v>
      </c>
      <c r="I238" s="92">
        <v>2021</v>
      </c>
      <c r="J238" s="322">
        <v>7358420.4307927005</v>
      </c>
      <c r="K238" s="146"/>
      <c r="R238" s="3" t="s">
        <v>502</v>
      </c>
    </row>
    <row r="239" spans="2:18">
      <c r="B239" s="92" t="s">
        <v>808</v>
      </c>
      <c r="C239" s="89"/>
      <c r="D239" s="89"/>
      <c r="E239" s="89"/>
      <c r="F239" s="92" t="s">
        <v>377</v>
      </c>
      <c r="G239" s="92">
        <v>2019</v>
      </c>
      <c r="H239" s="322">
        <v>1603714.1720507673</v>
      </c>
      <c r="I239" s="92">
        <v>2021</v>
      </c>
      <c r="J239" s="322">
        <v>1393114.426977061</v>
      </c>
      <c r="K239" s="146"/>
      <c r="R239" s="3" t="s">
        <v>502</v>
      </c>
    </row>
    <row r="240" spans="2:18">
      <c r="B240" s="92" t="s">
        <v>809</v>
      </c>
      <c r="C240" s="89"/>
      <c r="D240" s="89"/>
      <c r="E240" s="89"/>
      <c r="F240" s="92" t="s">
        <v>379</v>
      </c>
      <c r="G240" s="92">
        <v>2019</v>
      </c>
      <c r="H240" s="322">
        <v>315883</v>
      </c>
      <c r="I240" s="92">
        <v>2021</v>
      </c>
      <c r="J240" s="322">
        <v>274401.24443999998</v>
      </c>
      <c r="K240" s="146"/>
      <c r="R240" s="3" t="s">
        <v>502</v>
      </c>
    </row>
    <row r="241" spans="1:18">
      <c r="B241" s="92" t="s">
        <v>810</v>
      </c>
      <c r="C241" s="89"/>
      <c r="D241" s="89"/>
      <c r="E241" s="89"/>
      <c r="F241" s="92" t="s">
        <v>377</v>
      </c>
      <c r="G241" s="92">
        <v>2020</v>
      </c>
      <c r="H241" s="322">
        <v>437.7361508808076</v>
      </c>
      <c r="I241" s="92">
        <v>2021</v>
      </c>
      <c r="J241" s="322">
        <v>400.26593636541048</v>
      </c>
      <c r="K241" s="146"/>
      <c r="R241" s="3" t="s">
        <v>502</v>
      </c>
    </row>
    <row r="242" spans="1:18">
      <c r="B242" s="92" t="s">
        <v>811</v>
      </c>
      <c r="C242" s="89"/>
      <c r="D242" s="89"/>
      <c r="E242" s="89"/>
      <c r="F242" s="92" t="s">
        <v>314</v>
      </c>
      <c r="G242" s="92">
        <v>2020</v>
      </c>
      <c r="H242" s="322">
        <v>274981.09053004743</v>
      </c>
      <c r="I242" s="92">
        <v>2021</v>
      </c>
      <c r="J242" s="322">
        <v>237473.66978174893</v>
      </c>
      <c r="K242" s="146"/>
      <c r="R242" s="3" t="s">
        <v>502</v>
      </c>
    </row>
    <row r="243" spans="1:18">
      <c r="B243" s="92" t="s">
        <v>812</v>
      </c>
      <c r="C243" s="89"/>
      <c r="D243" s="89"/>
      <c r="E243" s="89"/>
      <c r="F243" s="92" t="s">
        <v>312</v>
      </c>
      <c r="G243" s="92">
        <v>2020</v>
      </c>
      <c r="H243" s="322">
        <v>1155506.2616599156</v>
      </c>
      <c r="I243" s="92">
        <v>2021</v>
      </c>
      <c r="J243" s="322">
        <v>1173994.3618464742</v>
      </c>
      <c r="K243" s="146"/>
      <c r="R243" s="3" t="s">
        <v>502</v>
      </c>
    </row>
    <row r="244" spans="1:18">
      <c r="B244" s="92" t="s">
        <v>813</v>
      </c>
      <c r="C244" s="89"/>
      <c r="D244" s="89"/>
      <c r="E244" s="89"/>
      <c r="F244" s="92" t="s">
        <v>327</v>
      </c>
      <c r="G244" s="92">
        <v>2020</v>
      </c>
      <c r="H244" s="322">
        <v>227204.18889764068</v>
      </c>
      <c r="I244" s="92">
        <v>2021</v>
      </c>
      <c r="J244" s="322">
        <v>196213.53753200249</v>
      </c>
      <c r="K244" s="146"/>
      <c r="R244" s="3" t="s">
        <v>502</v>
      </c>
    </row>
    <row r="245" spans="1:18">
      <c r="B245" s="92" t="s">
        <v>814</v>
      </c>
      <c r="C245" s="89"/>
      <c r="D245" s="89"/>
      <c r="E245" s="89"/>
      <c r="F245" s="92" t="s">
        <v>335</v>
      </c>
      <c r="G245" s="92">
        <v>2020</v>
      </c>
      <c r="H245" s="322">
        <v>880855.41897943604</v>
      </c>
      <c r="I245" s="92">
        <v>2021</v>
      </c>
      <c r="J245" s="322">
        <v>760706.73983064084</v>
      </c>
      <c r="K245" s="146"/>
      <c r="R245" s="3" t="s">
        <v>502</v>
      </c>
    </row>
    <row r="246" spans="1:18">
      <c r="B246" s="92" t="s">
        <v>815</v>
      </c>
      <c r="C246" s="89"/>
      <c r="D246" s="89"/>
      <c r="E246" s="89"/>
      <c r="F246" s="92" t="s">
        <v>342</v>
      </c>
      <c r="G246" s="92">
        <v>2020</v>
      </c>
      <c r="H246" s="322">
        <v>111163.8757407683</v>
      </c>
      <c r="I246" s="92">
        <v>2021</v>
      </c>
      <c r="J246" s="322">
        <v>96001.123089727509</v>
      </c>
      <c r="K246" s="146"/>
      <c r="R246" s="3" t="s">
        <v>502</v>
      </c>
    </row>
    <row r="247" spans="1:18">
      <c r="B247" s="92" t="s">
        <v>816</v>
      </c>
      <c r="C247" s="89"/>
      <c r="D247" s="89"/>
      <c r="E247" s="89"/>
      <c r="F247" s="92" t="s">
        <v>376</v>
      </c>
      <c r="G247" s="92">
        <v>2020</v>
      </c>
      <c r="H247" s="322">
        <v>2253829.6322485749</v>
      </c>
      <c r="I247" s="92">
        <v>2021</v>
      </c>
      <c r="J247" s="322">
        <v>1946407.2704098693</v>
      </c>
      <c r="K247" s="146"/>
      <c r="R247" s="3" t="s">
        <v>502</v>
      </c>
    </row>
    <row r="248" spans="1:18">
      <c r="B248" s="92" t="s">
        <v>817</v>
      </c>
      <c r="C248" s="89"/>
      <c r="D248" s="89"/>
      <c r="E248" s="89"/>
      <c r="F248" s="92" t="s">
        <v>352</v>
      </c>
      <c r="G248" s="92">
        <v>2020</v>
      </c>
      <c r="H248" s="322">
        <v>715175.01653112471</v>
      </c>
      <c r="I248" s="92">
        <v>2021</v>
      </c>
      <c r="J248" s="322">
        <v>690286.92595584155</v>
      </c>
      <c r="K248" s="146"/>
      <c r="R248" s="3" t="s">
        <v>502</v>
      </c>
    </row>
    <row r="249" spans="1:18">
      <c r="B249" s="92" t="s">
        <v>818</v>
      </c>
      <c r="C249" s="89"/>
      <c r="D249" s="89"/>
      <c r="E249" s="89"/>
      <c r="F249" s="92" t="s">
        <v>321</v>
      </c>
      <c r="G249" s="92">
        <v>2020</v>
      </c>
      <c r="H249" s="322">
        <v>611310.12783119339</v>
      </c>
      <c r="I249" s="92">
        <v>2021</v>
      </c>
      <c r="J249" s="322">
        <v>590036.53538266791</v>
      </c>
      <c r="K249" s="146"/>
      <c r="R249" s="3" t="s">
        <v>502</v>
      </c>
    </row>
    <row r="250" spans="1:18">
      <c r="B250" s="92" t="s">
        <v>819</v>
      </c>
      <c r="C250" s="89"/>
      <c r="D250" s="89"/>
      <c r="E250" s="89"/>
      <c r="F250" s="92" t="s">
        <v>327</v>
      </c>
      <c r="G250" s="92">
        <v>2021</v>
      </c>
      <c r="H250" s="322">
        <v>384242.51972392667</v>
      </c>
      <c r="I250" s="92">
        <v>2021</v>
      </c>
      <c r="J250" s="322">
        <v>365030.39373773034</v>
      </c>
      <c r="K250" s="146"/>
      <c r="R250" s="3" t="s">
        <v>502</v>
      </c>
    </row>
    <row r="251" spans="1:18">
      <c r="B251" s="92" t="s">
        <v>820</v>
      </c>
      <c r="C251" s="89"/>
      <c r="D251" s="89"/>
      <c r="E251" s="89"/>
      <c r="F251" s="92" t="s">
        <v>352</v>
      </c>
      <c r="G251" s="92">
        <v>2021</v>
      </c>
      <c r="H251" s="322">
        <v>1098657.1778898467</v>
      </c>
      <c r="I251" s="92">
        <v>2021</v>
      </c>
      <c r="J251" s="322">
        <v>1080346.2249250161</v>
      </c>
      <c r="K251" s="146"/>
      <c r="R251" s="3" t="s">
        <v>502</v>
      </c>
    </row>
    <row r="252" spans="1:18">
      <c r="B252" s="92" t="s">
        <v>821</v>
      </c>
      <c r="C252" s="89"/>
      <c r="D252" s="89"/>
      <c r="E252" s="89"/>
      <c r="F252" s="92" t="s">
        <v>311</v>
      </c>
      <c r="G252" s="92">
        <v>1993</v>
      </c>
      <c r="H252" s="322">
        <v>27208128.690000001</v>
      </c>
      <c r="I252" s="92">
        <v>2021</v>
      </c>
      <c r="J252" s="322">
        <v>0</v>
      </c>
      <c r="K252" s="146"/>
      <c r="R252" s="3" t="s">
        <v>502</v>
      </c>
    </row>
    <row r="253" spans="1:18">
      <c r="B253" s="92" t="s">
        <v>822</v>
      </c>
      <c r="C253" s="89"/>
      <c r="D253" s="89"/>
      <c r="E253" s="89"/>
      <c r="F253" s="92" t="s">
        <v>321</v>
      </c>
      <c r="G253" s="92">
        <v>2021</v>
      </c>
      <c r="H253" s="322">
        <v>114485.52709029273</v>
      </c>
      <c r="I253" s="92">
        <v>2021</v>
      </c>
      <c r="J253" s="322">
        <v>112577.43497212119</v>
      </c>
      <c r="K253" s="146"/>
      <c r="R253" s="3" t="s">
        <v>502</v>
      </c>
    </row>
    <row r="254" spans="1:18">
      <c r="B254" s="92" t="s">
        <v>823</v>
      </c>
      <c r="C254" s="89"/>
      <c r="D254" s="89"/>
      <c r="E254" s="89"/>
      <c r="F254" s="92" t="s">
        <v>376</v>
      </c>
      <c r="G254" s="92">
        <v>2019</v>
      </c>
      <c r="H254" s="322">
        <v>5155994.869123158</v>
      </c>
      <c r="I254" s="92">
        <v>2021</v>
      </c>
      <c r="J254" s="322">
        <v>4031018.6606189152</v>
      </c>
      <c r="K254" s="146"/>
      <c r="R254" s="3" t="s">
        <v>502</v>
      </c>
    </row>
    <row r="256" spans="1:18" s="311" customFormat="1" ht="12.75" customHeight="1">
      <c r="A256" s="317"/>
      <c r="B256" s="33" t="s">
        <v>824</v>
      </c>
      <c r="C256" s="33"/>
      <c r="D256" s="33"/>
      <c r="E256" s="33"/>
      <c r="F256" s="33"/>
      <c r="G256" s="33"/>
      <c r="H256" s="184"/>
      <c r="I256" s="184"/>
      <c r="J256" s="184"/>
      <c r="L256" s="33"/>
      <c r="M256" s="33"/>
      <c r="N256" s="33"/>
    </row>
    <row r="257" spans="1:14" s="312" customFormat="1" ht="12.75" customHeight="1">
      <c r="A257" s="318"/>
      <c r="B257" s="34" t="s">
        <v>162</v>
      </c>
      <c r="C257" s="34"/>
      <c r="D257" s="34" t="s">
        <v>204</v>
      </c>
      <c r="E257" s="34"/>
      <c r="F257" s="34" t="s">
        <v>302</v>
      </c>
      <c r="G257" s="34" t="s">
        <v>825</v>
      </c>
      <c r="H257" s="100" t="s">
        <v>544</v>
      </c>
      <c r="I257" s="100" t="s">
        <v>303</v>
      </c>
      <c r="J257" s="100"/>
      <c r="K257" s="313"/>
      <c r="L257" s="34" t="s">
        <v>206</v>
      </c>
      <c r="M257" s="34"/>
      <c r="N257" s="34" t="s">
        <v>207</v>
      </c>
    </row>
    <row r="258" spans="1:14" s="4" customFormat="1">
      <c r="B258" s="3"/>
      <c r="C258" s="3"/>
      <c r="D258" s="3"/>
      <c r="E258" s="3"/>
      <c r="F258" s="3"/>
      <c r="G258" s="3"/>
      <c r="H258" s="3"/>
      <c r="I258" s="3"/>
      <c r="J258" s="3"/>
    </row>
    <row r="259" spans="1:14" s="4" customFormat="1">
      <c r="B259" s="92" t="s">
        <v>581</v>
      </c>
      <c r="C259" s="92" t="s">
        <v>826</v>
      </c>
      <c r="D259" s="92"/>
      <c r="E259" s="92"/>
      <c r="F259" s="92" t="s">
        <v>309</v>
      </c>
      <c r="G259" s="92">
        <v>2022</v>
      </c>
      <c r="H259" s="322">
        <v>16559.007294242547</v>
      </c>
      <c r="I259" s="92">
        <v>30</v>
      </c>
      <c r="J259" s="3"/>
      <c r="L259" s="3" t="s">
        <v>502</v>
      </c>
    </row>
    <row r="260" spans="1:14" s="4" customFormat="1">
      <c r="B260" s="92" t="s">
        <v>582</v>
      </c>
      <c r="C260" s="92" t="s">
        <v>826</v>
      </c>
      <c r="D260" s="92"/>
      <c r="E260" s="92"/>
      <c r="F260" s="92" t="s">
        <v>314</v>
      </c>
      <c r="G260" s="92">
        <v>2022</v>
      </c>
      <c r="H260" s="322">
        <v>260373.81710683607</v>
      </c>
      <c r="I260" s="92">
        <v>10</v>
      </c>
      <c r="J260" s="3"/>
      <c r="L260" s="3" t="s">
        <v>502</v>
      </c>
    </row>
    <row r="261" spans="1:14" s="4" customFormat="1">
      <c r="B261" s="92" t="s">
        <v>583</v>
      </c>
      <c r="C261" s="92" t="s">
        <v>826</v>
      </c>
      <c r="D261" s="92"/>
      <c r="E261" s="92"/>
      <c r="F261" s="92" t="s">
        <v>321</v>
      </c>
      <c r="G261" s="92">
        <v>2022</v>
      </c>
      <c r="H261" s="322">
        <v>122473.44778654278</v>
      </c>
      <c r="I261" s="92">
        <v>30</v>
      </c>
      <c r="J261" s="3"/>
      <c r="L261" s="3" t="s">
        <v>502</v>
      </c>
    </row>
    <row r="262" spans="1:14" s="4" customFormat="1">
      <c r="B262" s="92" t="s">
        <v>584</v>
      </c>
      <c r="C262" s="92" t="s">
        <v>826</v>
      </c>
      <c r="D262" s="92"/>
      <c r="E262" s="92"/>
      <c r="F262" s="92" t="s">
        <v>327</v>
      </c>
      <c r="G262" s="92">
        <v>2022</v>
      </c>
      <c r="H262" s="322">
        <v>36759.559841941234</v>
      </c>
      <c r="I262" s="92">
        <v>10</v>
      </c>
      <c r="J262" s="3"/>
      <c r="L262" s="3" t="s">
        <v>502</v>
      </c>
    </row>
    <row r="263" spans="1:14" s="4" customFormat="1">
      <c r="B263" s="92" t="s">
        <v>585</v>
      </c>
      <c r="C263" s="92" t="s">
        <v>826</v>
      </c>
      <c r="D263" s="92"/>
      <c r="E263" s="92"/>
      <c r="F263" s="92" t="s">
        <v>331</v>
      </c>
      <c r="G263" s="92">
        <v>2022</v>
      </c>
      <c r="H263" s="322">
        <v>21601.372149086525</v>
      </c>
      <c r="I263" s="92">
        <v>10</v>
      </c>
      <c r="J263" s="3"/>
      <c r="L263" s="3" t="s">
        <v>502</v>
      </c>
    </row>
    <row r="264" spans="1:14" s="4" customFormat="1">
      <c r="B264" s="92" t="s">
        <v>586</v>
      </c>
      <c r="C264" s="92" t="s">
        <v>826</v>
      </c>
      <c r="D264" s="92"/>
      <c r="E264" s="92"/>
      <c r="F264" s="92" t="s">
        <v>335</v>
      </c>
      <c r="G264" s="92">
        <v>2022</v>
      </c>
      <c r="H264" s="322">
        <v>27449.908957678137</v>
      </c>
      <c r="I264" s="92">
        <v>10</v>
      </c>
      <c r="J264" s="3"/>
      <c r="L264" s="3" t="s">
        <v>502</v>
      </c>
    </row>
    <row r="265" spans="1:14" s="4" customFormat="1">
      <c r="B265" s="92" t="s">
        <v>587</v>
      </c>
      <c r="C265" s="92" t="s">
        <v>826</v>
      </c>
      <c r="D265" s="92"/>
      <c r="E265" s="92"/>
      <c r="F265" s="92" t="s">
        <v>340</v>
      </c>
      <c r="G265" s="92">
        <v>2022</v>
      </c>
      <c r="H265" s="322">
        <v>5479.9654928677874</v>
      </c>
      <c r="I265" s="92">
        <v>10</v>
      </c>
      <c r="J265" s="3"/>
      <c r="L265" s="3" t="s">
        <v>502</v>
      </c>
    </row>
    <row r="266" spans="1:14" s="4" customFormat="1">
      <c r="B266" s="92" t="s">
        <v>588</v>
      </c>
      <c r="C266" s="92" t="s">
        <v>826</v>
      </c>
      <c r="D266" s="92"/>
      <c r="E266" s="92"/>
      <c r="F266" s="92" t="s">
        <v>352</v>
      </c>
      <c r="G266" s="92">
        <v>2022</v>
      </c>
      <c r="H266" s="322">
        <v>1725081.9671582393</v>
      </c>
      <c r="I266" s="92">
        <v>30</v>
      </c>
      <c r="J266" s="3"/>
      <c r="L266" s="3" t="s">
        <v>502</v>
      </c>
    </row>
    <row r="267" spans="1:14" s="4" customFormat="1">
      <c r="B267" s="92" t="s">
        <v>589</v>
      </c>
      <c r="C267" s="92" t="s">
        <v>826</v>
      </c>
      <c r="D267" s="92"/>
      <c r="E267" s="92"/>
      <c r="F267" s="92" t="s">
        <v>371</v>
      </c>
      <c r="G267" s="92">
        <v>2022</v>
      </c>
      <c r="H267" s="322">
        <v>4476157.998399551</v>
      </c>
      <c r="I267" s="92">
        <v>5</v>
      </c>
      <c r="J267" s="3"/>
      <c r="L267" s="3" t="s">
        <v>502</v>
      </c>
    </row>
    <row r="268" spans="1:14" s="4" customFormat="1">
      <c r="B268" s="92" t="s">
        <v>590</v>
      </c>
      <c r="C268" s="92" t="s">
        <v>826</v>
      </c>
      <c r="D268" s="92"/>
      <c r="E268" s="92"/>
      <c r="F268" s="92" t="s">
        <v>376</v>
      </c>
      <c r="G268" s="92">
        <v>2022</v>
      </c>
      <c r="H268" s="322">
        <v>7088672.5580014829</v>
      </c>
      <c r="I268" s="92">
        <v>10</v>
      </c>
      <c r="J268" s="3"/>
      <c r="L268" s="3" t="s">
        <v>502</v>
      </c>
    </row>
    <row r="269" spans="1:14" s="4" customFormat="1">
      <c r="B269" s="92" t="s">
        <v>591</v>
      </c>
      <c r="C269" s="92" t="s">
        <v>826</v>
      </c>
      <c r="D269" s="92"/>
      <c r="E269" s="92"/>
      <c r="F269" s="92" t="s">
        <v>314</v>
      </c>
      <c r="G269" s="92">
        <v>2023</v>
      </c>
      <c r="H269" s="322">
        <v>11177.445801540334</v>
      </c>
      <c r="I269" s="92">
        <v>10</v>
      </c>
      <c r="J269" s="3"/>
      <c r="L269" s="3" t="s">
        <v>502</v>
      </c>
    </row>
    <row r="270" spans="1:14" s="4" customFormat="1">
      <c r="B270" s="92" t="s">
        <v>592</v>
      </c>
      <c r="C270" s="92" t="s">
        <v>826</v>
      </c>
      <c r="D270" s="92"/>
      <c r="E270" s="92"/>
      <c r="F270" s="92" t="s">
        <v>321</v>
      </c>
      <c r="G270" s="92">
        <v>2023</v>
      </c>
      <c r="H270" s="322">
        <v>-4073.7374626236651</v>
      </c>
      <c r="I270" s="92">
        <v>30</v>
      </c>
      <c r="J270" s="3"/>
      <c r="L270" s="3" t="s">
        <v>502</v>
      </c>
    </row>
    <row r="271" spans="1:14" s="4" customFormat="1">
      <c r="B271" s="92" t="s">
        <v>593</v>
      </c>
      <c r="C271" s="92" t="s">
        <v>826</v>
      </c>
      <c r="D271" s="92"/>
      <c r="E271" s="92"/>
      <c r="F271" s="92" t="s">
        <v>327</v>
      </c>
      <c r="G271" s="92">
        <v>2023</v>
      </c>
      <c r="H271" s="322">
        <v>17573.135050625202</v>
      </c>
      <c r="I271" s="92">
        <v>10</v>
      </c>
      <c r="J271" s="3"/>
      <c r="L271" s="3" t="s">
        <v>502</v>
      </c>
    </row>
    <row r="272" spans="1:14" s="4" customFormat="1">
      <c r="B272" s="92" t="s">
        <v>594</v>
      </c>
      <c r="C272" s="92" t="s">
        <v>826</v>
      </c>
      <c r="D272" s="92"/>
      <c r="E272" s="92"/>
      <c r="F272" s="92" t="s">
        <v>331</v>
      </c>
      <c r="G272" s="92">
        <v>2023</v>
      </c>
      <c r="H272" s="322">
        <v>67874.603678325308</v>
      </c>
      <c r="I272" s="92">
        <v>10</v>
      </c>
      <c r="J272" s="3"/>
      <c r="L272" s="3" t="s">
        <v>502</v>
      </c>
    </row>
    <row r="273" spans="1:12" s="4" customFormat="1">
      <c r="B273" s="92" t="s">
        <v>595</v>
      </c>
      <c r="C273" s="92" t="s">
        <v>826</v>
      </c>
      <c r="D273" s="92"/>
      <c r="E273" s="92"/>
      <c r="F273" s="92" t="s">
        <v>335</v>
      </c>
      <c r="G273" s="92">
        <v>2023</v>
      </c>
      <c r="H273" s="322">
        <v>855785.56065618468</v>
      </c>
      <c r="I273" s="92">
        <v>10</v>
      </c>
      <c r="J273" s="3"/>
      <c r="L273" s="3" t="s">
        <v>502</v>
      </c>
    </row>
    <row r="274" spans="1:12" s="4" customFormat="1">
      <c r="B274" s="92" t="s">
        <v>596</v>
      </c>
      <c r="C274" s="92" t="s">
        <v>826</v>
      </c>
      <c r="D274" s="92"/>
      <c r="E274" s="92"/>
      <c r="F274" s="92" t="s">
        <v>352</v>
      </c>
      <c r="G274" s="92">
        <v>2023</v>
      </c>
      <c r="H274" s="322">
        <v>1174802.9772874359</v>
      </c>
      <c r="I274" s="92">
        <v>30</v>
      </c>
      <c r="J274" s="3"/>
      <c r="L274" s="3" t="s">
        <v>502</v>
      </c>
    </row>
    <row r="275" spans="1:12" s="4" customFormat="1">
      <c r="B275" s="92" t="s">
        <v>597</v>
      </c>
      <c r="C275" s="92" t="s">
        <v>826</v>
      </c>
      <c r="D275" s="92"/>
      <c r="E275" s="92"/>
      <c r="F275" s="92" t="s">
        <v>371</v>
      </c>
      <c r="G275" s="92">
        <v>2023</v>
      </c>
      <c r="H275" s="322">
        <v>6239530.5600440903</v>
      </c>
      <c r="I275" s="92">
        <v>5</v>
      </c>
      <c r="J275" s="3"/>
      <c r="L275" s="3" t="s">
        <v>502</v>
      </c>
    </row>
    <row r="276" spans="1:12" s="4" customFormat="1">
      <c r="A276" s="3"/>
      <c r="B276" s="92" t="s">
        <v>598</v>
      </c>
      <c r="C276" s="92" t="s">
        <v>826</v>
      </c>
      <c r="D276" s="92"/>
      <c r="E276" s="92"/>
      <c r="F276" s="92" t="s">
        <v>376</v>
      </c>
      <c r="G276" s="92">
        <v>2023</v>
      </c>
      <c r="H276" s="322">
        <v>6222.6743563099471</v>
      </c>
      <c r="I276" s="92">
        <v>10</v>
      </c>
      <c r="J276" s="3"/>
      <c r="L276" s="3" t="s">
        <v>502</v>
      </c>
    </row>
    <row r="277" spans="1:12" s="4" customFormat="1" ht="14.25">
      <c r="A277" s="3"/>
      <c r="B277" s="92" t="s">
        <v>599</v>
      </c>
      <c r="C277" s="92" t="s">
        <v>826</v>
      </c>
      <c r="D277" s="92"/>
      <c r="E277" s="92"/>
      <c r="F277" s="92" t="s">
        <v>352</v>
      </c>
      <c r="G277" s="92">
        <v>2024</v>
      </c>
      <c r="H277" s="322">
        <v>34319.620000000003</v>
      </c>
      <c r="I277" s="92">
        <v>30</v>
      </c>
      <c r="J277" s="167"/>
      <c r="K277" s="334"/>
      <c r="L277" s="3" t="s">
        <v>502</v>
      </c>
    </row>
    <row r="278" spans="1:12" s="4" customFormat="1" ht="14.25">
      <c r="A278" s="3"/>
      <c r="B278" s="92" t="s">
        <v>600</v>
      </c>
      <c r="C278" s="92" t="s">
        <v>826</v>
      </c>
      <c r="D278" s="92"/>
      <c r="E278" s="92"/>
      <c r="F278" s="92" t="s">
        <v>352</v>
      </c>
      <c r="G278" s="92">
        <v>2024</v>
      </c>
      <c r="H278" s="322">
        <v>7115.03</v>
      </c>
      <c r="I278" s="92">
        <v>30</v>
      </c>
      <c r="J278" s="167"/>
      <c r="K278" s="334"/>
      <c r="L278" s="3" t="s">
        <v>502</v>
      </c>
    </row>
    <row r="279" spans="1:12" ht="14.25">
      <c r="B279" s="92" t="s">
        <v>601</v>
      </c>
      <c r="C279" s="92" t="s">
        <v>826</v>
      </c>
      <c r="D279" s="92"/>
      <c r="E279" s="92"/>
      <c r="F279" s="92" t="s">
        <v>352</v>
      </c>
      <c r="G279" s="92">
        <v>2024</v>
      </c>
      <c r="H279" s="322">
        <v>5441710.2199999997</v>
      </c>
      <c r="I279" s="92">
        <v>30</v>
      </c>
      <c r="J279" s="167"/>
      <c r="K279" s="334"/>
      <c r="L279" s="3" t="s">
        <v>502</v>
      </c>
    </row>
    <row r="280" spans="1:12" ht="14.25">
      <c r="B280" s="92" t="s">
        <v>602</v>
      </c>
      <c r="C280" s="92" t="s">
        <v>826</v>
      </c>
      <c r="D280" s="92"/>
      <c r="E280" s="92"/>
      <c r="F280" s="92" t="s">
        <v>352</v>
      </c>
      <c r="G280" s="92">
        <v>2024</v>
      </c>
      <c r="H280" s="322">
        <v>872258.5</v>
      </c>
      <c r="I280" s="92">
        <v>30</v>
      </c>
      <c r="J280" s="167"/>
      <c r="K280" s="334"/>
      <c r="L280" s="3" t="s">
        <v>502</v>
      </c>
    </row>
    <row r="281" spans="1:12" ht="14.25">
      <c r="B281" s="92" t="s">
        <v>603</v>
      </c>
      <c r="C281" s="92" t="s">
        <v>826</v>
      </c>
      <c r="D281" s="92"/>
      <c r="E281" s="92"/>
      <c r="F281" s="92" t="s">
        <v>314</v>
      </c>
      <c r="G281" s="92">
        <v>2024</v>
      </c>
      <c r="H281" s="322">
        <v>949.25</v>
      </c>
      <c r="I281" s="92">
        <v>10</v>
      </c>
      <c r="J281" s="167"/>
      <c r="K281" s="334"/>
      <c r="L281" s="3" t="s">
        <v>502</v>
      </c>
    </row>
    <row r="282" spans="1:12" ht="14.25">
      <c r="B282" s="92" t="s">
        <v>604</v>
      </c>
      <c r="C282" s="92" t="s">
        <v>826</v>
      </c>
      <c r="D282" s="92"/>
      <c r="E282" s="92"/>
      <c r="F282" s="92" t="s">
        <v>331</v>
      </c>
      <c r="G282" s="92">
        <v>2024</v>
      </c>
      <c r="H282" s="322">
        <v>57302.38</v>
      </c>
      <c r="I282" s="92">
        <v>10</v>
      </c>
      <c r="J282" s="167"/>
      <c r="K282" s="334"/>
      <c r="L282" s="3" t="s">
        <v>502</v>
      </c>
    </row>
    <row r="283" spans="1:12" ht="14.25">
      <c r="B283" s="92" t="s">
        <v>605</v>
      </c>
      <c r="C283" s="92" t="s">
        <v>826</v>
      </c>
      <c r="D283" s="92"/>
      <c r="E283" s="92"/>
      <c r="F283" s="92" t="s">
        <v>331</v>
      </c>
      <c r="G283" s="92">
        <v>2024</v>
      </c>
      <c r="H283" s="322">
        <v>543.80999999999995</v>
      </c>
      <c r="I283" s="92">
        <v>10</v>
      </c>
      <c r="J283" s="167"/>
      <c r="K283" s="334"/>
      <c r="L283" s="3" t="s">
        <v>502</v>
      </c>
    </row>
    <row r="284" spans="1:12" ht="14.25">
      <c r="B284" s="92" t="s">
        <v>606</v>
      </c>
      <c r="C284" s="92" t="s">
        <v>826</v>
      </c>
      <c r="D284" s="92"/>
      <c r="E284" s="92"/>
      <c r="F284" s="92" t="s">
        <v>371</v>
      </c>
      <c r="G284" s="92">
        <v>2024</v>
      </c>
      <c r="H284" s="322">
        <v>1487353.31</v>
      </c>
      <c r="I284" s="92">
        <v>5</v>
      </c>
      <c r="J284" s="167"/>
      <c r="K284" s="334"/>
      <c r="L284" s="3" t="s">
        <v>502</v>
      </c>
    </row>
    <row r="285" spans="1:12" ht="14.25">
      <c r="B285" s="92" t="s">
        <v>607</v>
      </c>
      <c r="C285" s="92" t="s">
        <v>826</v>
      </c>
      <c r="D285" s="92"/>
      <c r="E285" s="92"/>
      <c r="F285" s="92" t="s">
        <v>371</v>
      </c>
      <c r="G285" s="92">
        <v>2024</v>
      </c>
      <c r="H285" s="322">
        <v>936361.01</v>
      </c>
      <c r="I285" s="92">
        <v>5</v>
      </c>
      <c r="J285" s="167"/>
      <c r="K285" s="334"/>
      <c r="L285" s="3" t="s">
        <v>502</v>
      </c>
    </row>
    <row r="286" spans="1:12" ht="14.25">
      <c r="B286" s="92" t="s">
        <v>608</v>
      </c>
      <c r="C286" s="92" t="s">
        <v>826</v>
      </c>
      <c r="D286" s="92"/>
      <c r="E286" s="92"/>
      <c r="F286" s="92" t="s">
        <v>371</v>
      </c>
      <c r="G286" s="92">
        <v>2024</v>
      </c>
      <c r="H286" s="322">
        <v>438039.14</v>
      </c>
      <c r="I286" s="92">
        <v>5</v>
      </c>
      <c r="J286" s="167"/>
      <c r="K286" s="334"/>
      <c r="L286" s="3" t="s">
        <v>502</v>
      </c>
    </row>
    <row r="287" spans="1:12" ht="14.25">
      <c r="B287" s="92" t="s">
        <v>609</v>
      </c>
      <c r="C287" s="92" t="s">
        <v>826</v>
      </c>
      <c r="D287" s="92"/>
      <c r="E287" s="92"/>
      <c r="F287" s="92" t="s">
        <v>371</v>
      </c>
      <c r="G287" s="92">
        <v>2024</v>
      </c>
      <c r="H287" s="322">
        <v>1519536.38</v>
      </c>
      <c r="I287" s="92">
        <v>5</v>
      </c>
      <c r="J287" s="167"/>
      <c r="K287" s="334"/>
      <c r="L287" s="3" t="s">
        <v>502</v>
      </c>
    </row>
    <row r="288" spans="1:12" ht="14.25">
      <c r="B288" s="92" t="s">
        <v>610</v>
      </c>
      <c r="C288" s="92" t="s">
        <v>826</v>
      </c>
      <c r="D288" s="92"/>
      <c r="E288" s="92"/>
      <c r="F288" s="92" t="s">
        <v>371</v>
      </c>
      <c r="G288" s="92">
        <v>2024</v>
      </c>
      <c r="H288" s="322">
        <v>4539688.4400000004</v>
      </c>
      <c r="I288" s="92">
        <v>5</v>
      </c>
      <c r="J288" s="167"/>
      <c r="K288" s="334"/>
      <c r="L288" s="3" t="s">
        <v>502</v>
      </c>
    </row>
    <row r="289" spans="2:12" ht="14.25">
      <c r="B289" s="92" t="s">
        <v>611</v>
      </c>
      <c r="C289" s="92" t="s">
        <v>826</v>
      </c>
      <c r="D289" s="92"/>
      <c r="E289" s="92"/>
      <c r="F289" s="92" t="s">
        <v>376</v>
      </c>
      <c r="G289" s="92">
        <v>2024</v>
      </c>
      <c r="H289" s="322">
        <v>6226578.5599999996</v>
      </c>
      <c r="I289" s="92">
        <v>10</v>
      </c>
      <c r="J289" s="167"/>
      <c r="K289" s="334"/>
      <c r="L289" s="3" t="s">
        <v>502</v>
      </c>
    </row>
    <row r="290" spans="2:12" ht="14.25">
      <c r="B290" s="92" t="s">
        <v>612</v>
      </c>
      <c r="C290" s="92" t="s">
        <v>826</v>
      </c>
      <c r="D290" s="92"/>
      <c r="E290" s="92"/>
      <c r="F290" s="92" t="s">
        <v>376</v>
      </c>
      <c r="G290" s="92">
        <v>2024</v>
      </c>
      <c r="H290" s="322">
        <v>187.42</v>
      </c>
      <c r="I290" s="92">
        <v>10</v>
      </c>
      <c r="J290" s="167"/>
      <c r="K290" s="334"/>
      <c r="L290" s="3" t="s">
        <v>502</v>
      </c>
    </row>
    <row r="291" spans="2:12" ht="14.25">
      <c r="B291" s="92" t="s">
        <v>613</v>
      </c>
      <c r="C291" s="92" t="s">
        <v>826</v>
      </c>
      <c r="D291" s="92"/>
      <c r="E291" s="92"/>
      <c r="F291" s="92" t="s">
        <v>377</v>
      </c>
      <c r="G291" s="92">
        <v>2024</v>
      </c>
      <c r="H291" s="322">
        <v>42771036.399999999</v>
      </c>
      <c r="I291" s="92">
        <v>15</v>
      </c>
      <c r="J291" s="167"/>
      <c r="K291" s="334"/>
      <c r="L291" s="3" t="s">
        <v>502</v>
      </c>
    </row>
    <row r="292" spans="2:12">
      <c r="B292" s="131" t="s">
        <v>614</v>
      </c>
      <c r="C292" s="131" t="s">
        <v>826</v>
      </c>
      <c r="D292" s="131"/>
      <c r="E292" s="131"/>
      <c r="F292" s="131" t="s">
        <v>321</v>
      </c>
      <c r="G292" s="131">
        <v>2025</v>
      </c>
      <c r="H292" s="281">
        <v>823119.14938283106</v>
      </c>
      <c r="I292" s="131">
        <v>30</v>
      </c>
      <c r="K292" s="342"/>
    </row>
    <row r="293" spans="2:12">
      <c r="B293" s="131" t="s">
        <v>615</v>
      </c>
      <c r="C293" s="131" t="s">
        <v>826</v>
      </c>
      <c r="D293" s="131"/>
      <c r="E293" s="131"/>
      <c r="F293" s="131" t="s">
        <v>321</v>
      </c>
      <c r="G293" s="131">
        <v>2025</v>
      </c>
      <c r="H293" s="281">
        <v>79840.511408965336</v>
      </c>
      <c r="I293" s="131">
        <v>30</v>
      </c>
    </row>
    <row r="294" spans="2:12">
      <c r="B294" s="131" t="s">
        <v>616</v>
      </c>
      <c r="C294" s="131" t="s">
        <v>826</v>
      </c>
      <c r="D294" s="131"/>
      <c r="E294" s="131"/>
      <c r="F294" s="131" t="s">
        <v>321</v>
      </c>
      <c r="G294" s="131">
        <v>2025</v>
      </c>
      <c r="H294" s="281">
        <v>29516.404582978834</v>
      </c>
      <c r="I294" s="131">
        <v>30</v>
      </c>
    </row>
    <row r="295" spans="2:12">
      <c r="B295" s="131" t="s">
        <v>617</v>
      </c>
      <c r="C295" s="131" t="s">
        <v>826</v>
      </c>
      <c r="D295" s="131"/>
      <c r="E295" s="131"/>
      <c r="F295" s="131" t="s">
        <v>321</v>
      </c>
      <c r="G295" s="131">
        <v>2025</v>
      </c>
      <c r="H295" s="281">
        <v>142001.2741841212</v>
      </c>
      <c r="I295" s="131">
        <v>30</v>
      </c>
    </row>
    <row r="296" spans="2:12">
      <c r="B296" s="131" t="s">
        <v>618</v>
      </c>
      <c r="C296" s="131" t="s">
        <v>826</v>
      </c>
      <c r="D296" s="131"/>
      <c r="E296" s="131"/>
      <c r="F296" s="131" t="s">
        <v>321</v>
      </c>
      <c r="G296" s="131">
        <v>2025</v>
      </c>
      <c r="H296" s="281">
        <v>284374.62756886677</v>
      </c>
      <c r="I296" s="131">
        <v>30</v>
      </c>
    </row>
    <row r="297" spans="2:12">
      <c r="B297" s="131" t="s">
        <v>619</v>
      </c>
      <c r="C297" s="131" t="s">
        <v>826</v>
      </c>
      <c r="D297" s="131"/>
      <c r="E297" s="131"/>
      <c r="F297" s="131" t="s">
        <v>321</v>
      </c>
      <c r="G297" s="131">
        <v>2025</v>
      </c>
      <c r="H297" s="281">
        <v>39033.41174066325</v>
      </c>
      <c r="I297" s="131">
        <v>30</v>
      </c>
    </row>
    <row r="298" spans="2:12">
      <c r="B298" s="131" t="s">
        <v>620</v>
      </c>
      <c r="C298" s="131" t="s">
        <v>826</v>
      </c>
      <c r="D298" s="131"/>
      <c r="E298" s="131"/>
      <c r="F298" s="131" t="s">
        <v>314</v>
      </c>
      <c r="G298" s="131">
        <v>2025</v>
      </c>
      <c r="H298" s="281">
        <v>276192.35192739591</v>
      </c>
      <c r="I298" s="131">
        <v>10</v>
      </c>
    </row>
    <row r="299" spans="2:12">
      <c r="B299" s="131" t="s">
        <v>621</v>
      </c>
      <c r="C299" s="131" t="s">
        <v>826</v>
      </c>
      <c r="D299" s="131"/>
      <c r="E299" s="131"/>
      <c r="F299" s="131" t="s">
        <v>314</v>
      </c>
      <c r="G299" s="131">
        <v>2025</v>
      </c>
      <c r="H299" s="281">
        <v>84632.380796501107</v>
      </c>
      <c r="I299" s="131">
        <v>10</v>
      </c>
    </row>
    <row r="300" spans="2:12">
      <c r="B300" s="131" t="s">
        <v>622</v>
      </c>
      <c r="C300" s="131" t="s">
        <v>826</v>
      </c>
      <c r="D300" s="131"/>
      <c r="E300" s="131"/>
      <c r="F300" s="131" t="s">
        <v>327</v>
      </c>
      <c r="G300" s="131">
        <v>2025</v>
      </c>
      <c r="H300" s="281">
        <v>121066.85850569428</v>
      </c>
      <c r="I300" s="131">
        <v>10</v>
      </c>
    </row>
    <row r="301" spans="2:12">
      <c r="B301" s="131" t="s">
        <v>623</v>
      </c>
      <c r="C301" s="131" t="s">
        <v>826</v>
      </c>
      <c r="D301" s="131"/>
      <c r="E301" s="131"/>
      <c r="F301" s="131" t="s">
        <v>327</v>
      </c>
      <c r="G301" s="131">
        <v>2025</v>
      </c>
      <c r="H301" s="281">
        <v>447550.44191847811</v>
      </c>
      <c r="I301" s="131">
        <v>10</v>
      </c>
    </row>
    <row r="302" spans="2:12">
      <c r="B302" s="131" t="s">
        <v>624</v>
      </c>
      <c r="C302" s="131" t="s">
        <v>826</v>
      </c>
      <c r="D302" s="131"/>
      <c r="E302" s="131"/>
      <c r="F302" s="131" t="s">
        <v>331</v>
      </c>
      <c r="G302" s="131">
        <v>2025</v>
      </c>
      <c r="H302" s="281">
        <v>277600.2937007302</v>
      </c>
      <c r="I302" s="131">
        <v>10</v>
      </c>
    </row>
    <row r="303" spans="2:12">
      <c r="B303" s="131" t="s">
        <v>625</v>
      </c>
      <c r="C303" s="131" t="s">
        <v>826</v>
      </c>
      <c r="D303" s="131"/>
      <c r="E303" s="131"/>
      <c r="F303" s="131" t="s">
        <v>331</v>
      </c>
      <c r="G303" s="131">
        <v>2025</v>
      </c>
      <c r="H303" s="281">
        <v>90158.086544321428</v>
      </c>
      <c r="I303" s="131">
        <v>10</v>
      </c>
    </row>
    <row r="304" spans="2:12">
      <c r="B304" s="131" t="s">
        <v>626</v>
      </c>
      <c r="C304" s="131" t="s">
        <v>826</v>
      </c>
      <c r="D304" s="131"/>
      <c r="E304" s="131"/>
      <c r="F304" s="131" t="s">
        <v>331</v>
      </c>
      <c r="G304" s="131">
        <v>2025</v>
      </c>
      <c r="H304" s="281">
        <v>257382.92525200447</v>
      </c>
      <c r="I304" s="131">
        <v>10</v>
      </c>
    </row>
    <row r="305" spans="2:9">
      <c r="B305" s="131" t="s">
        <v>627</v>
      </c>
      <c r="C305" s="131" t="s">
        <v>826</v>
      </c>
      <c r="D305" s="131"/>
      <c r="E305" s="131"/>
      <c r="F305" s="131" t="s">
        <v>331</v>
      </c>
      <c r="G305" s="131">
        <v>2025</v>
      </c>
      <c r="H305" s="281">
        <v>171995.69866994492</v>
      </c>
      <c r="I305" s="131">
        <v>10</v>
      </c>
    </row>
    <row r="306" spans="2:9">
      <c r="B306" s="131" t="s">
        <v>628</v>
      </c>
      <c r="C306" s="131" t="s">
        <v>826</v>
      </c>
      <c r="D306" s="131"/>
      <c r="E306" s="131"/>
      <c r="F306" s="131" t="s">
        <v>331</v>
      </c>
      <c r="G306" s="131">
        <v>2025</v>
      </c>
      <c r="H306" s="281">
        <v>40529.953802321266</v>
      </c>
      <c r="I306" s="131">
        <v>10</v>
      </c>
    </row>
    <row r="307" spans="2:9">
      <c r="B307" s="131" t="s">
        <v>629</v>
      </c>
      <c r="C307" s="131" t="s">
        <v>826</v>
      </c>
      <c r="D307" s="131"/>
      <c r="E307" s="131"/>
      <c r="F307" s="131" t="s">
        <v>331</v>
      </c>
      <c r="G307" s="131">
        <v>2025</v>
      </c>
      <c r="H307" s="281">
        <v>498043.26023031282</v>
      </c>
      <c r="I307" s="131">
        <v>10</v>
      </c>
    </row>
    <row r="308" spans="2:9">
      <c r="B308" s="131" t="s">
        <v>630</v>
      </c>
      <c r="C308" s="131" t="s">
        <v>826</v>
      </c>
      <c r="D308" s="131"/>
      <c r="E308" s="131"/>
      <c r="F308" s="131" t="s">
        <v>331</v>
      </c>
      <c r="G308" s="131">
        <v>2025</v>
      </c>
      <c r="H308" s="281">
        <v>447746.86834126408</v>
      </c>
      <c r="I308" s="131">
        <v>10</v>
      </c>
    </row>
    <row r="309" spans="2:9">
      <c r="B309" s="131" t="s">
        <v>631</v>
      </c>
      <c r="C309" s="131" t="s">
        <v>826</v>
      </c>
      <c r="D309" s="131"/>
      <c r="E309" s="131"/>
      <c r="F309" s="131" t="s">
        <v>331</v>
      </c>
      <c r="G309" s="131">
        <v>2025</v>
      </c>
      <c r="H309" s="281">
        <v>189082.81131048431</v>
      </c>
      <c r="I309" s="131">
        <v>10</v>
      </c>
    </row>
    <row r="310" spans="2:9">
      <c r="B310" s="131" t="s">
        <v>632</v>
      </c>
      <c r="C310" s="131" t="s">
        <v>826</v>
      </c>
      <c r="D310" s="131"/>
      <c r="E310" s="131"/>
      <c r="F310" s="131" t="s">
        <v>371</v>
      </c>
      <c r="G310" s="131">
        <v>2025</v>
      </c>
      <c r="H310" s="281">
        <v>297114.52824447717</v>
      </c>
      <c r="I310" s="131">
        <v>5</v>
      </c>
    </row>
    <row r="311" spans="2:9">
      <c r="B311" s="131" t="s">
        <v>633</v>
      </c>
      <c r="C311" s="131" t="s">
        <v>826</v>
      </c>
      <c r="D311" s="131"/>
      <c r="E311" s="131"/>
      <c r="F311" s="131" t="s">
        <v>371</v>
      </c>
      <c r="G311" s="131">
        <v>2025</v>
      </c>
      <c r="H311" s="281">
        <v>217468.61428458735</v>
      </c>
      <c r="I311" s="131">
        <v>5</v>
      </c>
    </row>
    <row r="312" spans="2:9">
      <c r="B312" s="131" t="s">
        <v>634</v>
      </c>
      <c r="C312" s="131" t="s">
        <v>826</v>
      </c>
      <c r="D312" s="131"/>
      <c r="E312" s="131"/>
      <c r="F312" s="131" t="s">
        <v>371</v>
      </c>
      <c r="G312" s="131">
        <v>2025</v>
      </c>
      <c r="H312" s="281">
        <v>1335715.0239646256</v>
      </c>
      <c r="I312" s="131">
        <v>5</v>
      </c>
    </row>
    <row r="313" spans="2:9">
      <c r="B313" s="131" t="s">
        <v>635</v>
      </c>
      <c r="C313" s="131" t="s">
        <v>826</v>
      </c>
      <c r="D313" s="131"/>
      <c r="E313" s="131"/>
      <c r="F313" s="131" t="s">
        <v>371</v>
      </c>
      <c r="G313" s="131">
        <v>2025</v>
      </c>
      <c r="H313" s="281">
        <v>878537.45827228902</v>
      </c>
      <c r="I313" s="131">
        <v>5</v>
      </c>
    </row>
    <row r="314" spans="2:9">
      <c r="B314" s="131" t="s">
        <v>636</v>
      </c>
      <c r="C314" s="131" t="s">
        <v>826</v>
      </c>
      <c r="D314" s="131"/>
      <c r="E314" s="131"/>
      <c r="F314" s="131" t="s">
        <v>371</v>
      </c>
      <c r="G314" s="131">
        <v>2025</v>
      </c>
      <c r="H314" s="281">
        <v>478319.2748695566</v>
      </c>
      <c r="I314" s="131">
        <v>5</v>
      </c>
    </row>
    <row r="315" spans="2:9">
      <c r="B315" s="131" t="s">
        <v>637</v>
      </c>
      <c r="C315" s="131" t="s">
        <v>826</v>
      </c>
      <c r="D315" s="131"/>
      <c r="E315" s="131"/>
      <c r="F315" s="131" t="s">
        <v>371</v>
      </c>
      <c r="G315" s="131">
        <v>2025</v>
      </c>
      <c r="H315" s="281">
        <v>1900915.1317635803</v>
      </c>
      <c r="I315" s="131">
        <v>5</v>
      </c>
    </row>
    <row r="316" spans="2:9">
      <c r="B316" s="131" t="s">
        <v>638</v>
      </c>
      <c r="C316" s="131" t="s">
        <v>826</v>
      </c>
      <c r="D316" s="131"/>
      <c r="E316" s="131"/>
      <c r="F316" s="131" t="s">
        <v>371</v>
      </c>
      <c r="G316" s="131">
        <v>2025</v>
      </c>
      <c r="H316" s="281">
        <v>2724326.998950419</v>
      </c>
      <c r="I316" s="131">
        <v>5</v>
      </c>
    </row>
    <row r="317" spans="2:9">
      <c r="B317" s="131" t="s">
        <v>639</v>
      </c>
      <c r="C317" s="131" t="s">
        <v>826</v>
      </c>
      <c r="D317" s="131"/>
      <c r="E317" s="131"/>
      <c r="F317" s="131" t="s">
        <v>371</v>
      </c>
      <c r="G317" s="131">
        <v>2025</v>
      </c>
      <c r="H317" s="281">
        <v>8922694.8197416607</v>
      </c>
      <c r="I317" s="131">
        <v>5</v>
      </c>
    </row>
    <row r="318" spans="2:9">
      <c r="B318" s="131" t="s">
        <v>640</v>
      </c>
      <c r="C318" s="131" t="s">
        <v>826</v>
      </c>
      <c r="D318" s="131"/>
      <c r="E318" s="131"/>
      <c r="F318" s="131" t="s">
        <v>371</v>
      </c>
      <c r="G318" s="131">
        <v>2025</v>
      </c>
      <c r="H318" s="281">
        <v>6448701.9665837865</v>
      </c>
      <c r="I318" s="131">
        <v>5</v>
      </c>
    </row>
    <row r="319" spans="2:9">
      <c r="B319" s="131" t="s">
        <v>641</v>
      </c>
      <c r="C319" s="131" t="s">
        <v>826</v>
      </c>
      <c r="D319" s="131"/>
      <c r="E319" s="131"/>
      <c r="F319" s="131" t="s">
        <v>376</v>
      </c>
      <c r="G319" s="131">
        <v>2025</v>
      </c>
      <c r="H319" s="281">
        <v>110.98759755843852</v>
      </c>
      <c r="I319" s="131">
        <v>10</v>
      </c>
    </row>
    <row r="320" spans="2:9">
      <c r="B320" s="131" t="s">
        <v>642</v>
      </c>
      <c r="C320" s="131" t="s">
        <v>826</v>
      </c>
      <c r="D320" s="131"/>
      <c r="E320" s="131"/>
      <c r="F320" s="131" t="s">
        <v>376</v>
      </c>
      <c r="G320" s="131">
        <v>2025</v>
      </c>
      <c r="H320" s="281">
        <v>114758.60095242156</v>
      </c>
      <c r="I320" s="131">
        <v>10</v>
      </c>
    </row>
    <row r="321" spans="2:9">
      <c r="B321" s="131" t="s">
        <v>643</v>
      </c>
      <c r="C321" s="131" t="s">
        <v>826</v>
      </c>
      <c r="D321" s="131"/>
      <c r="E321" s="131"/>
      <c r="F321" s="131" t="s">
        <v>376</v>
      </c>
      <c r="G321" s="131">
        <v>2025</v>
      </c>
      <c r="H321" s="281">
        <v>499173.21952495427</v>
      </c>
      <c r="I321" s="131">
        <v>10</v>
      </c>
    </row>
    <row r="322" spans="2:9">
      <c r="B322" s="131" t="s">
        <v>644</v>
      </c>
      <c r="C322" s="131" t="s">
        <v>826</v>
      </c>
      <c r="D322" s="131"/>
      <c r="E322" s="131"/>
      <c r="F322" s="131" t="s">
        <v>376</v>
      </c>
      <c r="G322" s="131">
        <v>2025</v>
      </c>
      <c r="H322" s="281">
        <v>0</v>
      </c>
      <c r="I322" s="131">
        <v>10</v>
      </c>
    </row>
    <row r="323" spans="2:9">
      <c r="B323" s="131" t="s">
        <v>645</v>
      </c>
      <c r="C323" s="131" t="s">
        <v>826</v>
      </c>
      <c r="D323" s="131"/>
      <c r="E323" s="131"/>
      <c r="F323" s="131" t="s">
        <v>377</v>
      </c>
      <c r="G323" s="131">
        <v>2025</v>
      </c>
      <c r="H323" s="281">
        <v>474545.29911399848</v>
      </c>
      <c r="I323" s="131">
        <v>15</v>
      </c>
    </row>
    <row r="324" spans="2:9">
      <c r="B324" s="131" t="s">
        <v>646</v>
      </c>
      <c r="C324" s="131" t="s">
        <v>826</v>
      </c>
      <c r="D324" s="131"/>
      <c r="E324" s="131"/>
      <c r="F324" s="131" t="s">
        <v>377</v>
      </c>
      <c r="G324" s="131">
        <v>2025</v>
      </c>
      <c r="H324" s="281">
        <v>448390.27327665774</v>
      </c>
      <c r="I324" s="131">
        <v>15</v>
      </c>
    </row>
    <row r="325" spans="2:9">
      <c r="B325" s="131" t="s">
        <v>647</v>
      </c>
      <c r="C325" s="131" t="s">
        <v>826</v>
      </c>
      <c r="D325" s="131"/>
      <c r="E325" s="131"/>
      <c r="F325" s="131" t="s">
        <v>377</v>
      </c>
      <c r="G325" s="131">
        <v>2025</v>
      </c>
      <c r="H325" s="281">
        <v>5747091.0393672939</v>
      </c>
      <c r="I325" s="131">
        <v>15</v>
      </c>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CB87-609E-4AA1-889C-D811DF4A50B3}">
  <sheetPr>
    <tabColor rgb="FFCCFFCC"/>
  </sheetPr>
  <dimension ref="B2:U31"/>
  <sheetViews>
    <sheetView showGridLines="0" zoomScale="85" zoomScaleNormal="85" workbookViewId="0"/>
  </sheetViews>
  <sheetFormatPr defaultColWidth="9" defaultRowHeight="12.75"/>
  <cols>
    <col min="1" max="1" width="2.5703125" style="3" customWidth="1"/>
    <col min="2" max="2" width="57.28515625" style="3" customWidth="1"/>
    <col min="3" max="3" width="2.5703125" style="3" customWidth="1"/>
    <col min="4" max="4" width="13.5703125" style="3" customWidth="1"/>
    <col min="5" max="5" width="2.5703125" style="3" customWidth="1"/>
    <col min="6" max="6" width="53.5703125" style="3" bestFit="1" customWidth="1"/>
    <col min="7" max="7" width="33.5703125" style="3" bestFit="1" customWidth="1"/>
    <col min="8" max="9" width="14.5703125" style="3" customWidth="1"/>
    <col min="10" max="10" width="22.28515625" style="3" bestFit="1" customWidth="1"/>
    <col min="11" max="11" width="27" style="3" bestFit="1" customWidth="1"/>
    <col min="12" max="12" width="44" style="3" bestFit="1" customWidth="1"/>
    <col min="13" max="17" width="14.5703125" style="3" customWidth="1"/>
    <col min="18" max="18" width="2.5703125" style="3" customWidth="1"/>
    <col min="19" max="19" width="20.5703125" style="3" customWidth="1"/>
    <col min="20" max="20" width="2.5703125" style="3" customWidth="1"/>
    <col min="21" max="34" width="13.5703125" style="3" customWidth="1"/>
    <col min="35" max="16384" width="9" style="3"/>
  </cols>
  <sheetData>
    <row r="2" spans="2:21" s="12" customFormat="1" ht="18">
      <c r="B2" s="12" t="s">
        <v>827</v>
      </c>
    </row>
    <row r="4" spans="2:21">
      <c r="B4" s="16" t="s">
        <v>202</v>
      </c>
      <c r="C4" s="2"/>
    </row>
    <row r="5" spans="2:21" ht="15.75" customHeight="1">
      <c r="B5" s="366" t="s">
        <v>558</v>
      </c>
      <c r="C5" s="366"/>
      <c r="D5" s="366"/>
      <c r="F5" s="13"/>
    </row>
    <row r="7" spans="2:21">
      <c r="B7" s="17" t="s">
        <v>158</v>
      </c>
    </row>
    <row r="8" spans="2:21" ht="33" customHeight="1">
      <c r="B8" s="367" t="s">
        <v>574</v>
      </c>
      <c r="C8" s="367"/>
      <c r="D8" s="367"/>
    </row>
    <row r="10" spans="2:21" s="8" customFormat="1" ht="12.75" customHeight="1">
      <c r="B10" s="8" t="s">
        <v>162</v>
      </c>
      <c r="D10" s="8" t="s">
        <v>204</v>
      </c>
      <c r="F10" s="8" t="s">
        <v>205</v>
      </c>
      <c r="H10" s="46">
        <v>2017</v>
      </c>
      <c r="I10" s="46">
        <v>2018</v>
      </c>
      <c r="J10" s="46">
        <v>2019</v>
      </c>
      <c r="K10" s="46">
        <v>2020</v>
      </c>
      <c r="L10" s="46">
        <v>2021</v>
      </c>
      <c r="M10" s="46">
        <v>2022</v>
      </c>
      <c r="N10" s="46">
        <v>2023</v>
      </c>
      <c r="O10" s="46">
        <v>2024</v>
      </c>
      <c r="P10" s="46">
        <v>2025</v>
      </c>
      <c r="Q10" s="46">
        <v>2026</v>
      </c>
      <c r="S10" s="8" t="s">
        <v>206</v>
      </c>
      <c r="U10" s="8" t="s">
        <v>207</v>
      </c>
    </row>
    <row r="12" spans="2:21">
      <c r="B12" s="298"/>
      <c r="C12" s="13"/>
      <c r="D12" s="298"/>
      <c r="E12" s="13"/>
      <c r="F12" s="298"/>
      <c r="G12" s="13"/>
      <c r="H12" s="298"/>
      <c r="I12" s="298"/>
      <c r="J12" s="298"/>
      <c r="K12" s="298"/>
      <c r="L12" s="131"/>
      <c r="M12" s="131"/>
      <c r="N12" s="131"/>
      <c r="O12" s="131"/>
      <c r="P12" s="299"/>
      <c r="Q12" s="299"/>
    </row>
    <row r="13" spans="2:21" s="4" customFormat="1">
      <c r="B13" s="314"/>
      <c r="C13" s="314"/>
      <c r="D13" s="314"/>
      <c r="E13" s="314"/>
      <c r="F13" s="314"/>
      <c r="G13" s="314"/>
      <c r="H13" s="315"/>
      <c r="I13" s="314"/>
      <c r="J13" s="314"/>
      <c r="K13" s="315"/>
      <c r="L13" s="315"/>
      <c r="P13" s="316"/>
      <c r="Q13" s="316"/>
    </row>
    <row r="14" spans="2:21" s="4" customFormat="1">
      <c r="B14" s="314"/>
      <c r="C14" s="314"/>
      <c r="D14" s="314"/>
      <c r="E14" s="314"/>
      <c r="F14" s="314"/>
      <c r="G14" s="314"/>
      <c r="H14" s="315"/>
      <c r="I14" s="314"/>
      <c r="J14" s="314"/>
      <c r="K14" s="315"/>
      <c r="L14" s="315"/>
      <c r="P14" s="316"/>
      <c r="Q14" s="316"/>
    </row>
    <row r="15" spans="2:21" s="4" customFormat="1">
      <c r="B15" s="314"/>
      <c r="C15" s="314"/>
      <c r="D15" s="314"/>
      <c r="E15" s="314"/>
      <c r="F15" s="314"/>
      <c r="G15" s="314"/>
      <c r="H15" s="315"/>
      <c r="I15" s="314"/>
      <c r="J15" s="314"/>
      <c r="K15" s="315"/>
      <c r="L15" s="315"/>
    </row>
    <row r="16" spans="2:21" s="4" customFormat="1">
      <c r="B16" s="314"/>
      <c r="C16" s="314"/>
      <c r="D16" s="314"/>
      <c r="E16" s="314"/>
      <c r="F16" s="314"/>
      <c r="G16" s="314"/>
      <c r="H16" s="315"/>
      <c r="I16" s="314"/>
      <c r="J16" s="314"/>
      <c r="K16" s="315"/>
      <c r="L16" s="315"/>
    </row>
    <row r="17" spans="2:12" s="4" customFormat="1">
      <c r="B17" s="314"/>
      <c r="C17" s="314"/>
      <c r="D17" s="314"/>
      <c r="E17" s="314"/>
      <c r="F17" s="314"/>
      <c r="G17" s="314"/>
      <c r="H17" s="315"/>
      <c r="I17" s="314"/>
      <c r="J17" s="314"/>
      <c r="K17" s="315"/>
      <c r="L17" s="315"/>
    </row>
    <row r="18" spans="2:12" s="4" customFormat="1">
      <c r="B18" s="314"/>
      <c r="C18" s="314"/>
      <c r="D18" s="314"/>
      <c r="E18" s="314"/>
      <c r="F18" s="314"/>
      <c r="G18" s="314"/>
      <c r="H18" s="315"/>
      <c r="I18" s="314"/>
      <c r="J18" s="314"/>
      <c r="K18" s="315"/>
      <c r="L18" s="315"/>
    </row>
    <row r="19" spans="2:12" s="4" customFormat="1">
      <c r="B19" s="314"/>
      <c r="C19" s="314"/>
      <c r="D19" s="314"/>
      <c r="E19" s="314"/>
      <c r="F19" s="314"/>
      <c r="G19" s="314"/>
      <c r="H19" s="315"/>
      <c r="I19" s="314"/>
      <c r="J19" s="314"/>
      <c r="K19" s="315"/>
      <c r="L19" s="315"/>
    </row>
    <row r="20" spans="2:12" s="4" customFormat="1">
      <c r="B20" s="314"/>
      <c r="C20" s="314"/>
      <c r="D20" s="314"/>
      <c r="E20" s="314"/>
      <c r="F20" s="314"/>
      <c r="G20" s="314"/>
      <c r="H20" s="315"/>
      <c r="I20" s="314"/>
      <c r="J20" s="314"/>
      <c r="K20" s="315"/>
      <c r="L20" s="315"/>
    </row>
    <row r="21" spans="2:12" s="4" customFormat="1">
      <c r="B21" s="314"/>
      <c r="C21" s="314"/>
      <c r="D21" s="314"/>
      <c r="E21" s="314"/>
      <c r="F21" s="314"/>
      <c r="G21" s="314"/>
      <c r="H21" s="315"/>
      <c r="I21" s="314"/>
      <c r="J21" s="314"/>
      <c r="K21" s="315"/>
      <c r="L21" s="315"/>
    </row>
    <row r="22" spans="2:12" s="4" customFormat="1">
      <c r="B22" s="314"/>
      <c r="C22" s="314"/>
      <c r="D22" s="314"/>
      <c r="E22" s="314"/>
      <c r="F22" s="314"/>
      <c r="G22" s="314"/>
      <c r="H22" s="315"/>
      <c r="I22" s="314"/>
      <c r="J22" s="314"/>
      <c r="K22" s="315"/>
      <c r="L22" s="315"/>
    </row>
    <row r="23" spans="2:12" s="4" customFormat="1">
      <c r="B23" s="314"/>
      <c r="C23" s="314"/>
      <c r="D23" s="314"/>
      <c r="E23" s="314"/>
      <c r="F23" s="314"/>
      <c r="G23" s="314"/>
      <c r="H23" s="315"/>
      <c r="I23" s="314"/>
      <c r="J23" s="314"/>
      <c r="K23" s="315"/>
      <c r="L23" s="315"/>
    </row>
    <row r="24" spans="2:12" s="4" customFormat="1">
      <c r="B24" s="314"/>
      <c r="C24" s="314"/>
      <c r="D24" s="314"/>
      <c r="E24" s="314"/>
      <c r="F24" s="314"/>
      <c r="G24" s="314"/>
      <c r="H24" s="315"/>
      <c r="I24" s="314"/>
      <c r="J24" s="314"/>
      <c r="K24" s="315"/>
      <c r="L24" s="315"/>
    </row>
    <row r="25" spans="2:12" s="4" customFormat="1">
      <c r="B25" s="314"/>
      <c r="C25" s="314"/>
      <c r="D25" s="314"/>
      <c r="E25" s="314"/>
      <c r="F25" s="314"/>
      <c r="G25" s="314"/>
      <c r="H25" s="315"/>
      <c r="I25" s="314"/>
      <c r="J25" s="314"/>
      <c r="K25" s="315"/>
      <c r="L25" s="315"/>
    </row>
    <row r="26" spans="2:12" s="4" customFormat="1">
      <c r="B26" s="314"/>
      <c r="C26" s="314"/>
      <c r="D26" s="314"/>
      <c r="E26" s="314"/>
      <c r="F26" s="314"/>
      <c r="G26" s="314"/>
      <c r="H26" s="315"/>
      <c r="I26" s="314"/>
      <c r="J26" s="314"/>
      <c r="K26" s="315"/>
      <c r="L26" s="315"/>
    </row>
    <row r="27" spans="2:12" s="4" customFormat="1">
      <c r="B27" s="314"/>
      <c r="C27" s="314"/>
      <c r="D27" s="314"/>
      <c r="E27" s="314"/>
      <c r="F27" s="314"/>
      <c r="G27" s="314"/>
      <c r="H27" s="315"/>
      <c r="I27" s="314"/>
      <c r="J27" s="314"/>
      <c r="K27" s="315"/>
      <c r="L27" s="315"/>
    </row>
    <row r="28" spans="2:12" s="4" customFormat="1">
      <c r="B28" s="314"/>
      <c r="C28" s="314"/>
      <c r="D28" s="314"/>
      <c r="E28" s="314"/>
      <c r="F28" s="314"/>
      <c r="G28" s="314"/>
      <c r="H28" s="315"/>
      <c r="I28" s="314"/>
      <c r="J28" s="314"/>
      <c r="K28" s="315"/>
      <c r="L28" s="315"/>
    </row>
    <row r="29" spans="2:12" s="4" customFormat="1">
      <c r="B29" s="314"/>
      <c r="C29" s="314"/>
      <c r="D29" s="314"/>
      <c r="E29" s="314"/>
      <c r="F29" s="314"/>
      <c r="G29" s="314"/>
      <c r="H29" s="315"/>
      <c r="I29" s="314"/>
      <c r="J29" s="314"/>
      <c r="K29" s="315"/>
      <c r="L29" s="315"/>
    </row>
    <row r="30" spans="2:12" s="4" customFormat="1">
      <c r="B30" s="314"/>
      <c r="C30" s="314"/>
      <c r="D30" s="314"/>
      <c r="E30" s="314"/>
      <c r="F30" s="314"/>
      <c r="G30" s="314"/>
      <c r="H30" s="315"/>
      <c r="I30" s="314"/>
      <c r="J30" s="314"/>
      <c r="K30" s="315"/>
      <c r="L30" s="315"/>
    </row>
    <row r="31" spans="2:12" s="4" customFormat="1">
      <c r="B31" s="314"/>
      <c r="C31" s="314"/>
      <c r="D31" s="314"/>
      <c r="E31" s="314"/>
      <c r="F31" s="314"/>
      <c r="G31" s="314"/>
      <c r="H31" s="315"/>
      <c r="I31" s="314"/>
      <c r="J31" s="314"/>
      <c r="K31" s="315"/>
      <c r="L31" s="315"/>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S30"/>
  <sheetViews>
    <sheetView showGridLines="0" zoomScale="85" zoomScaleNormal="85" workbookViewId="0">
      <pane xSplit="2" ySplit="5" topLeftCell="C6" activePane="bottomRight" state="frozen"/>
      <selection pane="bottomRight"/>
      <selection pane="bottomLeft"/>
      <selection pane="topRight"/>
    </sheetView>
  </sheetViews>
  <sheetFormatPr defaultColWidth="9"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5" width="12.5703125" style="3" customWidth="1"/>
    <col min="16" max="16" width="2.5703125" style="3" customWidth="1"/>
    <col min="17" max="17" width="20.5703125" style="3" customWidth="1"/>
    <col min="18" max="18" width="2.5703125" style="3" customWidth="1"/>
    <col min="19" max="19" width="20.5703125" style="3" customWidth="1"/>
    <col min="20" max="32" width="13.5703125" style="3" customWidth="1"/>
    <col min="33" max="16384" width="9" style="3"/>
  </cols>
  <sheetData>
    <row r="2" spans="2:19" s="12" customFormat="1" ht="18">
      <c r="B2" s="12" t="s">
        <v>828</v>
      </c>
    </row>
    <row r="4" spans="2:19">
      <c r="B4" s="16" t="s">
        <v>202</v>
      </c>
      <c r="C4" s="2"/>
    </row>
    <row r="5" spans="2:19" ht="27.75" customHeight="1">
      <c r="B5" s="359" t="s">
        <v>829</v>
      </c>
      <c r="C5" s="366"/>
      <c r="D5" s="366"/>
      <c r="F5" s="13"/>
    </row>
    <row r="7" spans="2:19" s="8" customFormat="1">
      <c r="B7" s="8" t="s">
        <v>162</v>
      </c>
      <c r="D7" s="8" t="s">
        <v>204</v>
      </c>
      <c r="F7" s="8" t="s">
        <v>205</v>
      </c>
      <c r="H7" s="53">
        <v>2020</v>
      </c>
      <c r="I7" s="46">
        <v>2021</v>
      </c>
      <c r="J7" s="46">
        <v>2022</v>
      </c>
      <c r="K7" s="46">
        <v>2023</v>
      </c>
      <c r="L7" s="46">
        <v>2024</v>
      </c>
      <c r="M7" s="46">
        <v>2025</v>
      </c>
      <c r="N7" s="46">
        <v>2026</v>
      </c>
      <c r="O7" s="46">
        <v>2027</v>
      </c>
      <c r="Q7" s="8" t="s">
        <v>206</v>
      </c>
      <c r="S7" s="8" t="s">
        <v>207</v>
      </c>
    </row>
    <row r="9" spans="2:19" s="8" customFormat="1">
      <c r="B9" s="8" t="s">
        <v>830</v>
      </c>
    </row>
    <row r="11" spans="2:19">
      <c r="B11" s="16" t="s">
        <v>830</v>
      </c>
    </row>
    <row r="12" spans="2:19">
      <c r="B12" s="3" t="s">
        <v>831</v>
      </c>
      <c r="D12" s="3" t="s">
        <v>832</v>
      </c>
      <c r="H12" s="10"/>
      <c r="I12" s="10"/>
      <c r="J12" s="10"/>
      <c r="K12" s="10"/>
      <c r="L12" s="10"/>
      <c r="M12" s="10"/>
      <c r="N12" s="10"/>
      <c r="O12" s="281">
        <v>109121387</v>
      </c>
      <c r="Q12" s="3" t="s">
        <v>502</v>
      </c>
    </row>
    <row r="13" spans="2:19">
      <c r="B13" s="3" t="s">
        <v>833</v>
      </c>
      <c r="D13" s="3" t="s">
        <v>832</v>
      </c>
      <c r="H13" s="10"/>
      <c r="I13" s="10"/>
      <c r="J13" s="10"/>
      <c r="K13" s="10"/>
      <c r="L13" s="10"/>
      <c r="M13" s="10"/>
      <c r="N13" s="10"/>
      <c r="O13" s="281">
        <v>175878613</v>
      </c>
      <c r="Q13" s="3" t="s">
        <v>502</v>
      </c>
    </row>
    <row r="14" spans="2:19">
      <c r="J14" s="13"/>
      <c r="K14" s="13"/>
      <c r="L14" s="13"/>
      <c r="M14" s="13"/>
      <c r="N14" s="167"/>
      <c r="O14" s="167"/>
    </row>
    <row r="15" spans="2:19">
      <c r="B15" s="3" t="s">
        <v>834</v>
      </c>
      <c r="D15" s="3" t="s">
        <v>832</v>
      </c>
      <c r="H15" s="10"/>
      <c r="I15" s="10"/>
      <c r="J15" s="10"/>
      <c r="K15" s="10"/>
      <c r="L15" s="10"/>
      <c r="M15" s="10"/>
      <c r="N15" s="10"/>
      <c r="O15" s="281">
        <v>34958672</v>
      </c>
      <c r="Q15" s="3" t="s">
        <v>502</v>
      </c>
    </row>
    <row r="16" spans="2:19">
      <c r="B16" s="3" t="s">
        <v>835</v>
      </c>
      <c r="D16" s="3" t="s">
        <v>832</v>
      </c>
      <c r="H16" s="10"/>
      <c r="I16" s="10"/>
      <c r="J16" s="10"/>
      <c r="K16" s="10"/>
      <c r="L16" s="10"/>
      <c r="M16" s="10"/>
      <c r="N16" s="10"/>
      <c r="O16" s="281">
        <v>15987135</v>
      </c>
      <c r="Q16" s="3" t="s">
        <v>502</v>
      </c>
    </row>
    <row r="17" spans="2:17">
      <c r="J17" s="13"/>
      <c r="N17" s="167"/>
      <c r="O17" s="167"/>
    </row>
    <row r="18" spans="2:17">
      <c r="B18" s="3" t="s">
        <v>836</v>
      </c>
      <c r="D18" s="3" t="s">
        <v>832</v>
      </c>
      <c r="H18" s="10"/>
      <c r="I18" s="10"/>
      <c r="J18" s="10"/>
      <c r="K18" s="10"/>
      <c r="L18" s="10"/>
      <c r="M18" s="10"/>
      <c r="N18" s="10"/>
      <c r="O18" s="281">
        <v>33329341</v>
      </c>
      <c r="Q18" s="3" t="s">
        <v>502</v>
      </c>
    </row>
    <row r="24" spans="2:17">
      <c r="M24" s="167"/>
    </row>
    <row r="25" spans="2:17">
      <c r="M25" s="167"/>
    </row>
    <row r="26" spans="2:17">
      <c r="M26" s="167"/>
    </row>
    <row r="27" spans="2:17">
      <c r="M27" s="167"/>
    </row>
    <row r="28" spans="2:17">
      <c r="M28" s="167"/>
    </row>
    <row r="29" spans="2:17">
      <c r="M29" s="167"/>
    </row>
    <row r="30" spans="2:17">
      <c r="M30" s="167"/>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92F9-15BB-410B-A532-CFD1F4153D40}">
  <sheetPr>
    <tabColor theme="0" tint="-4.9989318521683403E-2"/>
  </sheetPr>
  <dimension ref="A1"/>
  <sheetViews>
    <sheetView showGridLines="0" zoomScale="80" zoomScaleNormal="80" workbookViewId="0"/>
  </sheetViews>
  <sheetFormatPr defaultColWidth="9" defaultRowHeight="12.75"/>
  <cols>
    <col min="1" max="16384" width="9"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2557-6705-45AF-9884-B23064425D2B}">
  <sheetPr>
    <tabColor rgb="FFCCCCFF"/>
  </sheetPr>
  <dimension ref="A1:H58"/>
  <sheetViews>
    <sheetView showGridLines="0" zoomScale="85" zoomScaleNormal="85" workbookViewId="0"/>
  </sheetViews>
  <sheetFormatPr defaultRowHeight="12.75"/>
  <cols>
    <col min="1" max="1" width="2.5703125" customWidth="1"/>
    <col min="2" max="2" width="8.5703125" bestFit="1" customWidth="1"/>
    <col min="3" max="3" width="21.85546875" bestFit="1" customWidth="1"/>
    <col min="4" max="4" width="24.28515625" bestFit="1" customWidth="1"/>
    <col min="5" max="5" width="34.28515625" bestFit="1" customWidth="1"/>
    <col min="6" max="6" width="26" bestFit="1" customWidth="1"/>
    <col min="7" max="7" width="15" bestFit="1" customWidth="1"/>
    <col min="8" max="8" width="69" bestFit="1" customWidth="1"/>
  </cols>
  <sheetData>
    <row r="1" spans="1:7" s="3" customFormat="1" ht="10.9" customHeight="1"/>
    <row r="2" spans="1:7" s="12" customFormat="1" ht="18">
      <c r="B2" s="12" t="s">
        <v>837</v>
      </c>
    </row>
    <row r="3" spans="1:7" s="3" customFormat="1" ht="10.9" customHeight="1"/>
    <row r="4" spans="1:7" s="3" customFormat="1">
      <c r="B4" s="2" t="s">
        <v>202</v>
      </c>
    </row>
    <row r="5" spans="1:7" s="3" customFormat="1" ht="27.75" customHeight="1">
      <c r="B5" s="359" t="s">
        <v>838</v>
      </c>
      <c r="C5" s="359"/>
      <c r="D5" s="359"/>
      <c r="E5" s="359"/>
      <c r="F5" s="359"/>
      <c r="G5" s="1"/>
    </row>
    <row r="6" spans="1:7" s="3" customFormat="1" ht="10.9" customHeight="1"/>
    <row r="7" spans="1:7" s="3" customFormat="1">
      <c r="B7" s="16" t="s">
        <v>839</v>
      </c>
      <c r="D7" s="2"/>
    </row>
    <row r="8" spans="1:7" s="3" customFormat="1" ht="16.5" customHeight="1">
      <c r="B8" s="366" t="s">
        <v>840</v>
      </c>
      <c r="C8" s="366"/>
      <c r="D8" s="366"/>
      <c r="E8" s="366"/>
      <c r="F8" s="366"/>
      <c r="G8" s="118"/>
    </row>
    <row r="9" spans="1:7" s="3" customFormat="1" ht="10.9" customHeight="1">
      <c r="B9" s="4"/>
    </row>
    <row r="10" spans="1:7" s="3" customFormat="1">
      <c r="B10" s="176" t="s">
        <v>841</v>
      </c>
    </row>
    <row r="11" spans="1:7" s="3" customFormat="1">
      <c r="B11" s="368">
        <v>45050</v>
      </c>
      <c r="C11" s="368"/>
      <c r="D11" s="368"/>
      <c r="E11" s="119"/>
    </row>
    <row r="12" spans="1:7" ht="10.9" customHeight="1">
      <c r="A12" s="3"/>
    </row>
    <row r="13" spans="1:7">
      <c r="B13" s="176" t="s">
        <v>842</v>
      </c>
      <c r="D13" s="3"/>
      <c r="E13" s="3"/>
    </row>
    <row r="14" spans="1:7" ht="26.25" customHeight="1">
      <c r="B14" s="359" t="s">
        <v>843</v>
      </c>
      <c r="C14" s="359"/>
      <c r="D14" s="359"/>
      <c r="E14" s="359"/>
      <c r="F14" s="359"/>
      <c r="G14" s="1"/>
    </row>
    <row r="15" spans="1:7" ht="10.9" customHeight="1"/>
    <row r="16" spans="1:7">
      <c r="B16" s="177" t="s">
        <v>844</v>
      </c>
    </row>
    <row r="17" spans="2:8">
      <c r="B17" s="126">
        <f>SUBTOTAL(103,B20:B567)</f>
        <v>39</v>
      </c>
    </row>
    <row r="18" spans="2:8" ht="10.9" customHeight="1"/>
    <row r="19" spans="2:8" s="8" customFormat="1">
      <c r="B19" s="8" t="s">
        <v>845</v>
      </c>
      <c r="C19" s="34" t="s">
        <v>544</v>
      </c>
      <c r="D19" s="34" t="s">
        <v>846</v>
      </c>
      <c r="E19" s="34" t="s">
        <v>847</v>
      </c>
      <c r="F19" s="34" t="s">
        <v>848</v>
      </c>
      <c r="G19" s="249" t="s">
        <v>849</v>
      </c>
      <c r="H19" s="34" t="s">
        <v>850</v>
      </c>
    </row>
    <row r="20" spans="2:8">
      <c r="B20">
        <v>1</v>
      </c>
      <c r="C20" s="178">
        <v>560010.50868726079</v>
      </c>
      <c r="D20">
        <v>2020</v>
      </c>
      <c r="E20" t="s">
        <v>309</v>
      </c>
      <c r="F20" t="s">
        <v>851</v>
      </c>
      <c r="G20" t="s">
        <v>19</v>
      </c>
      <c r="H20" t="s">
        <v>852</v>
      </c>
    </row>
    <row r="21" spans="2:8">
      <c r="B21">
        <v>2</v>
      </c>
      <c r="C21" s="178">
        <v>1887912.8589451036</v>
      </c>
      <c r="D21">
        <v>2022</v>
      </c>
      <c r="E21" t="s">
        <v>305</v>
      </c>
      <c r="F21" t="s">
        <v>851</v>
      </c>
      <c r="G21" t="s">
        <v>19</v>
      </c>
      <c r="H21" t="s">
        <v>853</v>
      </c>
    </row>
    <row r="22" spans="2:8">
      <c r="B22">
        <v>3</v>
      </c>
      <c r="C22" s="178">
        <v>2724356.4622969897</v>
      </c>
      <c r="D22">
        <v>2022</v>
      </c>
      <c r="E22" t="s">
        <v>309</v>
      </c>
      <c r="F22" t="s">
        <v>851</v>
      </c>
      <c r="G22" t="s">
        <v>19</v>
      </c>
      <c r="H22" t="s">
        <v>853</v>
      </c>
    </row>
    <row r="23" spans="2:8">
      <c r="B23">
        <v>4</v>
      </c>
      <c r="C23" s="178">
        <v>226794.9736094765</v>
      </c>
      <c r="D23">
        <v>2022</v>
      </c>
      <c r="E23" t="s">
        <v>321</v>
      </c>
      <c r="F23" t="s">
        <v>851</v>
      </c>
      <c r="G23" t="s">
        <v>19</v>
      </c>
      <c r="H23" t="s">
        <v>853</v>
      </c>
    </row>
    <row r="24" spans="2:8">
      <c r="B24">
        <v>5</v>
      </c>
      <c r="C24" s="178">
        <v>3824577.1209736457</v>
      </c>
      <c r="D24">
        <v>2022</v>
      </c>
      <c r="E24" t="s">
        <v>353</v>
      </c>
      <c r="F24" t="s">
        <v>851</v>
      </c>
      <c r="G24" t="s">
        <v>19</v>
      </c>
      <c r="H24" t="s">
        <v>853</v>
      </c>
    </row>
    <row r="25" spans="2:8">
      <c r="B25">
        <v>6</v>
      </c>
      <c r="C25" s="178">
        <v>3150608.2540416676</v>
      </c>
      <c r="D25">
        <v>2022</v>
      </c>
      <c r="E25" t="s">
        <v>361</v>
      </c>
      <c r="F25" t="s">
        <v>851</v>
      </c>
      <c r="G25" t="s">
        <v>19</v>
      </c>
      <c r="H25" t="s">
        <v>853</v>
      </c>
    </row>
    <row r="26" spans="2:8">
      <c r="B26">
        <v>7</v>
      </c>
      <c r="C26" s="178">
        <v>1821898.5094885458</v>
      </c>
      <c r="D26">
        <v>2023</v>
      </c>
      <c r="E26" t="s">
        <v>312</v>
      </c>
      <c r="F26" t="s">
        <v>505</v>
      </c>
      <c r="G26" t="s">
        <v>16</v>
      </c>
      <c r="H26" t="s">
        <v>854</v>
      </c>
    </row>
    <row r="27" spans="2:8">
      <c r="B27">
        <v>8</v>
      </c>
      <c r="C27" s="178">
        <v>41241409.443761975</v>
      </c>
      <c r="D27">
        <v>2023</v>
      </c>
      <c r="E27" t="s">
        <v>314</v>
      </c>
      <c r="F27" t="s">
        <v>505</v>
      </c>
      <c r="G27" t="s">
        <v>16</v>
      </c>
      <c r="H27" t="s">
        <v>854</v>
      </c>
    </row>
    <row r="28" spans="2:8">
      <c r="B28">
        <v>9</v>
      </c>
      <c r="C28" s="178">
        <v>26179329.440538418</v>
      </c>
      <c r="D28">
        <v>2023</v>
      </c>
      <c r="E28" t="s">
        <v>321</v>
      </c>
      <c r="F28" t="s">
        <v>505</v>
      </c>
      <c r="G28" t="s">
        <v>16</v>
      </c>
      <c r="H28" t="s">
        <v>854</v>
      </c>
    </row>
    <row r="29" spans="2:8">
      <c r="B29">
        <v>10</v>
      </c>
      <c r="C29" s="178">
        <v>324466.46385633486</v>
      </c>
      <c r="D29">
        <v>2023</v>
      </c>
      <c r="E29" t="s">
        <v>327</v>
      </c>
      <c r="F29" t="s">
        <v>505</v>
      </c>
      <c r="G29" t="s">
        <v>16</v>
      </c>
      <c r="H29" t="s">
        <v>854</v>
      </c>
    </row>
    <row r="30" spans="2:8">
      <c r="B30">
        <v>11</v>
      </c>
      <c r="C30" s="178">
        <v>358620.80849138752</v>
      </c>
      <c r="D30">
        <v>2023</v>
      </c>
      <c r="E30" t="s">
        <v>330</v>
      </c>
      <c r="F30" t="s">
        <v>505</v>
      </c>
      <c r="G30" t="s">
        <v>16</v>
      </c>
      <c r="H30" t="s">
        <v>854</v>
      </c>
    </row>
    <row r="31" spans="2:8">
      <c r="B31">
        <v>12</v>
      </c>
      <c r="C31" s="178">
        <v>77940287.016589478</v>
      </c>
      <c r="D31">
        <v>2023</v>
      </c>
      <c r="E31" t="s">
        <v>349</v>
      </c>
      <c r="F31" t="s">
        <v>505</v>
      </c>
      <c r="G31" t="s">
        <v>16</v>
      </c>
      <c r="H31" t="s">
        <v>854</v>
      </c>
    </row>
    <row r="32" spans="2:8">
      <c r="B32">
        <v>13</v>
      </c>
      <c r="C32" s="178">
        <v>21107403.53252615</v>
      </c>
      <c r="D32">
        <v>2023</v>
      </c>
      <c r="E32" t="s">
        <v>353</v>
      </c>
      <c r="F32" t="s">
        <v>505</v>
      </c>
      <c r="G32" t="s">
        <v>16</v>
      </c>
      <c r="H32" t="s">
        <v>854</v>
      </c>
    </row>
    <row r="33" spans="2:8">
      <c r="B33">
        <v>14</v>
      </c>
      <c r="C33" s="178">
        <v>18334898.10779709</v>
      </c>
      <c r="D33">
        <v>2023</v>
      </c>
      <c r="E33" t="s">
        <v>370</v>
      </c>
      <c r="F33" t="s">
        <v>505</v>
      </c>
      <c r="G33" t="s">
        <v>16</v>
      </c>
      <c r="H33" t="s">
        <v>854</v>
      </c>
    </row>
    <row r="34" spans="2:8">
      <c r="B34">
        <v>15</v>
      </c>
      <c r="C34" s="178">
        <v>3620364.0601766575</v>
      </c>
      <c r="D34">
        <v>2023</v>
      </c>
      <c r="E34" t="s">
        <v>381</v>
      </c>
      <c r="F34" t="s">
        <v>505</v>
      </c>
      <c r="G34" t="s">
        <v>16</v>
      </c>
      <c r="H34" t="s">
        <v>854</v>
      </c>
    </row>
    <row r="35" spans="2:8">
      <c r="B35">
        <v>16</v>
      </c>
      <c r="C35" s="178">
        <v>480761.86491484893</v>
      </c>
      <c r="D35">
        <v>2023</v>
      </c>
      <c r="E35" t="s">
        <v>305</v>
      </c>
      <c r="F35" t="s">
        <v>851</v>
      </c>
      <c r="G35" t="s">
        <v>19</v>
      </c>
      <c r="H35" t="s">
        <v>854</v>
      </c>
    </row>
    <row r="36" spans="2:8">
      <c r="B36">
        <v>17</v>
      </c>
      <c r="C36" s="178">
        <v>1837695.4875736441</v>
      </c>
      <c r="D36">
        <v>2023</v>
      </c>
      <c r="E36" t="s">
        <v>309</v>
      </c>
      <c r="F36" t="s">
        <v>851</v>
      </c>
      <c r="G36" t="s">
        <v>19</v>
      </c>
      <c r="H36" t="s">
        <v>854</v>
      </c>
    </row>
    <row r="37" spans="2:8">
      <c r="B37">
        <v>18</v>
      </c>
      <c r="C37" s="178">
        <v>12952.219318794072</v>
      </c>
      <c r="D37">
        <v>2023</v>
      </c>
      <c r="E37" t="s">
        <v>321</v>
      </c>
      <c r="F37" t="s">
        <v>851</v>
      </c>
      <c r="G37" t="s">
        <v>19</v>
      </c>
      <c r="H37" t="s">
        <v>854</v>
      </c>
    </row>
    <row r="38" spans="2:8">
      <c r="B38">
        <v>19</v>
      </c>
      <c r="C38" s="178">
        <v>4401460.9803481428</v>
      </c>
      <c r="D38">
        <v>2023</v>
      </c>
      <c r="E38" t="s">
        <v>353</v>
      </c>
      <c r="F38" t="s">
        <v>851</v>
      </c>
      <c r="G38" t="s">
        <v>19</v>
      </c>
      <c r="H38" t="s">
        <v>854</v>
      </c>
    </row>
    <row r="39" spans="2:8">
      <c r="B39">
        <v>20</v>
      </c>
      <c r="C39" s="178">
        <v>179930.39320672158</v>
      </c>
      <c r="D39">
        <v>2023</v>
      </c>
      <c r="E39" t="s">
        <v>361</v>
      </c>
      <c r="F39" t="s">
        <v>851</v>
      </c>
      <c r="G39" t="s">
        <v>19</v>
      </c>
      <c r="H39" t="s">
        <v>854</v>
      </c>
    </row>
    <row r="40" spans="2:8">
      <c r="B40">
        <v>21</v>
      </c>
      <c r="C40" s="178">
        <v>30711053.134938359</v>
      </c>
      <c r="D40">
        <v>2024</v>
      </c>
      <c r="E40" t="s">
        <v>320</v>
      </c>
      <c r="F40" t="s">
        <v>505</v>
      </c>
      <c r="G40" t="s">
        <v>16</v>
      </c>
      <c r="H40" t="s">
        <v>855</v>
      </c>
    </row>
    <row r="41" spans="2:8">
      <c r="B41">
        <v>22</v>
      </c>
      <c r="C41" s="178">
        <v>103280388.2346216</v>
      </c>
      <c r="D41">
        <v>2024</v>
      </c>
      <c r="E41" t="s">
        <v>325</v>
      </c>
      <c r="F41" t="s">
        <v>505</v>
      </c>
      <c r="G41" t="s">
        <v>16</v>
      </c>
      <c r="H41" t="s">
        <v>855</v>
      </c>
    </row>
    <row r="42" spans="2:8">
      <c r="B42">
        <v>23</v>
      </c>
      <c r="C42" s="178">
        <v>1964.4578009375275</v>
      </c>
      <c r="D42">
        <v>2024</v>
      </c>
      <c r="E42" t="s">
        <v>329</v>
      </c>
      <c r="F42" t="s">
        <v>505</v>
      </c>
      <c r="G42" t="s">
        <v>16</v>
      </c>
      <c r="H42" t="s">
        <v>855</v>
      </c>
    </row>
    <row r="43" spans="2:8">
      <c r="B43">
        <v>24</v>
      </c>
      <c r="C43" s="178">
        <v>224147.44705344315</v>
      </c>
      <c r="D43">
        <v>2024</v>
      </c>
      <c r="E43" t="s">
        <v>349</v>
      </c>
      <c r="F43" t="s">
        <v>505</v>
      </c>
      <c r="G43" t="s">
        <v>16</v>
      </c>
      <c r="H43" t="s">
        <v>855</v>
      </c>
    </row>
    <row r="44" spans="2:8">
      <c r="B44">
        <v>25</v>
      </c>
      <c r="C44" s="178">
        <v>60702.528782164503</v>
      </c>
      <c r="D44">
        <v>2024</v>
      </c>
      <c r="E44" t="s">
        <v>358</v>
      </c>
      <c r="F44" t="s">
        <v>505</v>
      </c>
      <c r="G44" t="s">
        <v>16</v>
      </c>
      <c r="H44" t="s">
        <v>855</v>
      </c>
    </row>
    <row r="45" spans="2:8">
      <c r="B45">
        <v>26</v>
      </c>
      <c r="C45" s="178">
        <v>345979197.88378441</v>
      </c>
      <c r="D45">
        <v>2024</v>
      </c>
      <c r="E45" t="s">
        <v>370</v>
      </c>
      <c r="F45" t="s">
        <v>505</v>
      </c>
      <c r="G45" t="s">
        <v>16</v>
      </c>
      <c r="H45" t="s">
        <v>855</v>
      </c>
    </row>
    <row r="46" spans="2:8">
      <c r="B46">
        <v>27</v>
      </c>
      <c r="C46" s="178">
        <v>10411.73874262043</v>
      </c>
      <c r="D46">
        <v>2024</v>
      </c>
      <c r="E46" t="s">
        <v>381</v>
      </c>
      <c r="F46" t="s">
        <v>505</v>
      </c>
      <c r="G46" t="s">
        <v>16</v>
      </c>
      <c r="H46" t="s">
        <v>855</v>
      </c>
    </row>
    <row r="47" spans="2:8">
      <c r="B47">
        <v>28</v>
      </c>
      <c r="C47" s="178">
        <v>5531647.6298829895</v>
      </c>
      <c r="D47">
        <v>2024</v>
      </c>
      <c r="E47" t="s">
        <v>305</v>
      </c>
      <c r="F47" t="s">
        <v>851</v>
      </c>
      <c r="G47" t="s">
        <v>19</v>
      </c>
      <c r="H47" t="s">
        <v>855</v>
      </c>
    </row>
    <row r="48" spans="2:8">
      <c r="B48">
        <v>29</v>
      </c>
      <c r="C48" s="178">
        <v>2027103.1807256674</v>
      </c>
      <c r="D48">
        <v>2024</v>
      </c>
      <c r="E48" t="s">
        <v>309</v>
      </c>
      <c r="F48" t="s">
        <v>851</v>
      </c>
      <c r="G48" t="s">
        <v>19</v>
      </c>
      <c r="H48" t="s">
        <v>855</v>
      </c>
    </row>
    <row r="49" spans="2:8">
      <c r="B49">
        <v>30</v>
      </c>
      <c r="C49" s="178">
        <v>33082111.823863443</v>
      </c>
      <c r="D49">
        <v>2024</v>
      </c>
      <c r="E49" t="s">
        <v>357</v>
      </c>
      <c r="F49" t="s">
        <v>851</v>
      </c>
      <c r="G49" t="s">
        <v>19</v>
      </c>
      <c r="H49" t="s">
        <v>855</v>
      </c>
    </row>
    <row r="50" spans="2:8">
      <c r="B50">
        <v>31</v>
      </c>
      <c r="C50" s="178">
        <v>136024.0865766904</v>
      </c>
      <c r="D50">
        <v>2024</v>
      </c>
      <c r="E50" t="s">
        <v>361</v>
      </c>
      <c r="F50" t="s">
        <v>851</v>
      </c>
      <c r="G50" t="s">
        <v>19</v>
      </c>
      <c r="H50" t="s">
        <v>855</v>
      </c>
    </row>
    <row r="51" spans="2:8">
      <c r="B51" s="347">
        <v>32</v>
      </c>
      <c r="C51" s="340">
        <v>2089506.58</v>
      </c>
      <c r="D51" s="347">
        <v>2025</v>
      </c>
      <c r="E51" s="341" t="s">
        <v>325</v>
      </c>
      <c r="F51" s="341" t="s">
        <v>505</v>
      </c>
      <c r="G51" s="341" t="s">
        <v>16</v>
      </c>
      <c r="H51" s="341"/>
    </row>
    <row r="52" spans="2:8">
      <c r="B52" s="347">
        <v>33</v>
      </c>
      <c r="C52" s="340">
        <v>6969217.2999999998</v>
      </c>
      <c r="D52" s="347">
        <v>2025</v>
      </c>
      <c r="E52" s="341" t="s">
        <v>370</v>
      </c>
      <c r="F52" s="341" t="s">
        <v>505</v>
      </c>
      <c r="G52" s="341" t="s">
        <v>16</v>
      </c>
      <c r="H52" s="341"/>
    </row>
    <row r="53" spans="2:8">
      <c r="B53" s="347">
        <v>34</v>
      </c>
      <c r="C53" s="340">
        <v>619400.06999999995</v>
      </c>
      <c r="D53" s="347">
        <v>2025</v>
      </c>
      <c r="E53" s="341" t="s">
        <v>320</v>
      </c>
      <c r="F53" s="341" t="s">
        <v>505</v>
      </c>
      <c r="G53" s="341" t="s">
        <v>16</v>
      </c>
      <c r="H53" s="341"/>
    </row>
    <row r="54" spans="2:8">
      <c r="B54" s="347">
        <v>35</v>
      </c>
      <c r="C54" s="340">
        <v>90220.94</v>
      </c>
      <c r="D54" s="347">
        <v>2025</v>
      </c>
      <c r="E54" s="341" t="s">
        <v>309</v>
      </c>
      <c r="F54" s="341" t="s">
        <v>851</v>
      </c>
      <c r="G54" s="341" t="s">
        <v>19</v>
      </c>
      <c r="H54" s="341"/>
    </row>
    <row r="55" spans="2:8">
      <c r="B55" s="347">
        <v>36</v>
      </c>
      <c r="C55" s="340">
        <v>217.98</v>
      </c>
      <c r="D55" s="347">
        <v>2025</v>
      </c>
      <c r="E55" s="341" t="s">
        <v>856</v>
      </c>
      <c r="F55" s="341" t="s">
        <v>851</v>
      </c>
      <c r="G55" s="341" t="s">
        <v>19</v>
      </c>
      <c r="H55" s="341"/>
    </row>
    <row r="56" spans="2:8">
      <c r="B56" s="347">
        <v>37</v>
      </c>
      <c r="C56" s="340">
        <v>10202291.790000001</v>
      </c>
      <c r="D56" s="347">
        <v>2025</v>
      </c>
      <c r="E56" s="341" t="s">
        <v>361</v>
      </c>
      <c r="F56" s="341" t="s">
        <v>851</v>
      </c>
      <c r="G56" s="341" t="s">
        <v>19</v>
      </c>
      <c r="H56" s="341"/>
    </row>
    <row r="57" spans="2:8">
      <c r="B57" s="347">
        <v>38</v>
      </c>
      <c r="C57" s="340">
        <v>35645972.702093259</v>
      </c>
      <c r="D57" s="347">
        <v>2025</v>
      </c>
      <c r="E57" s="341" t="s">
        <v>353</v>
      </c>
      <c r="F57" s="341" t="s">
        <v>851</v>
      </c>
      <c r="G57" s="341" t="s">
        <v>19</v>
      </c>
      <c r="H57" s="341"/>
    </row>
    <row r="58" spans="2:8">
      <c r="B58" s="347">
        <v>39</v>
      </c>
      <c r="C58" s="340">
        <v>11474792.139726024</v>
      </c>
      <c r="D58" s="347">
        <v>2025</v>
      </c>
      <c r="E58" s="341" t="s">
        <v>305</v>
      </c>
      <c r="F58" s="341" t="s">
        <v>851</v>
      </c>
      <c r="G58" s="341" t="s">
        <v>19</v>
      </c>
      <c r="H58" s="341"/>
    </row>
  </sheetData>
  <mergeCells count="4">
    <mergeCell ref="B5:F5"/>
    <mergeCell ref="B8:F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7E20-C45A-4909-B91A-205F73719146}">
  <sheetPr>
    <tabColor rgb="FFCCCCFF"/>
  </sheetPr>
  <dimension ref="B1:M142"/>
  <sheetViews>
    <sheetView showGridLines="0" zoomScale="85" zoomScaleNormal="85" workbookViewId="0"/>
  </sheetViews>
  <sheetFormatPr defaultRowHeight="12.75"/>
  <cols>
    <col min="1" max="1" width="2.5703125" customWidth="1"/>
    <col min="2" max="2" width="8.5703125" bestFit="1" customWidth="1"/>
    <col min="3" max="3" width="21.85546875" bestFit="1" customWidth="1"/>
    <col min="4" max="4" width="24.28515625" bestFit="1" customWidth="1"/>
    <col min="5" max="5" width="40.5703125" bestFit="1" customWidth="1"/>
    <col min="6" max="6" width="72.28515625" bestFit="1" customWidth="1"/>
    <col min="7" max="7" width="9.28515625" bestFit="1" customWidth="1"/>
  </cols>
  <sheetData>
    <row r="1" spans="2:13" s="3" customFormat="1"/>
    <row r="2" spans="2:13" s="12" customFormat="1" ht="18">
      <c r="B2" s="12" t="s">
        <v>857</v>
      </c>
    </row>
    <row r="3" spans="2:13" s="3" customFormat="1"/>
    <row r="4" spans="2:13" s="3" customFormat="1">
      <c r="B4" s="2" t="s">
        <v>202</v>
      </c>
    </row>
    <row r="5" spans="2:13" s="3" customFormat="1" ht="27" customHeight="1">
      <c r="B5" s="359" t="s">
        <v>858</v>
      </c>
      <c r="C5" s="359"/>
      <c r="D5" s="359"/>
      <c r="E5" s="359"/>
      <c r="F5" s="359"/>
    </row>
    <row r="6" spans="2:13" s="3" customFormat="1"/>
    <row r="7" spans="2:13" s="3" customFormat="1">
      <c r="B7" s="16" t="s">
        <v>839</v>
      </c>
      <c r="D7" s="2"/>
    </row>
    <row r="8" spans="2:13" s="3" customFormat="1" ht="16.5" customHeight="1">
      <c r="B8" s="366" t="s">
        <v>840</v>
      </c>
      <c r="C8" s="366"/>
      <c r="D8" s="366"/>
      <c r="E8" s="366"/>
      <c r="F8" s="366"/>
      <c r="G8" s="366"/>
      <c r="H8" s="366"/>
      <c r="I8" s="366"/>
      <c r="J8" s="366"/>
      <c r="K8" s="366"/>
      <c r="L8" s="366"/>
      <c r="M8" s="366"/>
    </row>
    <row r="9" spans="2:13" s="3" customFormat="1">
      <c r="B9" s="4"/>
    </row>
    <row r="10" spans="2:13" s="3" customFormat="1">
      <c r="B10" s="176" t="s">
        <v>841</v>
      </c>
    </row>
    <row r="11" spans="2:13" s="3" customFormat="1">
      <c r="B11" s="368">
        <v>45245</v>
      </c>
      <c r="C11" s="368"/>
      <c r="D11" s="368"/>
      <c r="E11" s="119"/>
    </row>
    <row r="13" spans="2:13">
      <c r="B13" s="176" t="s">
        <v>842</v>
      </c>
      <c r="D13" s="3"/>
      <c r="E13" s="3"/>
    </row>
    <row r="14" spans="2:13" ht="26.25" customHeight="1">
      <c r="B14" s="359" t="s">
        <v>859</v>
      </c>
      <c r="C14" s="359"/>
      <c r="D14" s="359"/>
      <c r="E14" s="359"/>
      <c r="F14" s="359"/>
    </row>
    <row r="16" spans="2:13">
      <c r="B16" s="177" t="s">
        <v>844</v>
      </c>
    </row>
    <row r="17" spans="2:7">
      <c r="B17" s="126">
        <f>SUBTOTAL(103,B20:B514)</f>
        <v>123</v>
      </c>
    </row>
    <row r="18" spans="2:7" ht="14.25" customHeight="1"/>
    <row r="19" spans="2:7" s="8" customFormat="1">
      <c r="B19" s="8" t="s">
        <v>845</v>
      </c>
      <c r="C19" s="34" t="s">
        <v>544</v>
      </c>
      <c r="D19" s="34" t="s">
        <v>846</v>
      </c>
      <c r="E19" s="34" t="s">
        <v>847</v>
      </c>
      <c r="F19" s="34" t="s">
        <v>850</v>
      </c>
      <c r="G19" s="34" t="s">
        <v>860</v>
      </c>
    </row>
    <row r="20" spans="2:7">
      <c r="B20">
        <v>1</v>
      </c>
      <c r="C20" s="178">
        <v>31360107.14852399</v>
      </c>
      <c r="D20">
        <v>2020</v>
      </c>
      <c r="E20" t="s">
        <v>305</v>
      </c>
      <c r="F20" t="s">
        <v>852</v>
      </c>
      <c r="G20">
        <v>1</v>
      </c>
    </row>
    <row r="21" spans="2:7">
      <c r="B21">
        <v>2</v>
      </c>
      <c r="C21" s="178">
        <v>4529775.5276718521</v>
      </c>
      <c r="D21">
        <v>2020</v>
      </c>
      <c r="E21" t="s">
        <v>309</v>
      </c>
      <c r="F21" t="s">
        <v>852</v>
      </c>
      <c r="G21">
        <v>1</v>
      </c>
    </row>
    <row r="22" spans="2:7">
      <c r="B22">
        <v>3</v>
      </c>
      <c r="C22" s="178">
        <v>1155721.8280173452</v>
      </c>
      <c r="D22">
        <v>2020</v>
      </c>
      <c r="E22" t="s">
        <v>312</v>
      </c>
      <c r="F22" t="s">
        <v>852</v>
      </c>
      <c r="G22">
        <v>1</v>
      </c>
    </row>
    <row r="23" spans="2:7">
      <c r="B23">
        <v>4</v>
      </c>
      <c r="C23" s="178">
        <v>320593.27893508447</v>
      </c>
      <c r="D23">
        <v>2020</v>
      </c>
      <c r="E23" t="s">
        <v>314</v>
      </c>
      <c r="F23" t="s">
        <v>852</v>
      </c>
      <c r="G23">
        <v>1</v>
      </c>
    </row>
    <row r="24" spans="2:7">
      <c r="B24">
        <v>5</v>
      </c>
      <c r="C24" s="178">
        <v>1555027.7495395842</v>
      </c>
      <c r="D24">
        <v>2020</v>
      </c>
      <c r="E24" t="s">
        <v>321</v>
      </c>
      <c r="F24" t="s">
        <v>852</v>
      </c>
      <c r="G24">
        <v>1</v>
      </c>
    </row>
    <row r="25" spans="2:7">
      <c r="B25">
        <v>6</v>
      </c>
      <c r="C25" s="178">
        <v>227358.20364143242</v>
      </c>
      <c r="D25">
        <v>2020</v>
      </c>
      <c r="E25" t="s">
        <v>327</v>
      </c>
      <c r="F25" t="s">
        <v>852</v>
      </c>
      <c r="G25">
        <v>1</v>
      </c>
    </row>
    <row r="26" spans="2:7">
      <c r="B26">
        <v>7</v>
      </c>
      <c r="C26" s="178">
        <v>-2031.2069601401199</v>
      </c>
      <c r="D26">
        <v>2020</v>
      </c>
      <c r="E26" t="s">
        <v>330</v>
      </c>
      <c r="F26" t="s">
        <v>852</v>
      </c>
      <c r="G26">
        <v>1</v>
      </c>
    </row>
    <row r="27" spans="2:7">
      <c r="B27">
        <v>8</v>
      </c>
      <c r="C27" s="178">
        <v>971.16619787636887</v>
      </c>
      <c r="D27">
        <v>2020</v>
      </c>
      <c r="E27" t="s">
        <v>331</v>
      </c>
      <c r="F27" t="s">
        <v>852</v>
      </c>
      <c r="G27">
        <v>1</v>
      </c>
    </row>
    <row r="28" spans="2:7">
      <c r="B28">
        <v>9</v>
      </c>
      <c r="C28" s="178">
        <v>897693.90315601986</v>
      </c>
      <c r="D28">
        <v>2020</v>
      </c>
      <c r="E28" t="s">
        <v>335</v>
      </c>
      <c r="F28" t="s">
        <v>852</v>
      </c>
      <c r="G28">
        <v>1</v>
      </c>
    </row>
    <row r="29" spans="2:7">
      <c r="B29">
        <v>10</v>
      </c>
      <c r="C29" s="178">
        <v>119157.79156970895</v>
      </c>
      <c r="D29">
        <v>2020</v>
      </c>
      <c r="E29" t="s">
        <v>342</v>
      </c>
      <c r="F29" t="s">
        <v>852</v>
      </c>
      <c r="G29">
        <v>1</v>
      </c>
    </row>
    <row r="30" spans="2:7">
      <c r="B30">
        <v>11</v>
      </c>
      <c r="C30" s="178">
        <v>847435.58289065212</v>
      </c>
      <c r="D30">
        <v>2020</v>
      </c>
      <c r="E30" t="s">
        <v>347</v>
      </c>
      <c r="F30" t="s">
        <v>852</v>
      </c>
      <c r="G30">
        <v>1</v>
      </c>
    </row>
    <row r="31" spans="2:7">
      <c r="B31">
        <v>12</v>
      </c>
      <c r="C31" s="178">
        <v>9057966.2936882433</v>
      </c>
      <c r="D31">
        <v>2020</v>
      </c>
      <c r="E31" t="s">
        <v>345</v>
      </c>
      <c r="F31" t="s">
        <v>852</v>
      </c>
      <c r="G31">
        <v>1</v>
      </c>
    </row>
    <row r="32" spans="2:7">
      <c r="B32">
        <v>13</v>
      </c>
      <c r="C32" s="178">
        <v>505581.67726689682</v>
      </c>
      <c r="D32">
        <v>2020</v>
      </c>
      <c r="E32" t="s">
        <v>348</v>
      </c>
      <c r="F32" t="s">
        <v>852</v>
      </c>
      <c r="G32">
        <v>1</v>
      </c>
    </row>
    <row r="33" spans="2:7">
      <c r="B33">
        <v>14</v>
      </c>
      <c r="C33" s="178">
        <v>26405484.075497396</v>
      </c>
      <c r="D33">
        <v>2020</v>
      </c>
      <c r="E33" t="s">
        <v>349</v>
      </c>
      <c r="F33" t="s">
        <v>852</v>
      </c>
      <c r="G33">
        <v>1</v>
      </c>
    </row>
    <row r="34" spans="2:7">
      <c r="B34">
        <v>15</v>
      </c>
      <c r="C34" s="178">
        <v>756400.94229177735</v>
      </c>
      <c r="D34">
        <v>2020</v>
      </c>
      <c r="E34" t="s">
        <v>352</v>
      </c>
      <c r="F34" t="s">
        <v>852</v>
      </c>
      <c r="G34">
        <v>1</v>
      </c>
    </row>
    <row r="35" spans="2:7">
      <c r="B35">
        <v>16</v>
      </c>
      <c r="C35" s="178">
        <v>12922329.119819744</v>
      </c>
      <c r="D35">
        <v>2020</v>
      </c>
      <c r="E35" t="s">
        <v>353</v>
      </c>
      <c r="F35" t="s">
        <v>852</v>
      </c>
      <c r="G35">
        <v>1</v>
      </c>
    </row>
    <row r="36" spans="2:7">
      <c r="B36">
        <v>17</v>
      </c>
      <c r="C36" s="178">
        <v>686952.98173478153</v>
      </c>
      <c r="D36">
        <v>2020</v>
      </c>
      <c r="E36" t="s">
        <v>361</v>
      </c>
      <c r="F36" t="s">
        <v>852</v>
      </c>
      <c r="G36">
        <v>1</v>
      </c>
    </row>
    <row r="37" spans="2:7">
      <c r="B37">
        <v>18</v>
      </c>
      <c r="C37" s="178">
        <v>975839.82625029294</v>
      </c>
      <c r="D37">
        <v>2020</v>
      </c>
      <c r="E37" t="s">
        <v>364</v>
      </c>
      <c r="F37" t="s">
        <v>852</v>
      </c>
      <c r="G37">
        <v>1</v>
      </c>
    </row>
    <row r="38" spans="2:7">
      <c r="B38">
        <v>19</v>
      </c>
      <c r="C38" s="178">
        <v>31012.676750044764</v>
      </c>
      <c r="D38">
        <v>2020</v>
      </c>
      <c r="E38" t="s">
        <v>366</v>
      </c>
      <c r="F38" t="s">
        <v>852</v>
      </c>
      <c r="G38">
        <v>1</v>
      </c>
    </row>
    <row r="39" spans="2:7">
      <c r="B39">
        <v>20</v>
      </c>
      <c r="C39" s="178">
        <v>12132.747993912169</v>
      </c>
      <c r="D39">
        <v>2020</v>
      </c>
      <c r="E39" t="s">
        <v>369</v>
      </c>
      <c r="F39" t="s">
        <v>852</v>
      </c>
      <c r="G39">
        <v>1</v>
      </c>
    </row>
    <row r="40" spans="2:7">
      <c r="B40">
        <v>21</v>
      </c>
      <c r="C40" s="178">
        <v>6654019.8779814392</v>
      </c>
      <c r="D40">
        <v>2020</v>
      </c>
      <c r="E40" t="s">
        <v>370</v>
      </c>
      <c r="F40" t="s">
        <v>852</v>
      </c>
      <c r="G40">
        <v>1</v>
      </c>
    </row>
    <row r="41" spans="2:7">
      <c r="B41">
        <v>22</v>
      </c>
      <c r="C41" s="178">
        <v>4047998.6160165961</v>
      </c>
      <c r="D41">
        <v>2020</v>
      </c>
      <c r="E41" t="s">
        <v>371</v>
      </c>
      <c r="F41" t="s">
        <v>852</v>
      </c>
      <c r="G41">
        <v>1</v>
      </c>
    </row>
    <row r="42" spans="2:7">
      <c r="B42">
        <v>23</v>
      </c>
      <c r="C42" s="178">
        <v>2403625.2498371834</v>
      </c>
      <c r="D42">
        <v>2020</v>
      </c>
      <c r="E42" t="s">
        <v>376</v>
      </c>
      <c r="F42" t="s">
        <v>852</v>
      </c>
      <c r="G42">
        <v>1</v>
      </c>
    </row>
    <row r="43" spans="2:7">
      <c r="B43">
        <v>24</v>
      </c>
      <c r="C43" s="178">
        <v>437.7361508808076</v>
      </c>
      <c r="D43">
        <v>2020</v>
      </c>
      <c r="E43" t="s">
        <v>377</v>
      </c>
      <c r="F43" t="s">
        <v>852</v>
      </c>
      <c r="G43">
        <v>1</v>
      </c>
    </row>
    <row r="44" spans="2:7">
      <c r="B44">
        <v>25</v>
      </c>
      <c r="C44" s="178">
        <v>11388.804547887481</v>
      </c>
      <c r="D44">
        <v>2020</v>
      </c>
      <c r="E44" t="s">
        <v>381</v>
      </c>
      <c r="F44" t="s">
        <v>852</v>
      </c>
      <c r="G44">
        <v>1</v>
      </c>
    </row>
    <row r="45" spans="2:7">
      <c r="B45">
        <v>26</v>
      </c>
      <c r="C45" s="178">
        <v>629346.76893527061</v>
      </c>
      <c r="D45">
        <v>2020</v>
      </c>
      <c r="E45" t="s">
        <v>382</v>
      </c>
      <c r="F45" t="s">
        <v>852</v>
      </c>
      <c r="G45">
        <v>1</v>
      </c>
    </row>
    <row r="46" spans="2:7">
      <c r="B46">
        <v>27</v>
      </c>
      <c r="C46" s="178">
        <v>17036.436079166462</v>
      </c>
      <c r="D46">
        <v>2020</v>
      </c>
      <c r="E46" t="s">
        <v>385</v>
      </c>
      <c r="F46" t="s">
        <v>852</v>
      </c>
      <c r="G46">
        <v>1</v>
      </c>
    </row>
    <row r="47" spans="2:7">
      <c r="B47">
        <v>28</v>
      </c>
      <c r="C47" s="178">
        <v>25706134.090591587</v>
      </c>
      <c r="D47">
        <v>2021</v>
      </c>
      <c r="E47" t="s">
        <v>305</v>
      </c>
      <c r="F47" t="s">
        <v>861</v>
      </c>
      <c r="G47">
        <v>1</v>
      </c>
    </row>
    <row r="48" spans="2:7">
      <c r="B48">
        <v>29</v>
      </c>
      <c r="C48" s="178">
        <v>4851611.3998010792</v>
      </c>
      <c r="D48">
        <v>2021</v>
      </c>
      <c r="E48" t="s">
        <v>309</v>
      </c>
      <c r="F48" t="s">
        <v>861</v>
      </c>
      <c r="G48">
        <v>1</v>
      </c>
    </row>
    <row r="49" spans="2:7">
      <c r="B49">
        <v>30</v>
      </c>
      <c r="C49" s="178">
        <v>1383899.1314390239</v>
      </c>
      <c r="D49">
        <v>2021</v>
      </c>
      <c r="E49" t="s">
        <v>310</v>
      </c>
      <c r="F49" t="s">
        <v>861</v>
      </c>
      <c r="G49">
        <v>1</v>
      </c>
    </row>
    <row r="50" spans="2:7">
      <c r="B50">
        <v>31</v>
      </c>
      <c r="C50" s="178">
        <v>36.126161654819548</v>
      </c>
      <c r="D50">
        <v>2021</v>
      </c>
      <c r="E50" t="s">
        <v>313</v>
      </c>
      <c r="F50" t="s">
        <v>861</v>
      </c>
      <c r="G50">
        <v>1</v>
      </c>
    </row>
    <row r="51" spans="2:7">
      <c r="B51">
        <v>32</v>
      </c>
      <c r="C51" s="178">
        <v>1248204.1157067127</v>
      </c>
      <c r="D51">
        <v>2021</v>
      </c>
      <c r="E51" t="s">
        <v>314</v>
      </c>
      <c r="F51" t="s">
        <v>861</v>
      </c>
      <c r="G51">
        <v>1</v>
      </c>
    </row>
    <row r="52" spans="2:7">
      <c r="B52">
        <v>33</v>
      </c>
      <c r="C52" s="178">
        <v>23454.576356302689</v>
      </c>
      <c r="D52">
        <v>2021</v>
      </c>
      <c r="E52" t="s">
        <v>315</v>
      </c>
      <c r="F52" t="s">
        <v>861</v>
      </c>
      <c r="G52">
        <v>1</v>
      </c>
    </row>
    <row r="53" spans="2:7">
      <c r="B53">
        <v>34</v>
      </c>
      <c r="C53" s="178">
        <v>1097396.6149389972</v>
      </c>
      <c r="D53">
        <v>2021</v>
      </c>
      <c r="E53" t="s">
        <v>321</v>
      </c>
      <c r="F53" t="s">
        <v>861</v>
      </c>
      <c r="G53">
        <v>1</v>
      </c>
    </row>
    <row r="54" spans="2:7">
      <c r="B54">
        <v>35</v>
      </c>
      <c r="C54" s="178">
        <v>21.673674251477685</v>
      </c>
      <c r="D54">
        <v>2021</v>
      </c>
      <c r="E54" t="s">
        <v>322</v>
      </c>
      <c r="F54" t="s">
        <v>861</v>
      </c>
      <c r="G54">
        <v>1</v>
      </c>
    </row>
    <row r="55" spans="2:7">
      <c r="B55">
        <v>36</v>
      </c>
      <c r="C55" s="178">
        <v>396020.07371979632</v>
      </c>
      <c r="D55">
        <v>2021</v>
      </c>
      <c r="E55" t="s">
        <v>327</v>
      </c>
      <c r="F55" t="s">
        <v>861</v>
      </c>
      <c r="G55">
        <v>1</v>
      </c>
    </row>
    <row r="56" spans="2:7">
      <c r="B56">
        <v>37</v>
      </c>
      <c r="C56" s="178">
        <v>467492.18719026912</v>
      </c>
      <c r="D56">
        <v>2021</v>
      </c>
      <c r="E56" t="s">
        <v>331</v>
      </c>
      <c r="F56" t="s">
        <v>861</v>
      </c>
      <c r="G56">
        <v>1</v>
      </c>
    </row>
    <row r="57" spans="2:7">
      <c r="B57">
        <v>38</v>
      </c>
      <c r="C57" s="178">
        <v>2674366.8931494337</v>
      </c>
      <c r="D57">
        <v>2021</v>
      </c>
      <c r="E57" t="s">
        <v>335</v>
      </c>
      <c r="F57" t="s">
        <v>861</v>
      </c>
      <c r="G57">
        <v>1</v>
      </c>
    </row>
    <row r="58" spans="2:7">
      <c r="B58">
        <v>39</v>
      </c>
      <c r="C58" s="178">
        <v>49.981940341018536</v>
      </c>
      <c r="D58">
        <v>2021</v>
      </c>
      <c r="E58" t="s">
        <v>342</v>
      </c>
      <c r="F58" t="s">
        <v>861</v>
      </c>
      <c r="G58">
        <v>1</v>
      </c>
    </row>
    <row r="59" spans="2:7">
      <c r="B59">
        <v>40</v>
      </c>
      <c r="C59" s="178">
        <v>503372.15987408569</v>
      </c>
      <c r="D59">
        <v>2021</v>
      </c>
      <c r="E59" t="s">
        <v>347</v>
      </c>
      <c r="F59" t="s">
        <v>861</v>
      </c>
      <c r="G59">
        <v>1</v>
      </c>
    </row>
    <row r="60" spans="2:7">
      <c r="B60">
        <v>41</v>
      </c>
      <c r="C60" s="178">
        <v>8924117.8015749045</v>
      </c>
      <c r="D60">
        <v>2021</v>
      </c>
      <c r="E60" t="s">
        <v>345</v>
      </c>
      <c r="F60" t="s">
        <v>861</v>
      </c>
      <c r="G60">
        <v>1</v>
      </c>
    </row>
    <row r="61" spans="2:7">
      <c r="B61">
        <v>42</v>
      </c>
      <c r="C61" s="178">
        <v>302473.20248261362</v>
      </c>
      <c r="D61">
        <v>2021</v>
      </c>
      <c r="E61" t="s">
        <v>348</v>
      </c>
      <c r="F61" t="s">
        <v>861</v>
      </c>
      <c r="G61">
        <v>1</v>
      </c>
    </row>
    <row r="62" spans="2:7">
      <c r="B62">
        <v>43</v>
      </c>
      <c r="C62" s="178">
        <v>2052183.8724388792</v>
      </c>
      <c r="D62">
        <v>2021</v>
      </c>
      <c r="E62" t="s">
        <v>349</v>
      </c>
      <c r="F62" t="s">
        <v>861</v>
      </c>
      <c r="G62">
        <v>1</v>
      </c>
    </row>
    <row r="63" spans="2:7">
      <c r="B63">
        <v>44</v>
      </c>
      <c r="C63" s="178">
        <v>2389093.2206175276</v>
      </c>
      <c r="D63">
        <v>2021</v>
      </c>
      <c r="E63" t="s">
        <v>352</v>
      </c>
      <c r="F63" t="s">
        <v>861</v>
      </c>
      <c r="G63">
        <v>1</v>
      </c>
    </row>
    <row r="64" spans="2:7">
      <c r="B64">
        <v>45</v>
      </c>
      <c r="C64" s="178">
        <v>2623152.226809788</v>
      </c>
      <c r="D64">
        <v>2021</v>
      </c>
      <c r="E64" t="s">
        <v>353</v>
      </c>
      <c r="F64" t="s">
        <v>861</v>
      </c>
      <c r="G64">
        <v>1</v>
      </c>
    </row>
    <row r="65" spans="2:7">
      <c r="B65">
        <v>46</v>
      </c>
      <c r="C65" s="178">
        <v>1633023.1294499158</v>
      </c>
      <c r="D65">
        <v>2021</v>
      </c>
      <c r="E65" t="s">
        <v>356</v>
      </c>
      <c r="F65" t="s">
        <v>861</v>
      </c>
      <c r="G65">
        <v>1</v>
      </c>
    </row>
    <row r="66" spans="2:7">
      <c r="B66">
        <v>47</v>
      </c>
      <c r="C66" s="178">
        <v>1234463.3646877934</v>
      </c>
      <c r="D66">
        <v>2021</v>
      </c>
      <c r="E66" t="s">
        <v>361</v>
      </c>
      <c r="F66" t="s">
        <v>861</v>
      </c>
      <c r="G66">
        <v>1</v>
      </c>
    </row>
    <row r="67" spans="2:7">
      <c r="B67">
        <v>48</v>
      </c>
      <c r="C67" s="178">
        <v>374278.37821483467</v>
      </c>
      <c r="D67">
        <v>2021</v>
      </c>
      <c r="E67" t="s">
        <v>364</v>
      </c>
      <c r="F67" t="s">
        <v>861</v>
      </c>
      <c r="G67">
        <v>1</v>
      </c>
    </row>
    <row r="68" spans="2:7">
      <c r="B68">
        <v>49</v>
      </c>
      <c r="C68" s="178">
        <v>889564.28597105667</v>
      </c>
      <c r="D68">
        <v>2021</v>
      </c>
      <c r="E68" t="s">
        <v>366</v>
      </c>
      <c r="F68" t="s">
        <v>861</v>
      </c>
      <c r="G68">
        <v>1</v>
      </c>
    </row>
    <row r="69" spans="2:7">
      <c r="B69">
        <v>50</v>
      </c>
      <c r="C69" s="178">
        <v>21.673674251477685</v>
      </c>
      <c r="D69">
        <v>2021</v>
      </c>
      <c r="E69" t="s">
        <v>368</v>
      </c>
      <c r="F69" t="s">
        <v>861</v>
      </c>
      <c r="G69">
        <v>1</v>
      </c>
    </row>
    <row r="70" spans="2:7">
      <c r="B70">
        <v>51</v>
      </c>
      <c r="C70" s="178">
        <v>66907.138099665128</v>
      </c>
      <c r="D70">
        <v>2021</v>
      </c>
      <c r="E70" t="s">
        <v>370</v>
      </c>
      <c r="F70" t="s">
        <v>861</v>
      </c>
      <c r="G70">
        <v>1</v>
      </c>
    </row>
    <row r="71" spans="2:7">
      <c r="B71">
        <v>52</v>
      </c>
      <c r="C71" s="178">
        <v>8176022.9143784875</v>
      </c>
      <c r="D71">
        <v>2021</v>
      </c>
      <c r="E71" t="s">
        <v>371</v>
      </c>
      <c r="F71" t="s">
        <v>861</v>
      </c>
      <c r="G71">
        <v>1</v>
      </c>
    </row>
    <row r="72" spans="2:7">
      <c r="B72">
        <v>53</v>
      </c>
      <c r="C72" s="178">
        <v>3432263.071002047</v>
      </c>
      <c r="D72">
        <v>2021</v>
      </c>
      <c r="E72" t="s">
        <v>376</v>
      </c>
      <c r="F72" t="s">
        <v>861</v>
      </c>
      <c r="G72">
        <v>1</v>
      </c>
    </row>
    <row r="73" spans="2:7">
      <c r="B73">
        <v>54</v>
      </c>
      <c r="C73" s="178">
        <v>280.60480266320502</v>
      </c>
      <c r="D73">
        <v>2021</v>
      </c>
      <c r="E73" t="s">
        <v>381</v>
      </c>
      <c r="F73" t="s">
        <v>861</v>
      </c>
      <c r="G73">
        <v>1</v>
      </c>
    </row>
    <row r="74" spans="2:7">
      <c r="B74">
        <v>55</v>
      </c>
      <c r="C74" s="178">
        <v>13637663.667912096</v>
      </c>
      <c r="D74">
        <v>2021</v>
      </c>
      <c r="E74" t="s">
        <v>382</v>
      </c>
      <c r="F74" t="s">
        <v>861</v>
      </c>
      <c r="G74">
        <v>1</v>
      </c>
    </row>
    <row r="75" spans="2:7">
      <c r="B75">
        <v>56</v>
      </c>
      <c r="C75" s="178">
        <v>6068.2242421309429</v>
      </c>
      <c r="D75">
        <v>2021</v>
      </c>
      <c r="E75" t="s">
        <v>385</v>
      </c>
      <c r="F75" t="s">
        <v>861</v>
      </c>
      <c r="G75">
        <v>1</v>
      </c>
    </row>
    <row r="76" spans="2:7">
      <c r="B76">
        <v>57</v>
      </c>
      <c r="C76" s="178">
        <v>2134515.8335881382</v>
      </c>
      <c r="D76">
        <v>2021</v>
      </c>
      <c r="E76" t="s">
        <v>386</v>
      </c>
      <c r="F76" t="s">
        <v>861</v>
      </c>
      <c r="G76">
        <v>1</v>
      </c>
    </row>
    <row r="77" spans="2:7">
      <c r="B77">
        <v>58</v>
      </c>
      <c r="C77" s="178">
        <v>33813410.918106742</v>
      </c>
      <c r="D77">
        <v>2022</v>
      </c>
      <c r="E77" t="s">
        <v>305</v>
      </c>
      <c r="F77" t="s">
        <v>853</v>
      </c>
      <c r="G77">
        <v>2</v>
      </c>
    </row>
    <row r="78" spans="2:7">
      <c r="B78">
        <v>59</v>
      </c>
      <c r="C78" s="178">
        <v>6849959.2876701932</v>
      </c>
      <c r="D78">
        <v>2022</v>
      </c>
      <c r="E78" t="s">
        <v>309</v>
      </c>
      <c r="F78" t="s">
        <v>853</v>
      </c>
      <c r="G78">
        <v>2</v>
      </c>
    </row>
    <row r="79" spans="2:7">
      <c r="B79">
        <v>60</v>
      </c>
      <c r="C79" s="178">
        <v>664518.3858161252</v>
      </c>
      <c r="D79">
        <v>2022</v>
      </c>
      <c r="E79" t="s">
        <v>314</v>
      </c>
      <c r="F79" t="s">
        <v>853</v>
      </c>
      <c r="G79">
        <v>2</v>
      </c>
    </row>
    <row r="80" spans="2:7">
      <c r="B80">
        <v>61</v>
      </c>
      <c r="C80" s="178">
        <v>906873.84029764659</v>
      </c>
      <c r="D80">
        <v>2022</v>
      </c>
      <c r="E80" t="s">
        <v>321</v>
      </c>
      <c r="F80" t="s">
        <v>853</v>
      </c>
      <c r="G80">
        <v>2</v>
      </c>
    </row>
    <row r="81" spans="2:7">
      <c r="B81">
        <v>62</v>
      </c>
      <c r="C81" s="178">
        <v>57338.455544922595</v>
      </c>
      <c r="D81">
        <v>2022</v>
      </c>
      <c r="E81" t="s">
        <v>327</v>
      </c>
      <c r="F81" t="s">
        <v>853</v>
      </c>
      <c r="G81">
        <v>2</v>
      </c>
    </row>
    <row r="82" spans="2:7">
      <c r="B82">
        <v>63</v>
      </c>
      <c r="C82" s="178">
        <v>105283.66667709664</v>
      </c>
      <c r="D82">
        <v>2022</v>
      </c>
      <c r="E82" t="s">
        <v>347</v>
      </c>
      <c r="F82" t="s">
        <v>853</v>
      </c>
      <c r="G82">
        <v>2</v>
      </c>
    </row>
    <row r="83" spans="2:7">
      <c r="B83">
        <v>64</v>
      </c>
      <c r="C83" s="178">
        <v>6293355.1961035747</v>
      </c>
      <c r="D83">
        <v>2022</v>
      </c>
      <c r="E83" t="s">
        <v>345</v>
      </c>
      <c r="F83" t="s">
        <v>853</v>
      </c>
      <c r="G83">
        <v>2</v>
      </c>
    </row>
    <row r="84" spans="2:7">
      <c r="B84">
        <v>65</v>
      </c>
      <c r="C84" s="178">
        <v>10404800.792079909</v>
      </c>
      <c r="D84">
        <v>2022</v>
      </c>
      <c r="E84" t="s">
        <v>348</v>
      </c>
      <c r="F84" t="s">
        <v>853</v>
      </c>
      <c r="G84">
        <v>2</v>
      </c>
    </row>
    <row r="85" spans="2:7">
      <c r="B85">
        <v>66</v>
      </c>
      <c r="C85" s="178">
        <v>3092987.1234078761</v>
      </c>
      <c r="D85">
        <v>2022</v>
      </c>
      <c r="E85" t="s">
        <v>349</v>
      </c>
      <c r="F85" t="s">
        <v>853</v>
      </c>
      <c r="G85">
        <v>2</v>
      </c>
    </row>
    <row r="86" spans="2:7">
      <c r="B86">
        <v>67</v>
      </c>
      <c r="C86" s="178">
        <v>1027512.2926749249</v>
      </c>
      <c r="D86">
        <v>2022</v>
      </c>
      <c r="E86" t="s">
        <v>352</v>
      </c>
      <c r="F86" t="s">
        <v>853</v>
      </c>
      <c r="G86">
        <v>2</v>
      </c>
    </row>
    <row r="87" spans="2:7">
      <c r="B87">
        <v>68</v>
      </c>
      <c r="C87" s="178">
        <v>15717781.33321991</v>
      </c>
      <c r="D87">
        <v>2022</v>
      </c>
      <c r="E87" t="s">
        <v>353</v>
      </c>
      <c r="F87" t="s">
        <v>853</v>
      </c>
      <c r="G87">
        <v>2</v>
      </c>
    </row>
    <row r="88" spans="2:7">
      <c r="B88">
        <v>69</v>
      </c>
      <c r="C88" s="178">
        <v>4052946.4637069628</v>
      </c>
      <c r="D88">
        <v>2022</v>
      </c>
      <c r="E88" t="s">
        <v>361</v>
      </c>
      <c r="F88" t="s">
        <v>853</v>
      </c>
      <c r="G88">
        <v>2</v>
      </c>
    </row>
    <row r="89" spans="2:7">
      <c r="B89">
        <v>70</v>
      </c>
      <c r="C89" s="178">
        <v>646.81735113356922</v>
      </c>
      <c r="D89">
        <v>2022</v>
      </c>
      <c r="E89" t="s">
        <v>364</v>
      </c>
      <c r="F89" t="s">
        <v>853</v>
      </c>
      <c r="G89">
        <v>2</v>
      </c>
    </row>
    <row r="90" spans="2:7">
      <c r="B90">
        <v>71</v>
      </c>
      <c r="C90" s="178">
        <v>183674.23028357985</v>
      </c>
      <c r="D90">
        <v>2022</v>
      </c>
      <c r="E90" t="s">
        <v>366</v>
      </c>
      <c r="F90" t="s">
        <v>853</v>
      </c>
      <c r="G90">
        <v>2</v>
      </c>
    </row>
    <row r="91" spans="2:7">
      <c r="B91">
        <v>72</v>
      </c>
      <c r="C91" s="178">
        <v>914035.73224221612</v>
      </c>
      <c r="D91">
        <v>2022</v>
      </c>
      <c r="E91" t="s">
        <v>370</v>
      </c>
      <c r="F91" t="s">
        <v>853</v>
      </c>
      <c r="G91">
        <v>2</v>
      </c>
    </row>
    <row r="92" spans="2:7">
      <c r="B92">
        <v>73</v>
      </c>
      <c r="C92" s="178">
        <v>-5587235.5025544362</v>
      </c>
      <c r="D92">
        <v>2022</v>
      </c>
      <c r="E92" t="s">
        <v>382</v>
      </c>
      <c r="F92" t="s">
        <v>853</v>
      </c>
      <c r="G92">
        <v>2</v>
      </c>
    </row>
    <row r="93" spans="2:7">
      <c r="B93">
        <v>74</v>
      </c>
      <c r="C93" s="178">
        <v>622622.73355007381</v>
      </c>
      <c r="D93">
        <v>2022</v>
      </c>
      <c r="E93" t="s">
        <v>386</v>
      </c>
      <c r="F93" t="s">
        <v>853</v>
      </c>
      <c r="G93">
        <v>2</v>
      </c>
    </row>
    <row r="94" spans="2:7">
      <c r="B94">
        <v>75</v>
      </c>
      <c r="C94" s="178">
        <v>35129736.152436331</v>
      </c>
      <c r="D94">
        <v>2023</v>
      </c>
      <c r="E94" t="s">
        <v>305</v>
      </c>
      <c r="F94" t="s">
        <v>854</v>
      </c>
      <c r="G94">
        <v>1</v>
      </c>
    </row>
    <row r="95" spans="2:7">
      <c r="B95">
        <v>76</v>
      </c>
      <c r="C95" s="178">
        <v>3911702.9434979549</v>
      </c>
      <c r="D95">
        <v>2023</v>
      </c>
      <c r="E95" t="s">
        <v>309</v>
      </c>
      <c r="F95" t="s">
        <v>854</v>
      </c>
      <c r="G95">
        <v>1</v>
      </c>
    </row>
    <row r="96" spans="2:7">
      <c r="B96">
        <v>77</v>
      </c>
      <c r="C96" s="178">
        <v>211106.04067513763</v>
      </c>
      <c r="D96">
        <v>2023</v>
      </c>
      <c r="E96" t="s">
        <v>314</v>
      </c>
      <c r="F96" t="s">
        <v>854</v>
      </c>
      <c r="G96">
        <v>1</v>
      </c>
    </row>
    <row r="97" spans="2:7">
      <c r="B97">
        <v>78</v>
      </c>
      <c r="C97" s="178">
        <v>87365.41867156743</v>
      </c>
      <c r="D97">
        <v>2023</v>
      </c>
      <c r="E97" t="s">
        <v>321</v>
      </c>
      <c r="F97" t="s">
        <v>854</v>
      </c>
      <c r="G97">
        <v>1</v>
      </c>
    </row>
    <row r="98" spans="2:7">
      <c r="B98">
        <v>79</v>
      </c>
      <c r="C98" s="178">
        <v>512.30039495694564</v>
      </c>
      <c r="D98">
        <v>2023</v>
      </c>
      <c r="E98" t="s">
        <v>327</v>
      </c>
      <c r="F98" t="s">
        <v>854</v>
      </c>
      <c r="G98">
        <v>1</v>
      </c>
    </row>
    <row r="99" spans="2:7">
      <c r="B99">
        <v>80</v>
      </c>
      <c r="C99" s="178">
        <v>52227.302738377963</v>
      </c>
      <c r="D99">
        <v>2023</v>
      </c>
      <c r="E99" t="s">
        <v>347</v>
      </c>
      <c r="F99" t="s">
        <v>854</v>
      </c>
      <c r="G99">
        <v>1</v>
      </c>
    </row>
    <row r="100" spans="2:7">
      <c r="B100">
        <v>81</v>
      </c>
      <c r="C100" s="178">
        <v>1503868.6390986054</v>
      </c>
      <c r="D100">
        <v>2023</v>
      </c>
      <c r="E100" t="s">
        <v>345</v>
      </c>
      <c r="F100" t="s">
        <v>854</v>
      </c>
      <c r="G100">
        <v>1</v>
      </c>
    </row>
    <row r="101" spans="2:7">
      <c r="B101">
        <v>82</v>
      </c>
      <c r="C101" s="178">
        <v>2183439.2423609141</v>
      </c>
      <c r="D101">
        <v>2023</v>
      </c>
      <c r="E101" t="s">
        <v>348</v>
      </c>
      <c r="F101" t="s">
        <v>854</v>
      </c>
      <c r="G101">
        <v>1</v>
      </c>
    </row>
    <row r="102" spans="2:7">
      <c r="B102">
        <v>83</v>
      </c>
      <c r="C102" s="178">
        <v>999432.73169850267</v>
      </c>
      <c r="D102">
        <v>2023</v>
      </c>
      <c r="E102" t="s">
        <v>349</v>
      </c>
      <c r="F102" t="s">
        <v>854</v>
      </c>
      <c r="G102">
        <v>1</v>
      </c>
    </row>
    <row r="103" spans="2:7">
      <c r="B103">
        <v>84</v>
      </c>
      <c r="C103" s="178">
        <v>1817413.6692713664</v>
      </c>
      <c r="D103">
        <v>2023</v>
      </c>
      <c r="E103" t="s">
        <v>352</v>
      </c>
      <c r="F103" t="s">
        <v>854</v>
      </c>
      <c r="G103">
        <v>1</v>
      </c>
    </row>
    <row r="104" spans="2:7">
      <c r="B104">
        <v>85</v>
      </c>
      <c r="C104" s="178">
        <v>22543419.613286749</v>
      </c>
      <c r="D104">
        <v>2023</v>
      </c>
      <c r="E104" t="s">
        <v>353</v>
      </c>
      <c r="F104" t="s">
        <v>854</v>
      </c>
      <c r="G104">
        <v>1</v>
      </c>
    </row>
    <row r="105" spans="2:7">
      <c r="B105">
        <v>86</v>
      </c>
      <c r="C105" s="178">
        <v>1283661.605903188</v>
      </c>
      <c r="D105">
        <v>2023</v>
      </c>
      <c r="E105" t="s">
        <v>361</v>
      </c>
      <c r="F105" t="s">
        <v>854</v>
      </c>
      <c r="G105">
        <v>1</v>
      </c>
    </row>
    <row r="106" spans="2:7">
      <c r="B106">
        <v>87</v>
      </c>
      <c r="C106" s="178">
        <v>403062.53576066508</v>
      </c>
      <c r="D106">
        <v>2023</v>
      </c>
      <c r="E106" t="s">
        <v>364</v>
      </c>
      <c r="F106" t="s">
        <v>854</v>
      </c>
      <c r="G106">
        <v>1</v>
      </c>
    </row>
    <row r="107" spans="2:7">
      <c r="B107">
        <v>88</v>
      </c>
      <c r="C107" s="178">
        <v>141832.85648723919</v>
      </c>
      <c r="D107">
        <v>2023</v>
      </c>
      <c r="E107" t="s">
        <v>366</v>
      </c>
      <c r="F107" t="s">
        <v>854</v>
      </c>
      <c r="G107">
        <v>1</v>
      </c>
    </row>
    <row r="108" spans="2:7">
      <c r="B108">
        <v>89</v>
      </c>
      <c r="C108" s="178">
        <v>106149.96916572338</v>
      </c>
      <c r="D108">
        <v>2023</v>
      </c>
      <c r="E108" t="s">
        <v>369</v>
      </c>
      <c r="F108" t="s">
        <v>854</v>
      </c>
      <c r="G108">
        <v>1</v>
      </c>
    </row>
    <row r="109" spans="2:7">
      <c r="B109">
        <v>90</v>
      </c>
      <c r="C109" s="178">
        <v>22782.771765883743</v>
      </c>
      <c r="D109">
        <v>2023</v>
      </c>
      <c r="E109" t="s">
        <v>370</v>
      </c>
      <c r="F109" t="s">
        <v>854</v>
      </c>
      <c r="G109">
        <v>1</v>
      </c>
    </row>
    <row r="110" spans="2:7">
      <c r="B110">
        <v>91</v>
      </c>
      <c r="C110" s="178">
        <v>-7843704.5403578533</v>
      </c>
      <c r="D110">
        <v>2023</v>
      </c>
      <c r="E110" t="s">
        <v>382</v>
      </c>
      <c r="F110" t="s">
        <v>854</v>
      </c>
      <c r="G110">
        <v>1</v>
      </c>
    </row>
    <row r="111" spans="2:7">
      <c r="B111">
        <v>92</v>
      </c>
      <c r="C111" s="178">
        <v>34638760.532571472</v>
      </c>
      <c r="D111">
        <v>2024</v>
      </c>
      <c r="E111" t="s">
        <v>305</v>
      </c>
      <c r="F111" t="s">
        <v>855</v>
      </c>
      <c r="G111">
        <v>1</v>
      </c>
    </row>
    <row r="112" spans="2:7">
      <c r="B112">
        <v>93</v>
      </c>
      <c r="C112" s="178">
        <v>7519513.4610189181</v>
      </c>
      <c r="D112">
        <v>2024</v>
      </c>
      <c r="E112" t="s">
        <v>309</v>
      </c>
      <c r="F112" t="s">
        <v>855</v>
      </c>
      <c r="G112">
        <v>1</v>
      </c>
    </row>
    <row r="113" spans="2:7">
      <c r="B113">
        <v>94</v>
      </c>
      <c r="C113" s="178">
        <v>1572406.7396321148</v>
      </c>
      <c r="D113">
        <v>2024</v>
      </c>
      <c r="E113" t="s">
        <v>318</v>
      </c>
      <c r="F113" t="s">
        <v>855</v>
      </c>
      <c r="G113">
        <v>1</v>
      </c>
    </row>
    <row r="114" spans="2:7">
      <c r="B114">
        <v>95</v>
      </c>
      <c r="C114" s="178">
        <v>4287092.0360101471</v>
      </c>
      <c r="D114">
        <v>2024</v>
      </c>
      <c r="E114" t="s">
        <v>324</v>
      </c>
      <c r="F114" t="s">
        <v>855</v>
      </c>
      <c r="G114">
        <v>1</v>
      </c>
    </row>
    <row r="115" spans="2:7">
      <c r="B115">
        <v>96</v>
      </c>
      <c r="C115" s="178">
        <v>292.67943422678155</v>
      </c>
      <c r="D115">
        <v>2024</v>
      </c>
      <c r="E115" t="s">
        <v>328</v>
      </c>
      <c r="F115" t="s">
        <v>855</v>
      </c>
      <c r="G115">
        <v>1</v>
      </c>
    </row>
    <row r="116" spans="2:7">
      <c r="B116">
        <v>97</v>
      </c>
      <c r="C116" s="178">
        <v>315351.90212130325</v>
      </c>
      <c r="D116">
        <v>2024</v>
      </c>
      <c r="E116" t="s">
        <v>347</v>
      </c>
      <c r="F116" t="s">
        <v>855</v>
      </c>
      <c r="G116">
        <v>1</v>
      </c>
    </row>
    <row r="117" spans="2:7">
      <c r="B117">
        <v>98</v>
      </c>
      <c r="C117" s="178">
        <v>3902229.9831766533</v>
      </c>
      <c r="D117">
        <v>2024</v>
      </c>
      <c r="E117" t="s">
        <v>345</v>
      </c>
      <c r="F117" t="s">
        <v>855</v>
      </c>
      <c r="G117">
        <v>1</v>
      </c>
    </row>
    <row r="118" spans="2:7">
      <c r="B118">
        <v>99</v>
      </c>
      <c r="C118" s="178">
        <v>324403.26548893563</v>
      </c>
      <c r="D118">
        <v>2024</v>
      </c>
      <c r="E118" t="s">
        <v>348</v>
      </c>
      <c r="F118" t="s">
        <v>855</v>
      </c>
      <c r="G118">
        <v>1</v>
      </c>
    </row>
    <row r="119" spans="2:7">
      <c r="B119">
        <v>100</v>
      </c>
      <c r="C119" s="178">
        <v>1863550.4666900963</v>
      </c>
      <c r="D119">
        <v>2024</v>
      </c>
      <c r="E119" t="s">
        <v>349</v>
      </c>
      <c r="F119" t="s">
        <v>855</v>
      </c>
      <c r="G119">
        <v>1</v>
      </c>
    </row>
    <row r="120" spans="2:7">
      <c r="B120">
        <v>101</v>
      </c>
      <c r="C120" s="178">
        <v>9517259.8126506843</v>
      </c>
      <c r="D120">
        <v>2024</v>
      </c>
      <c r="E120" t="s">
        <v>357</v>
      </c>
      <c r="F120" t="s">
        <v>855</v>
      </c>
      <c r="G120">
        <v>1</v>
      </c>
    </row>
    <row r="121" spans="2:7">
      <c r="B121">
        <v>102</v>
      </c>
      <c r="C121" s="178">
        <v>383647.63556054421</v>
      </c>
      <c r="D121">
        <v>2024</v>
      </c>
      <c r="E121" t="s">
        <v>361</v>
      </c>
      <c r="F121" t="s">
        <v>855</v>
      </c>
      <c r="G121">
        <v>1</v>
      </c>
    </row>
    <row r="122" spans="2:7">
      <c r="B122">
        <v>103</v>
      </c>
      <c r="C122" s="178">
        <v>319917.18713220663</v>
      </c>
      <c r="D122">
        <v>2024</v>
      </c>
      <c r="E122" t="s">
        <v>364</v>
      </c>
      <c r="F122" t="s">
        <v>855</v>
      </c>
      <c r="G122">
        <v>1</v>
      </c>
    </row>
    <row r="123" spans="2:7">
      <c r="B123">
        <v>104</v>
      </c>
      <c r="C123" s="178">
        <v>663072.28041230026</v>
      </c>
      <c r="D123">
        <v>2024</v>
      </c>
      <c r="E123" t="s">
        <v>366</v>
      </c>
      <c r="F123" t="s">
        <v>855</v>
      </c>
      <c r="G123">
        <v>1</v>
      </c>
    </row>
    <row r="124" spans="2:7">
      <c r="B124">
        <v>105</v>
      </c>
      <c r="C124" s="178">
        <v>5631.2438527908316</v>
      </c>
      <c r="D124">
        <v>2024</v>
      </c>
      <c r="E124" t="s">
        <v>368</v>
      </c>
      <c r="F124" t="s">
        <v>855</v>
      </c>
      <c r="G124">
        <v>1</v>
      </c>
    </row>
    <row r="125" spans="2:7">
      <c r="B125">
        <v>106</v>
      </c>
      <c r="C125" s="178">
        <v>27477.304978275635</v>
      </c>
      <c r="D125">
        <v>2024</v>
      </c>
      <c r="E125" t="s">
        <v>369</v>
      </c>
      <c r="F125" t="s">
        <v>855</v>
      </c>
      <c r="G125">
        <v>1</v>
      </c>
    </row>
    <row r="126" spans="2:7">
      <c r="B126">
        <v>107</v>
      </c>
      <c r="C126" s="178">
        <v>23985165.966778118</v>
      </c>
      <c r="D126">
        <v>2024</v>
      </c>
      <c r="E126" t="s">
        <v>370</v>
      </c>
      <c r="F126" t="s">
        <v>855</v>
      </c>
      <c r="G126">
        <v>1</v>
      </c>
    </row>
    <row r="127" spans="2:7">
      <c r="B127">
        <v>108</v>
      </c>
      <c r="C127" s="178">
        <v>2862737.0777425626</v>
      </c>
      <c r="D127">
        <v>2024</v>
      </c>
      <c r="E127" t="s">
        <v>382</v>
      </c>
      <c r="F127" t="s">
        <v>855</v>
      </c>
      <c r="G127">
        <v>1</v>
      </c>
    </row>
    <row r="128" spans="2:7">
      <c r="B128" s="347">
        <v>109</v>
      </c>
      <c r="C128" s="340">
        <v>51047866.289999999</v>
      </c>
      <c r="D128" s="347">
        <v>2025</v>
      </c>
      <c r="E128" s="341" t="s">
        <v>305</v>
      </c>
      <c r="F128" s="341"/>
      <c r="G128" s="281"/>
    </row>
    <row r="129" spans="2:7">
      <c r="B129" s="347">
        <v>110</v>
      </c>
      <c r="C129" s="340">
        <v>13803031.288232353</v>
      </c>
      <c r="D129" s="347">
        <v>2025</v>
      </c>
      <c r="E129" s="341" t="s">
        <v>309</v>
      </c>
      <c r="F129" s="341"/>
      <c r="G129" s="281"/>
    </row>
    <row r="130" spans="2:7">
      <c r="B130" s="347">
        <v>111</v>
      </c>
      <c r="C130" s="340">
        <v>-20979.079136318192</v>
      </c>
      <c r="D130" s="347">
        <v>2025</v>
      </c>
      <c r="E130" s="341" t="s">
        <v>318</v>
      </c>
      <c r="F130" s="341"/>
      <c r="G130" s="281"/>
    </row>
    <row r="131" spans="2:7">
      <c r="B131" s="347">
        <v>112</v>
      </c>
      <c r="C131" s="340">
        <v>-83385.919873105478</v>
      </c>
      <c r="D131" s="347">
        <v>2025</v>
      </c>
      <c r="E131" s="341" t="s">
        <v>324</v>
      </c>
      <c r="F131" s="341"/>
      <c r="G131" s="281"/>
    </row>
    <row r="132" spans="2:7">
      <c r="B132" s="347">
        <v>113</v>
      </c>
      <c r="C132" s="340">
        <v>69421.745178848389</v>
      </c>
      <c r="D132" s="347">
        <v>2025</v>
      </c>
      <c r="E132" s="341" t="s">
        <v>347</v>
      </c>
      <c r="F132" s="341"/>
      <c r="G132" s="281"/>
    </row>
    <row r="133" spans="2:7">
      <c r="B133" s="347">
        <v>114</v>
      </c>
      <c r="C133" s="340">
        <v>19074218.609357323</v>
      </c>
      <c r="D133" s="347">
        <v>2025</v>
      </c>
      <c r="E133" s="341" t="s">
        <v>345</v>
      </c>
      <c r="F133" s="341"/>
      <c r="G133" s="281"/>
    </row>
    <row r="134" spans="2:7">
      <c r="B134" s="347">
        <v>115</v>
      </c>
      <c r="C134" s="340">
        <v>5364691.8499594387</v>
      </c>
      <c r="D134" s="347">
        <v>2025</v>
      </c>
      <c r="E134" s="341" t="s">
        <v>348</v>
      </c>
      <c r="F134" s="341"/>
      <c r="G134" s="281"/>
    </row>
    <row r="135" spans="2:7">
      <c r="B135" s="347">
        <v>116</v>
      </c>
      <c r="C135" s="340">
        <v>2341962.8281327751</v>
      </c>
      <c r="D135" s="347">
        <v>2025</v>
      </c>
      <c r="E135" s="341" t="s">
        <v>349</v>
      </c>
      <c r="F135" s="341"/>
      <c r="G135" s="281"/>
    </row>
    <row r="136" spans="2:7">
      <c r="B136" s="347">
        <v>117</v>
      </c>
      <c r="C136" s="340">
        <v>19735264.894148596</v>
      </c>
      <c r="D136" s="347">
        <v>2025</v>
      </c>
      <c r="E136" s="341" t="s">
        <v>357</v>
      </c>
      <c r="F136" s="341"/>
      <c r="G136" s="281"/>
    </row>
    <row r="137" spans="2:7">
      <c r="B137" s="347">
        <v>118</v>
      </c>
      <c r="C137" s="340">
        <v>909014.90836381866</v>
      </c>
      <c r="D137" s="347">
        <v>2025</v>
      </c>
      <c r="E137" s="341" t="s">
        <v>361</v>
      </c>
      <c r="F137" s="341"/>
      <c r="G137" s="281"/>
    </row>
    <row r="138" spans="2:7">
      <c r="B138" s="347">
        <v>119</v>
      </c>
      <c r="C138" s="340">
        <v>7652.2709978681778</v>
      </c>
      <c r="D138" s="347">
        <v>2025</v>
      </c>
      <c r="E138" s="341" t="s">
        <v>364</v>
      </c>
      <c r="F138" s="341"/>
      <c r="G138" s="281"/>
    </row>
    <row r="139" spans="2:7">
      <c r="B139" s="347">
        <v>120</v>
      </c>
      <c r="C139" s="340">
        <v>1515298.3484208267</v>
      </c>
      <c r="D139" s="347">
        <v>2025</v>
      </c>
      <c r="E139" s="341" t="s">
        <v>366</v>
      </c>
      <c r="F139" s="341"/>
      <c r="G139" s="281"/>
    </row>
    <row r="140" spans="2:7">
      <c r="B140" s="347">
        <v>121</v>
      </c>
      <c r="C140" s="340">
        <v>221.45402760640519</v>
      </c>
      <c r="D140" s="347">
        <v>2025</v>
      </c>
      <c r="E140" s="341" t="s">
        <v>369</v>
      </c>
      <c r="F140" s="341"/>
      <c r="G140" s="281"/>
    </row>
    <row r="141" spans="2:7">
      <c r="B141" s="347">
        <v>122</v>
      </c>
      <c r="C141" s="340">
        <v>3130803.2248994284</v>
      </c>
      <c r="D141" s="347">
        <v>2025</v>
      </c>
      <c r="E141" s="341" t="s">
        <v>370</v>
      </c>
      <c r="F141" s="341"/>
      <c r="G141" s="281"/>
    </row>
    <row r="142" spans="2:7">
      <c r="B142" s="347">
        <v>123</v>
      </c>
      <c r="C142" s="340">
        <v>-7007442.2366909012</v>
      </c>
      <c r="D142" s="347">
        <v>2025</v>
      </c>
      <c r="E142" s="341" t="s">
        <v>382</v>
      </c>
      <c r="F142" s="341"/>
      <c r="G142" s="281"/>
    </row>
  </sheetData>
  <mergeCells count="4">
    <mergeCell ref="B5:F5"/>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79D67-66AD-481F-AD57-EC32F22BD4B2}">
  <sheetPr>
    <tabColor rgb="FFCCCCFF"/>
  </sheetPr>
  <dimension ref="B1:M801"/>
  <sheetViews>
    <sheetView showGridLines="0" zoomScale="85" zoomScaleNormal="85" workbookViewId="0"/>
  </sheetViews>
  <sheetFormatPr defaultRowHeight="12.75"/>
  <cols>
    <col min="1" max="1" width="2.5703125" customWidth="1"/>
    <col min="2" max="2" width="8.5703125" bestFit="1" customWidth="1"/>
    <col min="3" max="3" width="59" customWidth="1"/>
    <col min="4" max="4" width="8.85546875" customWidth="1"/>
    <col min="5" max="5" width="15.28515625" customWidth="1"/>
    <col min="6" max="6" width="17.5703125" customWidth="1"/>
    <col min="7" max="7" width="7.28515625" bestFit="1" customWidth="1"/>
    <col min="8" max="8" width="72.28515625" bestFit="1" customWidth="1"/>
    <col min="9" max="9" width="9.28515625" bestFit="1" customWidth="1"/>
  </cols>
  <sheetData>
    <row r="1" spans="2:13" s="3" customFormat="1">
      <c r="C1" s="181"/>
    </row>
    <row r="2" spans="2:13" s="12" customFormat="1" ht="18">
      <c r="B2" s="12" t="s">
        <v>862</v>
      </c>
      <c r="C2" s="182"/>
    </row>
    <row r="3" spans="2:13" s="3" customFormat="1">
      <c r="C3" s="181"/>
    </row>
    <row r="4" spans="2:13" s="3" customFormat="1">
      <c r="B4" s="2" t="s">
        <v>202</v>
      </c>
      <c r="C4" s="181"/>
    </row>
    <row r="5" spans="2:13" s="3" customFormat="1">
      <c r="B5" s="3" t="s">
        <v>863</v>
      </c>
      <c r="C5" s="181"/>
    </row>
    <row r="6" spans="2:13" s="3" customFormat="1">
      <c r="C6" s="181"/>
    </row>
    <row r="7" spans="2:13" s="3" customFormat="1">
      <c r="B7" s="16" t="s">
        <v>839</v>
      </c>
      <c r="C7" s="181"/>
      <c r="D7" s="2"/>
    </row>
    <row r="8" spans="2:13" s="3" customFormat="1" ht="16.5" customHeight="1">
      <c r="B8" s="366" t="s">
        <v>864</v>
      </c>
      <c r="C8" s="366"/>
      <c r="D8" s="366"/>
      <c r="E8" s="366"/>
      <c r="F8" s="366"/>
      <c r="G8" s="366"/>
      <c r="H8" s="366"/>
      <c r="I8" s="366"/>
      <c r="J8" s="366"/>
      <c r="K8" s="366"/>
      <c r="L8" s="366"/>
      <c r="M8" s="366"/>
    </row>
    <row r="9" spans="2:13" s="3" customFormat="1">
      <c r="B9" s="4"/>
      <c r="C9" s="181"/>
    </row>
    <row r="10" spans="2:13" s="3" customFormat="1">
      <c r="B10" s="176" t="s">
        <v>841</v>
      </c>
      <c r="C10" s="181"/>
    </row>
    <row r="11" spans="2:13" s="3" customFormat="1">
      <c r="B11" s="368">
        <v>45050</v>
      </c>
      <c r="C11" s="368"/>
      <c r="D11" s="368"/>
      <c r="E11" s="119"/>
    </row>
    <row r="12" spans="2:13">
      <c r="C12" s="179"/>
    </row>
    <row r="13" spans="2:13">
      <c r="B13" s="176" t="s">
        <v>842</v>
      </c>
      <c r="C13" s="179"/>
      <c r="D13" s="3"/>
      <c r="E13" s="3"/>
    </row>
    <row r="14" spans="2:13">
      <c r="B14" s="359" t="s">
        <v>865</v>
      </c>
      <c r="C14" s="359"/>
      <c r="D14" s="359"/>
      <c r="E14" s="119"/>
    </row>
    <row r="15" spans="2:13">
      <c r="C15" s="179"/>
    </row>
    <row r="16" spans="2:13">
      <c r="B16" s="177" t="s">
        <v>844</v>
      </c>
      <c r="C16" s="179"/>
    </row>
    <row r="17" spans="2:9">
      <c r="B17" s="126">
        <f>SUBTOTAL(103,B20:B826)</f>
        <v>782</v>
      </c>
      <c r="C17" s="179"/>
    </row>
    <row r="18" spans="2:9" ht="14.25" customHeight="1">
      <c r="C18" s="179"/>
    </row>
    <row r="19" spans="2:9" s="8" customFormat="1">
      <c r="B19" s="8" t="s">
        <v>845</v>
      </c>
      <c r="C19" s="8" t="s">
        <v>302</v>
      </c>
      <c r="D19" s="8" t="s">
        <v>576</v>
      </c>
      <c r="E19" s="8" t="s">
        <v>866</v>
      </c>
      <c r="F19" s="8" t="s">
        <v>867</v>
      </c>
      <c r="G19" s="8" t="s">
        <v>168</v>
      </c>
      <c r="H19" s="8" t="s">
        <v>850</v>
      </c>
      <c r="I19" s="8" t="s">
        <v>860</v>
      </c>
    </row>
    <row r="20" spans="2:9">
      <c r="B20" s="324">
        <v>1</v>
      </c>
      <c r="C20" s="324" t="s">
        <v>305</v>
      </c>
      <c r="D20" s="324">
        <v>1955</v>
      </c>
      <c r="E20" s="325">
        <v>7756.11</v>
      </c>
      <c r="F20" s="324"/>
      <c r="G20" s="324">
        <v>2020</v>
      </c>
      <c r="H20" s="324" t="s">
        <v>852</v>
      </c>
      <c r="I20" s="324">
        <v>1</v>
      </c>
    </row>
    <row r="21" spans="2:9">
      <c r="B21" s="324">
        <v>2</v>
      </c>
      <c r="C21" s="324" t="s">
        <v>305</v>
      </c>
      <c r="D21" s="324">
        <v>1957</v>
      </c>
      <c r="E21" s="325">
        <v>1329.11</v>
      </c>
      <c r="F21" s="324"/>
      <c r="G21" s="324">
        <v>2020</v>
      </c>
      <c r="H21" s="324" t="s">
        <v>852</v>
      </c>
      <c r="I21" s="324">
        <v>1</v>
      </c>
    </row>
    <row r="22" spans="2:9">
      <c r="B22" s="324">
        <v>3</v>
      </c>
      <c r="C22" s="324" t="s">
        <v>305</v>
      </c>
      <c r="D22" s="324">
        <v>1958</v>
      </c>
      <c r="E22" s="325">
        <v>110951.25</v>
      </c>
      <c r="F22" s="324"/>
      <c r="G22" s="324">
        <v>2020</v>
      </c>
      <c r="H22" s="324" t="s">
        <v>852</v>
      </c>
      <c r="I22" s="324">
        <v>1</v>
      </c>
    </row>
    <row r="23" spans="2:9">
      <c r="B23" s="324">
        <v>4</v>
      </c>
      <c r="C23" s="324" t="s">
        <v>305</v>
      </c>
      <c r="D23" s="324">
        <v>1959</v>
      </c>
      <c r="E23" s="325">
        <v>1485.2</v>
      </c>
      <c r="F23" s="324"/>
      <c r="G23" s="324">
        <v>2020</v>
      </c>
      <c r="H23" s="324" t="s">
        <v>852</v>
      </c>
      <c r="I23" s="324">
        <v>1</v>
      </c>
    </row>
    <row r="24" spans="2:9">
      <c r="B24" s="324">
        <v>5</v>
      </c>
      <c r="C24" s="324" t="s">
        <v>305</v>
      </c>
      <c r="D24" s="324">
        <v>1960</v>
      </c>
      <c r="E24" s="325">
        <v>472102</v>
      </c>
      <c r="F24" s="324">
        <v>70000</v>
      </c>
      <c r="G24" s="324">
        <v>2020</v>
      </c>
      <c r="H24" s="324" t="s">
        <v>852</v>
      </c>
      <c r="I24" s="324">
        <v>1</v>
      </c>
    </row>
    <row r="25" spans="2:9">
      <c r="B25" s="324">
        <v>6</v>
      </c>
      <c r="C25" s="324" t="s">
        <v>305</v>
      </c>
      <c r="D25" s="324">
        <v>1963</v>
      </c>
      <c r="E25" s="325">
        <v>5199.87</v>
      </c>
      <c r="F25" s="324"/>
      <c r="G25" s="324">
        <v>2020</v>
      </c>
      <c r="H25" s="324" t="s">
        <v>852</v>
      </c>
      <c r="I25" s="324">
        <v>1</v>
      </c>
    </row>
    <row r="26" spans="2:9">
      <c r="B26" s="324">
        <v>7</v>
      </c>
      <c r="C26" s="324" t="s">
        <v>305</v>
      </c>
      <c r="D26" s="324">
        <v>1965</v>
      </c>
      <c r="E26" s="325">
        <v>323801.40000000002</v>
      </c>
      <c r="F26" s="324"/>
      <c r="G26" s="324">
        <v>2020</v>
      </c>
      <c r="H26" s="324" t="s">
        <v>852</v>
      </c>
      <c r="I26" s="324">
        <v>1</v>
      </c>
    </row>
    <row r="27" spans="2:9">
      <c r="B27" s="324">
        <v>8</v>
      </c>
      <c r="C27" s="324" t="s">
        <v>305</v>
      </c>
      <c r="D27" s="324">
        <v>1966</v>
      </c>
      <c r="E27" s="325">
        <v>436963.19</v>
      </c>
      <c r="F27" s="324"/>
      <c r="G27" s="324">
        <v>2020</v>
      </c>
      <c r="H27" s="324" t="s">
        <v>852</v>
      </c>
      <c r="I27" s="324">
        <v>1</v>
      </c>
    </row>
    <row r="28" spans="2:9">
      <c r="B28" s="324">
        <v>9</v>
      </c>
      <c r="C28" s="324" t="s">
        <v>305</v>
      </c>
      <c r="D28" s="324">
        <v>1967</v>
      </c>
      <c r="E28" s="325">
        <v>527887.29</v>
      </c>
      <c r="F28" s="324"/>
      <c r="G28" s="324">
        <v>2020</v>
      </c>
      <c r="H28" s="324" t="s">
        <v>852</v>
      </c>
      <c r="I28" s="324">
        <v>1</v>
      </c>
    </row>
    <row r="29" spans="2:9">
      <c r="B29" s="324">
        <v>10</v>
      </c>
      <c r="C29" s="324" t="s">
        <v>305</v>
      </c>
      <c r="D29" s="324">
        <v>1968</v>
      </c>
      <c r="E29" s="325">
        <v>243220.29</v>
      </c>
      <c r="F29" s="324"/>
      <c r="G29" s="324">
        <v>2020</v>
      </c>
      <c r="H29" s="324" t="s">
        <v>852</v>
      </c>
      <c r="I29" s="324">
        <v>1</v>
      </c>
    </row>
    <row r="30" spans="2:9">
      <c r="B30" s="324">
        <v>11</v>
      </c>
      <c r="C30" s="324" t="s">
        <v>305</v>
      </c>
      <c r="D30" s="324">
        <v>1969</v>
      </c>
      <c r="E30" s="325">
        <v>157118.15</v>
      </c>
      <c r="F30" s="324"/>
      <c r="G30" s="324">
        <v>2020</v>
      </c>
      <c r="H30" s="324" t="s">
        <v>852</v>
      </c>
      <c r="I30" s="324">
        <v>1</v>
      </c>
    </row>
    <row r="31" spans="2:9">
      <c r="B31" s="324">
        <v>12</v>
      </c>
      <c r="C31" s="324" t="s">
        <v>305</v>
      </c>
      <c r="D31" s="324">
        <v>1970</v>
      </c>
      <c r="E31" s="325">
        <v>186298.57</v>
      </c>
      <c r="F31" s="324"/>
      <c r="G31" s="324">
        <v>2020</v>
      </c>
      <c r="H31" s="324" t="s">
        <v>852</v>
      </c>
      <c r="I31" s="324">
        <v>1</v>
      </c>
    </row>
    <row r="32" spans="2:9">
      <c r="B32" s="324">
        <v>13</v>
      </c>
      <c r="C32" s="324" t="s">
        <v>305</v>
      </c>
      <c r="D32" s="324">
        <v>1971</v>
      </c>
      <c r="E32" s="325">
        <v>161892.66</v>
      </c>
      <c r="F32" s="324"/>
      <c r="G32" s="324">
        <v>2020</v>
      </c>
      <c r="H32" s="324" t="s">
        <v>852</v>
      </c>
      <c r="I32" s="324">
        <v>1</v>
      </c>
    </row>
    <row r="33" spans="2:9">
      <c r="B33" s="324">
        <v>14</v>
      </c>
      <c r="C33" s="324" t="s">
        <v>305</v>
      </c>
      <c r="D33" s="324">
        <v>1972</v>
      </c>
      <c r="E33" s="325">
        <v>414299.14</v>
      </c>
      <c r="F33" s="324"/>
      <c r="G33" s="324">
        <v>2020</v>
      </c>
      <c r="H33" s="324" t="s">
        <v>852</v>
      </c>
      <c r="I33" s="324">
        <v>1</v>
      </c>
    </row>
    <row r="34" spans="2:9">
      <c r="B34" s="324">
        <v>15</v>
      </c>
      <c r="C34" s="324" t="s">
        <v>305</v>
      </c>
      <c r="D34" s="324">
        <v>1973</v>
      </c>
      <c r="E34" s="325">
        <v>199407.52</v>
      </c>
      <c r="F34" s="324"/>
      <c r="G34" s="324">
        <v>2020</v>
      </c>
      <c r="H34" s="324" t="s">
        <v>852</v>
      </c>
      <c r="I34" s="324">
        <v>1</v>
      </c>
    </row>
    <row r="35" spans="2:9">
      <c r="B35" s="324">
        <v>16</v>
      </c>
      <c r="C35" s="324" t="s">
        <v>305</v>
      </c>
      <c r="D35" s="324">
        <v>1974</v>
      </c>
      <c r="E35" s="325">
        <v>45610.86</v>
      </c>
      <c r="F35" s="324"/>
      <c r="G35" s="324">
        <v>2020</v>
      </c>
      <c r="H35" s="324" t="s">
        <v>852</v>
      </c>
      <c r="I35" s="324">
        <v>1</v>
      </c>
    </row>
    <row r="36" spans="2:9">
      <c r="B36" s="324">
        <v>17</v>
      </c>
      <c r="C36" s="324" t="s">
        <v>305</v>
      </c>
      <c r="D36" s="324">
        <v>1975</v>
      </c>
      <c r="E36" s="325">
        <v>26637.1</v>
      </c>
      <c r="F36" s="324"/>
      <c r="G36" s="324">
        <v>2020</v>
      </c>
      <c r="H36" s="324" t="s">
        <v>852</v>
      </c>
      <c r="I36" s="324">
        <v>1</v>
      </c>
    </row>
    <row r="37" spans="2:9">
      <c r="B37" s="324">
        <v>18</v>
      </c>
      <c r="C37" s="324" t="s">
        <v>305</v>
      </c>
      <c r="D37" s="324">
        <v>1976</v>
      </c>
      <c r="E37" s="325">
        <v>110116.33</v>
      </c>
      <c r="F37" s="324"/>
      <c r="G37" s="324">
        <v>2020</v>
      </c>
      <c r="H37" s="324" t="s">
        <v>852</v>
      </c>
      <c r="I37" s="324">
        <v>1</v>
      </c>
    </row>
    <row r="38" spans="2:9">
      <c r="B38" s="324">
        <v>19</v>
      </c>
      <c r="C38" s="324" t="s">
        <v>305</v>
      </c>
      <c r="D38" s="324">
        <v>1977</v>
      </c>
      <c r="E38" s="325">
        <v>40000</v>
      </c>
      <c r="F38" s="324"/>
      <c r="G38" s="324">
        <v>2020</v>
      </c>
      <c r="H38" s="324" t="s">
        <v>852</v>
      </c>
      <c r="I38" s="324">
        <v>1</v>
      </c>
    </row>
    <row r="39" spans="2:9">
      <c r="B39" s="324">
        <v>20</v>
      </c>
      <c r="C39" s="324" t="s">
        <v>305</v>
      </c>
      <c r="D39" s="324">
        <v>1980</v>
      </c>
      <c r="E39" s="325">
        <v>104178.71</v>
      </c>
      <c r="F39" s="324"/>
      <c r="G39" s="324">
        <v>2020</v>
      </c>
      <c r="H39" s="324" t="s">
        <v>852</v>
      </c>
      <c r="I39" s="324">
        <v>1</v>
      </c>
    </row>
    <row r="40" spans="2:9">
      <c r="B40" s="324">
        <v>21</v>
      </c>
      <c r="C40" s="324" t="s">
        <v>305</v>
      </c>
      <c r="D40" s="324">
        <v>1986</v>
      </c>
      <c r="E40" s="325">
        <v>1666.04</v>
      </c>
      <c r="F40" s="324"/>
      <c r="G40" s="324">
        <v>2020</v>
      </c>
      <c r="H40" s="324" t="s">
        <v>852</v>
      </c>
      <c r="I40" s="324">
        <v>1</v>
      </c>
    </row>
    <row r="41" spans="2:9">
      <c r="B41" s="324">
        <v>22</v>
      </c>
      <c r="C41" s="324" t="s">
        <v>305</v>
      </c>
      <c r="D41" s="324">
        <v>1987</v>
      </c>
      <c r="E41" s="325">
        <v>35717.06</v>
      </c>
      <c r="F41" s="324"/>
      <c r="G41" s="324">
        <v>2020</v>
      </c>
      <c r="H41" s="324" t="s">
        <v>852</v>
      </c>
      <c r="I41" s="324">
        <v>1</v>
      </c>
    </row>
    <row r="42" spans="2:9">
      <c r="B42" s="324">
        <v>23</v>
      </c>
      <c r="C42" s="324" t="s">
        <v>305</v>
      </c>
      <c r="D42" s="324">
        <v>1988</v>
      </c>
      <c r="E42" s="325">
        <v>4808.08</v>
      </c>
      <c r="F42" s="324"/>
      <c r="G42" s="324">
        <v>2020</v>
      </c>
      <c r="H42" s="324" t="s">
        <v>852</v>
      </c>
      <c r="I42" s="324">
        <v>1</v>
      </c>
    </row>
    <row r="43" spans="2:9">
      <c r="B43" s="324">
        <v>24</v>
      </c>
      <c r="C43" s="324" t="s">
        <v>305</v>
      </c>
      <c r="D43" s="324">
        <v>1989</v>
      </c>
      <c r="E43" s="325">
        <v>24785.81</v>
      </c>
      <c r="F43" s="324"/>
      <c r="G43" s="324">
        <v>2020</v>
      </c>
      <c r="H43" s="324" t="s">
        <v>852</v>
      </c>
      <c r="I43" s="324">
        <v>1</v>
      </c>
    </row>
    <row r="44" spans="2:9">
      <c r="B44" s="324">
        <v>25</v>
      </c>
      <c r="C44" s="324" t="s">
        <v>305</v>
      </c>
      <c r="D44" s="324">
        <v>1992</v>
      </c>
      <c r="E44" s="325">
        <v>22986.32</v>
      </c>
      <c r="F44" s="324"/>
      <c r="G44" s="324">
        <v>2020</v>
      </c>
      <c r="H44" s="324" t="s">
        <v>852</v>
      </c>
      <c r="I44" s="324">
        <v>1</v>
      </c>
    </row>
    <row r="45" spans="2:9">
      <c r="B45" s="324">
        <v>26</v>
      </c>
      <c r="C45" s="324" t="s">
        <v>305</v>
      </c>
      <c r="D45" s="324">
        <v>1999</v>
      </c>
      <c r="E45" s="325">
        <v>62463.15</v>
      </c>
      <c r="F45" s="324"/>
      <c r="G45" s="324">
        <v>2020</v>
      </c>
      <c r="H45" s="324" t="s">
        <v>852</v>
      </c>
      <c r="I45" s="324">
        <v>1</v>
      </c>
    </row>
    <row r="46" spans="2:9">
      <c r="B46" s="324">
        <v>27</v>
      </c>
      <c r="C46" s="324" t="s">
        <v>305</v>
      </c>
      <c r="D46" s="324">
        <v>2000</v>
      </c>
      <c r="E46" s="325">
        <v>184556.79</v>
      </c>
      <c r="F46" s="324"/>
      <c r="G46" s="324">
        <v>2020</v>
      </c>
      <c r="H46" s="324" t="s">
        <v>852</v>
      </c>
      <c r="I46" s="324">
        <v>1</v>
      </c>
    </row>
    <row r="47" spans="2:9">
      <c r="B47" s="324">
        <v>28</v>
      </c>
      <c r="C47" s="324" t="s">
        <v>305</v>
      </c>
      <c r="D47" s="324">
        <v>2001</v>
      </c>
      <c r="E47" s="325">
        <v>74893.259999999995</v>
      </c>
      <c r="F47" s="324"/>
      <c r="G47" s="324">
        <v>2020</v>
      </c>
      <c r="H47" s="324" t="s">
        <v>852</v>
      </c>
      <c r="I47" s="324">
        <v>1</v>
      </c>
    </row>
    <row r="48" spans="2:9">
      <c r="B48" s="324">
        <v>29</v>
      </c>
      <c r="C48" s="324" t="s">
        <v>305</v>
      </c>
      <c r="D48" s="324">
        <v>2002</v>
      </c>
      <c r="E48" s="325">
        <v>98192.88</v>
      </c>
      <c r="F48" s="324"/>
      <c r="G48" s="324">
        <v>2020</v>
      </c>
      <c r="H48" s="324" t="s">
        <v>852</v>
      </c>
      <c r="I48" s="324">
        <v>1</v>
      </c>
    </row>
    <row r="49" spans="2:9">
      <c r="B49" s="324">
        <v>30</v>
      </c>
      <c r="C49" s="324" t="s">
        <v>305</v>
      </c>
      <c r="D49" s="324">
        <v>2003</v>
      </c>
      <c r="E49" s="325">
        <v>117678.13</v>
      </c>
      <c r="F49" s="324"/>
      <c r="G49" s="324">
        <v>2020</v>
      </c>
      <c r="H49" s="324" t="s">
        <v>852</v>
      </c>
      <c r="I49" s="324">
        <v>1</v>
      </c>
    </row>
    <row r="50" spans="2:9">
      <c r="B50" s="324">
        <v>31</v>
      </c>
      <c r="C50" s="324" t="s">
        <v>305</v>
      </c>
      <c r="D50" s="324">
        <v>2004</v>
      </c>
      <c r="E50" s="325">
        <v>26579.37</v>
      </c>
      <c r="F50" s="324"/>
      <c r="G50" s="324">
        <v>2020</v>
      </c>
      <c r="H50" s="324" t="s">
        <v>852</v>
      </c>
      <c r="I50" s="324">
        <v>1</v>
      </c>
    </row>
    <row r="51" spans="2:9">
      <c r="B51" s="324">
        <v>32</v>
      </c>
      <c r="C51" s="324" t="s">
        <v>305</v>
      </c>
      <c r="D51" s="324">
        <v>2005</v>
      </c>
      <c r="E51" s="325">
        <v>2763.58</v>
      </c>
      <c r="F51" s="324"/>
      <c r="G51" s="324">
        <v>2020</v>
      </c>
      <c r="H51" s="324" t="s">
        <v>852</v>
      </c>
      <c r="I51" s="324">
        <v>1</v>
      </c>
    </row>
    <row r="52" spans="2:9">
      <c r="B52" s="324">
        <v>33</v>
      </c>
      <c r="C52" s="324" t="s">
        <v>305</v>
      </c>
      <c r="D52" s="324">
        <v>2011</v>
      </c>
      <c r="E52" s="325">
        <v>6196.9935750000004</v>
      </c>
      <c r="F52" s="324"/>
      <c r="G52" s="324">
        <v>2020</v>
      </c>
      <c r="H52" s="324" t="s">
        <v>852</v>
      </c>
      <c r="I52" s="324">
        <v>1</v>
      </c>
    </row>
    <row r="53" spans="2:9">
      <c r="B53" s="324">
        <v>34</v>
      </c>
      <c r="C53" s="324" t="s">
        <v>305</v>
      </c>
      <c r="D53" s="324">
        <v>2013</v>
      </c>
      <c r="E53" s="325">
        <v>800675.63015999994</v>
      </c>
      <c r="F53" s="324"/>
      <c r="G53" s="324">
        <v>2020</v>
      </c>
      <c r="H53" s="324" t="s">
        <v>852</v>
      </c>
      <c r="I53" s="324">
        <v>1</v>
      </c>
    </row>
    <row r="54" spans="2:9">
      <c r="B54" s="324">
        <v>35</v>
      </c>
      <c r="C54" s="324" t="s">
        <v>307</v>
      </c>
      <c r="D54" s="324">
        <v>1966</v>
      </c>
      <c r="E54" s="325">
        <v>185.7</v>
      </c>
      <c r="F54" s="324"/>
      <c r="G54" s="324">
        <v>2020</v>
      </c>
      <c r="H54" s="324" t="s">
        <v>852</v>
      </c>
      <c r="I54" s="324">
        <v>1</v>
      </c>
    </row>
    <row r="55" spans="2:9">
      <c r="B55" s="324">
        <v>36</v>
      </c>
      <c r="C55" s="324" t="s">
        <v>307</v>
      </c>
      <c r="D55" s="324">
        <v>1969</v>
      </c>
      <c r="E55" s="325">
        <v>16723.95</v>
      </c>
      <c r="F55" s="324"/>
      <c r="G55" s="324">
        <v>2020</v>
      </c>
      <c r="H55" s="324" t="s">
        <v>852</v>
      </c>
      <c r="I55" s="324">
        <v>1</v>
      </c>
    </row>
    <row r="56" spans="2:9">
      <c r="B56" s="324">
        <v>37</v>
      </c>
      <c r="C56" s="324" t="s">
        <v>307</v>
      </c>
      <c r="D56" s="324">
        <v>1971</v>
      </c>
      <c r="E56" s="325">
        <v>20942.86</v>
      </c>
      <c r="F56" s="324"/>
      <c r="G56" s="324">
        <v>2020</v>
      </c>
      <c r="H56" s="324" t="s">
        <v>852</v>
      </c>
      <c r="I56" s="324">
        <v>1</v>
      </c>
    </row>
    <row r="57" spans="2:9">
      <c r="B57" s="324">
        <v>38</v>
      </c>
      <c r="C57" s="324" t="s">
        <v>307</v>
      </c>
      <c r="D57" s="324">
        <v>1972</v>
      </c>
      <c r="E57" s="325">
        <v>40987.47</v>
      </c>
      <c r="F57" s="324"/>
      <c r="G57" s="324">
        <v>2020</v>
      </c>
      <c r="H57" s="324" t="s">
        <v>852</v>
      </c>
      <c r="I57" s="324">
        <v>1</v>
      </c>
    </row>
    <row r="58" spans="2:9">
      <c r="B58" s="324">
        <v>39</v>
      </c>
      <c r="C58" s="324" t="s">
        <v>307</v>
      </c>
      <c r="D58" s="324">
        <v>1973</v>
      </c>
      <c r="E58" s="325">
        <v>12298.26</v>
      </c>
      <c r="F58" s="324"/>
      <c r="G58" s="324">
        <v>2020</v>
      </c>
      <c r="H58" s="324" t="s">
        <v>852</v>
      </c>
      <c r="I58" s="324">
        <v>1</v>
      </c>
    </row>
    <row r="59" spans="2:9">
      <c r="B59" s="324">
        <v>40</v>
      </c>
      <c r="C59" s="324" t="s">
        <v>307</v>
      </c>
      <c r="D59" s="324">
        <v>1975</v>
      </c>
      <c r="E59" s="325">
        <v>13362.9</v>
      </c>
      <c r="F59" s="324"/>
      <c r="G59" s="324">
        <v>2020</v>
      </c>
      <c r="H59" s="324" t="s">
        <v>852</v>
      </c>
      <c r="I59" s="324">
        <v>1</v>
      </c>
    </row>
    <row r="60" spans="2:9">
      <c r="B60" s="324">
        <v>41</v>
      </c>
      <c r="C60" s="324" t="s">
        <v>307</v>
      </c>
      <c r="D60" s="324">
        <v>1980</v>
      </c>
      <c r="E60" s="325">
        <v>47995.57</v>
      </c>
      <c r="F60" s="324"/>
      <c r="G60" s="324">
        <v>2020</v>
      </c>
      <c r="H60" s="324" t="s">
        <v>852</v>
      </c>
      <c r="I60" s="324">
        <v>1</v>
      </c>
    </row>
    <row r="61" spans="2:9">
      <c r="B61" s="324">
        <v>42</v>
      </c>
      <c r="C61" s="324" t="s">
        <v>309</v>
      </c>
      <c r="D61" s="324">
        <v>1965</v>
      </c>
      <c r="E61" s="325">
        <v>162736.70000000001</v>
      </c>
      <c r="F61" s="324"/>
      <c r="G61" s="324">
        <v>2020</v>
      </c>
      <c r="H61" s="324" t="s">
        <v>852</v>
      </c>
      <c r="I61" s="324">
        <v>1</v>
      </c>
    </row>
    <row r="62" spans="2:9">
      <c r="B62" s="324">
        <v>43</v>
      </c>
      <c r="C62" s="324" t="s">
        <v>309</v>
      </c>
      <c r="D62" s="324">
        <v>1966</v>
      </c>
      <c r="E62" s="325">
        <v>282042.34000000003</v>
      </c>
      <c r="F62" s="324"/>
      <c r="G62" s="324">
        <v>2020</v>
      </c>
      <c r="H62" s="324" t="s">
        <v>852</v>
      </c>
      <c r="I62" s="324">
        <v>1</v>
      </c>
    </row>
    <row r="63" spans="2:9">
      <c r="B63" s="324">
        <v>44</v>
      </c>
      <c r="C63" s="324" t="s">
        <v>309</v>
      </c>
      <c r="D63" s="324">
        <v>1967</v>
      </c>
      <c r="E63" s="325">
        <v>390313.68</v>
      </c>
      <c r="F63" s="324"/>
      <c r="G63" s="324">
        <v>2020</v>
      </c>
      <c r="H63" s="324" t="s">
        <v>852</v>
      </c>
      <c r="I63" s="324">
        <v>1</v>
      </c>
    </row>
    <row r="64" spans="2:9">
      <c r="B64" s="324">
        <v>45</v>
      </c>
      <c r="C64" s="324" t="s">
        <v>309</v>
      </c>
      <c r="D64" s="324">
        <v>1968</v>
      </c>
      <c r="E64" s="325">
        <v>337925.75</v>
      </c>
      <c r="F64" s="324"/>
      <c r="G64" s="324">
        <v>2020</v>
      </c>
      <c r="H64" s="324" t="s">
        <v>852</v>
      </c>
      <c r="I64" s="324">
        <v>1</v>
      </c>
    </row>
    <row r="65" spans="2:9">
      <c r="B65" s="324">
        <v>46</v>
      </c>
      <c r="C65" s="324" t="s">
        <v>309</v>
      </c>
      <c r="D65" s="324">
        <v>1969</v>
      </c>
      <c r="E65" s="325">
        <v>19730</v>
      </c>
      <c r="F65" s="324"/>
      <c r="G65" s="324">
        <v>2020</v>
      </c>
      <c r="H65" s="324" t="s">
        <v>852</v>
      </c>
      <c r="I65" s="324">
        <v>1</v>
      </c>
    </row>
    <row r="66" spans="2:9">
      <c r="B66" s="324">
        <v>47</v>
      </c>
      <c r="C66" s="324" t="s">
        <v>309</v>
      </c>
      <c r="D66" s="324">
        <v>1970</v>
      </c>
      <c r="E66" s="325">
        <v>169357.15</v>
      </c>
      <c r="F66" s="324"/>
      <c r="G66" s="324">
        <v>2020</v>
      </c>
      <c r="H66" s="324" t="s">
        <v>852</v>
      </c>
      <c r="I66" s="324">
        <v>1</v>
      </c>
    </row>
    <row r="67" spans="2:9">
      <c r="B67" s="324">
        <v>48</v>
      </c>
      <c r="C67" s="324" t="s">
        <v>309</v>
      </c>
      <c r="D67" s="324">
        <v>1971</v>
      </c>
      <c r="E67" s="325">
        <v>201451.64</v>
      </c>
      <c r="F67" s="324"/>
      <c r="G67" s="324">
        <v>2020</v>
      </c>
      <c r="H67" s="324" t="s">
        <v>852</v>
      </c>
      <c r="I67" s="324">
        <v>1</v>
      </c>
    </row>
    <row r="68" spans="2:9">
      <c r="B68" s="324">
        <v>49</v>
      </c>
      <c r="C68" s="324" t="s">
        <v>309</v>
      </c>
      <c r="D68" s="324">
        <v>1972</v>
      </c>
      <c r="E68" s="325">
        <v>147669.32</v>
      </c>
      <c r="F68" s="324"/>
      <c r="G68" s="324">
        <v>2020</v>
      </c>
      <c r="H68" s="324" t="s">
        <v>852</v>
      </c>
      <c r="I68" s="324">
        <v>1</v>
      </c>
    </row>
    <row r="69" spans="2:9">
      <c r="B69" s="324">
        <v>50</v>
      </c>
      <c r="C69" s="324" t="s">
        <v>309</v>
      </c>
      <c r="D69" s="324">
        <v>1974</v>
      </c>
      <c r="E69" s="325">
        <v>27434.639999999999</v>
      </c>
      <c r="F69" s="324"/>
      <c r="G69" s="324">
        <v>2020</v>
      </c>
      <c r="H69" s="324" t="s">
        <v>852</v>
      </c>
      <c r="I69" s="324">
        <v>1</v>
      </c>
    </row>
    <row r="70" spans="2:9">
      <c r="B70" s="324">
        <v>51</v>
      </c>
      <c r="C70" s="324" t="s">
        <v>309</v>
      </c>
      <c r="D70" s="324">
        <v>1975</v>
      </c>
      <c r="E70" s="325">
        <v>30000</v>
      </c>
      <c r="F70" s="324"/>
      <c r="G70" s="324">
        <v>2020</v>
      </c>
      <c r="H70" s="324" t="s">
        <v>852</v>
      </c>
      <c r="I70" s="324">
        <v>1</v>
      </c>
    </row>
    <row r="71" spans="2:9">
      <c r="B71" s="324">
        <v>52</v>
      </c>
      <c r="C71" s="324" t="s">
        <v>309</v>
      </c>
      <c r="D71" s="324">
        <v>1976</v>
      </c>
      <c r="E71" s="325">
        <v>72000</v>
      </c>
      <c r="F71" s="324"/>
      <c r="G71" s="324">
        <v>2020</v>
      </c>
      <c r="H71" s="324" t="s">
        <v>852</v>
      </c>
      <c r="I71" s="324">
        <v>1</v>
      </c>
    </row>
    <row r="72" spans="2:9">
      <c r="B72" s="324">
        <v>53</v>
      </c>
      <c r="C72" s="324" t="s">
        <v>309</v>
      </c>
      <c r="D72" s="324">
        <v>1977</v>
      </c>
      <c r="E72" s="325">
        <v>104527.46</v>
      </c>
      <c r="F72" s="324"/>
      <c r="G72" s="324">
        <v>2020</v>
      </c>
      <c r="H72" s="324" t="s">
        <v>852</v>
      </c>
      <c r="I72" s="324">
        <v>1</v>
      </c>
    </row>
    <row r="73" spans="2:9">
      <c r="B73" s="324">
        <v>54</v>
      </c>
      <c r="C73" s="324" t="s">
        <v>309</v>
      </c>
      <c r="D73" s="324">
        <v>1979</v>
      </c>
      <c r="E73" s="325">
        <v>102180.41</v>
      </c>
      <c r="F73" s="324"/>
      <c r="G73" s="324">
        <v>2020</v>
      </c>
      <c r="H73" s="324" t="s">
        <v>852</v>
      </c>
      <c r="I73" s="324">
        <v>1</v>
      </c>
    </row>
    <row r="74" spans="2:9">
      <c r="B74" s="324">
        <v>55</v>
      </c>
      <c r="C74" s="324" t="s">
        <v>309</v>
      </c>
      <c r="D74" s="324">
        <v>1982</v>
      </c>
      <c r="E74" s="325">
        <v>87225.38</v>
      </c>
      <c r="F74" s="324"/>
      <c r="G74" s="324">
        <v>2020</v>
      </c>
      <c r="H74" s="324" t="s">
        <v>852</v>
      </c>
      <c r="I74" s="324">
        <v>1</v>
      </c>
    </row>
    <row r="75" spans="2:9">
      <c r="B75" s="324">
        <v>56</v>
      </c>
      <c r="C75" s="324" t="s">
        <v>309</v>
      </c>
      <c r="D75" s="324">
        <v>1983</v>
      </c>
      <c r="E75" s="325">
        <v>30000</v>
      </c>
      <c r="F75" s="324"/>
      <c r="G75" s="324">
        <v>2020</v>
      </c>
      <c r="H75" s="324" t="s">
        <v>852</v>
      </c>
      <c r="I75" s="324">
        <v>1</v>
      </c>
    </row>
    <row r="76" spans="2:9">
      <c r="B76" s="324">
        <v>57</v>
      </c>
      <c r="C76" s="324" t="s">
        <v>309</v>
      </c>
      <c r="D76" s="324">
        <v>1985</v>
      </c>
      <c r="E76" s="325">
        <v>38613.07</v>
      </c>
      <c r="F76" s="324"/>
      <c r="G76" s="324">
        <v>2020</v>
      </c>
      <c r="H76" s="324" t="s">
        <v>852</v>
      </c>
      <c r="I76" s="324">
        <v>1</v>
      </c>
    </row>
    <row r="77" spans="2:9">
      <c r="B77" s="324">
        <v>58</v>
      </c>
      <c r="C77" s="324" t="s">
        <v>309</v>
      </c>
      <c r="D77" s="324">
        <v>1987</v>
      </c>
      <c r="E77" s="325">
        <v>8154.43</v>
      </c>
      <c r="F77" s="324"/>
      <c r="G77" s="324">
        <v>2020</v>
      </c>
      <c r="H77" s="324" t="s">
        <v>852</v>
      </c>
      <c r="I77" s="324">
        <v>1</v>
      </c>
    </row>
    <row r="78" spans="2:9">
      <c r="B78" s="324">
        <v>59</v>
      </c>
      <c r="C78" s="324" t="s">
        <v>309</v>
      </c>
      <c r="D78" s="324">
        <v>1992</v>
      </c>
      <c r="E78" s="325">
        <v>79800.429999999993</v>
      </c>
      <c r="F78" s="324"/>
      <c r="G78" s="324">
        <v>2020</v>
      </c>
      <c r="H78" s="324" t="s">
        <v>852</v>
      </c>
      <c r="I78" s="324">
        <v>1</v>
      </c>
    </row>
    <row r="79" spans="2:9">
      <c r="B79" s="324">
        <v>60</v>
      </c>
      <c r="C79" s="324" t="s">
        <v>309</v>
      </c>
      <c r="D79" s="324">
        <v>1995</v>
      </c>
      <c r="E79" s="325">
        <v>121494.29</v>
      </c>
      <c r="F79" s="324"/>
      <c r="G79" s="324">
        <v>2020</v>
      </c>
      <c r="H79" s="324" t="s">
        <v>852</v>
      </c>
      <c r="I79" s="324">
        <v>1</v>
      </c>
    </row>
    <row r="80" spans="2:9">
      <c r="B80" s="324">
        <v>61</v>
      </c>
      <c r="C80" s="324" t="s">
        <v>309</v>
      </c>
      <c r="D80" s="324">
        <v>1998</v>
      </c>
      <c r="E80" s="325">
        <v>45471.44</v>
      </c>
      <c r="F80" s="324"/>
      <c r="G80" s="324">
        <v>2020</v>
      </c>
      <c r="H80" s="324" t="s">
        <v>852</v>
      </c>
      <c r="I80" s="324">
        <v>1</v>
      </c>
    </row>
    <row r="81" spans="2:9">
      <c r="B81" s="324">
        <v>62</v>
      </c>
      <c r="C81" s="324" t="s">
        <v>309</v>
      </c>
      <c r="D81" s="324">
        <v>2002</v>
      </c>
      <c r="E81" s="325">
        <v>10346.200000000001</v>
      </c>
      <c r="F81" s="324"/>
      <c r="G81" s="324">
        <v>2020</v>
      </c>
      <c r="H81" s="324" t="s">
        <v>852</v>
      </c>
      <c r="I81" s="324">
        <v>1</v>
      </c>
    </row>
    <row r="82" spans="2:9">
      <c r="B82" s="324">
        <v>63</v>
      </c>
      <c r="C82" s="324" t="s">
        <v>309</v>
      </c>
      <c r="D82" s="324">
        <v>2003</v>
      </c>
      <c r="E82" s="325">
        <v>10560.43</v>
      </c>
      <c r="F82" s="324"/>
      <c r="G82" s="324">
        <v>2020</v>
      </c>
      <c r="H82" s="324" t="s">
        <v>852</v>
      </c>
      <c r="I82" s="324">
        <v>1</v>
      </c>
    </row>
    <row r="83" spans="2:9">
      <c r="B83" s="324">
        <v>64</v>
      </c>
      <c r="C83" s="324" t="s">
        <v>309</v>
      </c>
      <c r="D83" s="324">
        <v>2004</v>
      </c>
      <c r="E83" s="325">
        <v>65494.31</v>
      </c>
      <c r="F83" s="324"/>
      <c r="G83" s="324">
        <v>2020</v>
      </c>
      <c r="H83" s="324" t="s">
        <v>852</v>
      </c>
      <c r="I83" s="324">
        <v>1</v>
      </c>
    </row>
    <row r="84" spans="2:9">
      <c r="B84" s="324">
        <v>65</v>
      </c>
      <c r="C84" s="324" t="s">
        <v>309</v>
      </c>
      <c r="D84" s="324">
        <v>2006</v>
      </c>
      <c r="E84" s="325">
        <v>28786.400000000001</v>
      </c>
      <c r="F84" s="324"/>
      <c r="G84" s="324">
        <v>2020</v>
      </c>
      <c r="H84" s="324" t="s">
        <v>852</v>
      </c>
      <c r="I84" s="324">
        <v>1</v>
      </c>
    </row>
    <row r="85" spans="2:9">
      <c r="B85" s="324">
        <v>66</v>
      </c>
      <c r="C85" s="324" t="s">
        <v>309</v>
      </c>
      <c r="D85" s="324">
        <v>2008</v>
      </c>
      <c r="E85" s="325">
        <v>159796.69</v>
      </c>
      <c r="F85" s="324"/>
      <c r="G85" s="324">
        <v>2020</v>
      </c>
      <c r="H85" s="324" t="s">
        <v>852</v>
      </c>
      <c r="I85" s="324">
        <v>1</v>
      </c>
    </row>
    <row r="86" spans="2:9">
      <c r="B86" s="324">
        <v>67</v>
      </c>
      <c r="C86" s="324" t="s">
        <v>309</v>
      </c>
      <c r="D86" s="324">
        <v>2011</v>
      </c>
      <c r="E86" s="325">
        <v>54172.756048000003</v>
      </c>
      <c r="F86" s="324"/>
      <c r="G86" s="324">
        <v>2020</v>
      </c>
      <c r="H86" s="324" t="s">
        <v>852</v>
      </c>
      <c r="I86" s="324">
        <v>1</v>
      </c>
    </row>
    <row r="87" spans="2:9">
      <c r="B87" s="324">
        <v>68</v>
      </c>
      <c r="C87" s="324" t="s">
        <v>309</v>
      </c>
      <c r="D87" s="324">
        <v>2012</v>
      </c>
      <c r="E87" s="325">
        <v>16860.795606</v>
      </c>
      <c r="F87" s="324"/>
      <c r="G87" s="324">
        <v>2020</v>
      </c>
      <c r="H87" s="324" t="s">
        <v>852</v>
      </c>
      <c r="I87" s="324">
        <v>1</v>
      </c>
    </row>
    <row r="88" spans="2:9">
      <c r="B88" s="324">
        <v>69</v>
      </c>
      <c r="C88" s="324" t="s">
        <v>309</v>
      </c>
      <c r="D88" s="324">
        <v>2015</v>
      </c>
      <c r="E88" s="325">
        <v>15275.23848</v>
      </c>
      <c r="F88" s="324"/>
      <c r="G88" s="324">
        <v>2020</v>
      </c>
      <c r="H88" s="324" t="s">
        <v>852</v>
      </c>
      <c r="I88" s="324">
        <v>1</v>
      </c>
    </row>
    <row r="89" spans="2:9">
      <c r="B89" s="324">
        <v>70</v>
      </c>
      <c r="C89" s="324" t="s">
        <v>312</v>
      </c>
      <c r="D89" s="324">
        <v>1967</v>
      </c>
      <c r="E89" s="325">
        <v>74013.37</v>
      </c>
      <c r="F89" s="324">
        <v>439857.3081783966</v>
      </c>
      <c r="G89" s="324">
        <v>2020</v>
      </c>
      <c r="H89" s="324" t="s">
        <v>852</v>
      </c>
      <c r="I89" s="324">
        <v>1</v>
      </c>
    </row>
    <row r="90" spans="2:9">
      <c r="B90" s="324">
        <v>71</v>
      </c>
      <c r="C90" s="324" t="s">
        <v>321</v>
      </c>
      <c r="D90" s="324">
        <v>1961</v>
      </c>
      <c r="E90" s="325">
        <v>92634.240000000005</v>
      </c>
      <c r="F90" s="324"/>
      <c r="G90" s="324">
        <v>2020</v>
      </c>
      <c r="H90" s="324" t="s">
        <v>852</v>
      </c>
      <c r="I90" s="324">
        <v>1</v>
      </c>
    </row>
    <row r="91" spans="2:9">
      <c r="B91" s="324">
        <v>72</v>
      </c>
      <c r="C91" s="324" t="s">
        <v>321</v>
      </c>
      <c r="D91" s="324">
        <v>1968</v>
      </c>
      <c r="E91" s="325">
        <v>153440.79</v>
      </c>
      <c r="F91" s="324"/>
      <c r="G91" s="324">
        <v>2020</v>
      </c>
      <c r="H91" s="324" t="s">
        <v>852</v>
      </c>
      <c r="I91" s="324">
        <v>1</v>
      </c>
    </row>
    <row r="92" spans="2:9">
      <c r="B92" s="324">
        <v>73</v>
      </c>
      <c r="C92" s="324" t="s">
        <v>321</v>
      </c>
      <c r="D92" s="324">
        <v>1992</v>
      </c>
      <c r="E92" s="325">
        <v>267309.21999999997</v>
      </c>
      <c r="F92" s="324"/>
      <c r="G92" s="324">
        <v>2020</v>
      </c>
      <c r="H92" s="324" t="s">
        <v>852</v>
      </c>
      <c r="I92" s="324">
        <v>1</v>
      </c>
    </row>
    <row r="93" spans="2:9">
      <c r="B93" s="324">
        <v>74</v>
      </c>
      <c r="C93" s="324" t="s">
        <v>321</v>
      </c>
      <c r="D93" s="324">
        <v>2003</v>
      </c>
      <c r="E93" s="325">
        <v>40177</v>
      </c>
      <c r="F93" s="324">
        <v>238769.65838311971</v>
      </c>
      <c r="G93" s="324">
        <v>2020</v>
      </c>
      <c r="H93" s="324" t="s">
        <v>852</v>
      </c>
      <c r="I93" s="324">
        <v>1</v>
      </c>
    </row>
    <row r="94" spans="2:9">
      <c r="B94" s="324">
        <v>75</v>
      </c>
      <c r="C94" s="324" t="s">
        <v>321</v>
      </c>
      <c r="D94" s="324">
        <v>2005</v>
      </c>
      <c r="E94" s="325">
        <v>186030.7</v>
      </c>
      <c r="F94" s="324">
        <v>1105570.0198564508</v>
      </c>
      <c r="G94" s="324">
        <v>2020</v>
      </c>
      <c r="H94" s="324" t="s">
        <v>852</v>
      </c>
      <c r="I94" s="324">
        <v>1</v>
      </c>
    </row>
    <row r="95" spans="2:9">
      <c r="B95" s="324">
        <v>76</v>
      </c>
      <c r="C95" s="324" t="s">
        <v>321</v>
      </c>
      <c r="D95" s="324">
        <v>2010</v>
      </c>
      <c r="E95" s="325">
        <v>242998.14437600001</v>
      </c>
      <c r="F95" s="324"/>
      <c r="G95" s="324">
        <v>2020</v>
      </c>
      <c r="H95" s="324" t="s">
        <v>852</v>
      </c>
      <c r="I95" s="324">
        <v>1</v>
      </c>
    </row>
    <row r="96" spans="2:9">
      <c r="B96" s="324">
        <v>77</v>
      </c>
      <c r="C96" s="324" t="s">
        <v>321</v>
      </c>
      <c r="D96" s="324">
        <v>2012</v>
      </c>
      <c r="E96" s="325">
        <v>156496.05558799999</v>
      </c>
      <c r="F96" s="324"/>
      <c r="G96" s="324">
        <v>2020</v>
      </c>
      <c r="H96" s="324" t="s">
        <v>852</v>
      </c>
      <c r="I96" s="324">
        <v>1</v>
      </c>
    </row>
    <row r="97" spans="2:9">
      <c r="B97" s="324">
        <v>78</v>
      </c>
      <c r="C97" s="324" t="s">
        <v>327</v>
      </c>
      <c r="D97" s="324">
        <v>2017</v>
      </c>
      <c r="E97" s="325">
        <v>41550.210188999998</v>
      </c>
      <c r="F97" s="324">
        <v>240508.97978389595</v>
      </c>
      <c r="G97" s="324">
        <v>2020</v>
      </c>
      <c r="H97" s="324" t="s">
        <v>852</v>
      </c>
      <c r="I97" s="324">
        <v>1</v>
      </c>
    </row>
    <row r="98" spans="2:9">
      <c r="B98" s="324">
        <v>79</v>
      </c>
      <c r="C98" s="324" t="s">
        <v>330</v>
      </c>
      <c r="D98" s="324">
        <v>2003</v>
      </c>
      <c r="E98" s="325">
        <v>5549.99</v>
      </c>
      <c r="F98" s="324">
        <v>32983.279396911923</v>
      </c>
      <c r="G98" s="324">
        <v>2020</v>
      </c>
      <c r="H98" s="324" t="s">
        <v>852</v>
      </c>
      <c r="I98" s="324">
        <v>1</v>
      </c>
    </row>
    <row r="99" spans="2:9">
      <c r="B99" s="324">
        <v>80</v>
      </c>
      <c r="C99" s="324" t="s">
        <v>331</v>
      </c>
      <c r="D99" s="324">
        <v>1998</v>
      </c>
      <c r="E99" s="325">
        <v>366600.87</v>
      </c>
      <c r="F99" s="324"/>
      <c r="G99" s="324">
        <v>2020</v>
      </c>
      <c r="H99" s="324" t="s">
        <v>852</v>
      </c>
      <c r="I99" s="324">
        <v>1</v>
      </c>
    </row>
    <row r="100" spans="2:9">
      <c r="B100" s="324">
        <v>81</v>
      </c>
      <c r="C100" s="324" t="s">
        <v>331</v>
      </c>
      <c r="D100" s="324">
        <v>1999</v>
      </c>
      <c r="E100" s="325">
        <v>268665.56</v>
      </c>
      <c r="F100" s="324"/>
      <c r="G100" s="324">
        <v>2020</v>
      </c>
      <c r="H100" s="324" t="s">
        <v>852</v>
      </c>
      <c r="I100" s="324">
        <v>1</v>
      </c>
    </row>
    <row r="101" spans="2:9">
      <c r="B101" s="324">
        <v>82</v>
      </c>
      <c r="C101" s="324" t="s">
        <v>331</v>
      </c>
      <c r="D101" s="324">
        <v>2000</v>
      </c>
      <c r="E101" s="325">
        <v>92489.12</v>
      </c>
      <c r="F101" s="324"/>
      <c r="G101" s="324">
        <v>2020</v>
      </c>
      <c r="H101" s="324" t="s">
        <v>852</v>
      </c>
      <c r="I101" s="324">
        <v>1</v>
      </c>
    </row>
    <row r="102" spans="2:9">
      <c r="B102" s="324">
        <v>83</v>
      </c>
      <c r="C102" s="324" t="s">
        <v>345</v>
      </c>
      <c r="D102" s="324">
        <v>1971</v>
      </c>
      <c r="E102" s="325">
        <v>739448.2</v>
      </c>
      <c r="F102" s="324"/>
      <c r="G102" s="324">
        <v>2020</v>
      </c>
      <c r="H102" s="324" t="s">
        <v>852</v>
      </c>
      <c r="I102" s="324">
        <v>1</v>
      </c>
    </row>
    <row r="103" spans="2:9">
      <c r="B103" s="324">
        <v>84</v>
      </c>
      <c r="C103" s="324" t="s">
        <v>345</v>
      </c>
      <c r="D103" s="324">
        <v>1977</v>
      </c>
      <c r="E103" s="325">
        <v>68166.3</v>
      </c>
      <c r="F103" s="324"/>
      <c r="G103" s="324">
        <v>2020</v>
      </c>
      <c r="H103" s="324" t="s">
        <v>852</v>
      </c>
      <c r="I103" s="324">
        <v>1</v>
      </c>
    </row>
    <row r="104" spans="2:9">
      <c r="B104" s="324">
        <v>85</v>
      </c>
      <c r="C104" s="324" t="s">
        <v>345</v>
      </c>
      <c r="D104" s="324">
        <v>1994</v>
      </c>
      <c r="E104" s="325">
        <v>376175.8</v>
      </c>
      <c r="F104" s="324"/>
      <c r="G104" s="324">
        <v>2020</v>
      </c>
      <c r="H104" s="324" t="s">
        <v>852</v>
      </c>
      <c r="I104" s="324">
        <v>1</v>
      </c>
    </row>
    <row r="105" spans="2:9">
      <c r="B105" s="324">
        <v>86</v>
      </c>
      <c r="C105" s="324" t="s">
        <v>345</v>
      </c>
      <c r="D105" s="324">
        <v>1995</v>
      </c>
      <c r="E105" s="325">
        <v>1191241.1299999999</v>
      </c>
      <c r="F105" s="324"/>
      <c r="G105" s="324">
        <v>2020</v>
      </c>
      <c r="H105" s="324" t="s">
        <v>852</v>
      </c>
      <c r="I105" s="324">
        <v>1</v>
      </c>
    </row>
    <row r="106" spans="2:9">
      <c r="B106" s="324">
        <v>87</v>
      </c>
      <c r="C106" s="324" t="s">
        <v>345</v>
      </c>
      <c r="D106" s="324">
        <v>1996</v>
      </c>
      <c r="E106" s="325">
        <v>60266.55</v>
      </c>
      <c r="F106" s="324"/>
      <c r="G106" s="324">
        <v>2020</v>
      </c>
      <c r="H106" s="324" t="s">
        <v>852</v>
      </c>
      <c r="I106" s="324">
        <v>1</v>
      </c>
    </row>
    <row r="107" spans="2:9">
      <c r="B107" s="324">
        <v>88</v>
      </c>
      <c r="C107" s="324" t="s">
        <v>345</v>
      </c>
      <c r="D107" s="324">
        <v>1998</v>
      </c>
      <c r="E107" s="325">
        <v>117092.84999999999</v>
      </c>
      <c r="F107" s="324"/>
      <c r="G107" s="324">
        <v>2020</v>
      </c>
      <c r="H107" s="324" t="s">
        <v>852</v>
      </c>
      <c r="I107" s="324">
        <v>1</v>
      </c>
    </row>
    <row r="108" spans="2:9">
      <c r="B108" s="324">
        <v>89</v>
      </c>
      <c r="C108" s="324" t="s">
        <v>345</v>
      </c>
      <c r="D108" s="324">
        <v>2008</v>
      </c>
      <c r="E108" s="325">
        <v>526456.12101200002</v>
      </c>
      <c r="F108" s="324"/>
      <c r="G108" s="324">
        <v>2020</v>
      </c>
      <c r="H108" s="324" t="s">
        <v>852</v>
      </c>
      <c r="I108" s="324">
        <v>1</v>
      </c>
    </row>
    <row r="109" spans="2:9">
      <c r="B109" s="324">
        <v>90</v>
      </c>
      <c r="C109" s="324" t="s">
        <v>345</v>
      </c>
      <c r="D109" s="324">
        <v>2010</v>
      </c>
      <c r="E109" s="325">
        <v>488182.154064</v>
      </c>
      <c r="F109" s="324"/>
      <c r="G109" s="324">
        <v>2020</v>
      </c>
      <c r="H109" s="324" t="s">
        <v>852</v>
      </c>
      <c r="I109" s="324">
        <v>1</v>
      </c>
    </row>
    <row r="110" spans="2:9">
      <c r="B110" s="324">
        <v>91</v>
      </c>
      <c r="C110" s="324" t="s">
        <v>345</v>
      </c>
      <c r="D110" s="324">
        <v>2015</v>
      </c>
      <c r="E110" s="325">
        <v>95260.246860999992</v>
      </c>
      <c r="F110" s="324"/>
      <c r="G110" s="324">
        <v>2020</v>
      </c>
      <c r="H110" s="324" t="s">
        <v>852</v>
      </c>
      <c r="I110" s="324">
        <v>1</v>
      </c>
    </row>
    <row r="111" spans="2:9">
      <c r="B111" s="324">
        <v>92</v>
      </c>
      <c r="C111" s="324" t="s">
        <v>346</v>
      </c>
      <c r="D111" s="324">
        <v>1998</v>
      </c>
      <c r="E111" s="325">
        <v>127735.64</v>
      </c>
      <c r="F111" s="324"/>
      <c r="G111" s="324">
        <v>2020</v>
      </c>
      <c r="H111" s="324" t="s">
        <v>852</v>
      </c>
      <c r="I111" s="324">
        <v>1</v>
      </c>
    </row>
    <row r="112" spans="2:9">
      <c r="B112" s="324">
        <v>93</v>
      </c>
      <c r="C112" s="324" t="s">
        <v>348</v>
      </c>
      <c r="D112" s="324">
        <v>1977</v>
      </c>
      <c r="E112" s="325">
        <v>146130.37</v>
      </c>
      <c r="F112" s="324"/>
      <c r="G112" s="324">
        <v>2020</v>
      </c>
      <c r="H112" s="324" t="s">
        <v>852</v>
      </c>
      <c r="I112" s="324">
        <v>1</v>
      </c>
    </row>
    <row r="113" spans="2:9">
      <c r="B113" s="324">
        <v>94</v>
      </c>
      <c r="C113" s="324" t="s">
        <v>349</v>
      </c>
      <c r="D113" s="324">
        <v>1993</v>
      </c>
      <c r="E113" s="325">
        <v>2269257</v>
      </c>
      <c r="F113" s="324"/>
      <c r="G113" s="324">
        <v>2020</v>
      </c>
      <c r="H113" s="324" t="s">
        <v>852</v>
      </c>
      <c r="I113" s="324">
        <v>1</v>
      </c>
    </row>
    <row r="114" spans="2:9">
      <c r="B114" s="324">
        <v>95</v>
      </c>
      <c r="C114" s="324" t="s">
        <v>352</v>
      </c>
      <c r="D114" s="324">
        <v>1997</v>
      </c>
      <c r="E114" s="325">
        <v>4810.9799999999996</v>
      </c>
      <c r="F114" s="324">
        <v>28591.384401225107</v>
      </c>
      <c r="G114" s="324">
        <v>2020</v>
      </c>
      <c r="H114" s="324" t="s">
        <v>852</v>
      </c>
      <c r="I114" s="324">
        <v>1</v>
      </c>
    </row>
    <row r="115" spans="2:9">
      <c r="B115" s="324">
        <v>96</v>
      </c>
      <c r="C115" s="324" t="s">
        <v>353</v>
      </c>
      <c r="D115" s="324">
        <v>1964</v>
      </c>
      <c r="E115" s="325">
        <v>109225.21</v>
      </c>
      <c r="F115" s="324"/>
      <c r="G115" s="324">
        <v>2020</v>
      </c>
      <c r="H115" s="324" t="s">
        <v>852</v>
      </c>
      <c r="I115" s="324">
        <v>1</v>
      </c>
    </row>
    <row r="116" spans="2:9">
      <c r="B116" s="324">
        <v>97</v>
      </c>
      <c r="C116" s="324" t="s">
        <v>353</v>
      </c>
      <c r="D116" s="324">
        <v>1965</v>
      </c>
      <c r="E116" s="325">
        <v>79354.039999999994</v>
      </c>
      <c r="F116" s="324"/>
      <c r="G116" s="324">
        <v>2020</v>
      </c>
      <c r="H116" s="324" t="s">
        <v>852</v>
      </c>
      <c r="I116" s="324">
        <v>1</v>
      </c>
    </row>
    <row r="117" spans="2:9">
      <c r="B117" s="324">
        <v>98</v>
      </c>
      <c r="C117" s="324" t="s">
        <v>353</v>
      </c>
      <c r="D117" s="324">
        <v>1969</v>
      </c>
      <c r="E117" s="325">
        <v>160000</v>
      </c>
      <c r="F117" s="324"/>
      <c r="G117" s="324">
        <v>2020</v>
      </c>
      <c r="H117" s="324" t="s">
        <v>852</v>
      </c>
      <c r="I117" s="324">
        <v>1</v>
      </c>
    </row>
    <row r="118" spans="2:9">
      <c r="B118" s="324">
        <v>99</v>
      </c>
      <c r="C118" s="324" t="s">
        <v>353</v>
      </c>
      <c r="D118" s="324">
        <v>1970</v>
      </c>
      <c r="E118" s="325">
        <v>1644.48</v>
      </c>
      <c r="F118" s="324"/>
      <c r="G118" s="324">
        <v>2020</v>
      </c>
      <c r="H118" s="324" t="s">
        <v>852</v>
      </c>
      <c r="I118" s="324">
        <v>1</v>
      </c>
    </row>
    <row r="119" spans="2:9">
      <c r="B119" s="324">
        <v>100</v>
      </c>
      <c r="C119" s="324" t="s">
        <v>353</v>
      </c>
      <c r="D119" s="324">
        <v>1971</v>
      </c>
      <c r="E119" s="325">
        <v>104672.38</v>
      </c>
      <c r="F119" s="324"/>
      <c r="G119" s="324">
        <v>2020</v>
      </c>
      <c r="H119" s="324" t="s">
        <v>852</v>
      </c>
      <c r="I119" s="324">
        <v>1</v>
      </c>
    </row>
    <row r="120" spans="2:9">
      <c r="B120" s="324">
        <v>101</v>
      </c>
      <c r="C120" s="324" t="s">
        <v>353</v>
      </c>
      <c r="D120" s="324">
        <v>1972</v>
      </c>
      <c r="E120" s="325">
        <v>6833.93</v>
      </c>
      <c r="F120" s="324"/>
      <c r="G120" s="324">
        <v>2020</v>
      </c>
      <c r="H120" s="324" t="s">
        <v>852</v>
      </c>
      <c r="I120" s="324">
        <v>1</v>
      </c>
    </row>
    <row r="121" spans="2:9">
      <c r="B121" s="324">
        <v>102</v>
      </c>
      <c r="C121" s="324" t="s">
        <v>353</v>
      </c>
      <c r="D121" s="324">
        <v>1974</v>
      </c>
      <c r="E121" s="325">
        <v>78733.03</v>
      </c>
      <c r="F121" s="324"/>
      <c r="G121" s="324">
        <v>2020</v>
      </c>
      <c r="H121" s="324" t="s">
        <v>852</v>
      </c>
      <c r="I121" s="324">
        <v>1</v>
      </c>
    </row>
    <row r="122" spans="2:9">
      <c r="B122" s="324">
        <v>103</v>
      </c>
      <c r="C122" s="324" t="s">
        <v>353</v>
      </c>
      <c r="D122" s="324">
        <v>1975</v>
      </c>
      <c r="E122" s="325">
        <v>8893.32</v>
      </c>
      <c r="F122" s="324"/>
      <c r="G122" s="324">
        <v>2020</v>
      </c>
      <c r="H122" s="324" t="s">
        <v>852</v>
      </c>
      <c r="I122" s="324">
        <v>1</v>
      </c>
    </row>
    <row r="123" spans="2:9">
      <c r="B123" s="324">
        <v>104</v>
      </c>
      <c r="C123" s="324" t="s">
        <v>353</v>
      </c>
      <c r="D123" s="324">
        <v>1978</v>
      </c>
      <c r="E123" s="325">
        <v>174538.66</v>
      </c>
      <c r="F123" s="324"/>
      <c r="G123" s="324">
        <v>2020</v>
      </c>
      <c r="H123" s="324" t="s">
        <v>852</v>
      </c>
      <c r="I123" s="324">
        <v>1</v>
      </c>
    </row>
    <row r="124" spans="2:9">
      <c r="B124" s="324">
        <v>105</v>
      </c>
      <c r="C124" s="324" t="s">
        <v>353</v>
      </c>
      <c r="D124" s="324">
        <v>1983</v>
      </c>
      <c r="E124" s="325">
        <v>14249.66</v>
      </c>
      <c r="F124" s="324"/>
      <c r="G124" s="324">
        <v>2020</v>
      </c>
      <c r="H124" s="324" t="s">
        <v>852</v>
      </c>
      <c r="I124" s="324">
        <v>1</v>
      </c>
    </row>
    <row r="125" spans="2:9">
      <c r="B125" s="324">
        <v>106</v>
      </c>
      <c r="C125" s="324" t="s">
        <v>353</v>
      </c>
      <c r="D125" s="324">
        <v>1988</v>
      </c>
      <c r="E125" s="325">
        <v>44968.09</v>
      </c>
      <c r="F125" s="324"/>
      <c r="G125" s="324">
        <v>2020</v>
      </c>
      <c r="H125" s="324" t="s">
        <v>852</v>
      </c>
      <c r="I125" s="324">
        <v>1</v>
      </c>
    </row>
    <row r="126" spans="2:9">
      <c r="B126" s="324">
        <v>107</v>
      </c>
      <c r="C126" s="324" t="s">
        <v>353</v>
      </c>
      <c r="D126" s="324">
        <v>1995</v>
      </c>
      <c r="E126" s="325">
        <v>7512.54</v>
      </c>
      <c r="F126" s="324"/>
      <c r="G126" s="324">
        <v>2020</v>
      </c>
      <c r="H126" s="324" t="s">
        <v>852</v>
      </c>
      <c r="I126" s="324">
        <v>1</v>
      </c>
    </row>
    <row r="127" spans="2:9">
      <c r="B127" s="324">
        <v>108</v>
      </c>
      <c r="C127" s="324" t="s">
        <v>353</v>
      </c>
      <c r="D127" s="324">
        <v>2004</v>
      </c>
      <c r="E127" s="325">
        <v>187756.39</v>
      </c>
      <c r="F127" s="324"/>
      <c r="G127" s="324">
        <v>2020</v>
      </c>
      <c r="H127" s="324" t="s">
        <v>852</v>
      </c>
      <c r="I127" s="324">
        <v>1</v>
      </c>
    </row>
    <row r="128" spans="2:9">
      <c r="B128" s="324">
        <v>109</v>
      </c>
      <c r="C128" s="324" t="s">
        <v>354</v>
      </c>
      <c r="D128" s="324">
        <v>1971</v>
      </c>
      <c r="E128" s="325">
        <v>21999.06</v>
      </c>
      <c r="F128" s="324"/>
      <c r="G128" s="324">
        <v>2020</v>
      </c>
      <c r="H128" s="324" t="s">
        <v>852</v>
      </c>
      <c r="I128" s="324">
        <v>1</v>
      </c>
    </row>
    <row r="129" spans="2:9">
      <c r="B129" s="324">
        <v>110</v>
      </c>
      <c r="C129" s="324" t="s">
        <v>364</v>
      </c>
      <c r="D129" s="324">
        <v>2004</v>
      </c>
      <c r="E129" s="325">
        <v>2028.6</v>
      </c>
      <c r="F129" s="324"/>
      <c r="G129" s="324">
        <v>2020</v>
      </c>
      <c r="H129" s="324" t="s">
        <v>852</v>
      </c>
      <c r="I129" s="324">
        <v>1</v>
      </c>
    </row>
    <row r="130" spans="2:9">
      <c r="B130" s="324">
        <v>111</v>
      </c>
      <c r="C130" s="324" t="s">
        <v>364</v>
      </c>
      <c r="D130" s="324">
        <v>2011</v>
      </c>
      <c r="E130" s="325">
        <v>603616.46129999997</v>
      </c>
      <c r="F130" s="324"/>
      <c r="G130" s="324">
        <v>2020</v>
      </c>
      <c r="H130" s="324" t="s">
        <v>852</v>
      </c>
      <c r="I130" s="324">
        <v>1</v>
      </c>
    </row>
    <row r="131" spans="2:9">
      <c r="B131" s="324">
        <v>112</v>
      </c>
      <c r="C131" s="324" t="s">
        <v>366</v>
      </c>
      <c r="D131" s="324">
        <v>1998</v>
      </c>
      <c r="E131" s="325">
        <v>500000</v>
      </c>
      <c r="F131" s="324"/>
      <c r="G131" s="324">
        <v>2020</v>
      </c>
      <c r="H131" s="324" t="s">
        <v>852</v>
      </c>
      <c r="I131" s="324">
        <v>1</v>
      </c>
    </row>
    <row r="132" spans="2:9">
      <c r="B132" s="324">
        <v>113</v>
      </c>
      <c r="C132" s="324" t="s">
        <v>366</v>
      </c>
      <c r="D132" s="324">
        <v>2004</v>
      </c>
      <c r="E132" s="325">
        <v>45527.519999999997</v>
      </c>
      <c r="F132" s="324"/>
      <c r="G132" s="324">
        <v>2020</v>
      </c>
      <c r="H132" s="324" t="s">
        <v>852</v>
      </c>
      <c r="I132" s="324">
        <v>1</v>
      </c>
    </row>
    <row r="133" spans="2:9">
      <c r="B133" s="324">
        <v>114</v>
      </c>
      <c r="C133" s="324" t="s">
        <v>366</v>
      </c>
      <c r="D133" s="324">
        <v>2005</v>
      </c>
      <c r="E133" s="325">
        <v>9959.0400000000009</v>
      </c>
      <c r="F133" s="324"/>
      <c r="G133" s="324">
        <v>2020</v>
      </c>
      <c r="H133" s="324" t="s">
        <v>852</v>
      </c>
      <c r="I133" s="324">
        <v>1</v>
      </c>
    </row>
    <row r="134" spans="2:9">
      <c r="B134" s="324">
        <v>115</v>
      </c>
      <c r="C134" s="324" t="s">
        <v>366</v>
      </c>
      <c r="D134" s="324">
        <v>2016</v>
      </c>
      <c r="E134" s="325">
        <v>855977.36259199993</v>
      </c>
      <c r="F134" s="324"/>
      <c r="G134" s="324">
        <v>2020</v>
      </c>
      <c r="H134" s="324" t="s">
        <v>852</v>
      </c>
      <c r="I134" s="324">
        <v>1</v>
      </c>
    </row>
    <row r="135" spans="2:9">
      <c r="B135" s="324">
        <v>116</v>
      </c>
      <c r="C135" s="324" t="s">
        <v>369</v>
      </c>
      <c r="D135" s="324">
        <v>2016</v>
      </c>
      <c r="E135" s="325">
        <v>778785.35750399996</v>
      </c>
      <c r="F135" s="324"/>
      <c r="G135" s="324">
        <v>2020</v>
      </c>
      <c r="H135" s="324" t="s">
        <v>852</v>
      </c>
      <c r="I135" s="324">
        <v>1</v>
      </c>
    </row>
    <row r="136" spans="2:9">
      <c r="B136" s="324">
        <v>117</v>
      </c>
      <c r="C136" s="324" t="s">
        <v>370</v>
      </c>
      <c r="D136" s="324">
        <v>1988</v>
      </c>
      <c r="E136" s="325">
        <v>2894954.5</v>
      </c>
      <c r="F136" s="324"/>
      <c r="G136" s="324">
        <v>2020</v>
      </c>
      <c r="H136" s="324" t="s">
        <v>852</v>
      </c>
      <c r="I136" s="324">
        <v>1</v>
      </c>
    </row>
    <row r="137" spans="2:9">
      <c r="B137" s="324">
        <v>118</v>
      </c>
      <c r="C137" s="324" t="s">
        <v>371</v>
      </c>
      <c r="D137" s="324">
        <v>2016</v>
      </c>
      <c r="E137" s="325">
        <v>362355.80583999999</v>
      </c>
      <c r="F137" s="324"/>
      <c r="G137" s="324">
        <v>2020</v>
      </c>
      <c r="H137" s="324" t="s">
        <v>852</v>
      </c>
      <c r="I137" s="324">
        <v>1</v>
      </c>
    </row>
    <row r="138" spans="2:9">
      <c r="B138" s="324">
        <v>119</v>
      </c>
      <c r="C138" s="324" t="s">
        <v>381</v>
      </c>
      <c r="D138" s="324">
        <v>2012</v>
      </c>
      <c r="E138" s="325">
        <v>2282230.9217790002</v>
      </c>
      <c r="F138" s="324"/>
      <c r="G138" s="324">
        <v>2020</v>
      </c>
      <c r="H138" s="324" t="s">
        <v>852</v>
      </c>
      <c r="I138" s="324">
        <v>1</v>
      </c>
    </row>
    <row r="139" spans="2:9">
      <c r="B139" s="324">
        <v>120</v>
      </c>
      <c r="C139" s="324" t="s">
        <v>305</v>
      </c>
      <c r="D139" s="324">
        <v>1950</v>
      </c>
      <c r="E139" s="325">
        <v>107805.84</v>
      </c>
      <c r="F139" s="324"/>
      <c r="G139" s="324">
        <v>2021</v>
      </c>
      <c r="H139" s="324" t="s">
        <v>861</v>
      </c>
      <c r="I139" s="324">
        <v>1</v>
      </c>
    </row>
    <row r="140" spans="2:9">
      <c r="B140" s="324">
        <v>121</v>
      </c>
      <c r="C140" s="324" t="s">
        <v>305</v>
      </c>
      <c r="D140" s="324">
        <v>1953</v>
      </c>
      <c r="E140" s="325">
        <v>55835.41</v>
      </c>
      <c r="F140" s="324"/>
      <c r="G140" s="324">
        <v>2021</v>
      </c>
      <c r="H140" s="324" t="s">
        <v>861</v>
      </c>
      <c r="I140" s="324">
        <v>1</v>
      </c>
    </row>
    <row r="141" spans="2:9">
      <c r="B141" s="324">
        <v>122</v>
      </c>
      <c r="C141" s="324" t="s">
        <v>305</v>
      </c>
      <c r="D141" s="324">
        <v>1962</v>
      </c>
      <c r="E141" s="325">
        <v>40000</v>
      </c>
      <c r="F141" s="324"/>
      <c r="G141" s="324">
        <v>2021</v>
      </c>
      <c r="H141" s="324" t="s">
        <v>861</v>
      </c>
      <c r="I141" s="324">
        <v>1</v>
      </c>
    </row>
    <row r="142" spans="2:9">
      <c r="B142" s="324">
        <v>123</v>
      </c>
      <c r="C142" s="324" t="s">
        <v>305</v>
      </c>
      <c r="D142" s="324">
        <v>1965</v>
      </c>
      <c r="E142" s="325">
        <v>25702.75</v>
      </c>
      <c r="F142" s="324"/>
      <c r="G142" s="324">
        <v>2021</v>
      </c>
      <c r="H142" s="324" t="s">
        <v>861</v>
      </c>
      <c r="I142" s="324">
        <v>1</v>
      </c>
    </row>
    <row r="143" spans="2:9">
      <c r="B143" s="324">
        <v>124</v>
      </c>
      <c r="C143" s="324" t="s">
        <v>305</v>
      </c>
      <c r="D143" s="324">
        <v>1966</v>
      </c>
      <c r="E143" s="325">
        <v>109434.39</v>
      </c>
      <c r="F143" s="324"/>
      <c r="G143" s="324">
        <v>2021</v>
      </c>
      <c r="H143" s="324" t="s">
        <v>861</v>
      </c>
      <c r="I143" s="324">
        <v>1</v>
      </c>
    </row>
    <row r="144" spans="2:9">
      <c r="B144" s="324">
        <v>125</v>
      </c>
      <c r="C144" s="324" t="s">
        <v>305</v>
      </c>
      <c r="D144" s="324">
        <v>1967</v>
      </c>
      <c r="E144" s="325">
        <v>190675.34999999998</v>
      </c>
      <c r="F144" s="324"/>
      <c r="G144" s="324">
        <v>2021</v>
      </c>
      <c r="H144" s="324" t="s">
        <v>861</v>
      </c>
      <c r="I144" s="324">
        <v>1</v>
      </c>
    </row>
    <row r="145" spans="2:9">
      <c r="B145" s="324">
        <v>126</v>
      </c>
      <c r="C145" s="324" t="s">
        <v>305</v>
      </c>
      <c r="D145" s="324">
        <v>1968</v>
      </c>
      <c r="E145" s="325">
        <v>99063.760000000009</v>
      </c>
      <c r="F145" s="324"/>
      <c r="G145" s="324">
        <v>2021</v>
      </c>
      <c r="H145" s="324" t="s">
        <v>861</v>
      </c>
      <c r="I145" s="324">
        <v>1</v>
      </c>
    </row>
    <row r="146" spans="2:9">
      <c r="B146" s="324">
        <v>127</v>
      </c>
      <c r="C146" s="324" t="s">
        <v>305</v>
      </c>
      <c r="D146" s="324">
        <v>1969</v>
      </c>
      <c r="E146" s="325">
        <v>91756</v>
      </c>
      <c r="F146" s="324"/>
      <c r="G146" s="324">
        <v>2021</v>
      </c>
      <c r="H146" s="324" t="s">
        <v>861</v>
      </c>
      <c r="I146" s="324">
        <v>1</v>
      </c>
    </row>
    <row r="147" spans="2:9">
      <c r="B147" s="324">
        <v>128</v>
      </c>
      <c r="C147" s="324" t="s">
        <v>305</v>
      </c>
      <c r="D147" s="324">
        <v>1970</v>
      </c>
      <c r="E147" s="325">
        <v>226775.59999999998</v>
      </c>
      <c r="F147" s="324"/>
      <c r="G147" s="324">
        <v>2021</v>
      </c>
      <c r="H147" s="324" t="s">
        <v>861</v>
      </c>
      <c r="I147" s="324">
        <v>1</v>
      </c>
    </row>
    <row r="148" spans="2:9">
      <c r="B148" s="324">
        <v>129</v>
      </c>
      <c r="C148" s="324" t="s">
        <v>305</v>
      </c>
      <c r="D148" s="324">
        <v>1971</v>
      </c>
      <c r="E148" s="325">
        <v>280880.57</v>
      </c>
      <c r="F148" s="324"/>
      <c r="G148" s="324">
        <v>2021</v>
      </c>
      <c r="H148" s="324" t="s">
        <v>861</v>
      </c>
      <c r="I148" s="324">
        <v>1</v>
      </c>
    </row>
    <row r="149" spans="2:9">
      <c r="B149" s="324">
        <v>130</v>
      </c>
      <c r="C149" s="324" t="s">
        <v>305</v>
      </c>
      <c r="D149" s="324">
        <v>1972</v>
      </c>
      <c r="E149" s="325">
        <v>113518.65</v>
      </c>
      <c r="F149" s="324"/>
      <c r="G149" s="324">
        <v>2021</v>
      </c>
      <c r="H149" s="324" t="s">
        <v>861</v>
      </c>
      <c r="I149" s="324">
        <v>1</v>
      </c>
    </row>
    <row r="150" spans="2:9">
      <c r="B150" s="324">
        <v>131</v>
      </c>
      <c r="C150" s="324" t="s">
        <v>305</v>
      </c>
      <c r="D150" s="324">
        <v>1973</v>
      </c>
      <c r="E150" s="325">
        <v>71403.600000000006</v>
      </c>
      <c r="F150" s="324"/>
      <c r="G150" s="324">
        <v>2021</v>
      </c>
      <c r="H150" s="324" t="s">
        <v>861</v>
      </c>
      <c r="I150" s="324">
        <v>1</v>
      </c>
    </row>
    <row r="151" spans="2:9">
      <c r="B151" s="324">
        <v>132</v>
      </c>
      <c r="C151" s="324" t="s">
        <v>305</v>
      </c>
      <c r="D151" s="324">
        <v>1975</v>
      </c>
      <c r="E151" s="325">
        <v>19198.080000000002</v>
      </c>
      <c r="F151" s="324"/>
      <c r="G151" s="324">
        <v>2021</v>
      </c>
      <c r="H151" s="324" t="s">
        <v>861</v>
      </c>
      <c r="I151" s="324">
        <v>1</v>
      </c>
    </row>
    <row r="152" spans="2:9">
      <c r="B152" s="324">
        <v>133</v>
      </c>
      <c r="C152" s="324" t="s">
        <v>305</v>
      </c>
      <c r="D152" s="324">
        <v>1979</v>
      </c>
      <c r="E152" s="325">
        <v>42081.31</v>
      </c>
      <c r="F152" s="324"/>
      <c r="G152" s="324">
        <v>2021</v>
      </c>
      <c r="H152" s="324" t="s">
        <v>861</v>
      </c>
      <c r="I152" s="324">
        <v>1</v>
      </c>
    </row>
    <row r="153" spans="2:9">
      <c r="B153" s="324">
        <v>134</v>
      </c>
      <c r="C153" s="324" t="s">
        <v>305</v>
      </c>
      <c r="D153" s="324">
        <v>1991</v>
      </c>
      <c r="E153" s="325">
        <v>38721.65</v>
      </c>
      <c r="F153" s="324"/>
      <c r="G153" s="324">
        <v>2021</v>
      </c>
      <c r="H153" s="324" t="s">
        <v>861</v>
      </c>
      <c r="I153" s="324">
        <v>1</v>
      </c>
    </row>
    <row r="154" spans="2:9">
      <c r="B154" s="324">
        <v>135</v>
      </c>
      <c r="C154" s="324" t="s">
        <v>305</v>
      </c>
      <c r="D154" s="324">
        <v>1992</v>
      </c>
      <c r="E154" s="325">
        <v>55514.82</v>
      </c>
      <c r="F154" s="324"/>
      <c r="G154" s="324">
        <v>2021</v>
      </c>
      <c r="H154" s="324" t="s">
        <v>861</v>
      </c>
      <c r="I154" s="324">
        <v>1</v>
      </c>
    </row>
    <row r="155" spans="2:9">
      <c r="B155" s="324">
        <v>136</v>
      </c>
      <c r="C155" s="324" t="s">
        <v>305</v>
      </c>
      <c r="D155" s="324">
        <v>1994</v>
      </c>
      <c r="E155" s="325">
        <v>23050.77</v>
      </c>
      <c r="F155" s="324"/>
      <c r="G155" s="324">
        <v>2021</v>
      </c>
      <c r="H155" s="324" t="s">
        <v>861</v>
      </c>
      <c r="I155" s="324">
        <v>1</v>
      </c>
    </row>
    <row r="156" spans="2:9">
      <c r="B156" s="324">
        <v>137</v>
      </c>
      <c r="C156" s="324" t="s">
        <v>305</v>
      </c>
      <c r="D156" s="324">
        <v>1997</v>
      </c>
      <c r="E156" s="325">
        <v>27362.14</v>
      </c>
      <c r="F156" s="324"/>
      <c r="G156" s="324">
        <v>2021</v>
      </c>
      <c r="H156" s="324" t="s">
        <v>861</v>
      </c>
      <c r="I156" s="324">
        <v>1</v>
      </c>
    </row>
    <row r="157" spans="2:9">
      <c r="B157" s="324">
        <v>138</v>
      </c>
      <c r="C157" s="324" t="s">
        <v>305</v>
      </c>
      <c r="D157" s="324">
        <v>2004</v>
      </c>
      <c r="E157" s="325">
        <v>151657.73000000001</v>
      </c>
      <c r="F157" s="324"/>
      <c r="G157" s="324">
        <v>2021</v>
      </c>
      <c r="H157" s="324" t="s">
        <v>861</v>
      </c>
      <c r="I157" s="324">
        <v>1</v>
      </c>
    </row>
    <row r="158" spans="2:9">
      <c r="B158" s="324">
        <v>139</v>
      </c>
      <c r="C158" s="324" t="s">
        <v>305</v>
      </c>
      <c r="D158" s="324">
        <v>2007</v>
      </c>
      <c r="E158" s="325">
        <v>2827.55</v>
      </c>
      <c r="F158" s="324"/>
      <c r="G158" s="324">
        <v>2021</v>
      </c>
      <c r="H158" s="324" t="s">
        <v>861</v>
      </c>
      <c r="I158" s="324">
        <v>1</v>
      </c>
    </row>
    <row r="159" spans="2:9">
      <c r="B159" s="324">
        <v>140</v>
      </c>
      <c r="C159" s="324" t="s">
        <v>305</v>
      </c>
      <c r="D159" s="324">
        <v>2009</v>
      </c>
      <c r="E159" s="325">
        <v>124313.99</v>
      </c>
      <c r="F159" s="324"/>
      <c r="G159" s="324">
        <v>2021</v>
      </c>
      <c r="H159" s="324" t="s">
        <v>861</v>
      </c>
      <c r="I159" s="324">
        <v>1</v>
      </c>
    </row>
    <row r="160" spans="2:9">
      <c r="B160" s="324">
        <v>141</v>
      </c>
      <c r="C160" s="324" t="s">
        <v>305</v>
      </c>
      <c r="D160" s="324">
        <v>2010</v>
      </c>
      <c r="E160" s="325">
        <v>268395.78855748021</v>
      </c>
      <c r="F160" s="324"/>
      <c r="G160" s="324">
        <v>2021</v>
      </c>
      <c r="H160" s="324" t="s">
        <v>861</v>
      </c>
      <c r="I160" s="324">
        <v>1</v>
      </c>
    </row>
    <row r="161" spans="2:9">
      <c r="B161" s="324">
        <v>142</v>
      </c>
      <c r="C161" s="324" t="s">
        <v>305</v>
      </c>
      <c r="D161" s="324">
        <v>2011</v>
      </c>
      <c r="E161" s="325">
        <v>64375.815051532467</v>
      </c>
      <c r="F161" s="324"/>
      <c r="G161" s="324">
        <v>2021</v>
      </c>
      <c r="H161" s="324" t="s">
        <v>861</v>
      </c>
      <c r="I161" s="324">
        <v>1</v>
      </c>
    </row>
    <row r="162" spans="2:9">
      <c r="B162" s="324">
        <v>143</v>
      </c>
      <c r="C162" s="324" t="s">
        <v>305</v>
      </c>
      <c r="D162" s="324">
        <v>2013</v>
      </c>
      <c r="E162" s="325">
        <v>398931.4021603408</v>
      </c>
      <c r="F162" s="324"/>
      <c r="G162" s="324">
        <v>2021</v>
      </c>
      <c r="H162" s="324" t="s">
        <v>861</v>
      </c>
      <c r="I162" s="324">
        <v>1</v>
      </c>
    </row>
    <row r="163" spans="2:9">
      <c r="B163" s="324">
        <v>144</v>
      </c>
      <c r="C163" s="324" t="s">
        <v>305</v>
      </c>
      <c r="D163" s="324">
        <v>2014</v>
      </c>
      <c r="E163" s="325">
        <v>536.92166709422554</v>
      </c>
      <c r="F163" s="324"/>
      <c r="G163" s="324">
        <v>2021</v>
      </c>
      <c r="H163" s="324" t="s">
        <v>861</v>
      </c>
      <c r="I163" s="324">
        <v>1</v>
      </c>
    </row>
    <row r="164" spans="2:9">
      <c r="B164" s="324">
        <v>145</v>
      </c>
      <c r="C164" s="324" t="s">
        <v>305</v>
      </c>
      <c r="D164" s="324">
        <v>2018</v>
      </c>
      <c r="E164" s="325">
        <v>1020326.7510328252</v>
      </c>
      <c r="F164" s="324"/>
      <c r="G164" s="324">
        <v>2021</v>
      </c>
      <c r="H164" s="324" t="s">
        <v>861</v>
      </c>
      <c r="I164" s="324">
        <v>1</v>
      </c>
    </row>
    <row r="165" spans="2:9">
      <c r="B165" s="324">
        <v>146</v>
      </c>
      <c r="C165" s="324" t="s">
        <v>305</v>
      </c>
      <c r="D165" s="324">
        <v>2019</v>
      </c>
      <c r="E165" s="325">
        <v>11951.372469743606</v>
      </c>
      <c r="F165" s="324"/>
      <c r="G165" s="324">
        <v>2021</v>
      </c>
      <c r="H165" s="324" t="s">
        <v>861</v>
      </c>
      <c r="I165" s="324">
        <v>1</v>
      </c>
    </row>
    <row r="166" spans="2:9">
      <c r="B166" s="324">
        <v>147</v>
      </c>
      <c r="C166" s="324" t="s">
        <v>309</v>
      </c>
      <c r="D166" s="324">
        <v>1965</v>
      </c>
      <c r="E166" s="325">
        <v>37085.920000000006</v>
      </c>
      <c r="F166" s="324"/>
      <c r="G166" s="324">
        <v>2021</v>
      </c>
      <c r="H166" s="324" t="s">
        <v>861</v>
      </c>
      <c r="I166" s="324">
        <v>1</v>
      </c>
    </row>
    <row r="167" spans="2:9">
      <c r="B167" s="324">
        <v>148</v>
      </c>
      <c r="C167" s="324" t="s">
        <v>309</v>
      </c>
      <c r="D167" s="324">
        <v>1966</v>
      </c>
      <c r="E167" s="325">
        <v>191229.55</v>
      </c>
      <c r="F167" s="324"/>
      <c r="G167" s="324">
        <v>2021</v>
      </c>
      <c r="H167" s="324" t="s">
        <v>861</v>
      </c>
      <c r="I167" s="324">
        <v>1</v>
      </c>
    </row>
    <row r="168" spans="2:9">
      <c r="B168" s="324">
        <v>149</v>
      </c>
      <c r="C168" s="324" t="s">
        <v>309</v>
      </c>
      <c r="D168" s="324">
        <v>1967</v>
      </c>
      <c r="E168" s="325">
        <v>221505.32</v>
      </c>
      <c r="F168" s="324"/>
      <c r="G168" s="324">
        <v>2021</v>
      </c>
      <c r="H168" s="324" t="s">
        <v>861</v>
      </c>
      <c r="I168" s="324">
        <v>1</v>
      </c>
    </row>
    <row r="169" spans="2:9">
      <c r="B169" s="324">
        <v>150</v>
      </c>
      <c r="C169" s="324" t="s">
        <v>309</v>
      </c>
      <c r="D169" s="324">
        <v>1968</v>
      </c>
      <c r="E169" s="325">
        <v>138671.18999999997</v>
      </c>
      <c r="F169" s="324"/>
      <c r="G169" s="324">
        <v>2021</v>
      </c>
      <c r="H169" s="324" t="s">
        <v>861</v>
      </c>
      <c r="I169" s="324">
        <v>1</v>
      </c>
    </row>
    <row r="170" spans="2:9">
      <c r="B170" s="324">
        <v>151</v>
      </c>
      <c r="C170" s="324" t="s">
        <v>309</v>
      </c>
      <c r="D170" s="324">
        <v>1969</v>
      </c>
      <c r="E170" s="325">
        <v>252663.02</v>
      </c>
      <c r="F170" s="324"/>
      <c r="G170" s="324">
        <v>2021</v>
      </c>
      <c r="H170" s="324" t="s">
        <v>861</v>
      </c>
      <c r="I170" s="324">
        <v>1</v>
      </c>
    </row>
    <row r="171" spans="2:9">
      <c r="B171" s="324">
        <v>152</v>
      </c>
      <c r="C171" s="324" t="s">
        <v>309</v>
      </c>
      <c r="D171" s="324">
        <v>1970</v>
      </c>
      <c r="E171" s="325">
        <v>111949.98</v>
      </c>
      <c r="F171" s="324"/>
      <c r="G171" s="324">
        <v>2021</v>
      </c>
      <c r="H171" s="324" t="s">
        <v>861</v>
      </c>
      <c r="I171" s="324">
        <v>1</v>
      </c>
    </row>
    <row r="172" spans="2:9">
      <c r="B172" s="324">
        <v>153</v>
      </c>
      <c r="C172" s="324" t="s">
        <v>309</v>
      </c>
      <c r="D172" s="324">
        <v>1971</v>
      </c>
      <c r="E172" s="325">
        <v>158788.27000000002</v>
      </c>
      <c r="F172" s="324"/>
      <c r="G172" s="324">
        <v>2021</v>
      </c>
      <c r="H172" s="324" t="s">
        <v>861</v>
      </c>
      <c r="I172" s="324">
        <v>1</v>
      </c>
    </row>
    <row r="173" spans="2:9">
      <c r="B173" s="324">
        <v>154</v>
      </c>
      <c r="C173" s="324" t="s">
        <v>309</v>
      </c>
      <c r="D173" s="324">
        <v>1972</v>
      </c>
      <c r="E173" s="325">
        <v>241793.13</v>
      </c>
      <c r="F173" s="324"/>
      <c r="G173" s="324">
        <v>2021</v>
      </c>
      <c r="H173" s="324" t="s">
        <v>861</v>
      </c>
      <c r="I173" s="324">
        <v>1</v>
      </c>
    </row>
    <row r="174" spans="2:9">
      <c r="B174" s="324">
        <v>155</v>
      </c>
      <c r="C174" s="324" t="s">
        <v>309</v>
      </c>
      <c r="D174" s="324">
        <v>1973</v>
      </c>
      <c r="E174" s="325">
        <v>16917.16</v>
      </c>
      <c r="F174" s="324"/>
      <c r="G174" s="324">
        <v>2021</v>
      </c>
      <c r="H174" s="324" t="s">
        <v>861</v>
      </c>
      <c r="I174" s="324">
        <v>1</v>
      </c>
    </row>
    <row r="175" spans="2:9">
      <c r="B175" s="324">
        <v>156</v>
      </c>
      <c r="C175" s="324" t="s">
        <v>309</v>
      </c>
      <c r="D175" s="324">
        <v>1974</v>
      </c>
      <c r="E175" s="325">
        <v>19498.32</v>
      </c>
      <c r="F175" s="324"/>
      <c r="G175" s="324">
        <v>2021</v>
      </c>
      <c r="H175" s="324" t="s">
        <v>861</v>
      </c>
      <c r="I175" s="324">
        <v>1</v>
      </c>
    </row>
    <row r="176" spans="2:9">
      <c r="B176" s="324">
        <v>157</v>
      </c>
      <c r="C176" s="324" t="s">
        <v>309</v>
      </c>
      <c r="D176" s="324">
        <v>1975</v>
      </c>
      <c r="E176" s="325">
        <v>136362.09</v>
      </c>
      <c r="F176" s="324"/>
      <c r="G176" s="324">
        <v>2021</v>
      </c>
      <c r="H176" s="324" t="s">
        <v>861</v>
      </c>
      <c r="I176" s="324">
        <v>1</v>
      </c>
    </row>
    <row r="177" spans="2:9">
      <c r="B177" s="324">
        <v>158</v>
      </c>
      <c r="C177" s="324" t="s">
        <v>309</v>
      </c>
      <c r="D177" s="324">
        <v>1976</v>
      </c>
      <c r="E177" s="325">
        <v>95438.5</v>
      </c>
      <c r="F177" s="324"/>
      <c r="G177" s="324">
        <v>2021</v>
      </c>
      <c r="H177" s="324" t="s">
        <v>861</v>
      </c>
      <c r="I177" s="324">
        <v>1</v>
      </c>
    </row>
    <row r="178" spans="2:9">
      <c r="B178" s="324">
        <v>159</v>
      </c>
      <c r="C178" s="324" t="s">
        <v>309</v>
      </c>
      <c r="D178" s="324">
        <v>1977</v>
      </c>
      <c r="E178" s="325">
        <v>60014.03</v>
      </c>
      <c r="F178" s="324"/>
      <c r="G178" s="324">
        <v>2021</v>
      </c>
      <c r="H178" s="324" t="s">
        <v>861</v>
      </c>
      <c r="I178" s="324">
        <v>1</v>
      </c>
    </row>
    <row r="179" spans="2:9">
      <c r="B179" s="324">
        <v>160</v>
      </c>
      <c r="C179" s="324" t="s">
        <v>309</v>
      </c>
      <c r="D179" s="324">
        <v>1978</v>
      </c>
      <c r="E179" s="325">
        <v>16510.61</v>
      </c>
      <c r="F179" s="324"/>
      <c r="G179" s="324">
        <v>2021</v>
      </c>
      <c r="H179" s="324" t="s">
        <v>861</v>
      </c>
      <c r="I179" s="324">
        <v>1</v>
      </c>
    </row>
    <row r="180" spans="2:9">
      <c r="B180" s="324">
        <v>161</v>
      </c>
      <c r="C180" s="324" t="s">
        <v>309</v>
      </c>
      <c r="D180" s="324">
        <v>1979</v>
      </c>
      <c r="E180" s="325">
        <v>38157.51</v>
      </c>
      <c r="F180" s="324"/>
      <c r="G180" s="324">
        <v>2021</v>
      </c>
      <c r="H180" s="324" t="s">
        <v>861</v>
      </c>
      <c r="I180" s="324">
        <v>1</v>
      </c>
    </row>
    <row r="181" spans="2:9">
      <c r="B181" s="324">
        <v>162</v>
      </c>
      <c r="C181" s="324" t="s">
        <v>309</v>
      </c>
      <c r="D181" s="324">
        <v>1986</v>
      </c>
      <c r="E181" s="325">
        <v>109742.65</v>
      </c>
      <c r="F181" s="324"/>
      <c r="G181" s="324">
        <v>2021</v>
      </c>
      <c r="H181" s="324" t="s">
        <v>861</v>
      </c>
      <c r="I181" s="324">
        <v>1</v>
      </c>
    </row>
    <row r="182" spans="2:9">
      <c r="B182" s="324">
        <v>163</v>
      </c>
      <c r="C182" s="324" t="s">
        <v>309</v>
      </c>
      <c r="D182" s="324">
        <v>1989</v>
      </c>
      <c r="E182" s="325">
        <v>13251.86</v>
      </c>
      <c r="F182" s="324"/>
      <c r="G182" s="324">
        <v>2021</v>
      </c>
      <c r="H182" s="324" t="s">
        <v>861</v>
      </c>
      <c r="I182" s="324">
        <v>1</v>
      </c>
    </row>
    <row r="183" spans="2:9">
      <c r="B183" s="324">
        <v>164</v>
      </c>
      <c r="C183" s="324" t="s">
        <v>309</v>
      </c>
      <c r="D183" s="324">
        <v>1991</v>
      </c>
      <c r="E183" s="325">
        <v>8107.24</v>
      </c>
      <c r="F183" s="324"/>
      <c r="G183" s="324">
        <v>2021</v>
      </c>
      <c r="H183" s="324" t="s">
        <v>861</v>
      </c>
      <c r="I183" s="324">
        <v>1</v>
      </c>
    </row>
    <row r="184" spans="2:9">
      <c r="B184" s="324">
        <v>165</v>
      </c>
      <c r="C184" s="324" t="s">
        <v>309</v>
      </c>
      <c r="D184" s="324">
        <v>1992</v>
      </c>
      <c r="E184" s="325">
        <v>876626.98</v>
      </c>
      <c r="F184" s="324"/>
      <c r="G184" s="324">
        <v>2021</v>
      </c>
      <c r="H184" s="324" t="s">
        <v>861</v>
      </c>
      <c r="I184" s="324">
        <v>1</v>
      </c>
    </row>
    <row r="185" spans="2:9">
      <c r="B185" s="324">
        <v>166</v>
      </c>
      <c r="C185" s="324" t="s">
        <v>309</v>
      </c>
      <c r="D185" s="324">
        <v>1993</v>
      </c>
      <c r="E185" s="325">
        <v>6193.19</v>
      </c>
      <c r="F185" s="324"/>
      <c r="G185" s="324">
        <v>2021</v>
      </c>
      <c r="H185" s="324" t="s">
        <v>861</v>
      </c>
      <c r="I185" s="324">
        <v>1</v>
      </c>
    </row>
    <row r="186" spans="2:9">
      <c r="B186" s="324">
        <v>167</v>
      </c>
      <c r="C186" s="324" t="s">
        <v>309</v>
      </c>
      <c r="D186" s="324">
        <v>1995</v>
      </c>
      <c r="E186" s="325">
        <v>8440.31</v>
      </c>
      <c r="F186" s="324"/>
      <c r="G186" s="324">
        <v>2021</v>
      </c>
      <c r="H186" s="324" t="s">
        <v>861</v>
      </c>
      <c r="I186" s="324">
        <v>1</v>
      </c>
    </row>
    <row r="187" spans="2:9">
      <c r="B187" s="324">
        <v>168</v>
      </c>
      <c r="C187" s="324" t="s">
        <v>309</v>
      </c>
      <c r="D187" s="324">
        <v>1996</v>
      </c>
      <c r="E187" s="325">
        <v>6633.93</v>
      </c>
      <c r="F187" s="324"/>
      <c r="G187" s="324">
        <v>2021</v>
      </c>
      <c r="H187" s="324" t="s">
        <v>861</v>
      </c>
      <c r="I187" s="324">
        <v>1</v>
      </c>
    </row>
    <row r="188" spans="2:9">
      <c r="B188" s="324">
        <v>169</v>
      </c>
      <c r="C188" s="324" t="s">
        <v>309</v>
      </c>
      <c r="D188" s="324">
        <v>1998</v>
      </c>
      <c r="E188" s="325">
        <v>10371.369999999999</v>
      </c>
      <c r="F188" s="324"/>
      <c r="G188" s="324">
        <v>2021</v>
      </c>
      <c r="H188" s="324" t="s">
        <v>861</v>
      </c>
      <c r="I188" s="324">
        <v>1</v>
      </c>
    </row>
    <row r="189" spans="2:9">
      <c r="B189" s="324">
        <v>170</v>
      </c>
      <c r="C189" s="324" t="s">
        <v>309</v>
      </c>
      <c r="D189" s="324">
        <v>1999</v>
      </c>
      <c r="E189" s="325">
        <v>4737.3</v>
      </c>
      <c r="F189" s="324"/>
      <c r="G189" s="324">
        <v>2021</v>
      </c>
      <c r="H189" s="324" t="s">
        <v>861</v>
      </c>
      <c r="I189" s="324">
        <v>1</v>
      </c>
    </row>
    <row r="190" spans="2:9">
      <c r="B190" s="324">
        <v>171</v>
      </c>
      <c r="C190" s="324" t="s">
        <v>309</v>
      </c>
      <c r="D190" s="324">
        <v>2002</v>
      </c>
      <c r="E190" s="325">
        <v>49679.41</v>
      </c>
      <c r="F190" s="324"/>
      <c r="G190" s="324">
        <v>2021</v>
      </c>
      <c r="H190" s="324" t="s">
        <v>861</v>
      </c>
      <c r="I190" s="324">
        <v>1</v>
      </c>
    </row>
    <row r="191" spans="2:9">
      <c r="B191" s="324">
        <v>172</v>
      </c>
      <c r="C191" s="324" t="s">
        <v>309</v>
      </c>
      <c r="D191" s="324">
        <v>2003</v>
      </c>
      <c r="E191" s="325">
        <v>42948.94</v>
      </c>
      <c r="F191" s="324"/>
      <c r="G191" s="324">
        <v>2021</v>
      </c>
      <c r="H191" s="324" t="s">
        <v>861</v>
      </c>
      <c r="I191" s="324">
        <v>1</v>
      </c>
    </row>
    <row r="192" spans="2:9">
      <c r="B192" s="324">
        <v>173</v>
      </c>
      <c r="C192" s="324" t="s">
        <v>309</v>
      </c>
      <c r="D192" s="324">
        <v>2005</v>
      </c>
      <c r="E192" s="325">
        <v>108188.81</v>
      </c>
      <c r="F192" s="324"/>
      <c r="G192" s="324">
        <v>2021</v>
      </c>
      <c r="H192" s="324" t="s">
        <v>861</v>
      </c>
      <c r="I192" s="324">
        <v>1</v>
      </c>
    </row>
    <row r="193" spans="2:9">
      <c r="B193" s="324">
        <v>174</v>
      </c>
      <c r="C193" s="324" t="s">
        <v>309</v>
      </c>
      <c r="D193" s="324">
        <v>2007</v>
      </c>
      <c r="E193" s="325">
        <v>209399.48</v>
      </c>
      <c r="F193" s="324"/>
      <c r="G193" s="324">
        <v>2021</v>
      </c>
      <c r="H193" s="324" t="s">
        <v>861</v>
      </c>
      <c r="I193" s="324">
        <v>1</v>
      </c>
    </row>
    <row r="194" spans="2:9">
      <c r="B194" s="324">
        <v>175</v>
      </c>
      <c r="C194" s="324" t="s">
        <v>309</v>
      </c>
      <c r="D194" s="324">
        <v>2011</v>
      </c>
      <c r="E194" s="325">
        <v>326231.77348609408</v>
      </c>
      <c r="F194" s="324"/>
      <c r="G194" s="324">
        <v>2021</v>
      </c>
      <c r="H194" s="324" t="s">
        <v>861</v>
      </c>
      <c r="I194" s="324">
        <v>1</v>
      </c>
    </row>
    <row r="195" spans="2:9">
      <c r="B195" s="324">
        <v>176</v>
      </c>
      <c r="C195" s="324" t="s">
        <v>309</v>
      </c>
      <c r="D195" s="324">
        <v>2012</v>
      </c>
      <c r="E195" s="325">
        <v>304764.16110630898</v>
      </c>
      <c r="F195" s="324"/>
      <c r="G195" s="324">
        <v>2021</v>
      </c>
      <c r="H195" s="324" t="s">
        <v>861</v>
      </c>
      <c r="I195" s="324">
        <v>1</v>
      </c>
    </row>
    <row r="196" spans="2:9">
      <c r="B196" s="324">
        <v>177</v>
      </c>
      <c r="C196" s="324" t="s">
        <v>309</v>
      </c>
      <c r="D196" s="324">
        <v>2013</v>
      </c>
      <c r="E196" s="325">
        <v>38943.678871327982</v>
      </c>
      <c r="F196" s="324"/>
      <c r="G196" s="324">
        <v>2021</v>
      </c>
      <c r="H196" s="324" t="s">
        <v>861</v>
      </c>
      <c r="I196" s="324">
        <v>1</v>
      </c>
    </row>
    <row r="197" spans="2:9">
      <c r="B197" s="324">
        <v>178</v>
      </c>
      <c r="C197" s="324" t="s">
        <v>309</v>
      </c>
      <c r="D197" s="324">
        <v>2018</v>
      </c>
      <c r="E197" s="325">
        <v>24781.746230975445</v>
      </c>
      <c r="F197" s="324"/>
      <c r="G197" s="324">
        <v>2021</v>
      </c>
      <c r="H197" s="324" t="s">
        <v>861</v>
      </c>
      <c r="I197" s="324">
        <v>1</v>
      </c>
    </row>
    <row r="198" spans="2:9">
      <c r="B198" s="324">
        <v>179</v>
      </c>
      <c r="C198" s="324" t="s">
        <v>312</v>
      </c>
      <c r="D198" s="324">
        <v>1956</v>
      </c>
      <c r="E198" s="325">
        <v>10811.2</v>
      </c>
      <c r="F198" s="324">
        <v>3432.605970336283</v>
      </c>
      <c r="G198" s="324">
        <v>2021</v>
      </c>
      <c r="H198" s="324" t="s">
        <v>861</v>
      </c>
      <c r="I198" s="324">
        <v>1</v>
      </c>
    </row>
    <row r="199" spans="2:9">
      <c r="B199" s="324">
        <v>180</v>
      </c>
      <c r="C199" s="324" t="s">
        <v>312</v>
      </c>
      <c r="D199" s="324">
        <v>1968</v>
      </c>
      <c r="E199" s="325">
        <v>73172.06</v>
      </c>
      <c r="F199" s="324">
        <v>23232.46725782565</v>
      </c>
      <c r="G199" s="324">
        <v>2021</v>
      </c>
      <c r="H199" s="324" t="s">
        <v>861</v>
      </c>
      <c r="I199" s="324">
        <v>1</v>
      </c>
    </row>
    <row r="200" spans="2:9">
      <c r="B200" s="324">
        <v>181</v>
      </c>
      <c r="C200" s="324" t="s">
        <v>312</v>
      </c>
      <c r="D200" s="324">
        <v>1979</v>
      </c>
      <c r="E200" s="325">
        <v>1664.95</v>
      </c>
      <c r="F200" s="324"/>
      <c r="G200" s="324">
        <v>2021</v>
      </c>
      <c r="H200" s="324" t="s">
        <v>861</v>
      </c>
      <c r="I200" s="324">
        <v>1</v>
      </c>
    </row>
    <row r="201" spans="2:9">
      <c r="B201" s="324">
        <v>182</v>
      </c>
      <c r="C201" s="324" t="s">
        <v>312</v>
      </c>
      <c r="D201" s="324">
        <v>1986</v>
      </c>
      <c r="E201" s="325">
        <v>216560.83000000002</v>
      </c>
      <c r="F201" s="324">
        <v>560508.72</v>
      </c>
      <c r="G201" s="324">
        <v>2021</v>
      </c>
      <c r="H201" s="324" t="s">
        <v>861</v>
      </c>
      <c r="I201" s="324">
        <v>1</v>
      </c>
    </row>
    <row r="202" spans="2:9">
      <c r="B202" s="324">
        <v>183</v>
      </c>
      <c r="C202" s="324" t="s">
        <v>312</v>
      </c>
      <c r="D202" s="324">
        <v>2012</v>
      </c>
      <c r="E202" s="325">
        <v>492468.36169150769</v>
      </c>
      <c r="F202" s="324">
        <v>649090.35856984626</v>
      </c>
      <c r="G202" s="324">
        <v>2021</v>
      </c>
      <c r="H202" s="324" t="s">
        <v>861</v>
      </c>
      <c r="I202" s="324">
        <v>1</v>
      </c>
    </row>
    <row r="203" spans="2:9">
      <c r="B203" s="324">
        <v>184</v>
      </c>
      <c r="C203" s="324" t="s">
        <v>314</v>
      </c>
      <c r="D203" s="324">
        <v>1998</v>
      </c>
      <c r="E203" s="325">
        <v>95295.21</v>
      </c>
      <c r="F203" s="324"/>
      <c r="G203" s="324">
        <v>2021</v>
      </c>
      <c r="H203" s="324" t="s">
        <v>861</v>
      </c>
      <c r="I203" s="324">
        <v>1</v>
      </c>
    </row>
    <row r="204" spans="2:9">
      <c r="B204" s="324">
        <v>185</v>
      </c>
      <c r="C204" s="324" t="s">
        <v>314</v>
      </c>
      <c r="D204" s="324">
        <v>2007</v>
      </c>
      <c r="E204" s="325">
        <v>13693.71</v>
      </c>
      <c r="F204" s="324"/>
      <c r="G204" s="324">
        <v>2021</v>
      </c>
      <c r="H204" s="324" t="s">
        <v>861</v>
      </c>
      <c r="I204" s="324">
        <v>1</v>
      </c>
    </row>
    <row r="205" spans="2:9">
      <c r="B205" s="324">
        <v>186</v>
      </c>
      <c r="C205" s="324" t="s">
        <v>314</v>
      </c>
      <c r="D205" s="324">
        <v>2016</v>
      </c>
      <c r="E205" s="325">
        <v>32624.757655515543</v>
      </c>
      <c r="F205" s="324"/>
      <c r="G205" s="324">
        <v>2021</v>
      </c>
      <c r="H205" s="324" t="s">
        <v>861</v>
      </c>
      <c r="I205" s="324">
        <v>1</v>
      </c>
    </row>
    <row r="206" spans="2:9">
      <c r="B206" s="324">
        <v>187</v>
      </c>
      <c r="C206" s="324" t="s">
        <v>314</v>
      </c>
      <c r="D206" s="324">
        <v>2018</v>
      </c>
      <c r="E206" s="325">
        <v>538732.54828671971</v>
      </c>
      <c r="F206" s="324">
        <v>167251.98597930631</v>
      </c>
      <c r="G206" s="324">
        <v>2021</v>
      </c>
      <c r="H206" s="324" t="s">
        <v>861</v>
      </c>
      <c r="I206" s="324">
        <v>1</v>
      </c>
    </row>
    <row r="207" spans="2:9">
      <c r="B207" s="324">
        <v>188</v>
      </c>
      <c r="C207" s="324" t="s">
        <v>321</v>
      </c>
      <c r="D207" s="324">
        <v>1980</v>
      </c>
      <c r="E207" s="325">
        <v>15535.76</v>
      </c>
      <c r="F207" s="324"/>
      <c r="G207" s="324">
        <v>2021</v>
      </c>
      <c r="H207" s="324" t="s">
        <v>861</v>
      </c>
      <c r="I207" s="324">
        <v>1</v>
      </c>
    </row>
    <row r="208" spans="2:9">
      <c r="B208" s="324">
        <v>189</v>
      </c>
      <c r="C208" s="324" t="s">
        <v>321</v>
      </c>
      <c r="D208" s="324">
        <v>2005</v>
      </c>
      <c r="E208" s="325">
        <v>95475</v>
      </c>
      <c r="F208" s="324"/>
      <c r="G208" s="324">
        <v>2021</v>
      </c>
      <c r="H208" s="324" t="s">
        <v>861</v>
      </c>
      <c r="I208" s="324">
        <v>1</v>
      </c>
    </row>
    <row r="209" spans="2:9">
      <c r="B209" s="324">
        <v>190</v>
      </c>
      <c r="C209" s="324" t="s">
        <v>321</v>
      </c>
      <c r="D209" s="324">
        <v>2006</v>
      </c>
      <c r="E209" s="325">
        <v>43750.75</v>
      </c>
      <c r="F209" s="324"/>
      <c r="G209" s="324">
        <v>2021</v>
      </c>
      <c r="H209" s="324" t="s">
        <v>861</v>
      </c>
      <c r="I209" s="324">
        <v>1</v>
      </c>
    </row>
    <row r="210" spans="2:9">
      <c r="B210" s="324">
        <v>191</v>
      </c>
      <c r="C210" s="324" t="s">
        <v>321</v>
      </c>
      <c r="D210" s="324">
        <v>2010</v>
      </c>
      <c r="E210" s="325">
        <v>8444.43</v>
      </c>
      <c r="F210" s="324"/>
      <c r="G210" s="324">
        <v>2021</v>
      </c>
      <c r="H210" s="324" t="s">
        <v>861</v>
      </c>
      <c r="I210" s="324">
        <v>1</v>
      </c>
    </row>
    <row r="211" spans="2:9">
      <c r="B211" s="324">
        <v>192</v>
      </c>
      <c r="C211" s="324" t="s">
        <v>323</v>
      </c>
      <c r="D211" s="324">
        <v>2006</v>
      </c>
      <c r="E211" s="325">
        <v>213008.69</v>
      </c>
      <c r="F211" s="324"/>
      <c r="G211" s="324">
        <v>2021</v>
      </c>
      <c r="H211" s="324" t="s">
        <v>861</v>
      </c>
      <c r="I211" s="324">
        <v>1</v>
      </c>
    </row>
    <row r="212" spans="2:9">
      <c r="B212" s="324">
        <v>193</v>
      </c>
      <c r="C212" s="324" t="s">
        <v>327</v>
      </c>
      <c r="D212" s="324">
        <v>1995</v>
      </c>
      <c r="E212" s="325">
        <v>21404.81</v>
      </c>
      <c r="F212" s="324">
        <v>6796.1261099520652</v>
      </c>
      <c r="G212" s="324">
        <v>2021</v>
      </c>
      <c r="H212" s="324" t="s">
        <v>861</v>
      </c>
      <c r="I212" s="324">
        <v>1</v>
      </c>
    </row>
    <row r="213" spans="2:9">
      <c r="B213" s="324">
        <v>194</v>
      </c>
      <c r="C213" s="324" t="s">
        <v>327</v>
      </c>
      <c r="D213" s="324">
        <v>1999</v>
      </c>
      <c r="E213" s="325">
        <v>41263.57</v>
      </c>
      <c r="F213" s="324"/>
      <c r="G213" s="324">
        <v>2021</v>
      </c>
      <c r="H213" s="324" t="s">
        <v>861</v>
      </c>
      <c r="I213" s="324">
        <v>1</v>
      </c>
    </row>
    <row r="214" spans="2:9">
      <c r="B214" s="324">
        <v>195</v>
      </c>
      <c r="C214" s="324" t="s">
        <v>327</v>
      </c>
      <c r="D214" s="324">
        <v>2004</v>
      </c>
      <c r="E214" s="325">
        <v>25586.77</v>
      </c>
      <c r="F214" s="324"/>
      <c r="G214" s="324">
        <v>2021</v>
      </c>
      <c r="H214" s="324" t="s">
        <v>861</v>
      </c>
      <c r="I214" s="324">
        <v>1</v>
      </c>
    </row>
    <row r="215" spans="2:9">
      <c r="B215" s="324">
        <v>196</v>
      </c>
      <c r="C215" s="324" t="s">
        <v>327</v>
      </c>
      <c r="D215" s="324">
        <v>2007</v>
      </c>
      <c r="E215" s="325">
        <v>72524.09</v>
      </c>
      <c r="F215" s="324"/>
      <c r="G215" s="324">
        <v>2021</v>
      </c>
      <c r="H215" s="324" t="s">
        <v>861</v>
      </c>
      <c r="I215" s="324">
        <v>1</v>
      </c>
    </row>
    <row r="216" spans="2:9">
      <c r="B216" s="324">
        <v>197</v>
      </c>
      <c r="C216" s="324" t="s">
        <v>327</v>
      </c>
      <c r="D216" s="324">
        <v>2009</v>
      </c>
      <c r="E216" s="325">
        <v>43757.98</v>
      </c>
      <c r="F216" s="324"/>
      <c r="G216" s="324">
        <v>2021</v>
      </c>
      <c r="H216" s="324" t="s">
        <v>861</v>
      </c>
      <c r="I216" s="324">
        <v>1</v>
      </c>
    </row>
    <row r="217" spans="2:9">
      <c r="B217" s="324">
        <v>198</v>
      </c>
      <c r="C217" s="324" t="s">
        <v>327</v>
      </c>
      <c r="D217" s="324">
        <v>2018</v>
      </c>
      <c r="E217" s="325">
        <v>92063.762018898677</v>
      </c>
      <c r="F217" s="324">
        <v>28518.401683085332</v>
      </c>
      <c r="G217" s="324">
        <v>2021</v>
      </c>
      <c r="H217" s="324" t="s">
        <v>861</v>
      </c>
      <c r="I217" s="324">
        <v>1</v>
      </c>
    </row>
    <row r="218" spans="2:9">
      <c r="B218" s="324">
        <v>199</v>
      </c>
      <c r="C218" s="324" t="s">
        <v>330</v>
      </c>
      <c r="D218" s="324">
        <v>1999</v>
      </c>
      <c r="E218" s="325">
        <v>23628.5</v>
      </c>
      <c r="F218" s="324"/>
      <c r="G218" s="324">
        <v>2021</v>
      </c>
      <c r="H218" s="324" t="s">
        <v>861</v>
      </c>
      <c r="I218" s="324">
        <v>1</v>
      </c>
    </row>
    <row r="219" spans="2:9">
      <c r="B219" s="324">
        <v>200</v>
      </c>
      <c r="C219" s="324" t="s">
        <v>330</v>
      </c>
      <c r="D219" s="324">
        <v>2003</v>
      </c>
      <c r="E219" s="325">
        <v>5549.99</v>
      </c>
      <c r="F219" s="324">
        <v>1762.1474775516747</v>
      </c>
      <c r="G219" s="324">
        <v>2021</v>
      </c>
      <c r="H219" s="324" t="s">
        <v>861</v>
      </c>
      <c r="I219" s="324">
        <v>1</v>
      </c>
    </row>
    <row r="220" spans="2:9">
      <c r="B220" s="324">
        <v>201</v>
      </c>
      <c r="C220" s="324" t="s">
        <v>330</v>
      </c>
      <c r="D220" s="324">
        <v>2004</v>
      </c>
      <c r="E220" s="325">
        <v>7075.25</v>
      </c>
      <c r="F220" s="324">
        <v>2246.424577440227</v>
      </c>
      <c r="G220" s="324">
        <v>2021</v>
      </c>
      <c r="H220" s="324" t="s">
        <v>861</v>
      </c>
      <c r="I220" s="324">
        <v>1</v>
      </c>
    </row>
    <row r="221" spans="2:9">
      <c r="B221" s="324">
        <v>202</v>
      </c>
      <c r="C221" s="324" t="s">
        <v>330</v>
      </c>
      <c r="D221" s="324">
        <v>2011</v>
      </c>
      <c r="E221" s="325">
        <v>32592.1</v>
      </c>
      <c r="F221" s="324">
        <v>2890.2096493742083</v>
      </c>
      <c r="G221" s="324">
        <v>2021</v>
      </c>
      <c r="H221" s="324" t="s">
        <v>861</v>
      </c>
      <c r="I221" s="324">
        <v>1</v>
      </c>
    </row>
    <row r="222" spans="2:9">
      <c r="B222" s="324">
        <v>203</v>
      </c>
      <c r="C222" s="324" t="s">
        <v>330</v>
      </c>
      <c r="D222" s="324">
        <v>2012</v>
      </c>
      <c r="E222" s="325">
        <v>47594.894530059231</v>
      </c>
      <c r="F222" s="324">
        <v>14768.206788922676</v>
      </c>
      <c r="G222" s="324">
        <v>2021</v>
      </c>
      <c r="H222" s="324" t="s">
        <v>861</v>
      </c>
      <c r="I222" s="324">
        <v>1</v>
      </c>
    </row>
    <row r="223" spans="2:9">
      <c r="B223" s="324">
        <v>204</v>
      </c>
      <c r="C223" s="324" t="s">
        <v>330</v>
      </c>
      <c r="D223" s="324">
        <v>2017</v>
      </c>
      <c r="E223" s="325">
        <v>30787.351220734221</v>
      </c>
      <c r="F223" s="324">
        <v>9644.7204285089756</v>
      </c>
      <c r="G223" s="324">
        <v>2021</v>
      </c>
      <c r="H223" s="324" t="s">
        <v>861</v>
      </c>
      <c r="I223" s="324">
        <v>1</v>
      </c>
    </row>
    <row r="224" spans="2:9">
      <c r="B224" s="324">
        <v>205</v>
      </c>
      <c r="C224" s="324" t="s">
        <v>330</v>
      </c>
      <c r="D224" s="324">
        <v>2018</v>
      </c>
      <c r="E224" s="325">
        <v>15158.814286337998</v>
      </c>
      <c r="F224" s="324">
        <v>4645.9117830974619</v>
      </c>
      <c r="G224" s="324">
        <v>2021</v>
      </c>
      <c r="H224" s="324" t="s">
        <v>861</v>
      </c>
      <c r="I224" s="324">
        <v>1</v>
      </c>
    </row>
    <row r="225" spans="2:9">
      <c r="B225" s="324">
        <v>206</v>
      </c>
      <c r="C225" s="324" t="s">
        <v>331</v>
      </c>
      <c r="D225" s="324">
        <v>2011</v>
      </c>
      <c r="E225" s="325">
        <v>327059.9632444483</v>
      </c>
      <c r="F225" s="324"/>
      <c r="G225" s="324">
        <v>2021</v>
      </c>
      <c r="H225" s="324" t="s">
        <v>861</v>
      </c>
      <c r="I225" s="324">
        <v>1</v>
      </c>
    </row>
    <row r="226" spans="2:9">
      <c r="B226" s="324">
        <v>207</v>
      </c>
      <c r="C226" s="324" t="s">
        <v>331</v>
      </c>
      <c r="D226" s="324">
        <v>2011</v>
      </c>
      <c r="E226" s="325">
        <v>204205.26050762061</v>
      </c>
      <c r="F226" s="324"/>
      <c r="G226" s="324">
        <v>2021</v>
      </c>
      <c r="H226" s="324" t="s">
        <v>861</v>
      </c>
      <c r="I226" s="324">
        <v>1</v>
      </c>
    </row>
    <row r="227" spans="2:9">
      <c r="B227" s="324">
        <v>208</v>
      </c>
      <c r="C227" s="324" t="s">
        <v>345</v>
      </c>
      <c r="D227" s="324">
        <v>1970</v>
      </c>
      <c r="E227" s="325">
        <v>200671.11000000002</v>
      </c>
      <c r="F227" s="324"/>
      <c r="G227" s="324">
        <v>2021</v>
      </c>
      <c r="H227" s="324" t="s">
        <v>861</v>
      </c>
      <c r="I227" s="324">
        <v>1</v>
      </c>
    </row>
    <row r="228" spans="2:9">
      <c r="B228" s="324">
        <v>209</v>
      </c>
      <c r="C228" s="324" t="s">
        <v>345</v>
      </c>
      <c r="D228" s="324">
        <v>1971</v>
      </c>
      <c r="E228" s="325">
        <v>31459.45</v>
      </c>
      <c r="F228" s="324"/>
      <c r="G228" s="324">
        <v>2021</v>
      </c>
      <c r="H228" s="324" t="s">
        <v>861</v>
      </c>
      <c r="I228" s="324">
        <v>1</v>
      </c>
    </row>
    <row r="229" spans="2:9">
      <c r="B229" s="324">
        <v>210</v>
      </c>
      <c r="C229" s="324" t="s">
        <v>345</v>
      </c>
      <c r="D229" s="324">
        <v>1974</v>
      </c>
      <c r="E229" s="325">
        <v>37307.01</v>
      </c>
      <c r="F229" s="324"/>
      <c r="G229" s="324">
        <v>2021</v>
      </c>
      <c r="H229" s="324" t="s">
        <v>861</v>
      </c>
      <c r="I229" s="324">
        <v>1</v>
      </c>
    </row>
    <row r="230" spans="2:9">
      <c r="B230" s="324">
        <v>211</v>
      </c>
      <c r="C230" s="324" t="s">
        <v>345</v>
      </c>
      <c r="D230" s="324">
        <v>1977</v>
      </c>
      <c r="E230" s="325">
        <v>56993.78</v>
      </c>
      <c r="F230" s="324"/>
      <c r="G230" s="324">
        <v>2021</v>
      </c>
      <c r="H230" s="324" t="s">
        <v>861</v>
      </c>
      <c r="I230" s="324">
        <v>1</v>
      </c>
    </row>
    <row r="231" spans="2:9">
      <c r="B231" s="324">
        <v>212</v>
      </c>
      <c r="C231" s="324" t="s">
        <v>345</v>
      </c>
      <c r="D231" s="324">
        <v>1987</v>
      </c>
      <c r="E231" s="325">
        <v>30140.38</v>
      </c>
      <c r="F231" s="324"/>
      <c r="G231" s="324">
        <v>2021</v>
      </c>
      <c r="H231" s="324" t="s">
        <v>861</v>
      </c>
      <c r="I231" s="324">
        <v>1</v>
      </c>
    </row>
    <row r="232" spans="2:9">
      <c r="B232" s="324">
        <v>213</v>
      </c>
      <c r="C232" s="324" t="s">
        <v>345</v>
      </c>
      <c r="D232" s="324">
        <v>2006</v>
      </c>
      <c r="E232" s="325">
        <v>220824.52000000002</v>
      </c>
      <c r="F232" s="324"/>
      <c r="G232" s="324">
        <v>2021</v>
      </c>
      <c r="H232" s="324" t="s">
        <v>861</v>
      </c>
      <c r="I232" s="324">
        <v>1</v>
      </c>
    </row>
    <row r="233" spans="2:9">
      <c r="B233" s="324">
        <v>214</v>
      </c>
      <c r="C233" s="324" t="s">
        <v>345</v>
      </c>
      <c r="D233" s="324">
        <v>2007</v>
      </c>
      <c r="E233" s="325">
        <v>118615.11181912628</v>
      </c>
      <c r="F233" s="324"/>
      <c r="G233" s="324">
        <v>2021</v>
      </c>
      <c r="H233" s="324" t="s">
        <v>861</v>
      </c>
      <c r="I233" s="324">
        <v>1</v>
      </c>
    </row>
    <row r="234" spans="2:9">
      <c r="B234" s="324">
        <v>215</v>
      </c>
      <c r="C234" s="324" t="s">
        <v>345</v>
      </c>
      <c r="D234" s="324">
        <v>2009</v>
      </c>
      <c r="E234" s="325">
        <v>36749.480000000003</v>
      </c>
      <c r="F234" s="324"/>
      <c r="G234" s="324">
        <v>2021</v>
      </c>
      <c r="H234" s="324" t="s">
        <v>861</v>
      </c>
      <c r="I234" s="324">
        <v>1</v>
      </c>
    </row>
    <row r="235" spans="2:9">
      <c r="B235" s="324">
        <v>216</v>
      </c>
      <c r="C235" s="324" t="s">
        <v>345</v>
      </c>
      <c r="D235" s="324">
        <v>2010</v>
      </c>
      <c r="E235" s="325">
        <v>16852.444769673708</v>
      </c>
      <c r="F235" s="324"/>
      <c r="G235" s="324">
        <v>2021</v>
      </c>
      <c r="H235" s="324" t="s">
        <v>861</v>
      </c>
      <c r="I235" s="324">
        <v>1</v>
      </c>
    </row>
    <row r="236" spans="2:9">
      <c r="B236" s="324">
        <v>217</v>
      </c>
      <c r="C236" s="324" t="s">
        <v>345</v>
      </c>
      <c r="D236" s="324">
        <v>2011</v>
      </c>
      <c r="E236" s="325">
        <v>161240.22989045532</v>
      </c>
      <c r="F236" s="324"/>
      <c r="G236" s="324">
        <v>2021</v>
      </c>
      <c r="H236" s="324" t="s">
        <v>861</v>
      </c>
      <c r="I236" s="324">
        <v>1</v>
      </c>
    </row>
    <row r="237" spans="2:9">
      <c r="B237" s="324">
        <v>218</v>
      </c>
      <c r="C237" s="324" t="s">
        <v>348</v>
      </c>
      <c r="D237" s="324">
        <v>1977</v>
      </c>
      <c r="E237" s="325">
        <v>35828970.149999999</v>
      </c>
      <c r="F237" s="324"/>
      <c r="G237" s="324">
        <v>2021</v>
      </c>
      <c r="H237" s="324" t="s">
        <v>861</v>
      </c>
      <c r="I237" s="324">
        <v>1</v>
      </c>
    </row>
    <row r="238" spans="2:9">
      <c r="B238" s="324">
        <v>219</v>
      </c>
      <c r="C238" s="324" t="s">
        <v>348</v>
      </c>
      <c r="D238" s="324">
        <v>1998</v>
      </c>
      <c r="E238" s="325">
        <v>75833.259999999995</v>
      </c>
      <c r="F238" s="324"/>
      <c r="G238" s="324">
        <v>2021</v>
      </c>
      <c r="H238" s="324" t="s">
        <v>861</v>
      </c>
      <c r="I238" s="324">
        <v>1</v>
      </c>
    </row>
    <row r="239" spans="2:9">
      <c r="B239" s="324">
        <v>220</v>
      </c>
      <c r="C239" s="324" t="s">
        <v>348</v>
      </c>
      <c r="D239" s="324">
        <v>2004</v>
      </c>
      <c r="E239" s="325">
        <v>698617.72</v>
      </c>
      <c r="F239" s="324"/>
      <c r="G239" s="324">
        <v>2021</v>
      </c>
      <c r="H239" s="324" t="s">
        <v>861</v>
      </c>
      <c r="I239" s="324">
        <v>1</v>
      </c>
    </row>
    <row r="240" spans="2:9">
      <c r="B240" s="324">
        <v>221</v>
      </c>
      <c r="C240" s="324" t="s">
        <v>348</v>
      </c>
      <c r="D240" s="324">
        <v>2006</v>
      </c>
      <c r="E240" s="325">
        <v>134414.63</v>
      </c>
      <c r="F240" s="324"/>
      <c r="G240" s="324">
        <v>2021</v>
      </c>
      <c r="H240" s="324" t="s">
        <v>861</v>
      </c>
      <c r="I240" s="324">
        <v>1</v>
      </c>
    </row>
    <row r="241" spans="2:9">
      <c r="B241" s="324">
        <v>222</v>
      </c>
      <c r="C241" s="324" t="s">
        <v>348</v>
      </c>
      <c r="D241" s="324">
        <v>2007</v>
      </c>
      <c r="E241" s="325">
        <v>295840.56</v>
      </c>
      <c r="F241" s="324"/>
      <c r="G241" s="324">
        <v>2021</v>
      </c>
      <c r="H241" s="324" t="s">
        <v>861</v>
      </c>
      <c r="I241" s="324">
        <v>1</v>
      </c>
    </row>
    <row r="242" spans="2:9">
      <c r="B242" s="324">
        <v>223</v>
      </c>
      <c r="C242" s="324" t="s">
        <v>348</v>
      </c>
      <c r="D242" s="324">
        <v>2008</v>
      </c>
      <c r="E242" s="325">
        <v>422693.60000000003</v>
      </c>
      <c r="F242" s="324"/>
      <c r="G242" s="324">
        <v>2021</v>
      </c>
      <c r="H242" s="324" t="s">
        <v>861</v>
      </c>
      <c r="I242" s="324">
        <v>1</v>
      </c>
    </row>
    <row r="243" spans="2:9">
      <c r="B243" s="324">
        <v>224</v>
      </c>
      <c r="C243" s="324" t="s">
        <v>348</v>
      </c>
      <c r="D243" s="324">
        <v>2009</v>
      </c>
      <c r="E243" s="325">
        <v>7501964.5199999996</v>
      </c>
      <c r="F243" s="324"/>
      <c r="G243" s="324">
        <v>2021</v>
      </c>
      <c r="H243" s="324" t="s">
        <v>861</v>
      </c>
      <c r="I243" s="324">
        <v>1</v>
      </c>
    </row>
    <row r="244" spans="2:9">
      <c r="B244" s="324">
        <v>225</v>
      </c>
      <c r="C244" s="324" t="s">
        <v>348</v>
      </c>
      <c r="D244" s="324">
        <v>2010</v>
      </c>
      <c r="E244" s="325">
        <v>1044433.3749015761</v>
      </c>
      <c r="F244" s="324"/>
      <c r="G244" s="324">
        <v>2021</v>
      </c>
      <c r="H244" s="324" t="s">
        <v>861</v>
      </c>
      <c r="I244" s="324">
        <v>1</v>
      </c>
    </row>
    <row r="245" spans="2:9">
      <c r="B245" s="324">
        <v>226</v>
      </c>
      <c r="C245" s="324" t="s">
        <v>348</v>
      </c>
      <c r="D245" s="324">
        <v>2011</v>
      </c>
      <c r="E245" s="325">
        <v>55479.276483167145</v>
      </c>
      <c r="F245" s="324"/>
      <c r="G245" s="324">
        <v>2021</v>
      </c>
      <c r="H245" s="324" t="s">
        <v>861</v>
      </c>
      <c r="I245" s="324">
        <v>1</v>
      </c>
    </row>
    <row r="246" spans="2:9">
      <c r="B246" s="324">
        <v>227</v>
      </c>
      <c r="C246" s="324" t="s">
        <v>348</v>
      </c>
      <c r="D246" s="324">
        <v>2012</v>
      </c>
      <c r="E246" s="325">
        <v>3622072.4393920866</v>
      </c>
      <c r="F246" s="324"/>
      <c r="G246" s="324">
        <v>2021</v>
      </c>
      <c r="H246" s="324" t="s">
        <v>861</v>
      </c>
      <c r="I246" s="324">
        <v>1</v>
      </c>
    </row>
    <row r="247" spans="2:9">
      <c r="B247" s="324">
        <v>228</v>
      </c>
      <c r="C247" s="324" t="s">
        <v>348</v>
      </c>
      <c r="D247" s="324">
        <v>2013</v>
      </c>
      <c r="E247" s="325">
        <v>3696661.0956130447</v>
      </c>
      <c r="F247" s="324"/>
      <c r="G247" s="324">
        <v>2021</v>
      </c>
      <c r="H247" s="324" t="s">
        <v>861</v>
      </c>
      <c r="I247" s="324">
        <v>1</v>
      </c>
    </row>
    <row r="248" spans="2:9">
      <c r="B248" s="324">
        <v>229</v>
      </c>
      <c r="C248" s="324" t="s">
        <v>348</v>
      </c>
      <c r="D248" s="324">
        <v>2014</v>
      </c>
      <c r="E248" s="325">
        <v>-211261.47377242689</v>
      </c>
      <c r="F248" s="324"/>
      <c r="G248" s="324">
        <v>2021</v>
      </c>
      <c r="H248" s="324" t="s">
        <v>861</v>
      </c>
      <c r="I248" s="324">
        <v>1</v>
      </c>
    </row>
    <row r="249" spans="2:9">
      <c r="B249" s="324">
        <v>230</v>
      </c>
      <c r="C249" s="324" t="s">
        <v>348</v>
      </c>
      <c r="D249" s="324">
        <v>2015</v>
      </c>
      <c r="E249" s="325">
        <v>1410348.6255901323</v>
      </c>
      <c r="F249" s="324"/>
      <c r="G249" s="324">
        <v>2021</v>
      </c>
      <c r="H249" s="324" t="s">
        <v>861</v>
      </c>
      <c r="I249" s="324">
        <v>1</v>
      </c>
    </row>
    <row r="250" spans="2:9">
      <c r="B250" s="324">
        <v>231</v>
      </c>
      <c r="C250" s="324" t="s">
        <v>348</v>
      </c>
      <c r="D250" s="324">
        <v>2016</v>
      </c>
      <c r="E250" s="325">
        <v>1210083.3299999998</v>
      </c>
      <c r="F250" s="324"/>
      <c r="G250" s="324">
        <v>2021</v>
      </c>
      <c r="H250" s="324" t="s">
        <v>861</v>
      </c>
      <c r="I250" s="324">
        <v>1</v>
      </c>
    </row>
    <row r="251" spans="2:9">
      <c r="B251" s="324">
        <v>232</v>
      </c>
      <c r="C251" s="324" t="s">
        <v>348</v>
      </c>
      <c r="D251" s="324">
        <v>2016</v>
      </c>
      <c r="E251" s="325">
        <v>4463010.1800000006</v>
      </c>
      <c r="F251" s="324"/>
      <c r="G251" s="324">
        <v>2021</v>
      </c>
      <c r="H251" s="324" t="s">
        <v>861</v>
      </c>
      <c r="I251" s="324">
        <v>1</v>
      </c>
    </row>
    <row r="252" spans="2:9">
      <c r="B252" s="324">
        <v>233</v>
      </c>
      <c r="C252" s="324" t="s">
        <v>349</v>
      </c>
      <c r="D252" s="324">
        <v>1993</v>
      </c>
      <c r="E252" s="325">
        <v>7214.43</v>
      </c>
      <c r="F252" s="324"/>
      <c r="G252" s="324">
        <v>2021</v>
      </c>
      <c r="H252" s="324" t="s">
        <v>861</v>
      </c>
      <c r="I252" s="324">
        <v>1</v>
      </c>
    </row>
    <row r="253" spans="2:9">
      <c r="B253" s="324">
        <v>234</v>
      </c>
      <c r="C253" s="324" t="s">
        <v>349</v>
      </c>
      <c r="D253" s="324">
        <v>2006</v>
      </c>
      <c r="E253" s="325">
        <v>90670.522605892213</v>
      </c>
      <c r="F253" s="324"/>
      <c r="G253" s="324">
        <v>2021</v>
      </c>
      <c r="H253" s="324" t="s">
        <v>861</v>
      </c>
      <c r="I253" s="324">
        <v>1</v>
      </c>
    </row>
    <row r="254" spans="2:9">
      <c r="B254" s="324">
        <v>235</v>
      </c>
      <c r="C254" s="324" t="s">
        <v>349</v>
      </c>
      <c r="D254" s="324">
        <v>2007</v>
      </c>
      <c r="E254" s="325">
        <v>15457.31</v>
      </c>
      <c r="F254" s="324"/>
      <c r="G254" s="324">
        <v>2021</v>
      </c>
      <c r="H254" s="324" t="s">
        <v>861</v>
      </c>
      <c r="I254" s="324">
        <v>1</v>
      </c>
    </row>
    <row r="255" spans="2:9">
      <c r="B255" s="324">
        <v>236</v>
      </c>
      <c r="C255" s="324" t="s">
        <v>349</v>
      </c>
      <c r="D255" s="324">
        <v>2011</v>
      </c>
      <c r="E255" s="325">
        <v>17709.499967104181</v>
      </c>
      <c r="F255" s="324"/>
      <c r="G255" s="324">
        <v>2021</v>
      </c>
      <c r="H255" s="324" t="s">
        <v>861</v>
      </c>
      <c r="I255" s="324">
        <v>1</v>
      </c>
    </row>
    <row r="256" spans="2:9">
      <c r="B256" s="324">
        <v>237</v>
      </c>
      <c r="C256" s="324" t="s">
        <v>352</v>
      </c>
      <c r="D256" s="324">
        <v>1998</v>
      </c>
      <c r="E256" s="325">
        <v>1145228.3699999999</v>
      </c>
      <c r="F256" s="324">
        <v>83006.322393766895</v>
      </c>
      <c r="G256" s="324">
        <v>2021</v>
      </c>
      <c r="H256" s="324" t="s">
        <v>861</v>
      </c>
      <c r="I256" s="324">
        <v>1</v>
      </c>
    </row>
    <row r="257" spans="2:9">
      <c r="B257" s="324">
        <v>238</v>
      </c>
      <c r="C257" s="324" t="s">
        <v>352</v>
      </c>
      <c r="D257" s="324">
        <v>2002</v>
      </c>
      <c r="E257" s="325">
        <v>207275.81</v>
      </c>
      <c r="F257" s="324">
        <v>65811.027722388724</v>
      </c>
      <c r="G257" s="324">
        <v>2021</v>
      </c>
      <c r="H257" s="324" t="s">
        <v>861</v>
      </c>
      <c r="I257" s="324">
        <v>1</v>
      </c>
    </row>
    <row r="258" spans="2:9">
      <c r="B258" s="324">
        <v>239</v>
      </c>
      <c r="C258" s="324" t="s">
        <v>352</v>
      </c>
      <c r="D258" s="324">
        <v>2004</v>
      </c>
      <c r="E258" s="325">
        <v>114452.9</v>
      </c>
      <c r="F258" s="324">
        <v>36339.324761571472</v>
      </c>
      <c r="G258" s="324">
        <v>2021</v>
      </c>
      <c r="H258" s="324" t="s">
        <v>861</v>
      </c>
      <c r="I258" s="324">
        <v>1</v>
      </c>
    </row>
    <row r="259" spans="2:9">
      <c r="B259" s="324">
        <v>240</v>
      </c>
      <c r="C259" s="324" t="s">
        <v>352</v>
      </c>
      <c r="D259" s="324">
        <v>2005</v>
      </c>
      <c r="E259" s="325">
        <v>188996.13</v>
      </c>
      <c r="F259" s="324">
        <v>60007.144832067876</v>
      </c>
      <c r="G259" s="324">
        <v>2021</v>
      </c>
      <c r="H259" s="324" t="s">
        <v>861</v>
      </c>
      <c r="I259" s="324">
        <v>1</v>
      </c>
    </row>
    <row r="260" spans="2:9">
      <c r="B260" s="324">
        <v>241</v>
      </c>
      <c r="C260" s="324" t="s">
        <v>352</v>
      </c>
      <c r="D260" s="324">
        <v>2008</v>
      </c>
      <c r="E260" s="325">
        <v>84567.28</v>
      </c>
      <c r="F260" s="324">
        <v>9973.4837644979889</v>
      </c>
      <c r="G260" s="324">
        <v>2021</v>
      </c>
      <c r="H260" s="324" t="s">
        <v>861</v>
      </c>
      <c r="I260" s="324">
        <v>1</v>
      </c>
    </row>
    <row r="261" spans="2:9">
      <c r="B261" s="324">
        <v>242</v>
      </c>
      <c r="C261" s="324" t="s">
        <v>352</v>
      </c>
      <c r="D261" s="324">
        <v>2009</v>
      </c>
      <c r="E261" s="325">
        <v>163009.45000000001</v>
      </c>
      <c r="F261" s="324">
        <v>39430.787890703461</v>
      </c>
      <c r="G261" s="324">
        <v>2021</v>
      </c>
      <c r="H261" s="324" t="s">
        <v>861</v>
      </c>
      <c r="I261" s="324">
        <v>1</v>
      </c>
    </row>
    <row r="262" spans="2:9">
      <c r="B262" s="324">
        <v>243</v>
      </c>
      <c r="C262" s="324" t="s">
        <v>352</v>
      </c>
      <c r="D262" s="324">
        <v>2010</v>
      </c>
      <c r="E262" s="325">
        <v>137160.34344793225</v>
      </c>
      <c r="F262" s="324"/>
      <c r="G262" s="324">
        <v>2021</v>
      </c>
      <c r="H262" s="324" t="s">
        <v>861</v>
      </c>
      <c r="I262" s="324">
        <v>1</v>
      </c>
    </row>
    <row r="263" spans="2:9">
      <c r="B263" s="324">
        <v>244</v>
      </c>
      <c r="C263" s="324" t="s">
        <v>352</v>
      </c>
      <c r="D263" s="324">
        <v>2011</v>
      </c>
      <c r="E263" s="325">
        <v>28002.195226489926</v>
      </c>
      <c r="F263" s="324">
        <v>957.54631452925457</v>
      </c>
      <c r="G263" s="324">
        <v>2021</v>
      </c>
      <c r="H263" s="324" t="s">
        <v>861</v>
      </c>
      <c r="I263" s="324">
        <v>1</v>
      </c>
    </row>
    <row r="264" spans="2:9">
      <c r="B264" s="324">
        <v>245</v>
      </c>
      <c r="C264" s="324" t="s">
        <v>352</v>
      </c>
      <c r="D264" s="324">
        <v>2012</v>
      </c>
      <c r="E264" s="325">
        <v>418308.90169201128</v>
      </c>
      <c r="F264" s="324">
        <v>85794.147042817931</v>
      </c>
      <c r="G264" s="324">
        <v>2021</v>
      </c>
      <c r="H264" s="324" t="s">
        <v>861</v>
      </c>
      <c r="I264" s="324">
        <v>1</v>
      </c>
    </row>
    <row r="265" spans="2:9">
      <c r="B265" s="324">
        <v>246</v>
      </c>
      <c r="C265" s="324" t="s">
        <v>352</v>
      </c>
      <c r="D265" s="324">
        <v>2012</v>
      </c>
      <c r="E265" s="325">
        <v>34493.89</v>
      </c>
      <c r="F265" s="324"/>
      <c r="G265" s="324">
        <v>2021</v>
      </c>
      <c r="H265" s="324" t="s">
        <v>861</v>
      </c>
      <c r="I265" s="324">
        <v>1</v>
      </c>
    </row>
    <row r="266" spans="2:9">
      <c r="B266" s="324">
        <v>247</v>
      </c>
      <c r="C266" s="324" t="s">
        <v>352</v>
      </c>
      <c r="D266" s="324">
        <v>2014</v>
      </c>
      <c r="E266" s="325">
        <v>119209.70383364368</v>
      </c>
      <c r="F266" s="324">
        <v>36450.838734941819</v>
      </c>
      <c r="G266" s="324">
        <v>2021</v>
      </c>
      <c r="H266" s="324" t="s">
        <v>861</v>
      </c>
      <c r="I266" s="324">
        <v>1</v>
      </c>
    </row>
    <row r="267" spans="2:9">
      <c r="B267" s="324">
        <v>248</v>
      </c>
      <c r="C267" s="324" t="s">
        <v>352</v>
      </c>
      <c r="D267" s="324">
        <v>2015</v>
      </c>
      <c r="E267" s="325">
        <v>86744.489646918475</v>
      </c>
      <c r="F267" s="324">
        <v>26901.214115794937</v>
      </c>
      <c r="G267" s="324">
        <v>2021</v>
      </c>
      <c r="H267" s="324" t="s">
        <v>861</v>
      </c>
      <c r="I267" s="324">
        <v>1</v>
      </c>
    </row>
    <row r="268" spans="2:9">
      <c r="B268" s="324">
        <v>249</v>
      </c>
      <c r="C268" s="324" t="s">
        <v>352</v>
      </c>
      <c r="D268" s="324">
        <v>2016</v>
      </c>
      <c r="E268" s="325">
        <v>872938.23153047287</v>
      </c>
      <c r="F268" s="324">
        <v>100866.50984435556</v>
      </c>
      <c r="G268" s="324">
        <v>2021</v>
      </c>
      <c r="H268" s="324" t="s">
        <v>861</v>
      </c>
      <c r="I268" s="324">
        <v>1</v>
      </c>
    </row>
    <row r="269" spans="2:9">
      <c r="B269" s="324">
        <v>250</v>
      </c>
      <c r="C269" s="324" t="s">
        <v>352</v>
      </c>
      <c r="D269" s="324">
        <v>2018</v>
      </c>
      <c r="E269" s="325">
        <v>318444.09968867822</v>
      </c>
      <c r="F269" s="324">
        <v>83174.482366764263</v>
      </c>
      <c r="G269" s="324">
        <v>2021</v>
      </c>
      <c r="H269" s="324" t="s">
        <v>861</v>
      </c>
      <c r="I269" s="324">
        <v>1</v>
      </c>
    </row>
    <row r="270" spans="2:9">
      <c r="B270" s="324">
        <v>251</v>
      </c>
      <c r="C270" s="324" t="s">
        <v>352</v>
      </c>
      <c r="D270" s="324">
        <v>2019</v>
      </c>
      <c r="E270" s="325">
        <v>470203.71904289688</v>
      </c>
      <c r="F270" s="324">
        <v>152911.40394055273</v>
      </c>
      <c r="G270" s="324">
        <v>2021</v>
      </c>
      <c r="H270" s="324" t="s">
        <v>861</v>
      </c>
      <c r="I270" s="324">
        <v>1</v>
      </c>
    </row>
    <row r="271" spans="2:9">
      <c r="B271" s="324">
        <v>252</v>
      </c>
      <c r="C271" s="324" t="s">
        <v>353</v>
      </c>
      <c r="D271" s="324">
        <v>1964</v>
      </c>
      <c r="E271" s="325">
        <v>1904</v>
      </c>
      <c r="F271" s="324"/>
      <c r="G271" s="324">
        <v>2021</v>
      </c>
      <c r="H271" s="324" t="s">
        <v>861</v>
      </c>
      <c r="I271" s="324">
        <v>1</v>
      </c>
    </row>
    <row r="272" spans="2:9">
      <c r="B272" s="324">
        <v>253</v>
      </c>
      <c r="C272" s="324" t="s">
        <v>353</v>
      </c>
      <c r="D272" s="324">
        <v>1966</v>
      </c>
      <c r="E272" s="325">
        <v>360</v>
      </c>
      <c r="F272" s="324"/>
      <c r="G272" s="324">
        <v>2021</v>
      </c>
      <c r="H272" s="324" t="s">
        <v>861</v>
      </c>
      <c r="I272" s="324">
        <v>1</v>
      </c>
    </row>
    <row r="273" spans="2:9">
      <c r="B273" s="324">
        <v>254</v>
      </c>
      <c r="C273" s="324" t="s">
        <v>353</v>
      </c>
      <c r="D273" s="324">
        <v>1967</v>
      </c>
      <c r="E273" s="325">
        <v>168</v>
      </c>
      <c r="F273" s="324"/>
      <c r="G273" s="324">
        <v>2021</v>
      </c>
      <c r="H273" s="324" t="s">
        <v>861</v>
      </c>
      <c r="I273" s="324">
        <v>1</v>
      </c>
    </row>
    <row r="274" spans="2:9">
      <c r="B274" s="324">
        <v>255</v>
      </c>
      <c r="C274" s="324" t="s">
        <v>353</v>
      </c>
      <c r="D274" s="324">
        <v>1968</v>
      </c>
      <c r="E274" s="325">
        <v>10784</v>
      </c>
      <c r="F274" s="324"/>
      <c r="G274" s="324">
        <v>2021</v>
      </c>
      <c r="H274" s="324" t="s">
        <v>861</v>
      </c>
      <c r="I274" s="324">
        <v>1</v>
      </c>
    </row>
    <row r="275" spans="2:9">
      <c r="B275" s="324">
        <v>256</v>
      </c>
      <c r="C275" s="324" t="s">
        <v>353</v>
      </c>
      <c r="D275" s="324">
        <v>1969</v>
      </c>
      <c r="E275" s="325">
        <v>528</v>
      </c>
      <c r="F275" s="324"/>
      <c r="G275" s="324">
        <v>2021</v>
      </c>
      <c r="H275" s="324" t="s">
        <v>861</v>
      </c>
      <c r="I275" s="324">
        <v>1</v>
      </c>
    </row>
    <row r="276" spans="2:9">
      <c r="B276" s="324">
        <v>257</v>
      </c>
      <c r="C276" s="324" t="s">
        <v>353</v>
      </c>
      <c r="D276" s="324">
        <v>1970</v>
      </c>
      <c r="E276" s="325">
        <v>126766.11</v>
      </c>
      <c r="F276" s="324"/>
      <c r="G276" s="324">
        <v>2021</v>
      </c>
      <c r="H276" s="324" t="s">
        <v>861</v>
      </c>
      <c r="I276" s="324">
        <v>1</v>
      </c>
    </row>
    <row r="277" spans="2:9">
      <c r="B277" s="324">
        <v>258</v>
      </c>
      <c r="C277" s="324" t="s">
        <v>353</v>
      </c>
      <c r="D277" s="324">
        <v>1971</v>
      </c>
      <c r="E277" s="325">
        <v>13448</v>
      </c>
      <c r="F277" s="324"/>
      <c r="G277" s="324">
        <v>2021</v>
      </c>
      <c r="H277" s="324" t="s">
        <v>861</v>
      </c>
      <c r="I277" s="324">
        <v>1</v>
      </c>
    </row>
    <row r="278" spans="2:9">
      <c r="B278" s="324">
        <v>259</v>
      </c>
      <c r="C278" s="324" t="s">
        <v>353</v>
      </c>
      <c r="D278" s="324">
        <v>1972</v>
      </c>
      <c r="E278" s="325">
        <v>3048</v>
      </c>
      <c r="F278" s="324"/>
      <c r="G278" s="324">
        <v>2021</v>
      </c>
      <c r="H278" s="324" t="s">
        <v>861</v>
      </c>
      <c r="I278" s="324">
        <v>1</v>
      </c>
    </row>
    <row r="279" spans="2:9">
      <c r="B279" s="324">
        <v>260</v>
      </c>
      <c r="C279" s="324" t="s">
        <v>353</v>
      </c>
      <c r="D279" s="324">
        <v>1973</v>
      </c>
      <c r="E279" s="325">
        <v>216</v>
      </c>
      <c r="F279" s="324"/>
      <c r="G279" s="324">
        <v>2021</v>
      </c>
      <c r="H279" s="324" t="s">
        <v>861</v>
      </c>
      <c r="I279" s="324">
        <v>1</v>
      </c>
    </row>
    <row r="280" spans="2:9">
      <c r="B280" s="324">
        <v>261</v>
      </c>
      <c r="C280" s="324" t="s">
        <v>353</v>
      </c>
      <c r="D280" s="324">
        <v>1974</v>
      </c>
      <c r="E280" s="325">
        <v>3688</v>
      </c>
      <c r="F280" s="324"/>
      <c r="G280" s="324">
        <v>2021</v>
      </c>
      <c r="H280" s="324" t="s">
        <v>861</v>
      </c>
      <c r="I280" s="324">
        <v>1</v>
      </c>
    </row>
    <row r="281" spans="2:9">
      <c r="B281" s="324">
        <v>262</v>
      </c>
      <c r="C281" s="324" t="s">
        <v>353</v>
      </c>
      <c r="D281" s="324">
        <v>1975</v>
      </c>
      <c r="E281" s="325">
        <v>4480.3200000000006</v>
      </c>
      <c r="F281" s="324"/>
      <c r="G281" s="324">
        <v>2021</v>
      </c>
      <c r="H281" s="324" t="s">
        <v>861</v>
      </c>
      <c r="I281" s="324">
        <v>1</v>
      </c>
    </row>
    <row r="282" spans="2:9">
      <c r="B282" s="324">
        <v>263</v>
      </c>
      <c r="C282" s="324" t="s">
        <v>353</v>
      </c>
      <c r="D282" s="324">
        <v>1977</v>
      </c>
      <c r="E282" s="325">
        <v>745.37</v>
      </c>
      <c r="F282" s="324"/>
      <c r="G282" s="324">
        <v>2021</v>
      </c>
      <c r="H282" s="324" t="s">
        <v>861</v>
      </c>
      <c r="I282" s="324">
        <v>1</v>
      </c>
    </row>
    <row r="283" spans="2:9">
      <c r="B283" s="324">
        <v>264</v>
      </c>
      <c r="C283" s="324" t="s">
        <v>353</v>
      </c>
      <c r="D283" s="324">
        <v>1978</v>
      </c>
      <c r="E283" s="325">
        <v>25825.9</v>
      </c>
      <c r="F283" s="324"/>
      <c r="G283" s="324">
        <v>2021</v>
      </c>
      <c r="H283" s="324" t="s">
        <v>861</v>
      </c>
      <c r="I283" s="324">
        <v>1</v>
      </c>
    </row>
    <row r="284" spans="2:9">
      <c r="B284" s="324">
        <v>265</v>
      </c>
      <c r="C284" s="324" t="s">
        <v>353</v>
      </c>
      <c r="D284" s="324">
        <v>1980</v>
      </c>
      <c r="E284" s="325">
        <v>1675.53</v>
      </c>
      <c r="F284" s="324"/>
      <c r="G284" s="324">
        <v>2021</v>
      </c>
      <c r="H284" s="324" t="s">
        <v>861</v>
      </c>
      <c r="I284" s="324">
        <v>1</v>
      </c>
    </row>
    <row r="285" spans="2:9">
      <c r="B285" s="324">
        <v>266</v>
      </c>
      <c r="C285" s="324" t="s">
        <v>353</v>
      </c>
      <c r="D285" s="324">
        <v>1981</v>
      </c>
      <c r="E285" s="325">
        <v>2145.67</v>
      </c>
      <c r="F285" s="324"/>
      <c r="G285" s="324">
        <v>2021</v>
      </c>
      <c r="H285" s="324" t="s">
        <v>861</v>
      </c>
      <c r="I285" s="324">
        <v>1</v>
      </c>
    </row>
    <row r="286" spans="2:9">
      <c r="B286" s="324">
        <v>267</v>
      </c>
      <c r="C286" s="324" t="s">
        <v>353</v>
      </c>
      <c r="D286" s="324">
        <v>1983</v>
      </c>
      <c r="E286" s="325">
        <v>47940.21</v>
      </c>
      <c r="F286" s="324">
        <v>45847.293506604889</v>
      </c>
      <c r="G286" s="324">
        <v>2021</v>
      </c>
      <c r="H286" s="324" t="s">
        <v>861</v>
      </c>
      <c r="I286" s="324">
        <v>1</v>
      </c>
    </row>
    <row r="287" spans="2:9">
      <c r="B287" s="324">
        <v>268</v>
      </c>
      <c r="C287" s="324" t="s">
        <v>353</v>
      </c>
      <c r="D287" s="324">
        <v>1984</v>
      </c>
      <c r="E287" s="325">
        <v>3028.66</v>
      </c>
      <c r="F287" s="324"/>
      <c r="G287" s="324">
        <v>2021</v>
      </c>
      <c r="H287" s="324" t="s">
        <v>861</v>
      </c>
      <c r="I287" s="324">
        <v>1</v>
      </c>
    </row>
    <row r="288" spans="2:9">
      <c r="B288" s="324">
        <v>269</v>
      </c>
      <c r="C288" s="324" t="s">
        <v>353</v>
      </c>
      <c r="D288" s="324">
        <v>1985</v>
      </c>
      <c r="E288" s="325">
        <v>5162.49</v>
      </c>
      <c r="F288" s="324"/>
      <c r="G288" s="324">
        <v>2021</v>
      </c>
      <c r="H288" s="324" t="s">
        <v>861</v>
      </c>
      <c r="I288" s="324">
        <v>1</v>
      </c>
    </row>
    <row r="289" spans="2:9">
      <c r="B289" s="324">
        <v>270</v>
      </c>
      <c r="C289" s="324" t="s">
        <v>353</v>
      </c>
      <c r="D289" s="324">
        <v>1986</v>
      </c>
      <c r="E289" s="325">
        <v>6123683.1800000006</v>
      </c>
      <c r="F289" s="324">
        <v>5843585.9202481788</v>
      </c>
      <c r="G289" s="324">
        <v>2021</v>
      </c>
      <c r="H289" s="324" t="s">
        <v>861</v>
      </c>
      <c r="I289" s="324">
        <v>1</v>
      </c>
    </row>
    <row r="290" spans="2:9">
      <c r="B290" s="324">
        <v>271</v>
      </c>
      <c r="C290" s="324" t="s">
        <v>353</v>
      </c>
      <c r="D290" s="324">
        <v>1987</v>
      </c>
      <c r="E290" s="325">
        <v>5769.73</v>
      </c>
      <c r="F290" s="324"/>
      <c r="G290" s="324">
        <v>2021</v>
      </c>
      <c r="H290" s="324" t="s">
        <v>861</v>
      </c>
      <c r="I290" s="324">
        <v>1</v>
      </c>
    </row>
    <row r="291" spans="2:9">
      <c r="B291" s="324">
        <v>272</v>
      </c>
      <c r="C291" s="324" t="s">
        <v>353</v>
      </c>
      <c r="D291" s="324">
        <v>1988</v>
      </c>
      <c r="E291" s="325">
        <v>2251.5500000000002</v>
      </c>
      <c r="F291" s="324"/>
      <c r="G291" s="324">
        <v>2021</v>
      </c>
      <c r="H291" s="324" t="s">
        <v>861</v>
      </c>
      <c r="I291" s="324">
        <v>1</v>
      </c>
    </row>
    <row r="292" spans="2:9">
      <c r="B292" s="324">
        <v>273</v>
      </c>
      <c r="C292" s="324" t="s">
        <v>353</v>
      </c>
      <c r="D292" s="324">
        <v>1990</v>
      </c>
      <c r="E292" s="325">
        <v>2264.98</v>
      </c>
      <c r="F292" s="324"/>
      <c r="G292" s="324">
        <v>2021</v>
      </c>
      <c r="H292" s="324" t="s">
        <v>861</v>
      </c>
      <c r="I292" s="324">
        <v>1</v>
      </c>
    </row>
    <row r="293" spans="2:9">
      <c r="B293" s="324">
        <v>274</v>
      </c>
      <c r="C293" s="324" t="s">
        <v>353</v>
      </c>
      <c r="D293" s="324">
        <v>1991</v>
      </c>
      <c r="E293" s="325">
        <v>212044.27000000002</v>
      </c>
      <c r="F293" s="324"/>
      <c r="G293" s="324">
        <v>2021</v>
      </c>
      <c r="H293" s="324" t="s">
        <v>861</v>
      </c>
      <c r="I293" s="324">
        <v>1</v>
      </c>
    </row>
    <row r="294" spans="2:9">
      <c r="B294" s="324">
        <v>275</v>
      </c>
      <c r="C294" s="324" t="s">
        <v>353</v>
      </c>
      <c r="D294" s="324">
        <v>1992</v>
      </c>
      <c r="E294" s="325">
        <v>17214.810000000001</v>
      </c>
      <c r="F294" s="324"/>
      <c r="G294" s="324">
        <v>2021</v>
      </c>
      <c r="H294" s="324" t="s">
        <v>861</v>
      </c>
      <c r="I294" s="324">
        <v>1</v>
      </c>
    </row>
    <row r="295" spans="2:9">
      <c r="B295" s="324">
        <v>276</v>
      </c>
      <c r="C295" s="324" t="s">
        <v>353</v>
      </c>
      <c r="D295" s="324">
        <v>1993</v>
      </c>
      <c r="E295" s="325">
        <v>955.02</v>
      </c>
      <c r="F295" s="324"/>
      <c r="G295" s="324">
        <v>2021</v>
      </c>
      <c r="H295" s="324" t="s">
        <v>861</v>
      </c>
      <c r="I295" s="324">
        <v>1</v>
      </c>
    </row>
    <row r="296" spans="2:9">
      <c r="B296" s="324">
        <v>277</v>
      </c>
      <c r="C296" s="324" t="s">
        <v>353</v>
      </c>
      <c r="D296" s="324">
        <v>1994</v>
      </c>
      <c r="E296" s="325">
        <v>2215.4899999999998</v>
      </c>
      <c r="F296" s="324"/>
      <c r="G296" s="324">
        <v>2021</v>
      </c>
      <c r="H296" s="324" t="s">
        <v>861</v>
      </c>
      <c r="I296" s="324">
        <v>1</v>
      </c>
    </row>
    <row r="297" spans="2:9">
      <c r="B297" s="324">
        <v>278</v>
      </c>
      <c r="C297" s="324" t="s">
        <v>353</v>
      </c>
      <c r="D297" s="324">
        <v>1995</v>
      </c>
      <c r="E297" s="325">
        <v>2202.9899999999998</v>
      </c>
      <c r="F297" s="324"/>
      <c r="G297" s="324">
        <v>2021</v>
      </c>
      <c r="H297" s="324" t="s">
        <v>861</v>
      </c>
      <c r="I297" s="324">
        <v>1</v>
      </c>
    </row>
    <row r="298" spans="2:9">
      <c r="B298" s="324">
        <v>279</v>
      </c>
      <c r="C298" s="324" t="s">
        <v>353</v>
      </c>
      <c r="D298" s="324">
        <v>1996</v>
      </c>
      <c r="E298" s="325">
        <v>25933.81</v>
      </c>
      <c r="F298" s="324"/>
      <c r="G298" s="324">
        <v>2021</v>
      </c>
      <c r="H298" s="324" t="s">
        <v>861</v>
      </c>
      <c r="I298" s="324">
        <v>1</v>
      </c>
    </row>
    <row r="299" spans="2:9">
      <c r="B299" s="324">
        <v>280</v>
      </c>
      <c r="C299" s="324" t="s">
        <v>353</v>
      </c>
      <c r="D299" s="324">
        <v>1998</v>
      </c>
      <c r="E299" s="325">
        <v>218.17</v>
      </c>
      <c r="F299" s="324"/>
      <c r="G299" s="324">
        <v>2021</v>
      </c>
      <c r="H299" s="324" t="s">
        <v>861</v>
      </c>
      <c r="I299" s="324">
        <v>1</v>
      </c>
    </row>
    <row r="300" spans="2:9">
      <c r="B300" s="324">
        <v>281</v>
      </c>
      <c r="C300" s="324" t="s">
        <v>353</v>
      </c>
      <c r="D300" s="324">
        <v>2000</v>
      </c>
      <c r="E300" s="325">
        <v>3336.46</v>
      </c>
      <c r="F300" s="324"/>
      <c r="G300" s="324">
        <v>2021</v>
      </c>
      <c r="H300" s="324" t="s">
        <v>861</v>
      </c>
      <c r="I300" s="324">
        <v>1</v>
      </c>
    </row>
    <row r="301" spans="2:9">
      <c r="B301" s="324">
        <v>282</v>
      </c>
      <c r="C301" s="324" t="s">
        <v>353</v>
      </c>
      <c r="D301" s="324">
        <v>2001</v>
      </c>
      <c r="E301" s="325">
        <v>7332.67</v>
      </c>
      <c r="F301" s="324"/>
      <c r="G301" s="324">
        <v>2021</v>
      </c>
      <c r="H301" s="324" t="s">
        <v>861</v>
      </c>
      <c r="I301" s="324">
        <v>1</v>
      </c>
    </row>
    <row r="302" spans="2:9">
      <c r="B302" s="324">
        <v>283</v>
      </c>
      <c r="C302" s="324" t="s">
        <v>353</v>
      </c>
      <c r="D302" s="324">
        <v>2004</v>
      </c>
      <c r="E302" s="325">
        <v>32470.219999999998</v>
      </c>
      <c r="F302" s="324"/>
      <c r="G302" s="324">
        <v>2021</v>
      </c>
      <c r="H302" s="324" t="s">
        <v>861</v>
      </c>
      <c r="I302" s="324">
        <v>1</v>
      </c>
    </row>
    <row r="303" spans="2:9">
      <c r="B303" s="324">
        <v>284</v>
      </c>
      <c r="C303" s="324" t="s">
        <v>353</v>
      </c>
      <c r="D303" s="324">
        <v>2007</v>
      </c>
      <c r="E303" s="325">
        <v>36698.050000000003</v>
      </c>
      <c r="F303" s="324"/>
      <c r="G303" s="324">
        <v>2021</v>
      </c>
      <c r="H303" s="324" t="s">
        <v>861</v>
      </c>
      <c r="I303" s="324">
        <v>1</v>
      </c>
    </row>
    <row r="304" spans="2:9">
      <c r="B304" s="324">
        <v>285</v>
      </c>
      <c r="C304" s="324" t="s">
        <v>353</v>
      </c>
      <c r="D304" s="324">
        <v>2007</v>
      </c>
      <c r="E304" s="325">
        <v>814.86374062264201</v>
      </c>
      <c r="F304" s="324"/>
      <c r="G304" s="324">
        <v>2021</v>
      </c>
      <c r="H304" s="324" t="s">
        <v>861</v>
      </c>
      <c r="I304" s="324">
        <v>1</v>
      </c>
    </row>
    <row r="305" spans="2:9">
      <c r="B305" s="324">
        <v>286</v>
      </c>
      <c r="C305" s="324" t="s">
        <v>353</v>
      </c>
      <c r="D305" s="324">
        <v>2008</v>
      </c>
      <c r="E305" s="325">
        <v>1697.82</v>
      </c>
      <c r="F305" s="324"/>
      <c r="G305" s="324">
        <v>2021</v>
      </c>
      <c r="H305" s="324" t="s">
        <v>861</v>
      </c>
      <c r="I305" s="324">
        <v>1</v>
      </c>
    </row>
    <row r="306" spans="2:9">
      <c r="B306" s="324">
        <v>287</v>
      </c>
      <c r="C306" s="324" t="s">
        <v>353</v>
      </c>
      <c r="D306" s="324">
        <v>2009</v>
      </c>
      <c r="E306" s="325">
        <v>306.17</v>
      </c>
      <c r="F306" s="324"/>
      <c r="G306" s="324">
        <v>2021</v>
      </c>
      <c r="H306" s="324" t="s">
        <v>861</v>
      </c>
      <c r="I306" s="324">
        <v>1</v>
      </c>
    </row>
    <row r="307" spans="2:9">
      <c r="B307" s="324">
        <v>288</v>
      </c>
      <c r="C307" s="324" t="s">
        <v>353</v>
      </c>
      <c r="D307" s="324">
        <v>2013</v>
      </c>
      <c r="E307" s="325">
        <v>111081.36098285067</v>
      </c>
      <c r="F307" s="324">
        <v>100715.06465923195</v>
      </c>
      <c r="G307" s="324">
        <v>2021</v>
      </c>
      <c r="H307" s="324" t="s">
        <v>861</v>
      </c>
      <c r="I307" s="324">
        <v>1</v>
      </c>
    </row>
    <row r="308" spans="2:9">
      <c r="B308" s="324">
        <v>289</v>
      </c>
      <c r="C308" s="324" t="s">
        <v>353</v>
      </c>
      <c r="D308" s="324">
        <v>2015</v>
      </c>
      <c r="E308" s="325">
        <v>10546.74451914087</v>
      </c>
      <c r="F308" s="324">
        <v>9851.7215859841872</v>
      </c>
      <c r="G308" s="324">
        <v>2021</v>
      </c>
      <c r="H308" s="324" t="s">
        <v>861</v>
      </c>
      <c r="I308" s="324">
        <v>1</v>
      </c>
    </row>
    <row r="309" spans="2:9">
      <c r="B309" s="324">
        <v>290</v>
      </c>
      <c r="C309" s="324" t="s">
        <v>353</v>
      </c>
      <c r="D309" s="324">
        <v>2016</v>
      </c>
      <c r="E309" s="325">
        <v>23513.843749704858</v>
      </c>
      <c r="F309" s="324"/>
      <c r="G309" s="324">
        <v>2021</v>
      </c>
      <c r="H309" s="324" t="s">
        <v>861</v>
      </c>
      <c r="I309" s="324">
        <v>1</v>
      </c>
    </row>
    <row r="310" spans="2:9">
      <c r="B310" s="324">
        <v>291</v>
      </c>
      <c r="C310" s="324" t="s">
        <v>360</v>
      </c>
      <c r="D310" s="324">
        <v>1980</v>
      </c>
      <c r="E310" s="325">
        <v>634.20000000000005</v>
      </c>
      <c r="F310" s="324"/>
      <c r="G310" s="324">
        <v>2021</v>
      </c>
      <c r="H310" s="324" t="s">
        <v>861</v>
      </c>
      <c r="I310" s="324">
        <v>1</v>
      </c>
    </row>
    <row r="311" spans="2:9">
      <c r="B311" s="324">
        <v>292</v>
      </c>
      <c r="C311" s="324" t="s">
        <v>360</v>
      </c>
      <c r="D311" s="324">
        <v>1995</v>
      </c>
      <c r="E311" s="325">
        <v>3276.15</v>
      </c>
      <c r="F311" s="324"/>
      <c r="G311" s="324">
        <v>2021</v>
      </c>
      <c r="H311" s="324" t="s">
        <v>861</v>
      </c>
      <c r="I311" s="324">
        <v>1</v>
      </c>
    </row>
    <row r="312" spans="2:9">
      <c r="B312" s="324">
        <v>293</v>
      </c>
      <c r="C312" s="324" t="s">
        <v>361</v>
      </c>
      <c r="D312" s="324">
        <v>1964</v>
      </c>
      <c r="E312" s="325">
        <v>6186.9699999999993</v>
      </c>
      <c r="F312" s="324"/>
      <c r="G312" s="324">
        <v>2021</v>
      </c>
      <c r="H312" s="324" t="s">
        <v>861</v>
      </c>
      <c r="I312" s="324">
        <v>1</v>
      </c>
    </row>
    <row r="313" spans="2:9">
      <c r="B313" s="324">
        <v>294</v>
      </c>
      <c r="C313" s="324" t="s">
        <v>361</v>
      </c>
      <c r="D313" s="324">
        <v>1966</v>
      </c>
      <c r="E313" s="325">
        <v>944.59</v>
      </c>
      <c r="F313" s="324"/>
      <c r="G313" s="324">
        <v>2021</v>
      </c>
      <c r="H313" s="324" t="s">
        <v>861</v>
      </c>
      <c r="I313" s="324">
        <v>1</v>
      </c>
    </row>
    <row r="314" spans="2:9">
      <c r="B314" s="324">
        <v>295</v>
      </c>
      <c r="C314" s="324" t="s">
        <v>361</v>
      </c>
      <c r="D314" s="324">
        <v>1967</v>
      </c>
      <c r="E314" s="325">
        <v>5645.93</v>
      </c>
      <c r="F314" s="324"/>
      <c r="G314" s="324">
        <v>2021</v>
      </c>
      <c r="H314" s="324" t="s">
        <v>861</v>
      </c>
      <c r="I314" s="324">
        <v>1</v>
      </c>
    </row>
    <row r="315" spans="2:9">
      <c r="B315" s="324">
        <v>296</v>
      </c>
      <c r="C315" s="324" t="s">
        <v>361</v>
      </c>
      <c r="D315" s="324">
        <v>1972</v>
      </c>
      <c r="E315" s="325">
        <v>33239.620000000003</v>
      </c>
      <c r="F315" s="324"/>
      <c r="G315" s="324">
        <v>2021</v>
      </c>
      <c r="H315" s="324" t="s">
        <v>861</v>
      </c>
      <c r="I315" s="324">
        <v>1</v>
      </c>
    </row>
    <row r="316" spans="2:9">
      <c r="B316" s="324">
        <v>297</v>
      </c>
      <c r="C316" s="324" t="s">
        <v>361</v>
      </c>
      <c r="D316" s="324">
        <v>1973</v>
      </c>
      <c r="E316" s="325">
        <v>126124.84</v>
      </c>
      <c r="F316" s="324"/>
      <c r="G316" s="324">
        <v>2021</v>
      </c>
      <c r="H316" s="324" t="s">
        <v>861</v>
      </c>
      <c r="I316" s="324">
        <v>1</v>
      </c>
    </row>
    <row r="317" spans="2:9">
      <c r="B317" s="324">
        <v>298</v>
      </c>
      <c r="C317" s="324" t="s">
        <v>361</v>
      </c>
      <c r="D317" s="324">
        <v>1974</v>
      </c>
      <c r="E317" s="325">
        <v>12379.830000000002</v>
      </c>
      <c r="F317" s="324"/>
      <c r="G317" s="324">
        <v>2021</v>
      </c>
      <c r="H317" s="324" t="s">
        <v>861</v>
      </c>
      <c r="I317" s="324">
        <v>1</v>
      </c>
    </row>
    <row r="318" spans="2:9">
      <c r="B318" s="324">
        <v>299</v>
      </c>
      <c r="C318" s="324" t="s">
        <v>361</v>
      </c>
      <c r="D318" s="324">
        <v>1996</v>
      </c>
      <c r="E318" s="325">
        <v>4334.99</v>
      </c>
      <c r="F318" s="324"/>
      <c r="G318" s="324">
        <v>2021</v>
      </c>
      <c r="H318" s="324" t="s">
        <v>861</v>
      </c>
      <c r="I318" s="324">
        <v>1</v>
      </c>
    </row>
    <row r="319" spans="2:9">
      <c r="B319" s="324">
        <v>300</v>
      </c>
      <c r="C319" s="324" t="s">
        <v>361</v>
      </c>
      <c r="D319" s="324">
        <v>2004</v>
      </c>
      <c r="E319" s="325">
        <v>3261.03</v>
      </c>
      <c r="F319" s="324"/>
      <c r="G319" s="324">
        <v>2021</v>
      </c>
      <c r="H319" s="324" t="s">
        <v>861</v>
      </c>
      <c r="I319" s="324">
        <v>1</v>
      </c>
    </row>
    <row r="320" spans="2:9">
      <c r="B320" s="324">
        <v>301</v>
      </c>
      <c r="C320" s="324" t="s">
        <v>361</v>
      </c>
      <c r="D320" s="324">
        <v>2005</v>
      </c>
      <c r="E320" s="325">
        <v>6498.35</v>
      </c>
      <c r="F320" s="324"/>
      <c r="G320" s="324">
        <v>2021</v>
      </c>
      <c r="H320" s="324" t="s">
        <v>861</v>
      </c>
      <c r="I320" s="324">
        <v>1</v>
      </c>
    </row>
    <row r="321" spans="2:9">
      <c r="B321" s="324">
        <v>302</v>
      </c>
      <c r="C321" s="324" t="s">
        <v>364</v>
      </c>
      <c r="D321" s="324">
        <v>1966</v>
      </c>
      <c r="E321" s="325">
        <v>9693.7099999999991</v>
      </c>
      <c r="F321" s="324"/>
      <c r="G321" s="324">
        <v>2021</v>
      </c>
      <c r="H321" s="324" t="s">
        <v>861</v>
      </c>
      <c r="I321" s="324">
        <v>1</v>
      </c>
    </row>
    <row r="322" spans="2:9">
      <c r="B322" s="324">
        <v>303</v>
      </c>
      <c r="C322" s="324" t="s">
        <v>364</v>
      </c>
      <c r="D322" s="324">
        <v>1975</v>
      </c>
      <c r="E322" s="325">
        <v>41515.949999999997</v>
      </c>
      <c r="F322" s="324"/>
      <c r="G322" s="324">
        <v>2021</v>
      </c>
      <c r="H322" s="324" t="s">
        <v>861</v>
      </c>
      <c r="I322" s="324">
        <v>1</v>
      </c>
    </row>
    <row r="323" spans="2:9">
      <c r="B323" s="324">
        <v>304</v>
      </c>
      <c r="C323" s="324" t="s">
        <v>364</v>
      </c>
      <c r="D323" s="324">
        <v>1998</v>
      </c>
      <c r="E323" s="325">
        <v>15977.01</v>
      </c>
      <c r="F323" s="324"/>
      <c r="G323" s="324">
        <v>2021</v>
      </c>
      <c r="H323" s="324" t="s">
        <v>861</v>
      </c>
      <c r="I323" s="324">
        <v>1</v>
      </c>
    </row>
    <row r="324" spans="2:9">
      <c r="B324" s="324">
        <v>305</v>
      </c>
      <c r="C324" s="324" t="s">
        <v>364</v>
      </c>
      <c r="D324" s="324">
        <v>2006</v>
      </c>
      <c r="E324" s="325">
        <v>102233.51999999999</v>
      </c>
      <c r="F324" s="324"/>
      <c r="G324" s="324">
        <v>2021</v>
      </c>
      <c r="H324" s="324" t="s">
        <v>861</v>
      </c>
      <c r="I324" s="324">
        <v>1</v>
      </c>
    </row>
    <row r="325" spans="2:9">
      <c r="B325" s="324">
        <v>306</v>
      </c>
      <c r="C325" s="324" t="s">
        <v>366</v>
      </c>
      <c r="D325" s="324">
        <v>1986</v>
      </c>
      <c r="E325" s="325">
        <v>11474.46</v>
      </c>
      <c r="F325" s="324"/>
      <c r="G325" s="324">
        <v>2021</v>
      </c>
      <c r="H325" s="324" t="s">
        <v>861</v>
      </c>
      <c r="I325" s="324">
        <v>1</v>
      </c>
    </row>
    <row r="326" spans="2:9">
      <c r="B326" s="324">
        <v>307</v>
      </c>
      <c r="C326" s="324" t="s">
        <v>366</v>
      </c>
      <c r="D326" s="324">
        <v>1996</v>
      </c>
      <c r="E326" s="325">
        <v>3094.13</v>
      </c>
      <c r="F326" s="324"/>
      <c r="G326" s="324">
        <v>2021</v>
      </c>
      <c r="H326" s="324" t="s">
        <v>861</v>
      </c>
      <c r="I326" s="324">
        <v>1</v>
      </c>
    </row>
    <row r="327" spans="2:9">
      <c r="B327" s="324">
        <v>308</v>
      </c>
      <c r="C327" s="324" t="s">
        <v>366</v>
      </c>
      <c r="D327" s="324">
        <v>1997</v>
      </c>
      <c r="E327" s="325">
        <v>31484.79</v>
      </c>
      <c r="F327" s="324"/>
      <c r="G327" s="324">
        <v>2021</v>
      </c>
      <c r="H327" s="324" t="s">
        <v>861</v>
      </c>
      <c r="I327" s="324">
        <v>1</v>
      </c>
    </row>
    <row r="328" spans="2:9">
      <c r="B328" s="324">
        <v>309</v>
      </c>
      <c r="C328" s="324" t="s">
        <v>366</v>
      </c>
      <c r="D328" s="324">
        <v>1998</v>
      </c>
      <c r="E328" s="325">
        <v>1479.93</v>
      </c>
      <c r="F328" s="324"/>
      <c r="G328" s="324">
        <v>2021</v>
      </c>
      <c r="H328" s="324" t="s">
        <v>861</v>
      </c>
      <c r="I328" s="324">
        <v>1</v>
      </c>
    </row>
    <row r="329" spans="2:9">
      <c r="B329" s="324">
        <v>310</v>
      </c>
      <c r="C329" s="324" t="s">
        <v>371</v>
      </c>
      <c r="D329" s="324">
        <v>2014</v>
      </c>
      <c r="E329" s="325">
        <v>389821.72686058586</v>
      </c>
      <c r="F329" s="324"/>
      <c r="G329" s="324">
        <v>2021</v>
      </c>
      <c r="H329" s="324" t="s">
        <v>861</v>
      </c>
      <c r="I329" s="324">
        <v>1</v>
      </c>
    </row>
    <row r="330" spans="2:9">
      <c r="B330" s="324">
        <v>311</v>
      </c>
      <c r="C330" s="324" t="s">
        <v>371</v>
      </c>
      <c r="D330" s="324">
        <v>2016</v>
      </c>
      <c r="E330" s="325">
        <v>6703956.690605375</v>
      </c>
      <c r="F330" s="324"/>
      <c r="G330" s="324">
        <v>2021</v>
      </c>
      <c r="H330" s="324" t="s">
        <v>861</v>
      </c>
      <c r="I330" s="324">
        <v>1</v>
      </c>
    </row>
    <row r="331" spans="2:9">
      <c r="B331" s="324">
        <v>312</v>
      </c>
      <c r="C331" s="324" t="s">
        <v>371</v>
      </c>
      <c r="D331" s="324">
        <v>2017</v>
      </c>
      <c r="E331" s="325">
        <v>684727.21448209102</v>
      </c>
      <c r="F331" s="324"/>
      <c r="G331" s="324">
        <v>2021</v>
      </c>
      <c r="H331" s="324" t="s">
        <v>861</v>
      </c>
      <c r="I331" s="324">
        <v>1</v>
      </c>
    </row>
    <row r="332" spans="2:9">
      <c r="B332" s="324">
        <v>313</v>
      </c>
      <c r="C332" s="324" t="s">
        <v>371</v>
      </c>
      <c r="D332" s="324">
        <v>2018</v>
      </c>
      <c r="E332" s="325">
        <v>493959.41966385196</v>
      </c>
      <c r="F332" s="324"/>
      <c r="G332" s="324">
        <v>2021</v>
      </c>
      <c r="H332" s="324" t="s">
        <v>861</v>
      </c>
      <c r="I332" s="324">
        <v>1</v>
      </c>
    </row>
    <row r="333" spans="2:9">
      <c r="B333" s="324">
        <v>314</v>
      </c>
      <c r="C333" s="324" t="s">
        <v>371</v>
      </c>
      <c r="D333" s="324">
        <v>2019</v>
      </c>
      <c r="E333" s="325">
        <v>890860.60513630731</v>
      </c>
      <c r="F333" s="324"/>
      <c r="G333" s="324">
        <v>2021</v>
      </c>
      <c r="H333" s="324" t="s">
        <v>861</v>
      </c>
      <c r="I333" s="324">
        <v>1</v>
      </c>
    </row>
    <row r="334" spans="2:9">
      <c r="B334" s="324">
        <v>315</v>
      </c>
      <c r="C334" s="324" t="s">
        <v>376</v>
      </c>
      <c r="D334" s="324">
        <v>2019</v>
      </c>
      <c r="E334" s="325">
        <v>211448.77498552162</v>
      </c>
      <c r="F334" s="324"/>
      <c r="G334" s="324">
        <v>2021</v>
      </c>
      <c r="H334" s="324" t="s">
        <v>861</v>
      </c>
      <c r="I334" s="324">
        <v>1</v>
      </c>
    </row>
    <row r="335" spans="2:9">
      <c r="B335" s="324">
        <v>316</v>
      </c>
      <c r="C335" s="324" t="s">
        <v>305</v>
      </c>
      <c r="D335" s="324">
        <v>1949</v>
      </c>
      <c r="E335" s="325">
        <v>160877.82</v>
      </c>
      <c r="F335" s="324"/>
      <c r="G335" s="324">
        <v>2022</v>
      </c>
      <c r="H335" s="324" t="s">
        <v>853</v>
      </c>
      <c r="I335" s="324">
        <v>2</v>
      </c>
    </row>
    <row r="336" spans="2:9">
      <c r="B336" s="324">
        <v>317</v>
      </c>
      <c r="C336" s="324" t="s">
        <v>305</v>
      </c>
      <c r="D336" s="324">
        <v>1951</v>
      </c>
      <c r="E336" s="325">
        <v>84605.79</v>
      </c>
      <c r="F336" s="324"/>
      <c r="G336" s="324">
        <v>2022</v>
      </c>
      <c r="H336" s="324" t="s">
        <v>853</v>
      </c>
      <c r="I336" s="324">
        <v>2</v>
      </c>
    </row>
    <row r="337" spans="2:9">
      <c r="B337" s="324">
        <v>318</v>
      </c>
      <c r="C337" s="324" t="s">
        <v>305</v>
      </c>
      <c r="D337" s="324">
        <v>1955</v>
      </c>
      <c r="E337" s="325">
        <v>144.74</v>
      </c>
      <c r="F337" s="324"/>
      <c r="G337" s="324">
        <v>2022</v>
      </c>
      <c r="H337" s="324" t="s">
        <v>853</v>
      </c>
      <c r="I337" s="324">
        <v>2</v>
      </c>
    </row>
    <row r="338" spans="2:9">
      <c r="B338" s="324">
        <v>319</v>
      </c>
      <c r="C338" s="324" t="s">
        <v>305</v>
      </c>
      <c r="D338" s="324">
        <v>1960</v>
      </c>
      <c r="E338" s="325">
        <v>0.01</v>
      </c>
      <c r="F338" s="324"/>
      <c r="G338" s="324">
        <v>2022</v>
      </c>
      <c r="H338" s="324" t="s">
        <v>853</v>
      </c>
      <c r="I338" s="324">
        <v>2</v>
      </c>
    </row>
    <row r="339" spans="2:9">
      <c r="B339" s="324">
        <v>320</v>
      </c>
      <c r="C339" s="324" t="s">
        <v>305</v>
      </c>
      <c r="D339" s="324">
        <v>1964</v>
      </c>
      <c r="E339" s="325">
        <v>30000</v>
      </c>
      <c r="F339" s="324"/>
      <c r="G339" s="324">
        <v>2022</v>
      </c>
      <c r="H339" s="324" t="s">
        <v>853</v>
      </c>
      <c r="I339" s="324">
        <v>2</v>
      </c>
    </row>
    <row r="340" spans="2:9">
      <c r="B340" s="324">
        <v>321</v>
      </c>
      <c r="C340" s="324" t="s">
        <v>305</v>
      </c>
      <c r="D340" s="324">
        <v>1965</v>
      </c>
      <c r="E340" s="325">
        <v>138426.70000000001</v>
      </c>
      <c r="F340" s="324"/>
      <c r="G340" s="324">
        <v>2022</v>
      </c>
      <c r="H340" s="324" t="s">
        <v>853</v>
      </c>
      <c r="I340" s="324">
        <v>2</v>
      </c>
    </row>
    <row r="341" spans="2:9">
      <c r="B341" s="324">
        <v>322</v>
      </c>
      <c r="C341" s="324" t="s">
        <v>305</v>
      </c>
      <c r="D341" s="324">
        <v>1966</v>
      </c>
      <c r="E341" s="325">
        <v>234290.08</v>
      </c>
      <c r="F341" s="324"/>
      <c r="G341" s="324">
        <v>2022</v>
      </c>
      <c r="H341" s="324" t="s">
        <v>853</v>
      </c>
      <c r="I341" s="324">
        <v>2</v>
      </c>
    </row>
    <row r="342" spans="2:9">
      <c r="B342" s="324">
        <v>323</v>
      </c>
      <c r="C342" s="324" t="s">
        <v>305</v>
      </c>
      <c r="D342" s="324">
        <v>1967</v>
      </c>
      <c r="E342" s="325">
        <v>91461.86</v>
      </c>
      <c r="F342" s="324"/>
      <c r="G342" s="324">
        <v>2022</v>
      </c>
      <c r="H342" s="324" t="s">
        <v>853</v>
      </c>
      <c r="I342" s="324">
        <v>2</v>
      </c>
    </row>
    <row r="343" spans="2:9">
      <c r="B343" s="324">
        <v>324</v>
      </c>
      <c r="C343" s="324" t="s">
        <v>305</v>
      </c>
      <c r="D343" s="324">
        <v>1968</v>
      </c>
      <c r="E343" s="325">
        <v>48585.87</v>
      </c>
      <c r="F343" s="324"/>
      <c r="G343" s="324">
        <v>2022</v>
      </c>
      <c r="H343" s="324" t="s">
        <v>853</v>
      </c>
      <c r="I343" s="324">
        <v>2</v>
      </c>
    </row>
    <row r="344" spans="2:9">
      <c r="B344" s="324">
        <v>325</v>
      </c>
      <c r="C344" s="324" t="s">
        <v>305</v>
      </c>
      <c r="D344" s="324">
        <v>1969</v>
      </c>
      <c r="E344" s="325">
        <v>78148.28</v>
      </c>
      <c r="F344" s="324"/>
      <c r="G344" s="324">
        <v>2022</v>
      </c>
      <c r="H344" s="324" t="s">
        <v>853</v>
      </c>
      <c r="I344" s="324">
        <v>2</v>
      </c>
    </row>
    <row r="345" spans="2:9">
      <c r="B345" s="324">
        <v>326</v>
      </c>
      <c r="C345" s="324" t="s">
        <v>305</v>
      </c>
      <c r="D345" s="324">
        <v>1970</v>
      </c>
      <c r="E345" s="325">
        <v>107313.68999999999</v>
      </c>
      <c r="F345" s="324"/>
      <c r="G345" s="324">
        <v>2022</v>
      </c>
      <c r="H345" s="324" t="s">
        <v>853</v>
      </c>
      <c r="I345" s="324">
        <v>2</v>
      </c>
    </row>
    <row r="346" spans="2:9">
      <c r="B346" s="324">
        <v>327</v>
      </c>
      <c r="C346" s="324" t="s">
        <v>305</v>
      </c>
      <c r="D346" s="324">
        <v>1971</v>
      </c>
      <c r="E346" s="325">
        <v>63212.38</v>
      </c>
      <c r="F346" s="324"/>
      <c r="G346" s="324">
        <v>2022</v>
      </c>
      <c r="H346" s="324" t="s">
        <v>853</v>
      </c>
      <c r="I346" s="324">
        <v>2</v>
      </c>
    </row>
    <row r="347" spans="2:9">
      <c r="B347" s="324">
        <v>328</v>
      </c>
      <c r="C347" s="324" t="s">
        <v>305</v>
      </c>
      <c r="D347" s="324">
        <v>1972</v>
      </c>
      <c r="E347" s="325">
        <v>191127.04000000001</v>
      </c>
      <c r="F347" s="324"/>
      <c r="G347" s="324">
        <v>2022</v>
      </c>
      <c r="H347" s="324" t="s">
        <v>853</v>
      </c>
      <c r="I347" s="324">
        <v>2</v>
      </c>
    </row>
    <row r="348" spans="2:9">
      <c r="B348" s="324">
        <v>329</v>
      </c>
      <c r="C348" s="324" t="s">
        <v>305</v>
      </c>
      <c r="D348" s="324">
        <v>1973</v>
      </c>
      <c r="E348" s="325">
        <v>149822.34</v>
      </c>
      <c r="F348" s="324"/>
      <c r="G348" s="324">
        <v>2022</v>
      </c>
      <c r="H348" s="324" t="s">
        <v>853</v>
      </c>
      <c r="I348" s="324">
        <v>2</v>
      </c>
    </row>
    <row r="349" spans="2:9">
      <c r="B349" s="324">
        <v>330</v>
      </c>
      <c r="C349" s="324" t="s">
        <v>305</v>
      </c>
      <c r="D349" s="324">
        <v>1974</v>
      </c>
      <c r="E349" s="325">
        <v>54981.1</v>
      </c>
      <c r="F349" s="324"/>
      <c r="G349" s="324">
        <v>2022</v>
      </c>
      <c r="H349" s="324" t="s">
        <v>853</v>
      </c>
      <c r="I349" s="324">
        <v>2</v>
      </c>
    </row>
    <row r="350" spans="2:9">
      <c r="B350" s="324">
        <v>331</v>
      </c>
      <c r="C350" s="324" t="s">
        <v>305</v>
      </c>
      <c r="D350" s="324">
        <v>1975</v>
      </c>
      <c r="E350" s="325">
        <v>42603.9</v>
      </c>
      <c r="F350" s="324"/>
      <c r="G350" s="324">
        <v>2022</v>
      </c>
      <c r="H350" s="324" t="s">
        <v>853</v>
      </c>
      <c r="I350" s="324">
        <v>2</v>
      </c>
    </row>
    <row r="351" spans="2:9">
      <c r="B351" s="324">
        <v>332</v>
      </c>
      <c r="C351" s="324" t="s">
        <v>305</v>
      </c>
      <c r="D351" s="324">
        <v>1976</v>
      </c>
      <c r="E351" s="325">
        <v>96350.659999999989</v>
      </c>
      <c r="F351" s="324"/>
      <c r="G351" s="324">
        <v>2022</v>
      </c>
      <c r="H351" s="324" t="s">
        <v>853</v>
      </c>
      <c r="I351" s="324">
        <v>2</v>
      </c>
    </row>
    <row r="352" spans="2:9">
      <c r="B352" s="324">
        <v>333</v>
      </c>
      <c r="C352" s="324" t="s">
        <v>305</v>
      </c>
      <c r="D352" s="324">
        <v>1977</v>
      </c>
      <c r="E352" s="325">
        <v>40000</v>
      </c>
      <c r="F352" s="324"/>
      <c r="G352" s="324">
        <v>2022</v>
      </c>
      <c r="H352" s="324" t="s">
        <v>853</v>
      </c>
      <c r="I352" s="324">
        <v>2</v>
      </c>
    </row>
    <row r="353" spans="2:9">
      <c r="B353" s="324">
        <v>334</v>
      </c>
      <c r="C353" s="324" t="s">
        <v>305</v>
      </c>
      <c r="D353" s="324">
        <v>1980</v>
      </c>
      <c r="E353" s="325">
        <v>120440.92</v>
      </c>
      <c r="F353" s="324"/>
      <c r="G353" s="324">
        <v>2022</v>
      </c>
      <c r="H353" s="324" t="s">
        <v>853</v>
      </c>
      <c r="I353" s="324">
        <v>2</v>
      </c>
    </row>
    <row r="354" spans="2:9">
      <c r="B354" s="324">
        <v>335</v>
      </c>
      <c r="C354" s="324" t="s">
        <v>305</v>
      </c>
      <c r="D354" s="324">
        <v>1986</v>
      </c>
      <c r="E354" s="325">
        <v>522.41999999999996</v>
      </c>
      <c r="F354" s="324"/>
      <c r="G354" s="324">
        <v>2022</v>
      </c>
      <c r="H354" s="324" t="s">
        <v>853</v>
      </c>
      <c r="I354" s="324">
        <v>2</v>
      </c>
    </row>
    <row r="355" spans="2:9">
      <c r="B355" s="324">
        <v>336</v>
      </c>
      <c r="C355" s="324" t="s">
        <v>305</v>
      </c>
      <c r="D355" s="324">
        <v>1987</v>
      </c>
      <c r="E355" s="325">
        <v>53825.87</v>
      </c>
      <c r="F355" s="324"/>
      <c r="G355" s="324">
        <v>2022</v>
      </c>
      <c r="H355" s="324" t="s">
        <v>853</v>
      </c>
      <c r="I355" s="324">
        <v>2</v>
      </c>
    </row>
    <row r="356" spans="2:9">
      <c r="B356" s="324">
        <v>337</v>
      </c>
      <c r="C356" s="324" t="s">
        <v>305</v>
      </c>
      <c r="D356" s="324">
        <v>1991</v>
      </c>
      <c r="E356" s="325">
        <v>27309.98</v>
      </c>
      <c r="F356" s="324"/>
      <c r="G356" s="324">
        <v>2022</v>
      </c>
      <c r="H356" s="324" t="s">
        <v>853</v>
      </c>
      <c r="I356" s="324">
        <v>2</v>
      </c>
    </row>
    <row r="357" spans="2:9">
      <c r="B357" s="324">
        <v>338</v>
      </c>
      <c r="C357" s="324" t="s">
        <v>305</v>
      </c>
      <c r="D357" s="324">
        <v>1994</v>
      </c>
      <c r="E357" s="325">
        <v>108598.45</v>
      </c>
      <c r="F357" s="324"/>
      <c r="G357" s="324">
        <v>2022</v>
      </c>
      <c r="H357" s="324" t="s">
        <v>853</v>
      </c>
      <c r="I357" s="324">
        <v>2</v>
      </c>
    </row>
    <row r="358" spans="2:9">
      <c r="B358" s="324">
        <v>339</v>
      </c>
      <c r="C358" s="324" t="s">
        <v>305</v>
      </c>
      <c r="D358" s="324">
        <v>1995</v>
      </c>
      <c r="E358" s="325">
        <v>22977.040000000001</v>
      </c>
      <c r="F358" s="324"/>
      <c r="G358" s="324">
        <v>2022</v>
      </c>
      <c r="H358" s="324" t="s">
        <v>853</v>
      </c>
      <c r="I358" s="324">
        <v>2</v>
      </c>
    </row>
    <row r="359" spans="2:9">
      <c r="B359" s="324">
        <v>340</v>
      </c>
      <c r="C359" s="324" t="s">
        <v>305</v>
      </c>
      <c r="D359" s="324">
        <v>1997</v>
      </c>
      <c r="E359" s="325">
        <v>4863.96</v>
      </c>
      <c r="F359" s="324"/>
      <c r="G359" s="324">
        <v>2022</v>
      </c>
      <c r="H359" s="324" t="s">
        <v>853</v>
      </c>
      <c r="I359" s="324">
        <v>2</v>
      </c>
    </row>
    <row r="360" spans="2:9">
      <c r="B360" s="324">
        <v>341</v>
      </c>
      <c r="C360" s="324" t="s">
        <v>305</v>
      </c>
      <c r="D360" s="324">
        <v>2001</v>
      </c>
      <c r="E360" s="325">
        <v>6708.79</v>
      </c>
      <c r="F360" s="324"/>
      <c r="G360" s="324">
        <v>2022</v>
      </c>
      <c r="H360" s="324" t="s">
        <v>853</v>
      </c>
      <c r="I360" s="324">
        <v>2</v>
      </c>
    </row>
    <row r="361" spans="2:9">
      <c r="B361" s="324">
        <v>342</v>
      </c>
      <c r="C361" s="324" t="s">
        <v>305</v>
      </c>
      <c r="D361" s="324">
        <v>2002</v>
      </c>
      <c r="E361" s="325">
        <v>4460.3999999999996</v>
      </c>
      <c r="F361" s="324"/>
      <c r="G361" s="324">
        <v>2022</v>
      </c>
      <c r="H361" s="324" t="s">
        <v>853</v>
      </c>
      <c r="I361" s="324">
        <v>2</v>
      </c>
    </row>
    <row r="362" spans="2:9">
      <c r="B362" s="324">
        <v>343</v>
      </c>
      <c r="C362" s="324" t="s">
        <v>305</v>
      </c>
      <c r="D362" s="324">
        <v>2004</v>
      </c>
      <c r="E362" s="325">
        <v>111686.38999999998</v>
      </c>
      <c r="F362" s="324"/>
      <c r="G362" s="324">
        <v>2022</v>
      </c>
      <c r="H362" s="324" t="s">
        <v>853</v>
      </c>
      <c r="I362" s="324">
        <v>2</v>
      </c>
    </row>
    <row r="363" spans="2:9">
      <c r="B363" s="324">
        <v>344</v>
      </c>
      <c r="C363" s="324" t="s">
        <v>305</v>
      </c>
      <c r="D363" s="324">
        <v>2005</v>
      </c>
      <c r="E363" s="325">
        <v>24040.95</v>
      </c>
      <c r="F363" s="324"/>
      <c r="G363" s="324">
        <v>2022</v>
      </c>
      <c r="H363" s="324" t="s">
        <v>853</v>
      </c>
      <c r="I363" s="324">
        <v>2</v>
      </c>
    </row>
    <row r="364" spans="2:9">
      <c r="B364" s="324">
        <v>345</v>
      </c>
      <c r="C364" s="324" t="s">
        <v>305</v>
      </c>
      <c r="D364" s="324">
        <v>2009</v>
      </c>
      <c r="E364" s="325">
        <v>382357.44</v>
      </c>
      <c r="F364" s="324"/>
      <c r="G364" s="324">
        <v>2022</v>
      </c>
      <c r="H364" s="324" t="s">
        <v>853</v>
      </c>
      <c r="I364" s="324">
        <v>2</v>
      </c>
    </row>
    <row r="365" spans="2:9">
      <c r="B365" s="324">
        <v>346</v>
      </c>
      <c r="C365" s="324" t="s">
        <v>305</v>
      </c>
      <c r="D365" s="324">
        <v>2010</v>
      </c>
      <c r="E365" s="325">
        <v>161319.04441174126</v>
      </c>
      <c r="F365" s="324"/>
      <c r="G365" s="324">
        <v>2022</v>
      </c>
      <c r="H365" s="324" t="s">
        <v>853</v>
      </c>
      <c r="I365" s="324">
        <v>2</v>
      </c>
    </row>
    <row r="366" spans="2:9">
      <c r="B366" s="324">
        <v>347</v>
      </c>
      <c r="C366" s="324" t="s">
        <v>305</v>
      </c>
      <c r="D366" s="324">
        <v>2011</v>
      </c>
      <c r="E366" s="325">
        <v>58878.280274353092</v>
      </c>
      <c r="F366" s="324"/>
      <c r="G366" s="324">
        <v>2022</v>
      </c>
      <c r="H366" s="324" t="s">
        <v>853</v>
      </c>
      <c r="I366" s="324">
        <v>2</v>
      </c>
    </row>
    <row r="367" spans="2:9">
      <c r="B367" s="324">
        <v>348</v>
      </c>
      <c r="C367" s="324" t="s">
        <v>305</v>
      </c>
      <c r="D367" s="324">
        <v>2012</v>
      </c>
      <c r="E367" s="325">
        <v>93953.985920705352</v>
      </c>
      <c r="F367" s="324"/>
      <c r="G367" s="324">
        <v>2022</v>
      </c>
      <c r="H367" s="324" t="s">
        <v>853</v>
      </c>
      <c r="I367" s="324">
        <v>2</v>
      </c>
    </row>
    <row r="368" spans="2:9">
      <c r="B368" s="324">
        <v>349</v>
      </c>
      <c r="C368" s="324" t="s">
        <v>305</v>
      </c>
      <c r="D368" s="324">
        <v>2013</v>
      </c>
      <c r="E368" s="325">
        <v>168956.89717004116</v>
      </c>
      <c r="F368" s="324"/>
      <c r="G368" s="324">
        <v>2022</v>
      </c>
      <c r="H368" s="324" t="s">
        <v>853</v>
      </c>
      <c r="I368" s="324">
        <v>2</v>
      </c>
    </row>
    <row r="369" spans="2:9">
      <c r="B369" s="324">
        <v>350</v>
      </c>
      <c r="C369" s="324" t="s">
        <v>309</v>
      </c>
      <c r="D369" s="324">
        <v>1965</v>
      </c>
      <c r="E369" s="325">
        <v>59962.48</v>
      </c>
      <c r="F369" s="324"/>
      <c r="G369" s="324">
        <v>2022</v>
      </c>
      <c r="H369" s="324" t="s">
        <v>853</v>
      </c>
      <c r="I369" s="324">
        <v>2</v>
      </c>
    </row>
    <row r="370" spans="2:9">
      <c r="B370" s="324">
        <v>351</v>
      </c>
      <c r="C370" s="324" t="s">
        <v>309</v>
      </c>
      <c r="D370" s="324">
        <v>1966</v>
      </c>
      <c r="E370" s="325">
        <v>318047.64</v>
      </c>
      <c r="F370" s="324"/>
      <c r="G370" s="324">
        <v>2022</v>
      </c>
      <c r="H370" s="324" t="s">
        <v>853</v>
      </c>
      <c r="I370" s="324">
        <v>2</v>
      </c>
    </row>
    <row r="371" spans="2:9">
      <c r="B371" s="324">
        <v>352</v>
      </c>
      <c r="C371" s="324" t="s">
        <v>309</v>
      </c>
      <c r="D371" s="324">
        <v>1967</v>
      </c>
      <c r="E371" s="325">
        <v>109472.13</v>
      </c>
      <c r="F371" s="324"/>
      <c r="G371" s="324">
        <v>2022</v>
      </c>
      <c r="H371" s="324" t="s">
        <v>853</v>
      </c>
      <c r="I371" s="324">
        <v>2</v>
      </c>
    </row>
    <row r="372" spans="2:9">
      <c r="B372" s="324">
        <v>353</v>
      </c>
      <c r="C372" s="324" t="s">
        <v>309</v>
      </c>
      <c r="D372" s="324">
        <v>1968</v>
      </c>
      <c r="E372" s="325">
        <v>205157.75</v>
      </c>
      <c r="F372" s="324"/>
      <c r="G372" s="324">
        <v>2022</v>
      </c>
      <c r="H372" s="324" t="s">
        <v>853</v>
      </c>
      <c r="I372" s="324">
        <v>2</v>
      </c>
    </row>
    <row r="373" spans="2:9">
      <c r="B373" s="324">
        <v>354</v>
      </c>
      <c r="C373" s="324" t="s">
        <v>309</v>
      </c>
      <c r="D373" s="324">
        <v>1969</v>
      </c>
      <c r="E373" s="325">
        <v>384223.42</v>
      </c>
      <c r="F373" s="324"/>
      <c r="G373" s="324">
        <v>2022</v>
      </c>
      <c r="H373" s="324" t="s">
        <v>853</v>
      </c>
      <c r="I373" s="324">
        <v>2</v>
      </c>
    </row>
    <row r="374" spans="2:9">
      <c r="B374" s="324">
        <v>355</v>
      </c>
      <c r="C374" s="324" t="s">
        <v>309</v>
      </c>
      <c r="D374" s="324">
        <v>1970</v>
      </c>
      <c r="E374" s="325">
        <v>158864.33000000002</v>
      </c>
      <c r="F374" s="324"/>
      <c r="G374" s="324">
        <v>2022</v>
      </c>
      <c r="H374" s="324" t="s">
        <v>853</v>
      </c>
      <c r="I374" s="324">
        <v>2</v>
      </c>
    </row>
    <row r="375" spans="2:9">
      <c r="B375" s="324">
        <v>356</v>
      </c>
      <c r="C375" s="324" t="s">
        <v>309</v>
      </c>
      <c r="D375" s="324">
        <v>1971</v>
      </c>
      <c r="E375" s="325">
        <v>262805.23</v>
      </c>
      <c r="F375" s="324"/>
      <c r="G375" s="324">
        <v>2022</v>
      </c>
      <c r="H375" s="324" t="s">
        <v>853</v>
      </c>
      <c r="I375" s="324">
        <v>2</v>
      </c>
    </row>
    <row r="376" spans="2:9">
      <c r="B376" s="324">
        <v>357</v>
      </c>
      <c r="C376" s="324" t="s">
        <v>309</v>
      </c>
      <c r="D376" s="324">
        <v>1972</v>
      </c>
      <c r="E376" s="325">
        <v>114985.86000000002</v>
      </c>
      <c r="F376" s="324"/>
      <c r="G376" s="324">
        <v>2022</v>
      </c>
      <c r="H376" s="324" t="s">
        <v>853</v>
      </c>
      <c r="I376" s="324">
        <v>2</v>
      </c>
    </row>
    <row r="377" spans="2:9">
      <c r="B377" s="324">
        <v>358</v>
      </c>
      <c r="C377" s="324" t="s">
        <v>309</v>
      </c>
      <c r="D377" s="324">
        <v>1973</v>
      </c>
      <c r="E377" s="325">
        <v>120091.87999999999</v>
      </c>
      <c r="F377" s="324"/>
      <c r="G377" s="324">
        <v>2022</v>
      </c>
      <c r="H377" s="324" t="s">
        <v>853</v>
      </c>
      <c r="I377" s="324">
        <v>2</v>
      </c>
    </row>
    <row r="378" spans="2:9">
      <c r="B378" s="324">
        <v>359</v>
      </c>
      <c r="C378" s="324" t="s">
        <v>309</v>
      </c>
      <c r="D378" s="324">
        <v>1974</v>
      </c>
      <c r="E378" s="325">
        <v>93174.06</v>
      </c>
      <c r="F378" s="324"/>
      <c r="G378" s="324">
        <v>2022</v>
      </c>
      <c r="H378" s="324" t="s">
        <v>853</v>
      </c>
      <c r="I378" s="324">
        <v>2</v>
      </c>
    </row>
    <row r="379" spans="2:9">
      <c r="B379" s="324">
        <v>360</v>
      </c>
      <c r="C379" s="324" t="s">
        <v>309</v>
      </c>
      <c r="D379" s="324">
        <v>1975</v>
      </c>
      <c r="E379" s="325">
        <v>4893.67</v>
      </c>
      <c r="F379" s="324"/>
      <c r="G379" s="324">
        <v>2022</v>
      </c>
      <c r="H379" s="324" t="s">
        <v>853</v>
      </c>
      <c r="I379" s="324">
        <v>2</v>
      </c>
    </row>
    <row r="380" spans="2:9">
      <c r="B380" s="324">
        <v>361</v>
      </c>
      <c r="C380" s="324" t="s">
        <v>309</v>
      </c>
      <c r="D380" s="324">
        <v>1976</v>
      </c>
      <c r="E380" s="325">
        <v>22029.58</v>
      </c>
      <c r="F380" s="324"/>
      <c r="G380" s="324">
        <v>2022</v>
      </c>
      <c r="H380" s="324" t="s">
        <v>853</v>
      </c>
      <c r="I380" s="324">
        <v>2</v>
      </c>
    </row>
    <row r="381" spans="2:9">
      <c r="B381" s="324">
        <v>362</v>
      </c>
      <c r="C381" s="324" t="s">
        <v>309</v>
      </c>
      <c r="D381" s="324">
        <v>1977</v>
      </c>
      <c r="E381" s="325">
        <v>46858.65</v>
      </c>
      <c r="F381" s="324"/>
      <c r="G381" s="324">
        <v>2022</v>
      </c>
      <c r="H381" s="324" t="s">
        <v>853</v>
      </c>
      <c r="I381" s="324">
        <v>2</v>
      </c>
    </row>
    <row r="382" spans="2:9">
      <c r="B382" s="324">
        <v>363</v>
      </c>
      <c r="C382" s="324" t="s">
        <v>309</v>
      </c>
      <c r="D382" s="324">
        <v>1979</v>
      </c>
      <c r="E382" s="325">
        <v>5905.65</v>
      </c>
      <c r="F382" s="324"/>
      <c r="G382" s="324">
        <v>2022</v>
      </c>
      <c r="H382" s="324" t="s">
        <v>853</v>
      </c>
      <c r="I382" s="324">
        <v>2</v>
      </c>
    </row>
    <row r="383" spans="2:9">
      <c r="B383" s="324">
        <v>364</v>
      </c>
      <c r="C383" s="324" t="s">
        <v>309</v>
      </c>
      <c r="D383" s="324">
        <v>1980</v>
      </c>
      <c r="E383" s="325">
        <v>150815.79</v>
      </c>
      <c r="F383" s="324"/>
      <c r="G383" s="324">
        <v>2022</v>
      </c>
      <c r="H383" s="324" t="s">
        <v>853</v>
      </c>
      <c r="I383" s="324">
        <v>2</v>
      </c>
    </row>
    <row r="384" spans="2:9">
      <c r="B384" s="324">
        <v>365</v>
      </c>
      <c r="C384" s="324" t="s">
        <v>309</v>
      </c>
      <c r="D384" s="324">
        <v>1981</v>
      </c>
      <c r="E384" s="325">
        <v>32315.9</v>
      </c>
      <c r="F384" s="324"/>
      <c r="G384" s="324">
        <v>2022</v>
      </c>
      <c r="H384" s="324" t="s">
        <v>853</v>
      </c>
      <c r="I384" s="324">
        <v>2</v>
      </c>
    </row>
    <row r="385" spans="2:9">
      <c r="B385" s="324">
        <v>366</v>
      </c>
      <c r="C385" s="324" t="s">
        <v>309</v>
      </c>
      <c r="D385" s="324">
        <v>1982</v>
      </c>
      <c r="E385" s="325">
        <v>8847.35</v>
      </c>
      <c r="F385" s="324"/>
      <c r="G385" s="324">
        <v>2022</v>
      </c>
      <c r="H385" s="324" t="s">
        <v>853</v>
      </c>
      <c r="I385" s="324">
        <v>2</v>
      </c>
    </row>
    <row r="386" spans="2:9">
      <c r="B386" s="324">
        <v>367</v>
      </c>
      <c r="C386" s="324" t="s">
        <v>309</v>
      </c>
      <c r="D386" s="324">
        <v>1984</v>
      </c>
      <c r="E386" s="325">
        <v>4950.9399999999996</v>
      </c>
      <c r="F386" s="324"/>
      <c r="G386" s="324">
        <v>2022</v>
      </c>
      <c r="H386" s="324" t="s">
        <v>853</v>
      </c>
      <c r="I386" s="324">
        <v>2</v>
      </c>
    </row>
    <row r="387" spans="2:9">
      <c r="B387" s="324">
        <v>368</v>
      </c>
      <c r="C387" s="324" t="s">
        <v>309</v>
      </c>
      <c r="D387" s="324">
        <v>1989</v>
      </c>
      <c r="E387" s="325">
        <v>51009.69</v>
      </c>
      <c r="F387" s="324"/>
      <c r="G387" s="324">
        <v>2022</v>
      </c>
      <c r="H387" s="324" t="s">
        <v>853</v>
      </c>
      <c r="I387" s="324">
        <v>2</v>
      </c>
    </row>
    <row r="388" spans="2:9">
      <c r="B388" s="324">
        <v>369</v>
      </c>
      <c r="C388" s="324" t="s">
        <v>309</v>
      </c>
      <c r="D388" s="324">
        <v>1990</v>
      </c>
      <c r="E388" s="325">
        <v>160044.32</v>
      </c>
      <c r="F388" s="324"/>
      <c r="G388" s="324">
        <v>2022</v>
      </c>
      <c r="H388" s="324" t="s">
        <v>853</v>
      </c>
      <c r="I388" s="324">
        <v>2</v>
      </c>
    </row>
    <row r="389" spans="2:9">
      <c r="B389" s="324">
        <v>370</v>
      </c>
      <c r="C389" s="324" t="s">
        <v>309</v>
      </c>
      <c r="D389" s="324">
        <v>1991</v>
      </c>
      <c r="E389" s="325">
        <v>8034.15</v>
      </c>
      <c r="F389" s="324"/>
      <c r="G389" s="324">
        <v>2022</v>
      </c>
      <c r="H389" s="324" t="s">
        <v>853</v>
      </c>
      <c r="I389" s="324">
        <v>2</v>
      </c>
    </row>
    <row r="390" spans="2:9">
      <c r="B390" s="324">
        <v>371</v>
      </c>
      <c r="C390" s="324" t="s">
        <v>309</v>
      </c>
      <c r="D390" s="324">
        <v>1992</v>
      </c>
      <c r="E390" s="325">
        <v>21906.92</v>
      </c>
      <c r="F390" s="324"/>
      <c r="G390" s="324">
        <v>2022</v>
      </c>
      <c r="H390" s="324" t="s">
        <v>853</v>
      </c>
      <c r="I390" s="324">
        <v>2</v>
      </c>
    </row>
    <row r="391" spans="2:9">
      <c r="B391" s="324">
        <v>372</v>
      </c>
      <c r="C391" s="324" t="s">
        <v>309</v>
      </c>
      <c r="D391" s="324">
        <v>1993</v>
      </c>
      <c r="E391" s="325">
        <v>15863.25</v>
      </c>
      <c r="F391" s="324"/>
      <c r="G391" s="324">
        <v>2022</v>
      </c>
      <c r="H391" s="324" t="s">
        <v>853</v>
      </c>
      <c r="I391" s="324">
        <v>2</v>
      </c>
    </row>
    <row r="392" spans="2:9">
      <c r="B392" s="324">
        <v>373</v>
      </c>
      <c r="C392" s="324" t="s">
        <v>309</v>
      </c>
      <c r="D392" s="324">
        <v>1994</v>
      </c>
      <c r="E392" s="325">
        <v>51450.05</v>
      </c>
      <c r="F392" s="324"/>
      <c r="G392" s="324">
        <v>2022</v>
      </c>
      <c r="H392" s="324" t="s">
        <v>853</v>
      </c>
      <c r="I392" s="324">
        <v>2</v>
      </c>
    </row>
    <row r="393" spans="2:9">
      <c r="B393" s="324">
        <v>374</v>
      </c>
      <c r="C393" s="324" t="s">
        <v>309</v>
      </c>
      <c r="D393" s="324">
        <v>1995</v>
      </c>
      <c r="E393" s="325">
        <v>62522.97</v>
      </c>
      <c r="F393" s="324"/>
      <c r="G393" s="324">
        <v>2022</v>
      </c>
      <c r="H393" s="324" t="s">
        <v>853</v>
      </c>
      <c r="I393" s="324">
        <v>2</v>
      </c>
    </row>
    <row r="394" spans="2:9">
      <c r="B394" s="324">
        <v>375</v>
      </c>
      <c r="C394" s="324" t="s">
        <v>309</v>
      </c>
      <c r="D394" s="324">
        <v>1996</v>
      </c>
      <c r="E394" s="325">
        <v>16582.84</v>
      </c>
      <c r="F394" s="324"/>
      <c r="G394" s="324">
        <v>2022</v>
      </c>
      <c r="H394" s="324" t="s">
        <v>853</v>
      </c>
      <c r="I394" s="324">
        <v>2</v>
      </c>
    </row>
    <row r="395" spans="2:9">
      <c r="B395" s="324">
        <v>376</v>
      </c>
      <c r="C395" s="324" t="s">
        <v>309</v>
      </c>
      <c r="D395" s="324">
        <v>1997</v>
      </c>
      <c r="E395" s="325">
        <v>16150.88</v>
      </c>
      <c r="F395" s="324"/>
      <c r="G395" s="324">
        <v>2022</v>
      </c>
      <c r="H395" s="324" t="s">
        <v>853</v>
      </c>
      <c r="I395" s="324">
        <v>2</v>
      </c>
    </row>
    <row r="396" spans="2:9">
      <c r="B396" s="324">
        <v>377</v>
      </c>
      <c r="C396" s="324" t="s">
        <v>309</v>
      </c>
      <c r="D396" s="324">
        <v>2000</v>
      </c>
      <c r="E396" s="325">
        <v>11054.31</v>
      </c>
      <c r="F396" s="324"/>
      <c r="G396" s="324">
        <v>2022</v>
      </c>
      <c r="H396" s="324" t="s">
        <v>853</v>
      </c>
      <c r="I396" s="324">
        <v>2</v>
      </c>
    </row>
    <row r="397" spans="2:9">
      <c r="B397" s="324">
        <v>378</v>
      </c>
      <c r="C397" s="324" t="s">
        <v>309</v>
      </c>
      <c r="D397" s="324">
        <v>2002</v>
      </c>
      <c r="E397" s="325">
        <v>9572.0400000000009</v>
      </c>
      <c r="F397" s="324"/>
      <c r="G397" s="324">
        <v>2022</v>
      </c>
      <c r="H397" s="324" t="s">
        <v>853</v>
      </c>
      <c r="I397" s="324">
        <v>2</v>
      </c>
    </row>
    <row r="398" spans="2:9">
      <c r="B398" s="324">
        <v>379</v>
      </c>
      <c r="C398" s="324" t="s">
        <v>309</v>
      </c>
      <c r="D398" s="324">
        <v>2003</v>
      </c>
      <c r="E398" s="325">
        <v>37361.589999999997</v>
      </c>
      <c r="F398" s="324"/>
      <c r="G398" s="324">
        <v>2022</v>
      </c>
      <c r="H398" s="324" t="s">
        <v>853</v>
      </c>
      <c r="I398" s="324">
        <v>2</v>
      </c>
    </row>
    <row r="399" spans="2:9">
      <c r="B399" s="324">
        <v>380</v>
      </c>
      <c r="C399" s="324" t="s">
        <v>309</v>
      </c>
      <c r="D399" s="324">
        <v>2005</v>
      </c>
      <c r="E399" s="325">
        <v>13619.77</v>
      </c>
      <c r="F399" s="324"/>
      <c r="G399" s="324">
        <v>2022</v>
      </c>
      <c r="H399" s="324" t="s">
        <v>853</v>
      </c>
      <c r="I399" s="324">
        <v>2</v>
      </c>
    </row>
    <row r="400" spans="2:9">
      <c r="B400" s="324">
        <v>381</v>
      </c>
      <c r="C400" s="324" t="s">
        <v>309</v>
      </c>
      <c r="D400" s="324">
        <v>2007</v>
      </c>
      <c r="E400" s="325">
        <v>316887.66000000003</v>
      </c>
      <c r="F400" s="324"/>
      <c r="G400" s="324">
        <v>2022</v>
      </c>
      <c r="H400" s="324" t="s">
        <v>853</v>
      </c>
      <c r="I400" s="324">
        <v>2</v>
      </c>
    </row>
    <row r="401" spans="2:9">
      <c r="B401" s="324">
        <v>382</v>
      </c>
      <c r="C401" s="324" t="s">
        <v>309</v>
      </c>
      <c r="D401" s="324">
        <v>2010</v>
      </c>
      <c r="E401" s="325">
        <v>154710.54390000002</v>
      </c>
      <c r="F401" s="324"/>
      <c r="G401" s="324">
        <v>2022</v>
      </c>
      <c r="H401" s="324" t="s">
        <v>853</v>
      </c>
      <c r="I401" s="324">
        <v>2</v>
      </c>
    </row>
    <row r="402" spans="2:9">
      <c r="B402" s="324">
        <v>383</v>
      </c>
      <c r="C402" s="324" t="s">
        <v>309</v>
      </c>
      <c r="D402" s="324">
        <v>2012</v>
      </c>
      <c r="E402" s="325">
        <v>41792.986548232657</v>
      </c>
      <c r="F402" s="324"/>
      <c r="G402" s="324">
        <v>2022</v>
      </c>
      <c r="H402" s="324" t="s">
        <v>853</v>
      </c>
      <c r="I402" s="324">
        <v>2</v>
      </c>
    </row>
    <row r="403" spans="2:9">
      <c r="B403" s="324">
        <v>384</v>
      </c>
      <c r="C403" s="324" t="s">
        <v>321</v>
      </c>
      <c r="D403" s="324">
        <v>1980</v>
      </c>
      <c r="E403" s="325">
        <v>47081.56</v>
      </c>
      <c r="F403" s="324"/>
      <c r="G403" s="324">
        <v>2022</v>
      </c>
      <c r="H403" s="324" t="s">
        <v>853</v>
      </c>
      <c r="I403" s="324">
        <v>2</v>
      </c>
    </row>
    <row r="404" spans="2:9">
      <c r="B404" s="324">
        <v>385</v>
      </c>
      <c r="C404" s="324" t="s">
        <v>345</v>
      </c>
      <c r="D404" s="324">
        <v>1970</v>
      </c>
      <c r="E404" s="325">
        <v>81298.009999999995</v>
      </c>
      <c r="F404" s="324"/>
      <c r="G404" s="324">
        <v>2022</v>
      </c>
      <c r="H404" s="324" t="s">
        <v>853</v>
      </c>
      <c r="I404" s="324">
        <v>2</v>
      </c>
    </row>
    <row r="405" spans="2:9">
      <c r="B405" s="324">
        <v>386</v>
      </c>
      <c r="C405" s="324" t="s">
        <v>345</v>
      </c>
      <c r="D405" s="324">
        <v>1971</v>
      </c>
      <c r="E405" s="325">
        <v>86713.88</v>
      </c>
      <c r="F405" s="324"/>
      <c r="G405" s="324">
        <v>2022</v>
      </c>
      <c r="H405" s="324" t="s">
        <v>853</v>
      </c>
      <c r="I405" s="324">
        <v>2</v>
      </c>
    </row>
    <row r="406" spans="2:9">
      <c r="B406" s="324">
        <v>387</v>
      </c>
      <c r="C406" s="324" t="s">
        <v>345</v>
      </c>
      <c r="D406" s="324">
        <v>1974</v>
      </c>
      <c r="E406" s="325">
        <v>177923.75</v>
      </c>
      <c r="F406" s="324"/>
      <c r="G406" s="324">
        <v>2022</v>
      </c>
      <c r="H406" s="324" t="s">
        <v>853</v>
      </c>
      <c r="I406" s="324">
        <v>2</v>
      </c>
    </row>
    <row r="407" spans="2:9">
      <c r="B407" s="324">
        <v>388</v>
      </c>
      <c r="C407" s="324" t="s">
        <v>345</v>
      </c>
      <c r="D407" s="324">
        <v>1997</v>
      </c>
      <c r="E407" s="325">
        <v>15658.35</v>
      </c>
      <c r="F407" s="324"/>
      <c r="G407" s="324">
        <v>2022</v>
      </c>
      <c r="H407" s="324" t="s">
        <v>853</v>
      </c>
      <c r="I407" s="324">
        <v>2</v>
      </c>
    </row>
    <row r="408" spans="2:9">
      <c r="B408" s="324">
        <v>389</v>
      </c>
      <c r="C408" s="324" t="s">
        <v>345</v>
      </c>
      <c r="D408" s="324">
        <v>2011</v>
      </c>
      <c r="E408" s="325">
        <v>117399.27471035083</v>
      </c>
      <c r="F408" s="324"/>
      <c r="G408" s="324">
        <v>2022</v>
      </c>
      <c r="H408" s="324" t="s">
        <v>853</v>
      </c>
      <c r="I408" s="324">
        <v>2</v>
      </c>
    </row>
    <row r="409" spans="2:9">
      <c r="B409" s="324">
        <v>390</v>
      </c>
      <c r="C409" s="324" t="s">
        <v>348</v>
      </c>
      <c r="D409" s="324">
        <v>1977</v>
      </c>
      <c r="E409" s="325">
        <v>1111944.56</v>
      </c>
      <c r="F409" s="324"/>
      <c r="G409" s="324">
        <v>2022</v>
      </c>
      <c r="H409" s="324" t="s">
        <v>853</v>
      </c>
      <c r="I409" s="324">
        <v>2</v>
      </c>
    </row>
    <row r="410" spans="2:9">
      <c r="B410" s="324">
        <v>391</v>
      </c>
      <c r="C410" s="324" t="s">
        <v>348</v>
      </c>
      <c r="D410" s="324">
        <v>1998</v>
      </c>
      <c r="E410" s="325">
        <v>1841303.44</v>
      </c>
      <c r="F410" s="324"/>
      <c r="G410" s="324">
        <v>2022</v>
      </c>
      <c r="H410" s="324" t="s">
        <v>853</v>
      </c>
      <c r="I410" s="324">
        <v>2</v>
      </c>
    </row>
    <row r="411" spans="2:9">
      <c r="B411" s="324">
        <v>392</v>
      </c>
      <c r="C411" s="324" t="s">
        <v>349</v>
      </c>
      <c r="D411" s="324">
        <v>2019</v>
      </c>
      <c r="E411" s="325">
        <v>64295.18960042399</v>
      </c>
      <c r="F411" s="324"/>
      <c r="G411" s="324">
        <v>2022</v>
      </c>
      <c r="H411" s="324" t="s">
        <v>853</v>
      </c>
      <c r="I411" s="324">
        <v>2</v>
      </c>
    </row>
    <row r="412" spans="2:9">
      <c r="B412" s="324">
        <v>393</v>
      </c>
      <c r="C412" s="324" t="s">
        <v>353</v>
      </c>
      <c r="D412" s="324">
        <v>1964</v>
      </c>
      <c r="E412" s="325">
        <v>1445.34</v>
      </c>
      <c r="F412" s="324"/>
      <c r="G412" s="324">
        <v>2022</v>
      </c>
      <c r="H412" s="324" t="s">
        <v>853</v>
      </c>
      <c r="I412" s="324">
        <v>2</v>
      </c>
    </row>
    <row r="413" spans="2:9">
      <c r="B413" s="324">
        <v>394</v>
      </c>
      <c r="C413" s="324" t="s">
        <v>353</v>
      </c>
      <c r="D413" s="324">
        <v>1977</v>
      </c>
      <c r="E413" s="325">
        <v>50000</v>
      </c>
      <c r="F413" s="324"/>
      <c r="G413" s="324">
        <v>2022</v>
      </c>
      <c r="H413" s="324" t="s">
        <v>853</v>
      </c>
      <c r="I413" s="324">
        <v>2</v>
      </c>
    </row>
    <row r="414" spans="2:9">
      <c r="B414" s="324">
        <v>395</v>
      </c>
      <c r="C414" s="324" t="s">
        <v>353</v>
      </c>
      <c r="D414" s="324">
        <v>1978</v>
      </c>
      <c r="E414" s="325">
        <v>16458.09</v>
      </c>
      <c r="F414" s="324"/>
      <c r="G414" s="324">
        <v>2022</v>
      </c>
      <c r="H414" s="324" t="s">
        <v>853</v>
      </c>
      <c r="I414" s="324">
        <v>2</v>
      </c>
    </row>
    <row r="415" spans="2:9">
      <c r="B415" s="324">
        <v>396</v>
      </c>
      <c r="C415" s="324" t="s">
        <v>353</v>
      </c>
      <c r="D415" s="324">
        <v>1983</v>
      </c>
      <c r="E415" s="325">
        <v>44290.400000000001</v>
      </c>
      <c r="F415" s="324"/>
      <c r="G415" s="324">
        <v>2022</v>
      </c>
      <c r="H415" s="324" t="s">
        <v>853</v>
      </c>
      <c r="I415" s="324">
        <v>2</v>
      </c>
    </row>
    <row r="416" spans="2:9">
      <c r="B416" s="324">
        <v>397</v>
      </c>
      <c r="C416" s="324" t="s">
        <v>353</v>
      </c>
      <c r="D416" s="324">
        <v>1987</v>
      </c>
      <c r="E416" s="325">
        <v>90000</v>
      </c>
      <c r="F416" s="324"/>
      <c r="G416" s="324">
        <v>2022</v>
      </c>
      <c r="H416" s="324" t="s">
        <v>853</v>
      </c>
      <c r="I416" s="324">
        <v>2</v>
      </c>
    </row>
    <row r="417" spans="2:9">
      <c r="B417" s="324">
        <v>398</v>
      </c>
      <c r="C417" s="324" t="s">
        <v>361</v>
      </c>
      <c r="D417" s="324">
        <v>1964</v>
      </c>
      <c r="E417" s="325">
        <v>184143.09</v>
      </c>
      <c r="F417" s="324"/>
      <c r="G417" s="324">
        <v>2022</v>
      </c>
      <c r="H417" s="324" t="s">
        <v>853</v>
      </c>
      <c r="I417" s="324">
        <v>2</v>
      </c>
    </row>
    <row r="418" spans="2:9">
      <c r="B418" s="324">
        <v>399</v>
      </c>
      <c r="C418" s="324" t="s">
        <v>361</v>
      </c>
      <c r="D418" s="324">
        <v>1967</v>
      </c>
      <c r="E418" s="325">
        <v>477869.69</v>
      </c>
      <c r="F418" s="324"/>
      <c r="G418" s="324">
        <v>2022</v>
      </c>
      <c r="H418" s="324" t="s">
        <v>853</v>
      </c>
      <c r="I418" s="324">
        <v>2</v>
      </c>
    </row>
    <row r="419" spans="2:9">
      <c r="B419" s="324">
        <v>400</v>
      </c>
      <c r="C419" s="324" t="s">
        <v>361</v>
      </c>
      <c r="D419" s="324">
        <v>1968</v>
      </c>
      <c r="E419" s="325">
        <v>7990.16</v>
      </c>
      <c r="F419" s="324"/>
      <c r="G419" s="324">
        <v>2022</v>
      </c>
      <c r="H419" s="324" t="s">
        <v>853</v>
      </c>
      <c r="I419" s="324">
        <v>2</v>
      </c>
    </row>
    <row r="420" spans="2:9">
      <c r="B420" s="324">
        <v>401</v>
      </c>
      <c r="C420" s="324" t="s">
        <v>361</v>
      </c>
      <c r="D420" s="324">
        <v>1969</v>
      </c>
      <c r="E420" s="325">
        <v>64322.44</v>
      </c>
      <c r="F420" s="324"/>
      <c r="G420" s="324">
        <v>2022</v>
      </c>
      <c r="H420" s="324" t="s">
        <v>853</v>
      </c>
      <c r="I420" s="324">
        <v>2</v>
      </c>
    </row>
    <row r="421" spans="2:9">
      <c r="B421" s="324">
        <v>402</v>
      </c>
      <c r="C421" s="324" t="s">
        <v>361</v>
      </c>
      <c r="D421" s="324">
        <v>1972</v>
      </c>
      <c r="E421" s="325">
        <v>58241.78</v>
      </c>
      <c r="F421" s="324"/>
      <c r="G421" s="324">
        <v>2022</v>
      </c>
      <c r="H421" s="324" t="s">
        <v>853</v>
      </c>
      <c r="I421" s="324">
        <v>2</v>
      </c>
    </row>
    <row r="422" spans="2:9">
      <c r="B422" s="324">
        <v>403</v>
      </c>
      <c r="C422" s="324" t="s">
        <v>361</v>
      </c>
      <c r="D422" s="324">
        <v>1974</v>
      </c>
      <c r="E422" s="325">
        <v>117946.1</v>
      </c>
      <c r="F422" s="324"/>
      <c r="G422" s="324">
        <v>2022</v>
      </c>
      <c r="H422" s="324" t="s">
        <v>853</v>
      </c>
      <c r="I422" s="324">
        <v>2</v>
      </c>
    </row>
    <row r="423" spans="2:9">
      <c r="B423" s="324">
        <v>404</v>
      </c>
      <c r="C423" s="324" t="s">
        <v>361</v>
      </c>
      <c r="D423" s="324">
        <v>1978</v>
      </c>
      <c r="E423" s="325">
        <v>1289616.6000000001</v>
      </c>
      <c r="F423" s="324"/>
      <c r="G423" s="324">
        <v>2022</v>
      </c>
      <c r="H423" s="324" t="s">
        <v>853</v>
      </c>
      <c r="I423" s="324">
        <v>2</v>
      </c>
    </row>
    <row r="424" spans="2:9">
      <c r="B424" s="324">
        <v>405</v>
      </c>
      <c r="C424" s="324" t="s">
        <v>361</v>
      </c>
      <c r="D424" s="324">
        <v>1995</v>
      </c>
      <c r="E424" s="325">
        <v>15754.34</v>
      </c>
      <c r="F424" s="324"/>
      <c r="G424" s="324">
        <v>2022</v>
      </c>
      <c r="H424" s="324" t="s">
        <v>853</v>
      </c>
      <c r="I424" s="324">
        <v>2</v>
      </c>
    </row>
    <row r="425" spans="2:9">
      <c r="B425" s="324">
        <v>406</v>
      </c>
      <c r="C425" s="324" t="s">
        <v>361</v>
      </c>
      <c r="D425" s="324">
        <v>2012</v>
      </c>
      <c r="E425" s="325">
        <v>386956.48760918935</v>
      </c>
      <c r="F425" s="324"/>
      <c r="G425" s="324">
        <v>2022</v>
      </c>
      <c r="H425" s="324" t="s">
        <v>853</v>
      </c>
      <c r="I425" s="324">
        <v>2</v>
      </c>
    </row>
    <row r="426" spans="2:9">
      <c r="B426" s="324">
        <v>407</v>
      </c>
      <c r="C426" s="324" t="s">
        <v>366</v>
      </c>
      <c r="D426" s="324">
        <v>1986</v>
      </c>
      <c r="E426" s="325">
        <v>29497.66</v>
      </c>
      <c r="F426" s="324"/>
      <c r="G426" s="324">
        <v>2022</v>
      </c>
      <c r="H426" s="324" t="s">
        <v>853</v>
      </c>
      <c r="I426" s="324">
        <v>2</v>
      </c>
    </row>
    <row r="427" spans="2:9">
      <c r="B427" s="324">
        <v>408</v>
      </c>
      <c r="C427" s="324" t="s">
        <v>305</v>
      </c>
      <c r="D427" s="324">
        <v>1954</v>
      </c>
      <c r="E427" s="325">
        <v>30000</v>
      </c>
      <c r="F427" s="324"/>
      <c r="G427" s="324">
        <v>2023</v>
      </c>
      <c r="H427" s="324" t="s">
        <v>868</v>
      </c>
      <c r="I427" s="324">
        <v>2</v>
      </c>
    </row>
    <row r="428" spans="2:9">
      <c r="B428" s="324">
        <v>409</v>
      </c>
      <c r="C428" s="324" t="s">
        <v>305</v>
      </c>
      <c r="D428" s="324">
        <v>1955</v>
      </c>
      <c r="E428" s="325">
        <v>26680</v>
      </c>
      <c r="F428" s="324"/>
      <c r="G428" s="324">
        <v>2023</v>
      </c>
      <c r="H428" s="324" t="s">
        <v>868</v>
      </c>
      <c r="I428" s="324">
        <v>2</v>
      </c>
    </row>
    <row r="429" spans="2:9">
      <c r="B429" s="324">
        <v>410</v>
      </c>
      <c r="C429" s="324" t="s">
        <v>305</v>
      </c>
      <c r="D429" s="324">
        <v>1958</v>
      </c>
      <c r="E429" s="325">
        <v>41066</v>
      </c>
      <c r="F429" s="324"/>
      <c r="G429" s="324">
        <v>2023</v>
      </c>
      <c r="H429" s="324" t="s">
        <v>868</v>
      </c>
      <c r="I429" s="324">
        <v>2</v>
      </c>
    </row>
    <row r="430" spans="2:9">
      <c r="B430" s="324">
        <v>411</v>
      </c>
      <c r="C430" s="324" t="s">
        <v>305</v>
      </c>
      <c r="D430" s="324">
        <v>1959</v>
      </c>
      <c r="E430" s="325">
        <v>38260</v>
      </c>
      <c r="F430" s="324"/>
      <c r="G430" s="324">
        <v>2023</v>
      </c>
      <c r="H430" s="324" t="s">
        <v>868</v>
      </c>
      <c r="I430" s="324">
        <v>2</v>
      </c>
    </row>
    <row r="431" spans="2:9">
      <c r="B431" s="324">
        <v>412</v>
      </c>
      <c r="C431" s="324" t="s">
        <v>305</v>
      </c>
      <c r="D431" s="324">
        <v>1965</v>
      </c>
      <c r="E431" s="325">
        <v>125091</v>
      </c>
      <c r="F431" s="324"/>
      <c r="G431" s="324">
        <v>2023</v>
      </c>
      <c r="H431" s="324" t="s">
        <v>868</v>
      </c>
      <c r="I431" s="324">
        <v>2</v>
      </c>
    </row>
    <row r="432" spans="2:9">
      <c r="B432" s="324">
        <v>413</v>
      </c>
      <c r="C432" s="324" t="s">
        <v>305</v>
      </c>
      <c r="D432" s="324">
        <v>1966</v>
      </c>
      <c r="E432" s="325">
        <v>71100</v>
      </c>
      <c r="F432" s="324"/>
      <c r="G432" s="324">
        <v>2023</v>
      </c>
      <c r="H432" s="324" t="s">
        <v>868</v>
      </c>
      <c r="I432" s="324">
        <v>2</v>
      </c>
    </row>
    <row r="433" spans="2:9">
      <c r="B433" s="324">
        <v>414</v>
      </c>
      <c r="C433" s="324" t="s">
        <v>305</v>
      </c>
      <c r="D433" s="324">
        <v>1967</v>
      </c>
      <c r="E433" s="325">
        <v>77488</v>
      </c>
      <c r="F433" s="324"/>
      <c r="G433" s="324">
        <v>2023</v>
      </c>
      <c r="H433" s="324" t="s">
        <v>868</v>
      </c>
      <c r="I433" s="324">
        <v>2</v>
      </c>
    </row>
    <row r="434" spans="2:9">
      <c r="B434" s="324">
        <v>415</v>
      </c>
      <c r="C434" s="324" t="s">
        <v>305</v>
      </c>
      <c r="D434" s="324">
        <v>1968</v>
      </c>
      <c r="E434" s="325">
        <v>477209</v>
      </c>
      <c r="F434" s="324"/>
      <c r="G434" s="324">
        <v>2023</v>
      </c>
      <c r="H434" s="324" t="s">
        <v>868</v>
      </c>
      <c r="I434" s="324">
        <v>2</v>
      </c>
    </row>
    <row r="435" spans="2:9">
      <c r="B435" s="324">
        <v>416</v>
      </c>
      <c r="C435" s="324" t="s">
        <v>305</v>
      </c>
      <c r="D435" s="324">
        <v>1969</v>
      </c>
      <c r="E435" s="325">
        <v>160414</v>
      </c>
      <c r="F435" s="324"/>
      <c r="G435" s="324">
        <v>2023</v>
      </c>
      <c r="H435" s="324" t="s">
        <v>868</v>
      </c>
      <c r="I435" s="324">
        <v>2</v>
      </c>
    </row>
    <row r="436" spans="2:9">
      <c r="B436" s="324">
        <v>417</v>
      </c>
      <c r="C436" s="324" t="s">
        <v>305</v>
      </c>
      <c r="D436" s="324">
        <v>1970</v>
      </c>
      <c r="E436" s="325">
        <v>218021</v>
      </c>
      <c r="F436" s="324"/>
      <c r="G436" s="324">
        <v>2023</v>
      </c>
      <c r="H436" s="324" t="s">
        <v>868</v>
      </c>
      <c r="I436" s="324">
        <v>2</v>
      </c>
    </row>
    <row r="437" spans="2:9">
      <c r="B437" s="324">
        <v>418</v>
      </c>
      <c r="C437" s="324" t="s">
        <v>305</v>
      </c>
      <c r="D437" s="324">
        <v>1971</v>
      </c>
      <c r="E437" s="325">
        <v>98792</v>
      </c>
      <c r="F437" s="324"/>
      <c r="G437" s="324">
        <v>2023</v>
      </c>
      <c r="H437" s="324" t="s">
        <v>868</v>
      </c>
      <c r="I437" s="324">
        <v>2</v>
      </c>
    </row>
    <row r="438" spans="2:9">
      <c r="B438" s="324">
        <v>419</v>
      </c>
      <c r="C438" s="324" t="s">
        <v>305</v>
      </c>
      <c r="D438" s="324">
        <v>1972</v>
      </c>
      <c r="E438" s="325">
        <v>49371</v>
      </c>
      <c r="F438" s="324"/>
      <c r="G438" s="324">
        <v>2023</v>
      </c>
      <c r="H438" s="324" t="s">
        <v>868</v>
      </c>
      <c r="I438" s="324">
        <v>2</v>
      </c>
    </row>
    <row r="439" spans="2:9">
      <c r="B439" s="324">
        <v>420</v>
      </c>
      <c r="C439" s="324" t="s">
        <v>305</v>
      </c>
      <c r="D439" s="324">
        <v>1973</v>
      </c>
      <c r="E439" s="325">
        <v>35155</v>
      </c>
      <c r="F439" s="324"/>
      <c r="G439" s="324">
        <v>2023</v>
      </c>
      <c r="H439" s="324" t="s">
        <v>868</v>
      </c>
      <c r="I439" s="324">
        <v>2</v>
      </c>
    </row>
    <row r="440" spans="2:9">
      <c r="B440" s="324">
        <v>421</v>
      </c>
      <c r="C440" s="324" t="s">
        <v>305</v>
      </c>
      <c r="D440" s="324">
        <v>1985</v>
      </c>
      <c r="E440" s="325">
        <v>4444</v>
      </c>
      <c r="F440" s="324"/>
      <c r="G440" s="324">
        <v>2023</v>
      </c>
      <c r="H440" s="324" t="s">
        <v>868</v>
      </c>
      <c r="I440" s="324">
        <v>2</v>
      </c>
    </row>
    <row r="441" spans="2:9">
      <c r="B441" s="324">
        <v>422</v>
      </c>
      <c r="C441" s="324" t="s">
        <v>305</v>
      </c>
      <c r="D441" s="324">
        <v>1988</v>
      </c>
      <c r="E441" s="325">
        <v>1378</v>
      </c>
      <c r="F441" s="324"/>
      <c r="G441" s="324">
        <v>2023</v>
      </c>
      <c r="H441" s="324" t="s">
        <v>868</v>
      </c>
      <c r="I441" s="324">
        <v>2</v>
      </c>
    </row>
    <row r="442" spans="2:9">
      <c r="B442" s="324">
        <v>423</v>
      </c>
      <c r="C442" s="324" t="s">
        <v>305</v>
      </c>
      <c r="D442" s="324">
        <v>1989</v>
      </c>
      <c r="E442" s="325">
        <v>2017</v>
      </c>
      <c r="F442" s="324"/>
      <c r="G442" s="324">
        <v>2023</v>
      </c>
      <c r="H442" s="324" t="s">
        <v>868</v>
      </c>
      <c r="I442" s="324">
        <v>2</v>
      </c>
    </row>
    <row r="443" spans="2:9">
      <c r="B443" s="324">
        <v>424</v>
      </c>
      <c r="C443" s="324" t="s">
        <v>305</v>
      </c>
      <c r="D443" s="324">
        <v>1992</v>
      </c>
      <c r="E443" s="325">
        <v>8976</v>
      </c>
      <c r="F443" s="324"/>
      <c r="G443" s="324">
        <v>2023</v>
      </c>
      <c r="H443" s="324" t="s">
        <v>868</v>
      </c>
      <c r="I443" s="324">
        <v>2</v>
      </c>
    </row>
    <row r="444" spans="2:9">
      <c r="B444" s="324">
        <v>425</v>
      </c>
      <c r="C444" s="324" t="s">
        <v>305</v>
      </c>
      <c r="D444" s="324">
        <v>1993</v>
      </c>
      <c r="E444" s="325">
        <v>168038</v>
      </c>
      <c r="F444" s="324"/>
      <c r="G444" s="324">
        <v>2023</v>
      </c>
      <c r="H444" s="324" t="s">
        <v>868</v>
      </c>
      <c r="I444" s="324">
        <v>2</v>
      </c>
    </row>
    <row r="445" spans="2:9">
      <c r="B445" s="324">
        <v>426</v>
      </c>
      <c r="C445" s="324" t="s">
        <v>305</v>
      </c>
      <c r="D445" s="324">
        <v>1998</v>
      </c>
      <c r="E445" s="325">
        <v>0</v>
      </c>
      <c r="F445" s="324"/>
      <c r="G445" s="324">
        <v>2023</v>
      </c>
      <c r="H445" s="324" t="s">
        <v>868</v>
      </c>
      <c r="I445" s="324">
        <v>2</v>
      </c>
    </row>
    <row r="446" spans="2:9">
      <c r="B446" s="324">
        <v>427</v>
      </c>
      <c r="C446" s="324" t="s">
        <v>305</v>
      </c>
      <c r="D446" s="324">
        <v>1999</v>
      </c>
      <c r="E446" s="325">
        <v>34291</v>
      </c>
      <c r="F446" s="324"/>
      <c r="G446" s="324">
        <v>2023</v>
      </c>
      <c r="H446" s="324" t="s">
        <v>868</v>
      </c>
      <c r="I446" s="324">
        <v>2</v>
      </c>
    </row>
    <row r="447" spans="2:9">
      <c r="B447" s="324">
        <v>428</v>
      </c>
      <c r="C447" s="324" t="s">
        <v>305</v>
      </c>
      <c r="D447" s="324">
        <v>2002</v>
      </c>
      <c r="E447" s="325">
        <v>15500</v>
      </c>
      <c r="F447" s="324"/>
      <c r="G447" s="324">
        <v>2023</v>
      </c>
      <c r="H447" s="324" t="s">
        <v>868</v>
      </c>
      <c r="I447" s="324">
        <v>2</v>
      </c>
    </row>
    <row r="448" spans="2:9">
      <c r="B448" s="324">
        <v>429</v>
      </c>
      <c r="C448" s="324" t="s">
        <v>305</v>
      </c>
      <c r="D448" s="324">
        <v>2004</v>
      </c>
      <c r="E448" s="325">
        <v>43774</v>
      </c>
      <c r="F448" s="324"/>
      <c r="G448" s="324">
        <v>2023</v>
      </c>
      <c r="H448" s="324" t="s">
        <v>868</v>
      </c>
      <c r="I448" s="324">
        <v>2</v>
      </c>
    </row>
    <row r="449" spans="2:9">
      <c r="B449" s="324">
        <v>430</v>
      </c>
      <c r="C449" s="324" t="s">
        <v>305</v>
      </c>
      <c r="D449" s="324">
        <v>2005</v>
      </c>
      <c r="E449" s="325">
        <v>54999</v>
      </c>
      <c r="F449" s="324"/>
      <c r="G449" s="324">
        <v>2023</v>
      </c>
      <c r="H449" s="324" t="s">
        <v>868</v>
      </c>
      <c r="I449" s="324">
        <v>2</v>
      </c>
    </row>
    <row r="450" spans="2:9">
      <c r="B450" s="324">
        <v>431</v>
      </c>
      <c r="C450" s="324" t="s">
        <v>305</v>
      </c>
      <c r="D450" s="324">
        <v>2006</v>
      </c>
      <c r="E450" s="325">
        <v>10076</v>
      </c>
      <c r="F450" s="324"/>
      <c r="G450" s="324">
        <v>2023</v>
      </c>
      <c r="H450" s="324" t="s">
        <v>868</v>
      </c>
      <c r="I450" s="324">
        <v>2</v>
      </c>
    </row>
    <row r="451" spans="2:9">
      <c r="B451" s="324">
        <v>432</v>
      </c>
      <c r="C451" s="324" t="s">
        <v>305</v>
      </c>
      <c r="D451" s="324">
        <v>2009</v>
      </c>
      <c r="E451" s="325">
        <v>378063</v>
      </c>
      <c r="F451" s="324"/>
      <c r="G451" s="324">
        <v>2023</v>
      </c>
      <c r="H451" s="324" t="s">
        <v>868</v>
      </c>
      <c r="I451" s="324">
        <v>2</v>
      </c>
    </row>
    <row r="452" spans="2:9">
      <c r="B452" s="324">
        <v>433</v>
      </c>
      <c r="C452" s="324" t="s">
        <v>305</v>
      </c>
      <c r="D452" s="324">
        <v>2011</v>
      </c>
      <c r="E452" s="325">
        <v>17627</v>
      </c>
      <c r="F452" s="324"/>
      <c r="G452" s="324">
        <v>2023</v>
      </c>
      <c r="H452" s="324" t="s">
        <v>868</v>
      </c>
      <c r="I452" s="324">
        <v>2</v>
      </c>
    </row>
    <row r="453" spans="2:9">
      <c r="B453" s="324">
        <v>434</v>
      </c>
      <c r="C453" s="324" t="s">
        <v>305</v>
      </c>
      <c r="D453" s="324">
        <v>2012</v>
      </c>
      <c r="E453" s="325">
        <v>388523</v>
      </c>
      <c r="F453" s="324"/>
      <c r="G453" s="324">
        <v>2023</v>
      </c>
      <c r="H453" s="324" t="s">
        <v>868</v>
      </c>
      <c r="I453" s="324">
        <v>2</v>
      </c>
    </row>
    <row r="454" spans="2:9">
      <c r="B454" s="324">
        <v>435</v>
      </c>
      <c r="C454" s="324" t="s">
        <v>309</v>
      </c>
      <c r="D454" s="324">
        <v>1965</v>
      </c>
      <c r="E454" s="325">
        <v>15848</v>
      </c>
      <c r="F454" s="324"/>
      <c r="G454" s="324">
        <v>2023</v>
      </c>
      <c r="H454" s="324" t="s">
        <v>868</v>
      </c>
      <c r="I454" s="324">
        <v>2</v>
      </c>
    </row>
    <row r="455" spans="2:9">
      <c r="B455" s="324">
        <v>436</v>
      </c>
      <c r="C455" s="324" t="s">
        <v>309</v>
      </c>
      <c r="D455" s="324">
        <v>1966</v>
      </c>
      <c r="E455" s="325">
        <v>120953</v>
      </c>
      <c r="F455" s="324"/>
      <c r="G455" s="324">
        <v>2023</v>
      </c>
      <c r="H455" s="324" t="s">
        <v>868</v>
      </c>
      <c r="I455" s="324">
        <v>2</v>
      </c>
    </row>
    <row r="456" spans="2:9">
      <c r="B456" s="324">
        <v>437</v>
      </c>
      <c r="C456" s="324" t="s">
        <v>309</v>
      </c>
      <c r="D456" s="324">
        <v>1967</v>
      </c>
      <c r="E456" s="325">
        <v>165153</v>
      </c>
      <c r="F456" s="324"/>
      <c r="G456" s="324">
        <v>2023</v>
      </c>
      <c r="H456" s="324" t="s">
        <v>868</v>
      </c>
      <c r="I456" s="324">
        <v>2</v>
      </c>
    </row>
    <row r="457" spans="2:9">
      <c r="B457" s="324">
        <v>438</v>
      </c>
      <c r="C457" s="324" t="s">
        <v>309</v>
      </c>
      <c r="D457" s="324">
        <v>1968</v>
      </c>
      <c r="E457" s="325">
        <v>28853</v>
      </c>
      <c r="F457" s="324"/>
      <c r="G457" s="324">
        <v>2023</v>
      </c>
      <c r="H457" s="324" t="s">
        <v>868</v>
      </c>
      <c r="I457" s="324">
        <v>2</v>
      </c>
    </row>
    <row r="458" spans="2:9">
      <c r="B458" s="324">
        <v>439</v>
      </c>
      <c r="C458" s="324" t="s">
        <v>309</v>
      </c>
      <c r="D458" s="324">
        <v>1969</v>
      </c>
      <c r="E458" s="325">
        <v>89836</v>
      </c>
      <c r="F458" s="324"/>
      <c r="G458" s="324">
        <v>2023</v>
      </c>
      <c r="H458" s="324" t="s">
        <v>868</v>
      </c>
      <c r="I458" s="324">
        <v>2</v>
      </c>
    </row>
    <row r="459" spans="2:9">
      <c r="B459" s="324">
        <v>440</v>
      </c>
      <c r="C459" s="324" t="s">
        <v>309</v>
      </c>
      <c r="D459" s="324">
        <v>1970</v>
      </c>
      <c r="E459" s="325">
        <v>72338</v>
      </c>
      <c r="F459" s="324"/>
      <c r="G459" s="324">
        <v>2023</v>
      </c>
      <c r="H459" s="324" t="s">
        <v>868</v>
      </c>
      <c r="I459" s="324">
        <v>2</v>
      </c>
    </row>
    <row r="460" spans="2:9">
      <c r="B460" s="324">
        <v>441</v>
      </c>
      <c r="C460" s="324" t="s">
        <v>309</v>
      </c>
      <c r="D460" s="324">
        <v>1971</v>
      </c>
      <c r="E460" s="325">
        <v>139522</v>
      </c>
      <c r="F460" s="324"/>
      <c r="G460" s="324">
        <v>2023</v>
      </c>
      <c r="H460" s="324" t="s">
        <v>868</v>
      </c>
      <c r="I460" s="324">
        <v>2</v>
      </c>
    </row>
    <row r="461" spans="2:9">
      <c r="B461" s="324">
        <v>442</v>
      </c>
      <c r="C461" s="324" t="s">
        <v>309</v>
      </c>
      <c r="D461" s="324">
        <v>1972</v>
      </c>
      <c r="E461" s="325">
        <v>67745</v>
      </c>
      <c r="F461" s="324"/>
      <c r="G461" s="324">
        <v>2023</v>
      </c>
      <c r="H461" s="324" t="s">
        <v>868</v>
      </c>
      <c r="I461" s="324">
        <v>2</v>
      </c>
    </row>
    <row r="462" spans="2:9">
      <c r="B462" s="324">
        <v>443</v>
      </c>
      <c r="C462" s="324" t="s">
        <v>309</v>
      </c>
      <c r="D462" s="324">
        <v>1973</v>
      </c>
      <c r="E462" s="325">
        <v>44525</v>
      </c>
      <c r="F462" s="324"/>
      <c r="G462" s="324">
        <v>2023</v>
      </c>
      <c r="H462" s="324" t="s">
        <v>868</v>
      </c>
      <c r="I462" s="324">
        <v>2</v>
      </c>
    </row>
    <row r="463" spans="2:9">
      <c r="B463" s="324">
        <v>444</v>
      </c>
      <c r="C463" s="324" t="s">
        <v>309</v>
      </c>
      <c r="D463" s="324">
        <v>1974</v>
      </c>
      <c r="E463" s="325">
        <v>39757</v>
      </c>
      <c r="F463" s="324"/>
      <c r="G463" s="324">
        <v>2023</v>
      </c>
      <c r="H463" s="324" t="s">
        <v>868</v>
      </c>
      <c r="I463" s="324">
        <v>2</v>
      </c>
    </row>
    <row r="464" spans="2:9">
      <c r="B464" s="324">
        <v>445</v>
      </c>
      <c r="C464" s="324" t="s">
        <v>309</v>
      </c>
      <c r="D464" s="324">
        <v>1976</v>
      </c>
      <c r="E464" s="325">
        <v>3452</v>
      </c>
      <c r="F464" s="324"/>
      <c r="G464" s="324">
        <v>2023</v>
      </c>
      <c r="H464" s="324" t="s">
        <v>868</v>
      </c>
      <c r="I464" s="324">
        <v>2</v>
      </c>
    </row>
    <row r="465" spans="2:9">
      <c r="B465" s="324">
        <v>446</v>
      </c>
      <c r="C465" s="324" t="s">
        <v>309</v>
      </c>
      <c r="D465" s="324">
        <v>1979</v>
      </c>
      <c r="E465" s="325">
        <v>44473</v>
      </c>
      <c r="F465" s="324"/>
      <c r="G465" s="324">
        <v>2023</v>
      </c>
      <c r="H465" s="324" t="s">
        <v>868</v>
      </c>
      <c r="I465" s="324">
        <v>2</v>
      </c>
    </row>
    <row r="466" spans="2:9">
      <c r="B466" s="324">
        <v>447</v>
      </c>
      <c r="C466" s="324" t="s">
        <v>309</v>
      </c>
      <c r="D466" s="324">
        <v>1980</v>
      </c>
      <c r="E466" s="325">
        <v>55424</v>
      </c>
      <c r="F466" s="324"/>
      <c r="G466" s="324">
        <v>2023</v>
      </c>
      <c r="H466" s="324" t="s">
        <v>868</v>
      </c>
      <c r="I466" s="324">
        <v>2</v>
      </c>
    </row>
    <row r="467" spans="2:9">
      <c r="B467" s="324">
        <v>448</v>
      </c>
      <c r="C467" s="324" t="s">
        <v>309</v>
      </c>
      <c r="D467" s="324">
        <v>1983</v>
      </c>
      <c r="E467" s="325">
        <v>83092</v>
      </c>
      <c r="F467" s="324"/>
      <c r="G467" s="324">
        <v>2023</v>
      </c>
      <c r="H467" s="324" t="s">
        <v>868</v>
      </c>
      <c r="I467" s="324">
        <v>2</v>
      </c>
    </row>
    <row r="468" spans="2:9">
      <c r="B468" s="324">
        <v>449</v>
      </c>
      <c r="C468" s="324" t="s">
        <v>309</v>
      </c>
      <c r="D468" s="324">
        <v>1986</v>
      </c>
      <c r="E468" s="325">
        <v>7736</v>
      </c>
      <c r="F468" s="324"/>
      <c r="G468" s="324">
        <v>2023</v>
      </c>
      <c r="H468" s="324" t="s">
        <v>868</v>
      </c>
      <c r="I468" s="324">
        <v>2</v>
      </c>
    </row>
    <row r="469" spans="2:9">
      <c r="B469" s="324">
        <v>450</v>
      </c>
      <c r="C469" s="324" t="s">
        <v>309</v>
      </c>
      <c r="D469" s="324">
        <v>1990</v>
      </c>
      <c r="E469" s="325">
        <v>2988</v>
      </c>
      <c r="F469" s="324"/>
      <c r="G469" s="324">
        <v>2023</v>
      </c>
      <c r="H469" s="324" t="s">
        <v>868</v>
      </c>
      <c r="I469" s="324">
        <v>2</v>
      </c>
    </row>
    <row r="470" spans="2:9">
      <c r="B470" s="324">
        <v>451</v>
      </c>
      <c r="C470" s="324" t="s">
        <v>309</v>
      </c>
      <c r="D470" s="324">
        <v>1992</v>
      </c>
      <c r="E470" s="325">
        <v>6529</v>
      </c>
      <c r="F470" s="324"/>
      <c r="G470" s="324">
        <v>2023</v>
      </c>
      <c r="H470" s="324" t="s">
        <v>868</v>
      </c>
      <c r="I470" s="324">
        <v>2</v>
      </c>
    </row>
    <row r="471" spans="2:9">
      <c r="B471" s="324">
        <v>452</v>
      </c>
      <c r="C471" s="324" t="s">
        <v>309</v>
      </c>
      <c r="D471" s="324">
        <v>1993</v>
      </c>
      <c r="E471" s="325">
        <v>204300</v>
      </c>
      <c r="F471" s="324"/>
      <c r="G471" s="324">
        <v>2023</v>
      </c>
      <c r="H471" s="324" t="s">
        <v>868</v>
      </c>
      <c r="I471" s="324">
        <v>2</v>
      </c>
    </row>
    <row r="472" spans="2:9">
      <c r="B472" s="324">
        <v>453</v>
      </c>
      <c r="C472" s="324" t="s">
        <v>309</v>
      </c>
      <c r="D472" s="324">
        <v>1995</v>
      </c>
      <c r="E472" s="325">
        <v>9078</v>
      </c>
      <c r="F472" s="324"/>
      <c r="G472" s="324">
        <v>2023</v>
      </c>
      <c r="H472" s="324" t="s">
        <v>868</v>
      </c>
      <c r="I472" s="324">
        <v>2</v>
      </c>
    </row>
    <row r="473" spans="2:9">
      <c r="B473" s="324">
        <v>454</v>
      </c>
      <c r="C473" s="324" t="s">
        <v>309</v>
      </c>
      <c r="D473" s="324">
        <v>1997</v>
      </c>
      <c r="E473" s="325">
        <v>9837</v>
      </c>
      <c r="F473" s="324"/>
      <c r="G473" s="324">
        <v>2023</v>
      </c>
      <c r="H473" s="324" t="s">
        <v>868</v>
      </c>
      <c r="I473" s="324">
        <v>2</v>
      </c>
    </row>
    <row r="474" spans="2:9">
      <c r="B474" s="324">
        <v>455</v>
      </c>
      <c r="C474" s="324" t="s">
        <v>309</v>
      </c>
      <c r="D474" s="324">
        <v>2003</v>
      </c>
      <c r="E474" s="325">
        <v>18238</v>
      </c>
      <c r="F474" s="324"/>
      <c r="G474" s="324">
        <v>2023</v>
      </c>
      <c r="H474" s="324" t="s">
        <v>868</v>
      </c>
      <c r="I474" s="324">
        <v>2</v>
      </c>
    </row>
    <row r="475" spans="2:9">
      <c r="B475" s="324">
        <v>456</v>
      </c>
      <c r="C475" s="324" t="s">
        <v>309</v>
      </c>
      <c r="D475" s="324">
        <v>2005</v>
      </c>
      <c r="E475" s="325">
        <v>24460</v>
      </c>
      <c r="F475" s="324"/>
      <c r="G475" s="324">
        <v>2023</v>
      </c>
      <c r="H475" s="324" t="s">
        <v>868</v>
      </c>
      <c r="I475" s="324">
        <v>2</v>
      </c>
    </row>
    <row r="476" spans="2:9">
      <c r="B476" s="324">
        <v>457</v>
      </c>
      <c r="C476" s="324" t="s">
        <v>309</v>
      </c>
      <c r="D476" s="324">
        <v>2007</v>
      </c>
      <c r="E476" s="325">
        <v>58086</v>
      </c>
      <c r="F476" s="324"/>
      <c r="G476" s="324">
        <v>2023</v>
      </c>
      <c r="H476" s="324" t="s">
        <v>868</v>
      </c>
      <c r="I476" s="324">
        <v>2</v>
      </c>
    </row>
    <row r="477" spans="2:9">
      <c r="B477" s="324">
        <v>458</v>
      </c>
      <c r="C477" s="324" t="s">
        <v>309</v>
      </c>
      <c r="D477" s="324">
        <v>2009</v>
      </c>
      <c r="E477" s="325">
        <v>26309</v>
      </c>
      <c r="F477" s="324"/>
      <c r="G477" s="324">
        <v>2023</v>
      </c>
      <c r="H477" s="324" t="s">
        <v>868</v>
      </c>
      <c r="I477" s="324">
        <v>2</v>
      </c>
    </row>
    <row r="478" spans="2:9">
      <c r="B478" s="324">
        <v>459</v>
      </c>
      <c r="C478" s="324" t="s">
        <v>321</v>
      </c>
      <c r="D478" s="324">
        <v>2007</v>
      </c>
      <c r="E478" s="325">
        <v>70174</v>
      </c>
      <c r="F478" s="324"/>
      <c r="G478" s="324">
        <v>2023</v>
      </c>
      <c r="H478" s="324" t="s">
        <v>868</v>
      </c>
      <c r="I478" s="324">
        <v>2</v>
      </c>
    </row>
    <row r="479" spans="2:9">
      <c r="B479" s="324">
        <v>460</v>
      </c>
      <c r="C479" s="324" t="s">
        <v>330</v>
      </c>
      <c r="D479" s="324">
        <v>2003</v>
      </c>
      <c r="E479" s="325">
        <v>5550</v>
      </c>
      <c r="F479" s="324"/>
      <c r="G479" s="324">
        <v>2023</v>
      </c>
      <c r="H479" s="324" t="s">
        <v>868</v>
      </c>
      <c r="I479" s="324">
        <v>2</v>
      </c>
    </row>
    <row r="480" spans="2:9">
      <c r="B480" s="324">
        <v>461</v>
      </c>
      <c r="C480" s="324" t="s">
        <v>347</v>
      </c>
      <c r="D480" s="324">
        <v>1970</v>
      </c>
      <c r="E480" s="325">
        <v>37182</v>
      </c>
      <c r="F480" s="324"/>
      <c r="G480" s="324">
        <v>2023</v>
      </c>
      <c r="H480" s="324" t="s">
        <v>868</v>
      </c>
      <c r="I480" s="324">
        <v>2</v>
      </c>
    </row>
    <row r="481" spans="2:9">
      <c r="B481" s="324">
        <v>462</v>
      </c>
      <c r="C481" s="324" t="s">
        <v>347</v>
      </c>
      <c r="D481" s="324">
        <v>1971</v>
      </c>
      <c r="E481" s="325">
        <v>5302</v>
      </c>
      <c r="F481" s="324"/>
      <c r="G481" s="324">
        <v>2023</v>
      </c>
      <c r="H481" s="324" t="s">
        <v>868</v>
      </c>
      <c r="I481" s="324">
        <v>2</v>
      </c>
    </row>
    <row r="482" spans="2:9">
      <c r="B482" s="324">
        <v>463</v>
      </c>
      <c r="C482" s="324" t="s">
        <v>345</v>
      </c>
      <c r="D482" s="324">
        <v>1970</v>
      </c>
      <c r="E482" s="325">
        <v>386046</v>
      </c>
      <c r="F482" s="324"/>
      <c r="G482" s="324">
        <v>2023</v>
      </c>
      <c r="H482" s="324" t="s">
        <v>868</v>
      </c>
      <c r="I482" s="324">
        <v>2</v>
      </c>
    </row>
    <row r="483" spans="2:9">
      <c r="B483" s="324">
        <v>464</v>
      </c>
      <c r="C483" s="324" t="s">
        <v>345</v>
      </c>
      <c r="D483" s="324">
        <v>1971</v>
      </c>
      <c r="E483" s="325">
        <v>17164</v>
      </c>
      <c r="F483" s="324"/>
      <c r="G483" s="324">
        <v>2023</v>
      </c>
      <c r="H483" s="324" t="s">
        <v>868</v>
      </c>
      <c r="I483" s="324">
        <v>2</v>
      </c>
    </row>
    <row r="484" spans="2:9">
      <c r="B484" s="324">
        <v>465</v>
      </c>
      <c r="C484" s="324" t="s">
        <v>345</v>
      </c>
      <c r="D484" s="324">
        <v>1973</v>
      </c>
      <c r="E484" s="325">
        <v>15941</v>
      </c>
      <c r="F484" s="324"/>
      <c r="G484" s="324">
        <v>2023</v>
      </c>
      <c r="H484" s="324" t="s">
        <v>868</v>
      </c>
      <c r="I484" s="324">
        <v>2</v>
      </c>
    </row>
    <row r="485" spans="2:9">
      <c r="B485" s="324">
        <v>466</v>
      </c>
      <c r="C485" s="324" t="s">
        <v>345</v>
      </c>
      <c r="D485" s="324">
        <v>1974</v>
      </c>
      <c r="E485" s="325">
        <v>14358</v>
      </c>
      <c r="F485" s="324"/>
      <c r="G485" s="324">
        <v>2023</v>
      </c>
      <c r="H485" s="324" t="s">
        <v>868</v>
      </c>
      <c r="I485" s="324">
        <v>2</v>
      </c>
    </row>
    <row r="486" spans="2:9">
      <c r="B486" s="324">
        <v>467</v>
      </c>
      <c r="C486" s="324" t="s">
        <v>345</v>
      </c>
      <c r="D486" s="324">
        <v>1977</v>
      </c>
      <c r="E486" s="325">
        <v>5493996</v>
      </c>
      <c r="F486" s="324"/>
      <c r="G486" s="324">
        <v>2023</v>
      </c>
      <c r="H486" s="324" t="s">
        <v>868</v>
      </c>
      <c r="I486" s="324">
        <v>2</v>
      </c>
    </row>
    <row r="487" spans="2:9">
      <c r="B487" s="324">
        <v>468</v>
      </c>
      <c r="C487" s="324" t="s">
        <v>345</v>
      </c>
      <c r="D487" s="324">
        <v>1978</v>
      </c>
      <c r="E487" s="325">
        <v>488039</v>
      </c>
      <c r="F487" s="324"/>
      <c r="G487" s="324">
        <v>2023</v>
      </c>
      <c r="H487" s="324" t="s">
        <v>868</v>
      </c>
      <c r="I487" s="324">
        <v>2</v>
      </c>
    </row>
    <row r="488" spans="2:9">
      <c r="B488" s="324">
        <v>469</v>
      </c>
      <c r="C488" s="324" t="s">
        <v>345</v>
      </c>
      <c r="D488" s="324">
        <v>1980</v>
      </c>
      <c r="E488" s="325">
        <v>1219567</v>
      </c>
      <c r="F488" s="324"/>
      <c r="G488" s="324">
        <v>2023</v>
      </c>
      <c r="H488" s="324" t="s">
        <v>868</v>
      </c>
      <c r="I488" s="324">
        <v>2</v>
      </c>
    </row>
    <row r="489" spans="2:9">
      <c r="B489" s="324">
        <v>470</v>
      </c>
      <c r="C489" s="324" t="s">
        <v>345</v>
      </c>
      <c r="D489" s="324">
        <v>1989</v>
      </c>
      <c r="E489" s="325">
        <v>920373</v>
      </c>
      <c r="F489" s="324"/>
      <c r="G489" s="324">
        <v>2023</v>
      </c>
      <c r="H489" s="324" t="s">
        <v>868</v>
      </c>
      <c r="I489" s="324">
        <v>2</v>
      </c>
    </row>
    <row r="490" spans="2:9">
      <c r="B490" s="324">
        <v>471</v>
      </c>
      <c r="C490" s="324" t="s">
        <v>345</v>
      </c>
      <c r="D490" s="324">
        <v>1990</v>
      </c>
      <c r="E490" s="325">
        <v>17770</v>
      </c>
      <c r="F490" s="324"/>
      <c r="G490" s="324">
        <v>2023</v>
      </c>
      <c r="H490" s="324" t="s">
        <v>868</v>
      </c>
      <c r="I490" s="324">
        <v>2</v>
      </c>
    </row>
    <row r="491" spans="2:9">
      <c r="B491" s="324">
        <v>472</v>
      </c>
      <c r="C491" s="324" t="s">
        <v>345</v>
      </c>
      <c r="D491" s="324">
        <v>1992</v>
      </c>
      <c r="E491" s="325">
        <v>697451</v>
      </c>
      <c r="F491" s="324"/>
      <c r="G491" s="324">
        <v>2023</v>
      </c>
      <c r="H491" s="324" t="s">
        <v>868</v>
      </c>
      <c r="I491" s="324">
        <v>2</v>
      </c>
    </row>
    <row r="492" spans="2:9">
      <c r="B492" s="324">
        <v>473</v>
      </c>
      <c r="C492" s="324" t="s">
        <v>345</v>
      </c>
      <c r="D492" s="324">
        <v>1998</v>
      </c>
      <c r="E492" s="325">
        <v>18065</v>
      </c>
      <c r="F492" s="324"/>
      <c r="G492" s="324">
        <v>2023</v>
      </c>
      <c r="H492" s="324" t="s">
        <v>868</v>
      </c>
      <c r="I492" s="324">
        <v>2</v>
      </c>
    </row>
    <row r="493" spans="2:9">
      <c r="B493" s="324">
        <v>474</v>
      </c>
      <c r="C493" s="324" t="s">
        <v>345</v>
      </c>
      <c r="D493" s="324">
        <v>2002</v>
      </c>
      <c r="E493" s="325">
        <v>237214</v>
      </c>
      <c r="F493" s="324"/>
      <c r="G493" s="324">
        <v>2023</v>
      </c>
      <c r="H493" s="324" t="s">
        <v>868</v>
      </c>
      <c r="I493" s="324">
        <v>2</v>
      </c>
    </row>
    <row r="494" spans="2:9">
      <c r="B494" s="324">
        <v>475</v>
      </c>
      <c r="C494" s="324" t="s">
        <v>345</v>
      </c>
      <c r="D494" s="324">
        <v>2004</v>
      </c>
      <c r="E494" s="325">
        <v>1858941</v>
      </c>
      <c r="F494" s="324"/>
      <c r="G494" s="324">
        <v>2023</v>
      </c>
      <c r="H494" s="324" t="s">
        <v>868</v>
      </c>
      <c r="I494" s="324">
        <v>2</v>
      </c>
    </row>
    <row r="495" spans="2:9">
      <c r="B495" s="324">
        <v>476</v>
      </c>
      <c r="C495" s="324" t="s">
        <v>345</v>
      </c>
      <c r="D495" s="324">
        <v>2005</v>
      </c>
      <c r="E495" s="325">
        <v>189548</v>
      </c>
      <c r="F495" s="324"/>
      <c r="G495" s="324">
        <v>2023</v>
      </c>
      <c r="H495" s="324" t="s">
        <v>868</v>
      </c>
      <c r="I495" s="324">
        <v>2</v>
      </c>
    </row>
    <row r="496" spans="2:9">
      <c r="B496" s="324">
        <v>477</v>
      </c>
      <c r="C496" s="324" t="s">
        <v>345</v>
      </c>
      <c r="D496" s="324">
        <v>2006</v>
      </c>
      <c r="E496" s="325">
        <v>43450</v>
      </c>
      <c r="F496" s="324"/>
      <c r="G496" s="324">
        <v>2023</v>
      </c>
      <c r="H496" s="324" t="s">
        <v>868</v>
      </c>
      <c r="I496" s="324">
        <v>2</v>
      </c>
    </row>
    <row r="497" spans="2:9">
      <c r="B497" s="324">
        <v>478</v>
      </c>
      <c r="C497" s="324" t="s">
        <v>345</v>
      </c>
      <c r="D497" s="324">
        <v>2008</v>
      </c>
      <c r="E497" s="325">
        <v>2149449</v>
      </c>
      <c r="F497" s="324"/>
      <c r="G497" s="324">
        <v>2023</v>
      </c>
      <c r="H497" s="324" t="s">
        <v>868</v>
      </c>
      <c r="I497" s="324">
        <v>2</v>
      </c>
    </row>
    <row r="498" spans="2:9">
      <c r="B498" s="324">
        <v>479</v>
      </c>
      <c r="C498" s="324" t="s">
        <v>345</v>
      </c>
      <c r="D498" s="324">
        <v>2009</v>
      </c>
      <c r="E498" s="325">
        <v>38325</v>
      </c>
      <c r="F498" s="324"/>
      <c r="G498" s="324">
        <v>2023</v>
      </c>
      <c r="H498" s="324" t="s">
        <v>868</v>
      </c>
      <c r="I498" s="324">
        <v>2</v>
      </c>
    </row>
    <row r="499" spans="2:9">
      <c r="B499" s="324">
        <v>480</v>
      </c>
      <c r="C499" s="324" t="s">
        <v>345</v>
      </c>
      <c r="D499" s="324">
        <v>2010</v>
      </c>
      <c r="E499" s="325">
        <v>194639</v>
      </c>
      <c r="F499" s="324"/>
      <c r="G499" s="324">
        <v>2023</v>
      </c>
      <c r="H499" s="324" t="s">
        <v>868</v>
      </c>
      <c r="I499" s="324">
        <v>2</v>
      </c>
    </row>
    <row r="500" spans="2:9">
      <c r="B500" s="324">
        <v>481</v>
      </c>
      <c r="C500" s="324" t="s">
        <v>345</v>
      </c>
      <c r="D500" s="324">
        <v>2011</v>
      </c>
      <c r="E500" s="325">
        <v>49243</v>
      </c>
      <c r="F500" s="324"/>
      <c r="G500" s="324">
        <v>2023</v>
      </c>
      <c r="H500" s="324" t="s">
        <v>868</v>
      </c>
      <c r="I500" s="324">
        <v>2</v>
      </c>
    </row>
    <row r="501" spans="2:9">
      <c r="B501" s="324">
        <v>482</v>
      </c>
      <c r="C501" s="324" t="s">
        <v>345</v>
      </c>
      <c r="D501" s="324">
        <v>2012</v>
      </c>
      <c r="E501" s="325">
        <v>7253368</v>
      </c>
      <c r="F501" s="324"/>
      <c r="G501" s="324">
        <v>2023</v>
      </c>
      <c r="H501" s="324" t="s">
        <v>868</v>
      </c>
      <c r="I501" s="324">
        <v>2</v>
      </c>
    </row>
    <row r="502" spans="2:9">
      <c r="B502" s="324">
        <v>483</v>
      </c>
      <c r="C502" s="324" t="s">
        <v>345</v>
      </c>
      <c r="D502" s="324">
        <v>2014</v>
      </c>
      <c r="E502" s="325">
        <v>746917</v>
      </c>
      <c r="F502" s="324"/>
      <c r="G502" s="324">
        <v>2023</v>
      </c>
      <c r="H502" s="324" t="s">
        <v>868</v>
      </c>
      <c r="I502" s="324">
        <v>2</v>
      </c>
    </row>
    <row r="503" spans="2:9">
      <c r="B503" s="324">
        <v>484</v>
      </c>
      <c r="C503" s="324" t="s">
        <v>345</v>
      </c>
      <c r="D503" s="324">
        <v>2015</v>
      </c>
      <c r="E503" s="325">
        <v>411557</v>
      </c>
      <c r="F503" s="324"/>
      <c r="G503" s="324">
        <v>2023</v>
      </c>
      <c r="H503" s="324" t="s">
        <v>868</v>
      </c>
      <c r="I503" s="324">
        <v>2</v>
      </c>
    </row>
    <row r="504" spans="2:9">
      <c r="B504" s="324">
        <v>485</v>
      </c>
      <c r="C504" s="324" t="s">
        <v>345</v>
      </c>
      <c r="D504" s="324">
        <v>2016</v>
      </c>
      <c r="E504" s="325">
        <v>136755</v>
      </c>
      <c r="F504" s="324"/>
      <c r="G504" s="324">
        <v>2023</v>
      </c>
      <c r="H504" s="324" t="s">
        <v>868</v>
      </c>
      <c r="I504" s="324">
        <v>2</v>
      </c>
    </row>
    <row r="505" spans="2:9">
      <c r="B505" s="324">
        <v>486</v>
      </c>
      <c r="C505" s="324" t="s">
        <v>348</v>
      </c>
      <c r="D505" s="324">
        <v>1977</v>
      </c>
      <c r="E505" s="325">
        <v>804746</v>
      </c>
      <c r="F505" s="324"/>
      <c r="G505" s="324">
        <v>2023</v>
      </c>
      <c r="H505" s="324" t="s">
        <v>868</v>
      </c>
      <c r="I505" s="324">
        <v>2</v>
      </c>
    </row>
    <row r="506" spans="2:9">
      <c r="B506" s="324">
        <v>487</v>
      </c>
      <c r="C506" s="324" t="s">
        <v>349</v>
      </c>
      <c r="D506" s="324">
        <v>1985</v>
      </c>
      <c r="E506" s="325">
        <v>7919770</v>
      </c>
      <c r="F506" s="324"/>
      <c r="G506" s="324">
        <v>2023</v>
      </c>
      <c r="H506" s="324" t="s">
        <v>868</v>
      </c>
      <c r="I506" s="324">
        <v>2</v>
      </c>
    </row>
    <row r="507" spans="2:9">
      <c r="B507" s="324">
        <v>488</v>
      </c>
      <c r="C507" s="324" t="s">
        <v>349</v>
      </c>
      <c r="D507" s="324">
        <v>1988</v>
      </c>
      <c r="E507" s="325">
        <v>378309</v>
      </c>
      <c r="F507" s="324"/>
      <c r="G507" s="324">
        <v>2023</v>
      </c>
      <c r="H507" s="324" t="s">
        <v>868</v>
      </c>
      <c r="I507" s="324">
        <v>2</v>
      </c>
    </row>
    <row r="508" spans="2:9">
      <c r="B508" s="324">
        <v>489</v>
      </c>
      <c r="C508" s="324" t="s">
        <v>349</v>
      </c>
      <c r="D508" s="324">
        <v>1990</v>
      </c>
      <c r="E508" s="325">
        <v>29867</v>
      </c>
      <c r="F508" s="324"/>
      <c r="G508" s="324">
        <v>2023</v>
      </c>
      <c r="H508" s="324" t="s">
        <v>868</v>
      </c>
      <c r="I508" s="324">
        <v>2</v>
      </c>
    </row>
    <row r="509" spans="2:9">
      <c r="B509" s="324">
        <v>490</v>
      </c>
      <c r="C509" s="324" t="s">
        <v>349</v>
      </c>
      <c r="D509" s="324">
        <v>1992</v>
      </c>
      <c r="E509" s="325">
        <v>5605988</v>
      </c>
      <c r="F509" s="324"/>
      <c r="G509" s="324">
        <v>2023</v>
      </c>
      <c r="H509" s="324" t="s">
        <v>868</v>
      </c>
      <c r="I509" s="324">
        <v>2</v>
      </c>
    </row>
    <row r="510" spans="2:9">
      <c r="B510" s="324">
        <v>491</v>
      </c>
      <c r="C510" s="324" t="s">
        <v>349</v>
      </c>
      <c r="D510" s="324">
        <v>1995</v>
      </c>
      <c r="E510" s="325">
        <v>2552054</v>
      </c>
      <c r="F510" s="324"/>
      <c r="G510" s="324">
        <v>2023</v>
      </c>
      <c r="H510" s="324" t="s">
        <v>868</v>
      </c>
      <c r="I510" s="324">
        <v>2</v>
      </c>
    </row>
    <row r="511" spans="2:9">
      <c r="B511" s="324">
        <v>492</v>
      </c>
      <c r="C511" s="324" t="s">
        <v>349</v>
      </c>
      <c r="D511" s="324">
        <v>1996</v>
      </c>
      <c r="E511" s="325">
        <v>11549</v>
      </c>
      <c r="F511" s="324"/>
      <c r="G511" s="324">
        <v>2023</v>
      </c>
      <c r="H511" s="324" t="s">
        <v>868</v>
      </c>
      <c r="I511" s="324">
        <v>2</v>
      </c>
    </row>
    <row r="512" spans="2:9">
      <c r="B512" s="324">
        <v>493</v>
      </c>
      <c r="C512" s="324" t="s">
        <v>349</v>
      </c>
      <c r="D512" s="324">
        <v>1998</v>
      </c>
      <c r="E512" s="325">
        <v>28291</v>
      </c>
      <c r="F512" s="324"/>
      <c r="G512" s="324">
        <v>2023</v>
      </c>
      <c r="H512" s="324" t="s">
        <v>868</v>
      </c>
      <c r="I512" s="324">
        <v>2</v>
      </c>
    </row>
    <row r="513" spans="2:9">
      <c r="B513" s="324">
        <v>494</v>
      </c>
      <c r="C513" s="324" t="s">
        <v>349</v>
      </c>
      <c r="D513" s="324">
        <v>2001</v>
      </c>
      <c r="E513" s="325">
        <v>273838</v>
      </c>
      <c r="F513" s="324"/>
      <c r="G513" s="324">
        <v>2023</v>
      </c>
      <c r="H513" s="324" t="s">
        <v>868</v>
      </c>
      <c r="I513" s="324">
        <v>2</v>
      </c>
    </row>
    <row r="514" spans="2:9">
      <c r="B514" s="324">
        <v>495</v>
      </c>
      <c r="C514" s="324" t="s">
        <v>349</v>
      </c>
      <c r="D514" s="324">
        <v>2003</v>
      </c>
      <c r="E514" s="325">
        <v>35370</v>
      </c>
      <c r="F514" s="324"/>
      <c r="G514" s="324">
        <v>2023</v>
      </c>
      <c r="H514" s="324" t="s">
        <v>868</v>
      </c>
      <c r="I514" s="324">
        <v>2</v>
      </c>
    </row>
    <row r="515" spans="2:9">
      <c r="B515" s="324">
        <v>496</v>
      </c>
      <c r="C515" s="324" t="s">
        <v>349</v>
      </c>
      <c r="D515" s="324">
        <v>2004</v>
      </c>
      <c r="E515" s="325">
        <v>45503</v>
      </c>
      <c r="F515" s="324"/>
      <c r="G515" s="324">
        <v>2023</v>
      </c>
      <c r="H515" s="324" t="s">
        <v>868</v>
      </c>
      <c r="I515" s="324">
        <v>2</v>
      </c>
    </row>
    <row r="516" spans="2:9">
      <c r="B516" s="324">
        <v>497</v>
      </c>
      <c r="C516" s="324" t="s">
        <v>349</v>
      </c>
      <c r="D516" s="324">
        <v>2005</v>
      </c>
      <c r="E516" s="325">
        <v>165266</v>
      </c>
      <c r="F516" s="324"/>
      <c r="G516" s="324">
        <v>2023</v>
      </c>
      <c r="H516" s="324" t="s">
        <v>868</v>
      </c>
      <c r="I516" s="324">
        <v>2</v>
      </c>
    </row>
    <row r="517" spans="2:9">
      <c r="B517" s="324">
        <v>498</v>
      </c>
      <c r="C517" s="324" t="s">
        <v>349</v>
      </c>
      <c r="D517" s="324">
        <v>2006</v>
      </c>
      <c r="E517" s="325">
        <v>419198</v>
      </c>
      <c r="F517" s="324"/>
      <c r="G517" s="324">
        <v>2023</v>
      </c>
      <c r="H517" s="324" t="s">
        <v>868</v>
      </c>
      <c r="I517" s="324">
        <v>2</v>
      </c>
    </row>
    <row r="518" spans="2:9">
      <c r="B518" s="324">
        <v>499</v>
      </c>
      <c r="C518" s="324" t="s">
        <v>349</v>
      </c>
      <c r="D518" s="324">
        <v>2007</v>
      </c>
      <c r="E518" s="325">
        <v>1086511</v>
      </c>
      <c r="F518" s="324"/>
      <c r="G518" s="324">
        <v>2023</v>
      </c>
      <c r="H518" s="324" t="s">
        <v>868</v>
      </c>
      <c r="I518" s="324">
        <v>2</v>
      </c>
    </row>
    <row r="519" spans="2:9">
      <c r="B519" s="324">
        <v>500</v>
      </c>
      <c r="C519" s="324" t="s">
        <v>349</v>
      </c>
      <c r="D519" s="324">
        <v>2008</v>
      </c>
      <c r="E519" s="325">
        <v>1532964</v>
      </c>
      <c r="F519" s="324"/>
      <c r="G519" s="324">
        <v>2023</v>
      </c>
      <c r="H519" s="324" t="s">
        <v>868</v>
      </c>
      <c r="I519" s="324">
        <v>2</v>
      </c>
    </row>
    <row r="520" spans="2:9">
      <c r="B520" s="324">
        <v>501</v>
      </c>
      <c r="C520" s="324" t="s">
        <v>349</v>
      </c>
      <c r="D520" s="324">
        <v>2009</v>
      </c>
      <c r="E520" s="325">
        <v>100227</v>
      </c>
      <c r="F520" s="324"/>
      <c r="G520" s="324">
        <v>2023</v>
      </c>
      <c r="H520" s="324" t="s">
        <v>868</v>
      </c>
      <c r="I520" s="324">
        <v>2</v>
      </c>
    </row>
    <row r="521" spans="2:9">
      <c r="B521" s="324">
        <v>502</v>
      </c>
      <c r="C521" s="324" t="s">
        <v>349</v>
      </c>
      <c r="D521" s="324">
        <v>2010</v>
      </c>
      <c r="E521" s="325">
        <v>956327</v>
      </c>
      <c r="F521" s="324"/>
      <c r="G521" s="324">
        <v>2023</v>
      </c>
      <c r="H521" s="324" t="s">
        <v>868</v>
      </c>
      <c r="I521" s="324">
        <v>2</v>
      </c>
    </row>
    <row r="522" spans="2:9">
      <c r="B522" s="324">
        <v>503</v>
      </c>
      <c r="C522" s="324" t="s">
        <v>349</v>
      </c>
      <c r="D522" s="324">
        <v>2011</v>
      </c>
      <c r="E522" s="325">
        <v>1338329</v>
      </c>
      <c r="F522" s="324"/>
      <c r="G522" s="324">
        <v>2023</v>
      </c>
      <c r="H522" s="324" t="s">
        <v>868</v>
      </c>
      <c r="I522" s="324">
        <v>2</v>
      </c>
    </row>
    <row r="523" spans="2:9">
      <c r="B523" s="324">
        <v>504</v>
      </c>
      <c r="C523" s="324" t="s">
        <v>349</v>
      </c>
      <c r="D523" s="324">
        <v>2012</v>
      </c>
      <c r="E523" s="325">
        <v>479994</v>
      </c>
      <c r="F523" s="324"/>
      <c r="G523" s="324">
        <v>2023</v>
      </c>
      <c r="H523" s="324" t="s">
        <v>868</v>
      </c>
      <c r="I523" s="324">
        <v>2</v>
      </c>
    </row>
    <row r="524" spans="2:9">
      <c r="B524" s="324">
        <v>505</v>
      </c>
      <c r="C524" s="324" t="s">
        <v>349</v>
      </c>
      <c r="D524" s="324">
        <v>2013</v>
      </c>
      <c r="E524" s="325">
        <v>640497</v>
      </c>
      <c r="F524" s="324"/>
      <c r="G524" s="324">
        <v>2023</v>
      </c>
      <c r="H524" s="324" t="s">
        <v>868</v>
      </c>
      <c r="I524" s="324">
        <v>2</v>
      </c>
    </row>
    <row r="525" spans="2:9">
      <c r="B525" s="324">
        <v>506</v>
      </c>
      <c r="C525" s="324" t="s">
        <v>349</v>
      </c>
      <c r="D525" s="324">
        <v>2014</v>
      </c>
      <c r="E525" s="325">
        <v>1591</v>
      </c>
      <c r="F525" s="324"/>
      <c r="G525" s="324">
        <v>2023</v>
      </c>
      <c r="H525" s="324" t="s">
        <v>868</v>
      </c>
      <c r="I525" s="324">
        <v>2</v>
      </c>
    </row>
    <row r="526" spans="2:9">
      <c r="B526" s="324">
        <v>507</v>
      </c>
      <c r="C526" s="324" t="s">
        <v>349</v>
      </c>
      <c r="D526" s="324">
        <v>2016</v>
      </c>
      <c r="E526" s="325">
        <v>36980</v>
      </c>
      <c r="F526" s="324"/>
      <c r="G526" s="324">
        <v>2023</v>
      </c>
      <c r="H526" s="324" t="s">
        <v>868</v>
      </c>
      <c r="I526" s="324">
        <v>2</v>
      </c>
    </row>
    <row r="527" spans="2:9">
      <c r="B527" s="324">
        <v>508</v>
      </c>
      <c r="C527" s="324" t="s">
        <v>353</v>
      </c>
      <c r="D527" s="324">
        <v>1964</v>
      </c>
      <c r="E527" s="325">
        <v>3025</v>
      </c>
      <c r="F527" s="324"/>
      <c r="G527" s="324">
        <v>2023</v>
      </c>
      <c r="H527" s="324" t="s">
        <v>868</v>
      </c>
      <c r="I527" s="324">
        <v>2</v>
      </c>
    </row>
    <row r="528" spans="2:9">
      <c r="B528" s="324">
        <v>509</v>
      </c>
      <c r="C528" s="324" t="s">
        <v>353</v>
      </c>
      <c r="D528" s="324">
        <v>1966</v>
      </c>
      <c r="E528" s="325">
        <v>70000</v>
      </c>
      <c r="F528" s="324"/>
      <c r="G528" s="324">
        <v>2023</v>
      </c>
      <c r="H528" s="324" t="s">
        <v>868</v>
      </c>
      <c r="I528" s="324">
        <v>2</v>
      </c>
    </row>
    <row r="529" spans="2:9">
      <c r="B529" s="324">
        <v>510</v>
      </c>
      <c r="C529" s="324" t="s">
        <v>353</v>
      </c>
      <c r="D529" s="324">
        <v>1967</v>
      </c>
      <c r="E529" s="325">
        <v>7455</v>
      </c>
      <c r="F529" s="324"/>
      <c r="G529" s="324">
        <v>2023</v>
      </c>
      <c r="H529" s="324" t="s">
        <v>868</v>
      </c>
      <c r="I529" s="324">
        <v>2</v>
      </c>
    </row>
    <row r="530" spans="2:9">
      <c r="B530" s="324">
        <v>511</v>
      </c>
      <c r="C530" s="324" t="s">
        <v>353</v>
      </c>
      <c r="D530" s="324">
        <v>1970</v>
      </c>
      <c r="E530" s="325">
        <v>18136</v>
      </c>
      <c r="F530" s="324"/>
      <c r="G530" s="324">
        <v>2023</v>
      </c>
      <c r="H530" s="324" t="s">
        <v>868</v>
      </c>
      <c r="I530" s="324">
        <v>2</v>
      </c>
    </row>
    <row r="531" spans="2:9">
      <c r="B531" s="324">
        <v>512</v>
      </c>
      <c r="C531" s="324" t="s">
        <v>353</v>
      </c>
      <c r="D531" s="324">
        <v>1971</v>
      </c>
      <c r="E531" s="325">
        <v>9848</v>
      </c>
      <c r="F531" s="324"/>
      <c r="G531" s="324">
        <v>2023</v>
      </c>
      <c r="H531" s="324" t="s">
        <v>868</v>
      </c>
      <c r="I531" s="324">
        <v>2</v>
      </c>
    </row>
    <row r="532" spans="2:9">
      <c r="B532" s="324">
        <v>513</v>
      </c>
      <c r="C532" s="324" t="s">
        <v>353</v>
      </c>
      <c r="D532" s="324">
        <v>1975</v>
      </c>
      <c r="E532" s="325">
        <v>126847</v>
      </c>
      <c r="F532" s="324"/>
      <c r="G532" s="324">
        <v>2023</v>
      </c>
      <c r="H532" s="324" t="s">
        <v>868</v>
      </c>
      <c r="I532" s="324">
        <v>2</v>
      </c>
    </row>
    <row r="533" spans="2:9">
      <c r="B533" s="324">
        <v>514</v>
      </c>
      <c r="C533" s="324" t="s">
        <v>353</v>
      </c>
      <c r="D533" s="324">
        <v>1976</v>
      </c>
      <c r="E533" s="325">
        <v>34143</v>
      </c>
      <c r="F533" s="324"/>
      <c r="G533" s="324">
        <v>2023</v>
      </c>
      <c r="H533" s="324" t="s">
        <v>868</v>
      </c>
      <c r="I533" s="324">
        <v>2</v>
      </c>
    </row>
    <row r="534" spans="2:9">
      <c r="B534" s="324">
        <v>515</v>
      </c>
      <c r="C534" s="324" t="s">
        <v>353</v>
      </c>
      <c r="D534" s="324">
        <v>1978</v>
      </c>
      <c r="E534" s="325">
        <v>16987</v>
      </c>
      <c r="F534" s="324"/>
      <c r="G534" s="324">
        <v>2023</v>
      </c>
      <c r="H534" s="324" t="s">
        <v>868</v>
      </c>
      <c r="I534" s="324">
        <v>2</v>
      </c>
    </row>
    <row r="535" spans="2:9">
      <c r="B535" s="324">
        <v>516</v>
      </c>
      <c r="C535" s="324" t="s">
        <v>353</v>
      </c>
      <c r="D535" s="324">
        <v>1980</v>
      </c>
      <c r="E535" s="325">
        <v>18508</v>
      </c>
      <c r="F535" s="324"/>
      <c r="G535" s="324">
        <v>2023</v>
      </c>
      <c r="H535" s="324" t="s">
        <v>868</v>
      </c>
      <c r="I535" s="324">
        <v>2</v>
      </c>
    </row>
    <row r="536" spans="2:9">
      <c r="B536" s="324">
        <v>517</v>
      </c>
      <c r="C536" s="324" t="s">
        <v>353</v>
      </c>
      <c r="D536" s="324">
        <v>1982</v>
      </c>
      <c r="E536" s="325">
        <v>28372</v>
      </c>
      <c r="F536" s="324"/>
      <c r="G536" s="324">
        <v>2023</v>
      </c>
      <c r="H536" s="324" t="s">
        <v>868</v>
      </c>
      <c r="I536" s="324">
        <v>2</v>
      </c>
    </row>
    <row r="537" spans="2:9">
      <c r="B537" s="324">
        <v>518</v>
      </c>
      <c r="C537" s="324" t="s">
        <v>353</v>
      </c>
      <c r="D537" s="324">
        <v>1986</v>
      </c>
      <c r="E537" s="325">
        <v>22360</v>
      </c>
      <c r="F537" s="324"/>
      <c r="G537" s="324">
        <v>2023</v>
      </c>
      <c r="H537" s="324" t="s">
        <v>868</v>
      </c>
      <c r="I537" s="324">
        <v>2</v>
      </c>
    </row>
    <row r="538" spans="2:9">
      <c r="B538" s="324">
        <v>519</v>
      </c>
      <c r="C538" s="324" t="s">
        <v>353</v>
      </c>
      <c r="D538" s="324">
        <v>1987</v>
      </c>
      <c r="E538" s="325">
        <v>22132</v>
      </c>
      <c r="F538" s="324"/>
      <c r="G538" s="324">
        <v>2023</v>
      </c>
      <c r="H538" s="324" t="s">
        <v>868</v>
      </c>
      <c r="I538" s="324">
        <v>2</v>
      </c>
    </row>
    <row r="539" spans="2:9">
      <c r="B539" s="324">
        <v>520</v>
      </c>
      <c r="C539" s="324" t="s">
        <v>353</v>
      </c>
      <c r="D539" s="324">
        <v>1993</v>
      </c>
      <c r="E539" s="325">
        <v>24502</v>
      </c>
      <c r="F539" s="324"/>
      <c r="G539" s="324">
        <v>2023</v>
      </c>
      <c r="H539" s="324" t="s">
        <v>868</v>
      </c>
      <c r="I539" s="324">
        <v>2</v>
      </c>
    </row>
    <row r="540" spans="2:9">
      <c r="B540" s="324">
        <v>521</v>
      </c>
      <c r="C540" s="324" t="s">
        <v>353</v>
      </c>
      <c r="D540" s="324">
        <v>1996</v>
      </c>
      <c r="E540" s="325">
        <v>67710</v>
      </c>
      <c r="F540" s="324"/>
      <c r="G540" s="324">
        <v>2023</v>
      </c>
      <c r="H540" s="324" t="s">
        <v>868</v>
      </c>
      <c r="I540" s="324">
        <v>2</v>
      </c>
    </row>
    <row r="541" spans="2:9">
      <c r="B541" s="324">
        <v>522</v>
      </c>
      <c r="C541" s="324" t="s">
        <v>353</v>
      </c>
      <c r="D541" s="324">
        <v>2002</v>
      </c>
      <c r="E541" s="325">
        <v>278598</v>
      </c>
      <c r="F541" s="324"/>
      <c r="G541" s="324">
        <v>2023</v>
      </c>
      <c r="H541" s="324" t="s">
        <v>868</v>
      </c>
      <c r="I541" s="324">
        <v>2</v>
      </c>
    </row>
    <row r="542" spans="2:9">
      <c r="B542" s="324">
        <v>523</v>
      </c>
      <c r="C542" s="324" t="s">
        <v>353</v>
      </c>
      <c r="D542" s="324">
        <v>2008</v>
      </c>
      <c r="E542" s="325">
        <v>34070</v>
      </c>
      <c r="F542" s="324"/>
      <c r="G542" s="324">
        <v>2023</v>
      </c>
      <c r="H542" s="324" t="s">
        <v>868</v>
      </c>
      <c r="I542" s="324">
        <v>2</v>
      </c>
    </row>
    <row r="543" spans="2:9">
      <c r="B543" s="324">
        <v>524</v>
      </c>
      <c r="C543" s="324" t="s">
        <v>361</v>
      </c>
      <c r="D543" s="324">
        <v>1974</v>
      </c>
      <c r="E543" s="325">
        <v>91446</v>
      </c>
      <c r="F543" s="324"/>
      <c r="G543" s="324">
        <v>2023</v>
      </c>
      <c r="H543" s="324" t="s">
        <v>868</v>
      </c>
      <c r="I543" s="324">
        <v>2</v>
      </c>
    </row>
    <row r="544" spans="2:9">
      <c r="B544" s="324">
        <v>525</v>
      </c>
      <c r="C544" s="324" t="s">
        <v>364</v>
      </c>
      <c r="D544" s="324">
        <v>1966</v>
      </c>
      <c r="E544" s="325">
        <v>5667</v>
      </c>
      <c r="F544" s="324"/>
      <c r="G544" s="324">
        <v>2023</v>
      </c>
      <c r="H544" s="324" t="s">
        <v>868</v>
      </c>
      <c r="I544" s="324">
        <v>2</v>
      </c>
    </row>
    <row r="545" spans="2:9">
      <c r="B545" s="324">
        <v>526</v>
      </c>
      <c r="C545" s="324" t="s">
        <v>364</v>
      </c>
      <c r="D545" s="324">
        <v>1967</v>
      </c>
      <c r="E545" s="325">
        <v>13495</v>
      </c>
      <c r="F545" s="324"/>
      <c r="G545" s="324">
        <v>2023</v>
      </c>
      <c r="H545" s="324" t="s">
        <v>868</v>
      </c>
      <c r="I545" s="324">
        <v>2</v>
      </c>
    </row>
    <row r="546" spans="2:9">
      <c r="B546" s="324">
        <v>527</v>
      </c>
      <c r="C546" s="324" t="s">
        <v>364</v>
      </c>
      <c r="D546" s="324">
        <v>1972</v>
      </c>
      <c r="E546" s="325">
        <v>7627</v>
      </c>
      <c r="F546" s="324"/>
      <c r="G546" s="324">
        <v>2023</v>
      </c>
      <c r="H546" s="324" t="s">
        <v>868</v>
      </c>
      <c r="I546" s="324">
        <v>2</v>
      </c>
    </row>
    <row r="547" spans="2:9">
      <c r="B547" s="324">
        <v>528</v>
      </c>
      <c r="C547" s="324" t="s">
        <v>364</v>
      </c>
      <c r="D547" s="324">
        <v>1974</v>
      </c>
      <c r="E547" s="325">
        <v>12366</v>
      </c>
      <c r="F547" s="324"/>
      <c r="G547" s="324">
        <v>2023</v>
      </c>
      <c r="H547" s="324" t="s">
        <v>868</v>
      </c>
      <c r="I547" s="324">
        <v>2</v>
      </c>
    </row>
    <row r="548" spans="2:9">
      <c r="B548" s="324">
        <v>529</v>
      </c>
      <c r="C548" s="324" t="s">
        <v>364</v>
      </c>
      <c r="D548" s="324">
        <v>1975</v>
      </c>
      <c r="E548" s="325">
        <v>28804</v>
      </c>
      <c r="F548" s="324"/>
      <c r="G548" s="324">
        <v>2023</v>
      </c>
      <c r="H548" s="324" t="s">
        <v>868</v>
      </c>
      <c r="I548" s="324">
        <v>2</v>
      </c>
    </row>
    <row r="549" spans="2:9">
      <c r="B549" s="324">
        <v>530</v>
      </c>
      <c r="C549" s="324" t="s">
        <v>366</v>
      </c>
      <c r="D549" s="324">
        <v>1979</v>
      </c>
      <c r="E549" s="325">
        <v>1824</v>
      </c>
      <c r="F549" s="324"/>
      <c r="G549" s="324">
        <v>2023</v>
      </c>
      <c r="H549" s="324" t="s">
        <v>868</v>
      </c>
      <c r="I549" s="324">
        <v>2</v>
      </c>
    </row>
    <row r="550" spans="2:9">
      <c r="B550" s="324">
        <v>531</v>
      </c>
      <c r="C550" s="324" t="s">
        <v>370</v>
      </c>
      <c r="D550" s="324">
        <v>2007</v>
      </c>
      <c r="E550" s="325">
        <v>4508703</v>
      </c>
      <c r="F550" s="324"/>
      <c r="G550" s="324">
        <v>2023</v>
      </c>
      <c r="H550" s="324" t="s">
        <v>868</v>
      </c>
      <c r="I550" s="324">
        <v>2</v>
      </c>
    </row>
    <row r="551" spans="2:9">
      <c r="B551" s="324">
        <v>532</v>
      </c>
      <c r="C551" s="324" t="s">
        <v>305</v>
      </c>
      <c r="D551" s="324">
        <v>1946</v>
      </c>
      <c r="E551" s="325">
        <v>881</v>
      </c>
      <c r="F551" s="324"/>
      <c r="G551" s="324">
        <v>2024</v>
      </c>
      <c r="H551" s="324" t="s">
        <v>855</v>
      </c>
      <c r="I551" s="324">
        <v>1</v>
      </c>
    </row>
    <row r="552" spans="2:9">
      <c r="B552" s="324">
        <v>533</v>
      </c>
      <c r="C552" s="324" t="s">
        <v>305</v>
      </c>
      <c r="D552" s="324">
        <v>1949</v>
      </c>
      <c r="E552" s="325">
        <v>4199</v>
      </c>
      <c r="F552" s="324"/>
      <c r="G552" s="324">
        <v>2024</v>
      </c>
      <c r="H552" s="324" t="s">
        <v>855</v>
      </c>
      <c r="I552" s="324">
        <v>1</v>
      </c>
    </row>
    <row r="553" spans="2:9">
      <c r="B553" s="324">
        <v>534</v>
      </c>
      <c r="C553" s="324" t="s">
        <v>305</v>
      </c>
      <c r="D553" s="324">
        <v>1958</v>
      </c>
      <c r="E553" s="325">
        <v>75794</v>
      </c>
      <c r="F553" s="324"/>
      <c r="G553" s="324">
        <v>2024</v>
      </c>
      <c r="H553" s="324" t="s">
        <v>855</v>
      </c>
      <c r="I553" s="324">
        <v>1</v>
      </c>
    </row>
    <row r="554" spans="2:9">
      <c r="B554" s="324">
        <v>535</v>
      </c>
      <c r="C554" s="324" t="s">
        <v>305</v>
      </c>
      <c r="D554" s="324">
        <v>1961</v>
      </c>
      <c r="E554" s="325">
        <v>43899</v>
      </c>
      <c r="F554" s="324"/>
      <c r="G554" s="324">
        <v>2024</v>
      </c>
      <c r="H554" s="324" t="s">
        <v>855</v>
      </c>
      <c r="I554" s="324">
        <v>1</v>
      </c>
    </row>
    <row r="555" spans="2:9">
      <c r="B555" s="324">
        <v>536</v>
      </c>
      <c r="C555" s="324" t="s">
        <v>305</v>
      </c>
      <c r="D555" s="324">
        <v>1965</v>
      </c>
      <c r="E555" s="325">
        <v>65000</v>
      </c>
      <c r="F555" s="324"/>
      <c r="G555" s="324">
        <v>2024</v>
      </c>
      <c r="H555" s="324" t="s">
        <v>855</v>
      </c>
      <c r="I555" s="324">
        <v>1</v>
      </c>
    </row>
    <row r="556" spans="2:9">
      <c r="B556" s="324">
        <v>537</v>
      </c>
      <c r="C556" s="324" t="s">
        <v>305</v>
      </c>
      <c r="D556" s="324">
        <v>1966</v>
      </c>
      <c r="E556" s="325">
        <v>84988</v>
      </c>
      <c r="F556" s="324"/>
      <c r="G556" s="324">
        <v>2024</v>
      </c>
      <c r="H556" s="324" t="s">
        <v>855</v>
      </c>
      <c r="I556" s="324">
        <v>1</v>
      </c>
    </row>
    <row r="557" spans="2:9">
      <c r="B557" s="324">
        <v>538</v>
      </c>
      <c r="C557" s="324" t="s">
        <v>305</v>
      </c>
      <c r="D557" s="324">
        <v>1967</v>
      </c>
      <c r="E557" s="325">
        <v>30000</v>
      </c>
      <c r="F557" s="324"/>
      <c r="G557" s="324">
        <v>2024</v>
      </c>
      <c r="H557" s="324" t="s">
        <v>855</v>
      </c>
      <c r="I557" s="324">
        <v>1</v>
      </c>
    </row>
    <row r="558" spans="2:9">
      <c r="B558" s="324">
        <v>539</v>
      </c>
      <c r="C558" s="324" t="s">
        <v>305</v>
      </c>
      <c r="D558" s="324">
        <v>1968</v>
      </c>
      <c r="E558" s="325">
        <v>135146</v>
      </c>
      <c r="F558" s="324"/>
      <c r="G558" s="324">
        <v>2024</v>
      </c>
      <c r="H558" s="324" t="s">
        <v>855</v>
      </c>
      <c r="I558" s="324">
        <v>1</v>
      </c>
    </row>
    <row r="559" spans="2:9">
      <c r="B559" s="324">
        <v>540</v>
      </c>
      <c r="C559" s="324" t="s">
        <v>305</v>
      </c>
      <c r="D559" s="324">
        <v>1969</v>
      </c>
      <c r="E559" s="325">
        <v>103785</v>
      </c>
      <c r="F559" s="324"/>
      <c r="G559" s="324">
        <v>2024</v>
      </c>
      <c r="H559" s="324" t="s">
        <v>855</v>
      </c>
      <c r="I559" s="324">
        <v>1</v>
      </c>
    </row>
    <row r="560" spans="2:9">
      <c r="B560" s="324">
        <v>541</v>
      </c>
      <c r="C560" s="324" t="s">
        <v>305</v>
      </c>
      <c r="D560" s="324">
        <v>1970</v>
      </c>
      <c r="E560" s="325">
        <v>60959</v>
      </c>
      <c r="F560" s="324"/>
      <c r="G560" s="324">
        <v>2024</v>
      </c>
      <c r="H560" s="324" t="s">
        <v>855</v>
      </c>
      <c r="I560" s="324">
        <v>1</v>
      </c>
    </row>
    <row r="561" spans="2:9">
      <c r="B561" s="324">
        <v>542</v>
      </c>
      <c r="C561" s="324" t="s">
        <v>305</v>
      </c>
      <c r="D561" s="324">
        <v>1971</v>
      </c>
      <c r="E561" s="325">
        <v>286240</v>
      </c>
      <c r="F561" s="324"/>
      <c r="G561" s="324">
        <v>2024</v>
      </c>
      <c r="H561" s="324" t="s">
        <v>855</v>
      </c>
      <c r="I561" s="324">
        <v>1</v>
      </c>
    </row>
    <row r="562" spans="2:9">
      <c r="B562" s="324">
        <v>543</v>
      </c>
      <c r="C562" s="324" t="s">
        <v>305</v>
      </c>
      <c r="D562" s="324">
        <v>1972</v>
      </c>
      <c r="E562" s="325">
        <v>71451</v>
      </c>
      <c r="F562" s="324"/>
      <c r="G562" s="324">
        <v>2024</v>
      </c>
      <c r="H562" s="324" t="s">
        <v>855</v>
      </c>
      <c r="I562" s="324">
        <v>1</v>
      </c>
    </row>
    <row r="563" spans="2:9">
      <c r="B563" s="324">
        <v>544</v>
      </c>
      <c r="C563" s="324" t="s">
        <v>305</v>
      </c>
      <c r="D563" s="324">
        <v>1973</v>
      </c>
      <c r="E563" s="325">
        <v>102767</v>
      </c>
      <c r="F563" s="324"/>
      <c r="G563" s="324">
        <v>2024</v>
      </c>
      <c r="H563" s="324" t="s">
        <v>855</v>
      </c>
      <c r="I563" s="324">
        <v>1</v>
      </c>
    </row>
    <row r="564" spans="2:9">
      <c r="B564" s="324">
        <v>545</v>
      </c>
      <c r="C564" s="324" t="s">
        <v>305</v>
      </c>
      <c r="D564" s="324">
        <v>1974</v>
      </c>
      <c r="E564" s="325">
        <v>39996</v>
      </c>
      <c r="F564" s="324"/>
      <c r="G564" s="324">
        <v>2024</v>
      </c>
      <c r="H564" s="324" t="s">
        <v>855</v>
      </c>
      <c r="I564" s="324">
        <v>1</v>
      </c>
    </row>
    <row r="565" spans="2:9">
      <c r="B565" s="324">
        <v>546</v>
      </c>
      <c r="C565" s="324" t="s">
        <v>305</v>
      </c>
      <c r="D565" s="324">
        <v>1975</v>
      </c>
      <c r="E565" s="325">
        <v>39996</v>
      </c>
      <c r="F565" s="324"/>
      <c r="G565" s="324">
        <v>2024</v>
      </c>
      <c r="H565" s="324" t="s">
        <v>855</v>
      </c>
      <c r="I565" s="324">
        <v>1</v>
      </c>
    </row>
    <row r="566" spans="2:9">
      <c r="B566" s="324">
        <v>547</v>
      </c>
      <c r="C566" s="324" t="s">
        <v>305</v>
      </c>
      <c r="D566" s="324">
        <v>1976</v>
      </c>
      <c r="E566" s="325">
        <v>230753</v>
      </c>
      <c r="F566" s="324"/>
      <c r="G566" s="324">
        <v>2024</v>
      </c>
      <c r="H566" s="324" t="s">
        <v>855</v>
      </c>
      <c r="I566" s="324">
        <v>1</v>
      </c>
    </row>
    <row r="567" spans="2:9">
      <c r="B567" s="324">
        <v>548</v>
      </c>
      <c r="C567" s="324" t="s">
        <v>305</v>
      </c>
      <c r="D567" s="324">
        <v>1977</v>
      </c>
      <c r="E567" s="325">
        <v>19732</v>
      </c>
      <c r="F567" s="324"/>
      <c r="G567" s="324">
        <v>2024</v>
      </c>
      <c r="H567" s="324" t="s">
        <v>855</v>
      </c>
      <c r="I567" s="324">
        <v>1</v>
      </c>
    </row>
    <row r="568" spans="2:9">
      <c r="B568" s="324">
        <v>549</v>
      </c>
      <c r="C568" s="324" t="s">
        <v>305</v>
      </c>
      <c r="D568" s="324">
        <v>1979</v>
      </c>
      <c r="E568" s="325">
        <v>1056</v>
      </c>
      <c r="F568" s="324"/>
      <c r="G568" s="324">
        <v>2024</v>
      </c>
      <c r="H568" s="324" t="s">
        <v>855</v>
      </c>
      <c r="I568" s="324">
        <v>1</v>
      </c>
    </row>
    <row r="569" spans="2:9">
      <c r="B569" s="324">
        <v>550</v>
      </c>
      <c r="C569" s="324" t="s">
        <v>305</v>
      </c>
      <c r="D569" s="324">
        <v>1985</v>
      </c>
      <c r="E569" s="325">
        <v>2726</v>
      </c>
      <c r="F569" s="324"/>
      <c r="G569" s="324">
        <v>2024</v>
      </c>
      <c r="H569" s="324" t="s">
        <v>855</v>
      </c>
      <c r="I569" s="324">
        <v>1</v>
      </c>
    </row>
    <row r="570" spans="2:9">
      <c r="B570" s="324">
        <v>551</v>
      </c>
      <c r="C570" s="324" t="s">
        <v>305</v>
      </c>
      <c r="D570" s="324">
        <v>1988</v>
      </c>
      <c r="E570" s="325">
        <v>14341</v>
      </c>
      <c r="F570" s="324"/>
      <c r="G570" s="324">
        <v>2024</v>
      </c>
      <c r="H570" s="324" t="s">
        <v>855</v>
      </c>
      <c r="I570" s="324">
        <v>1</v>
      </c>
    </row>
    <row r="571" spans="2:9">
      <c r="B571" s="324">
        <v>552</v>
      </c>
      <c r="C571" s="324" t="s">
        <v>305</v>
      </c>
      <c r="D571" s="324">
        <v>1990</v>
      </c>
      <c r="E571" s="325">
        <v>10387</v>
      </c>
      <c r="F571" s="324"/>
      <c r="G571" s="324">
        <v>2024</v>
      </c>
      <c r="H571" s="324" t="s">
        <v>855</v>
      </c>
      <c r="I571" s="324">
        <v>1</v>
      </c>
    </row>
    <row r="572" spans="2:9">
      <c r="B572" s="324">
        <v>553</v>
      </c>
      <c r="C572" s="324" t="s">
        <v>305</v>
      </c>
      <c r="D572" s="324">
        <v>1992</v>
      </c>
      <c r="E572" s="325">
        <v>127354</v>
      </c>
      <c r="F572" s="324"/>
      <c r="G572" s="324">
        <v>2024</v>
      </c>
      <c r="H572" s="324" t="s">
        <v>855</v>
      </c>
      <c r="I572" s="324">
        <v>1</v>
      </c>
    </row>
    <row r="573" spans="2:9">
      <c r="B573" s="324">
        <v>554</v>
      </c>
      <c r="C573" s="324" t="s">
        <v>305</v>
      </c>
      <c r="D573" s="324">
        <v>1993</v>
      </c>
      <c r="E573" s="325">
        <v>60000</v>
      </c>
      <c r="F573" s="324"/>
      <c r="G573" s="324">
        <v>2024</v>
      </c>
      <c r="H573" s="324" t="s">
        <v>855</v>
      </c>
      <c r="I573" s="324">
        <v>1</v>
      </c>
    </row>
    <row r="574" spans="2:9">
      <c r="B574" s="324">
        <v>555</v>
      </c>
      <c r="C574" s="324" t="s">
        <v>305</v>
      </c>
      <c r="D574" s="324">
        <v>1998</v>
      </c>
      <c r="E574" s="325">
        <v>7648</v>
      </c>
      <c r="F574" s="324"/>
      <c r="G574" s="324">
        <v>2024</v>
      </c>
      <c r="H574" s="324" t="s">
        <v>855</v>
      </c>
      <c r="I574" s="324">
        <v>1</v>
      </c>
    </row>
    <row r="575" spans="2:9">
      <c r="B575" s="324">
        <v>556</v>
      </c>
      <c r="C575" s="324" t="s">
        <v>305</v>
      </c>
      <c r="D575" s="324">
        <v>2004</v>
      </c>
      <c r="E575" s="325">
        <v>77652</v>
      </c>
      <c r="F575" s="324"/>
      <c r="G575" s="324">
        <v>2024</v>
      </c>
      <c r="H575" s="324" t="s">
        <v>855</v>
      </c>
      <c r="I575" s="324">
        <v>1</v>
      </c>
    </row>
    <row r="576" spans="2:9">
      <c r="B576" s="324">
        <v>557</v>
      </c>
      <c r="C576" s="324" t="s">
        <v>305</v>
      </c>
      <c r="D576" s="324">
        <v>2006</v>
      </c>
      <c r="E576" s="325">
        <v>5864</v>
      </c>
      <c r="F576" s="324"/>
      <c r="G576" s="324">
        <v>2024</v>
      </c>
      <c r="H576" s="324" t="s">
        <v>855</v>
      </c>
      <c r="I576" s="324">
        <v>1</v>
      </c>
    </row>
    <row r="577" spans="2:9">
      <c r="B577" s="324">
        <v>558</v>
      </c>
      <c r="C577" s="324" t="s">
        <v>305</v>
      </c>
      <c r="D577" s="324">
        <v>2007</v>
      </c>
      <c r="E577" s="325">
        <v>6736</v>
      </c>
      <c r="F577" s="324"/>
      <c r="G577" s="324">
        <v>2024</v>
      </c>
      <c r="H577" s="324" t="s">
        <v>855</v>
      </c>
      <c r="I577" s="324">
        <v>1</v>
      </c>
    </row>
    <row r="578" spans="2:9">
      <c r="B578" s="324">
        <v>559</v>
      </c>
      <c r="C578" s="324" t="s">
        <v>305</v>
      </c>
      <c r="D578" s="324">
        <v>2009</v>
      </c>
      <c r="E578" s="325">
        <v>396714</v>
      </c>
      <c r="F578" s="324"/>
      <c r="G578" s="324">
        <v>2024</v>
      </c>
      <c r="H578" s="324" t="s">
        <v>855</v>
      </c>
      <c r="I578" s="324">
        <v>1</v>
      </c>
    </row>
    <row r="579" spans="2:9">
      <c r="B579" s="324">
        <v>560</v>
      </c>
      <c r="C579" s="324" t="s">
        <v>305</v>
      </c>
      <c r="D579" s="324">
        <v>2010</v>
      </c>
      <c r="E579" s="325">
        <v>521890</v>
      </c>
      <c r="F579" s="324"/>
      <c r="G579" s="324">
        <v>2024</v>
      </c>
      <c r="H579" s="324" t="s">
        <v>855</v>
      </c>
      <c r="I579" s="324">
        <v>1</v>
      </c>
    </row>
    <row r="580" spans="2:9">
      <c r="B580" s="324">
        <v>561</v>
      </c>
      <c r="C580" s="324" t="s">
        <v>305</v>
      </c>
      <c r="D580" s="324">
        <v>2011</v>
      </c>
      <c r="E580" s="325">
        <v>3567</v>
      </c>
      <c r="F580" s="324"/>
      <c r="G580" s="324">
        <v>2024</v>
      </c>
      <c r="H580" s="324" t="s">
        <v>855</v>
      </c>
      <c r="I580" s="324">
        <v>1</v>
      </c>
    </row>
    <row r="581" spans="2:9">
      <c r="B581" s="324">
        <v>562</v>
      </c>
      <c r="C581" s="324" t="s">
        <v>305</v>
      </c>
      <c r="D581" s="324">
        <v>2016</v>
      </c>
      <c r="E581" s="325">
        <v>430924</v>
      </c>
      <c r="F581" s="324"/>
      <c r="G581" s="324">
        <v>2024</v>
      </c>
      <c r="H581" s="324" t="s">
        <v>855</v>
      </c>
      <c r="I581" s="324">
        <v>1</v>
      </c>
    </row>
    <row r="582" spans="2:9">
      <c r="B582" s="324">
        <v>563</v>
      </c>
      <c r="C582" s="324" t="s">
        <v>309</v>
      </c>
      <c r="D582" s="324">
        <v>1967</v>
      </c>
      <c r="E582" s="325">
        <v>70058</v>
      </c>
      <c r="F582" s="324"/>
      <c r="G582" s="324">
        <v>2024</v>
      </c>
      <c r="H582" s="324" t="s">
        <v>855</v>
      </c>
      <c r="I582" s="324">
        <v>1</v>
      </c>
    </row>
    <row r="583" spans="2:9">
      <c r="B583" s="324">
        <v>564</v>
      </c>
      <c r="C583" s="324" t="s">
        <v>309</v>
      </c>
      <c r="D583" s="324">
        <v>1968</v>
      </c>
      <c r="E583" s="325">
        <v>206807</v>
      </c>
      <c r="F583" s="324"/>
      <c r="G583" s="324">
        <v>2024</v>
      </c>
      <c r="H583" s="324" t="s">
        <v>855</v>
      </c>
      <c r="I583" s="324">
        <v>1</v>
      </c>
    </row>
    <row r="584" spans="2:9">
      <c r="B584" s="324">
        <v>565</v>
      </c>
      <c r="C584" s="324" t="s">
        <v>309</v>
      </c>
      <c r="D584" s="324">
        <v>1969</v>
      </c>
      <c r="E584" s="325">
        <v>39996</v>
      </c>
      <c r="F584" s="324"/>
      <c r="G584" s="324">
        <v>2024</v>
      </c>
      <c r="H584" s="324" t="s">
        <v>855</v>
      </c>
      <c r="I584" s="324">
        <v>1</v>
      </c>
    </row>
    <row r="585" spans="2:9">
      <c r="B585" s="324">
        <v>566</v>
      </c>
      <c r="C585" s="324" t="s">
        <v>309</v>
      </c>
      <c r="D585" s="324">
        <v>1970</v>
      </c>
      <c r="E585" s="325">
        <v>52402</v>
      </c>
      <c r="F585" s="324"/>
      <c r="G585" s="324">
        <v>2024</v>
      </c>
      <c r="H585" s="324" t="s">
        <v>855</v>
      </c>
      <c r="I585" s="324">
        <v>1</v>
      </c>
    </row>
    <row r="586" spans="2:9">
      <c r="B586" s="324">
        <v>567</v>
      </c>
      <c r="C586" s="324" t="s">
        <v>309</v>
      </c>
      <c r="D586" s="324">
        <v>1971</v>
      </c>
      <c r="E586" s="325">
        <v>153301</v>
      </c>
      <c r="F586" s="324"/>
      <c r="G586" s="324">
        <v>2024</v>
      </c>
      <c r="H586" s="324" t="s">
        <v>855</v>
      </c>
      <c r="I586" s="324">
        <v>1</v>
      </c>
    </row>
    <row r="587" spans="2:9">
      <c r="B587" s="324">
        <v>568</v>
      </c>
      <c r="C587" s="324" t="s">
        <v>309</v>
      </c>
      <c r="D587" s="324">
        <v>1972</v>
      </c>
      <c r="E587" s="325">
        <v>23945</v>
      </c>
      <c r="F587" s="324"/>
      <c r="G587" s="324">
        <v>2024</v>
      </c>
      <c r="H587" s="324" t="s">
        <v>855</v>
      </c>
      <c r="I587" s="324">
        <v>1</v>
      </c>
    </row>
    <row r="588" spans="2:9">
      <c r="B588" s="324">
        <v>569</v>
      </c>
      <c r="C588" s="324" t="s">
        <v>309</v>
      </c>
      <c r="D588" s="324">
        <v>1975</v>
      </c>
      <c r="E588" s="325">
        <v>31096</v>
      </c>
      <c r="F588" s="324"/>
      <c r="G588" s="324">
        <v>2024</v>
      </c>
      <c r="H588" s="324" t="s">
        <v>855</v>
      </c>
      <c r="I588" s="324">
        <v>1</v>
      </c>
    </row>
    <row r="589" spans="2:9">
      <c r="B589" s="324">
        <v>570</v>
      </c>
      <c r="C589" s="324" t="s">
        <v>309</v>
      </c>
      <c r="D589" s="324">
        <v>1976</v>
      </c>
      <c r="E589" s="325">
        <v>12426</v>
      </c>
      <c r="F589" s="324"/>
      <c r="G589" s="324">
        <v>2024</v>
      </c>
      <c r="H589" s="324" t="s">
        <v>855</v>
      </c>
      <c r="I589" s="324">
        <v>1</v>
      </c>
    </row>
    <row r="590" spans="2:9">
      <c r="B590" s="324">
        <v>571</v>
      </c>
      <c r="C590" s="324" t="s">
        <v>309</v>
      </c>
      <c r="D590" s="324">
        <v>1981</v>
      </c>
      <c r="E590" s="325">
        <v>34690</v>
      </c>
      <c r="F590" s="324"/>
      <c r="G590" s="324">
        <v>2024</v>
      </c>
      <c r="H590" s="324" t="s">
        <v>855</v>
      </c>
      <c r="I590" s="324">
        <v>1</v>
      </c>
    </row>
    <row r="591" spans="2:9">
      <c r="B591" s="324">
        <v>572</v>
      </c>
      <c r="C591" s="324" t="s">
        <v>309</v>
      </c>
      <c r="D591" s="324">
        <v>1986</v>
      </c>
      <c r="E591" s="325">
        <v>78186</v>
      </c>
      <c r="F591" s="324"/>
      <c r="G591" s="324">
        <v>2024</v>
      </c>
      <c r="H591" s="324" t="s">
        <v>855</v>
      </c>
      <c r="I591" s="324">
        <v>1</v>
      </c>
    </row>
    <row r="592" spans="2:9">
      <c r="B592" s="324">
        <v>573</v>
      </c>
      <c r="C592" s="324" t="s">
        <v>309</v>
      </c>
      <c r="D592" s="324">
        <v>1997</v>
      </c>
      <c r="E592" s="325">
        <v>184270</v>
      </c>
      <c r="F592" s="324"/>
      <c r="G592" s="324">
        <v>2024</v>
      </c>
      <c r="H592" s="324" t="s">
        <v>855</v>
      </c>
      <c r="I592" s="324">
        <v>1</v>
      </c>
    </row>
    <row r="593" spans="2:9">
      <c r="B593" s="324">
        <v>574</v>
      </c>
      <c r="C593" s="324" t="s">
        <v>309</v>
      </c>
      <c r="D593" s="324">
        <v>1998</v>
      </c>
      <c r="E593" s="325">
        <v>20568</v>
      </c>
      <c r="F593" s="324"/>
      <c r="G593" s="324">
        <v>2024</v>
      </c>
      <c r="H593" s="324" t="s">
        <v>855</v>
      </c>
      <c r="I593" s="324">
        <v>1</v>
      </c>
    </row>
    <row r="594" spans="2:9">
      <c r="B594" s="324">
        <v>575</v>
      </c>
      <c r="C594" s="324" t="s">
        <v>309</v>
      </c>
      <c r="D594" s="324">
        <v>2000</v>
      </c>
      <c r="E594" s="325">
        <v>11269</v>
      </c>
      <c r="F594" s="324"/>
      <c r="G594" s="324">
        <v>2024</v>
      </c>
      <c r="H594" s="324" t="s">
        <v>855</v>
      </c>
      <c r="I594" s="324">
        <v>1</v>
      </c>
    </row>
    <row r="595" spans="2:9">
      <c r="B595" s="324">
        <v>576</v>
      </c>
      <c r="C595" s="324" t="s">
        <v>309</v>
      </c>
      <c r="D595" s="324">
        <v>2001</v>
      </c>
      <c r="E595" s="325">
        <v>144463</v>
      </c>
      <c r="F595" s="324"/>
      <c r="G595" s="324">
        <v>2024</v>
      </c>
      <c r="H595" s="324" t="s">
        <v>855</v>
      </c>
      <c r="I595" s="324">
        <v>1</v>
      </c>
    </row>
    <row r="596" spans="2:9">
      <c r="B596" s="324">
        <v>577</v>
      </c>
      <c r="C596" s="324" t="s">
        <v>309</v>
      </c>
      <c r="D596" s="324">
        <v>2007</v>
      </c>
      <c r="E596" s="325">
        <v>38479</v>
      </c>
      <c r="F596" s="324"/>
      <c r="G596" s="324">
        <v>2024</v>
      </c>
      <c r="H596" s="324" t="s">
        <v>855</v>
      </c>
      <c r="I596" s="324">
        <v>1</v>
      </c>
    </row>
    <row r="597" spans="2:9">
      <c r="B597" s="324">
        <v>578</v>
      </c>
      <c r="C597" s="324" t="s">
        <v>309</v>
      </c>
      <c r="D597" s="324">
        <v>2010</v>
      </c>
      <c r="E597" s="325">
        <v>29130</v>
      </c>
      <c r="F597" s="324"/>
      <c r="G597" s="324">
        <v>2024</v>
      </c>
      <c r="H597" s="324" t="s">
        <v>855</v>
      </c>
      <c r="I597" s="324">
        <v>1</v>
      </c>
    </row>
    <row r="598" spans="2:9">
      <c r="B598" s="324">
        <v>579</v>
      </c>
      <c r="C598" s="324" t="s">
        <v>309</v>
      </c>
      <c r="D598" s="324">
        <v>2011</v>
      </c>
      <c r="E598" s="325">
        <v>108631</v>
      </c>
      <c r="F598" s="324"/>
      <c r="G598" s="324">
        <v>2024</v>
      </c>
      <c r="H598" s="324" t="s">
        <v>855</v>
      </c>
      <c r="I598" s="324">
        <v>1</v>
      </c>
    </row>
    <row r="599" spans="2:9">
      <c r="B599" s="324">
        <v>580</v>
      </c>
      <c r="C599" s="324" t="s">
        <v>309</v>
      </c>
      <c r="D599" s="324">
        <v>2017</v>
      </c>
      <c r="E599" s="325">
        <v>46060</v>
      </c>
      <c r="F599" s="324"/>
      <c r="G599" s="324">
        <v>2024</v>
      </c>
      <c r="H599" s="324" t="s">
        <v>855</v>
      </c>
      <c r="I599" s="324">
        <v>1</v>
      </c>
    </row>
    <row r="600" spans="2:9">
      <c r="B600" s="324">
        <v>581</v>
      </c>
      <c r="C600" s="324" t="s">
        <v>309</v>
      </c>
      <c r="D600" s="324">
        <v>2020</v>
      </c>
      <c r="E600" s="325">
        <v>17034</v>
      </c>
      <c r="F600" s="324"/>
      <c r="G600" s="324">
        <v>2024</v>
      </c>
      <c r="H600" s="324" t="s">
        <v>855</v>
      </c>
      <c r="I600" s="324">
        <v>1</v>
      </c>
    </row>
    <row r="601" spans="2:9">
      <c r="B601" s="324">
        <v>582</v>
      </c>
      <c r="C601" s="324" t="s">
        <v>311</v>
      </c>
      <c r="D601" s="324">
        <v>1998</v>
      </c>
      <c r="E601" s="325">
        <v>62195</v>
      </c>
      <c r="F601" s="324"/>
      <c r="G601" s="324">
        <v>2024</v>
      </c>
      <c r="H601" s="324" t="s">
        <v>855</v>
      </c>
      <c r="I601" s="324">
        <v>1</v>
      </c>
    </row>
    <row r="602" spans="2:9">
      <c r="B602" s="324">
        <v>583</v>
      </c>
      <c r="C602" s="324" t="s">
        <v>321</v>
      </c>
      <c r="D602" s="324">
        <v>1996</v>
      </c>
      <c r="E602" s="325">
        <v>646376</v>
      </c>
      <c r="F602" s="324"/>
      <c r="G602" s="324">
        <v>2024</v>
      </c>
      <c r="H602" s="324" t="s">
        <v>855</v>
      </c>
      <c r="I602" s="324">
        <v>1</v>
      </c>
    </row>
    <row r="603" spans="2:9">
      <c r="B603" s="324">
        <v>584</v>
      </c>
      <c r="C603" s="324" t="s">
        <v>321</v>
      </c>
      <c r="D603" s="324">
        <v>1998</v>
      </c>
      <c r="E603" s="325">
        <v>1710727</v>
      </c>
      <c r="F603" s="324"/>
      <c r="G603" s="324">
        <v>2024</v>
      </c>
      <c r="H603" s="324" t="s">
        <v>855</v>
      </c>
      <c r="I603" s="324">
        <v>1</v>
      </c>
    </row>
    <row r="604" spans="2:9">
      <c r="B604" s="324">
        <v>585</v>
      </c>
      <c r="C604" s="324" t="s">
        <v>321</v>
      </c>
      <c r="D604" s="324">
        <v>2005</v>
      </c>
      <c r="E604" s="325">
        <v>29127</v>
      </c>
      <c r="F604" s="324"/>
      <c r="G604" s="324">
        <v>2024</v>
      </c>
      <c r="H604" s="324" t="s">
        <v>855</v>
      </c>
      <c r="I604" s="324">
        <v>1</v>
      </c>
    </row>
    <row r="605" spans="2:9">
      <c r="B605" s="324">
        <v>586</v>
      </c>
      <c r="C605" s="324" t="s">
        <v>321</v>
      </c>
      <c r="D605" s="324">
        <v>2007</v>
      </c>
      <c r="E605" s="325">
        <v>249780</v>
      </c>
      <c r="F605" s="324"/>
      <c r="G605" s="324">
        <v>2024</v>
      </c>
      <c r="H605" s="324" t="s">
        <v>855</v>
      </c>
      <c r="I605" s="324">
        <v>1</v>
      </c>
    </row>
    <row r="606" spans="2:9">
      <c r="B606" s="324">
        <v>587</v>
      </c>
      <c r="C606" s="324" t="s">
        <v>321</v>
      </c>
      <c r="D606" s="324">
        <v>2008</v>
      </c>
      <c r="E606" s="325">
        <v>157410</v>
      </c>
      <c r="F606" s="324"/>
      <c r="G606" s="324">
        <v>2024</v>
      </c>
      <c r="H606" s="324" t="s">
        <v>855</v>
      </c>
      <c r="I606" s="324">
        <v>1</v>
      </c>
    </row>
    <row r="607" spans="2:9">
      <c r="B607" s="324">
        <v>588</v>
      </c>
      <c r="C607" s="324" t="s">
        <v>321</v>
      </c>
      <c r="D607" s="324">
        <v>2009</v>
      </c>
      <c r="E607" s="325">
        <v>96928</v>
      </c>
      <c r="F607" s="324"/>
      <c r="G607" s="324">
        <v>2024</v>
      </c>
      <c r="H607" s="324" t="s">
        <v>855</v>
      </c>
      <c r="I607" s="324">
        <v>1</v>
      </c>
    </row>
    <row r="608" spans="2:9">
      <c r="B608" s="324">
        <v>589</v>
      </c>
      <c r="C608" s="324" t="s">
        <v>321</v>
      </c>
      <c r="D608" s="324">
        <v>2010</v>
      </c>
      <c r="E608" s="325">
        <v>706017</v>
      </c>
      <c r="F608" s="324"/>
      <c r="G608" s="324">
        <v>2024</v>
      </c>
      <c r="H608" s="324" t="s">
        <v>855</v>
      </c>
      <c r="I608" s="324">
        <v>1</v>
      </c>
    </row>
    <row r="609" spans="2:9">
      <c r="B609" s="324">
        <v>590</v>
      </c>
      <c r="C609" s="324" t="s">
        <v>327</v>
      </c>
      <c r="D609" s="324">
        <v>1998</v>
      </c>
      <c r="E609" s="325">
        <v>85531</v>
      </c>
      <c r="F609" s="324"/>
      <c r="G609" s="324">
        <v>2024</v>
      </c>
      <c r="H609" s="324" t="s">
        <v>855</v>
      </c>
      <c r="I609" s="324">
        <v>1</v>
      </c>
    </row>
    <row r="610" spans="2:9">
      <c r="B610" s="324">
        <v>591</v>
      </c>
      <c r="C610" s="324" t="s">
        <v>327</v>
      </c>
      <c r="D610" s="324">
        <v>2001</v>
      </c>
      <c r="E610" s="325">
        <v>21994</v>
      </c>
      <c r="F610" s="324"/>
      <c r="G610" s="324">
        <v>2024</v>
      </c>
      <c r="H610" s="324" t="s">
        <v>855</v>
      </c>
      <c r="I610" s="324">
        <v>1</v>
      </c>
    </row>
    <row r="611" spans="2:9">
      <c r="B611" s="324">
        <v>592</v>
      </c>
      <c r="C611" s="324" t="s">
        <v>327</v>
      </c>
      <c r="D611" s="324">
        <v>2003</v>
      </c>
      <c r="E611" s="325">
        <v>11100</v>
      </c>
      <c r="F611" s="324"/>
      <c r="G611" s="324">
        <v>2024</v>
      </c>
      <c r="H611" s="324" t="s">
        <v>855</v>
      </c>
      <c r="I611" s="324">
        <v>1</v>
      </c>
    </row>
    <row r="612" spans="2:9">
      <c r="B612" s="324">
        <v>593</v>
      </c>
      <c r="C612" s="324" t="s">
        <v>345</v>
      </c>
      <c r="D612" s="324">
        <v>1970</v>
      </c>
      <c r="E612" s="325">
        <v>902449</v>
      </c>
      <c r="F612" s="324"/>
      <c r="G612" s="324">
        <v>2024</v>
      </c>
      <c r="H612" s="324" t="s">
        <v>855</v>
      </c>
      <c r="I612" s="324">
        <v>1</v>
      </c>
    </row>
    <row r="613" spans="2:9">
      <c r="B613" s="324">
        <v>594</v>
      </c>
      <c r="C613" s="324" t="s">
        <v>345</v>
      </c>
      <c r="D613" s="324">
        <v>1971</v>
      </c>
      <c r="E613" s="325">
        <v>11276235</v>
      </c>
      <c r="F613" s="324"/>
      <c r="G613" s="324">
        <v>2024</v>
      </c>
      <c r="H613" s="324" t="s">
        <v>855</v>
      </c>
      <c r="I613" s="324">
        <v>1</v>
      </c>
    </row>
    <row r="614" spans="2:9">
      <c r="B614" s="324">
        <v>595</v>
      </c>
      <c r="C614" s="324" t="s">
        <v>345</v>
      </c>
      <c r="D614" s="324">
        <v>1972</v>
      </c>
      <c r="E614" s="325">
        <v>3312496</v>
      </c>
      <c r="F614" s="324"/>
      <c r="G614" s="324">
        <v>2024</v>
      </c>
      <c r="H614" s="324" t="s">
        <v>855</v>
      </c>
      <c r="I614" s="324">
        <v>1</v>
      </c>
    </row>
    <row r="615" spans="2:9">
      <c r="B615" s="324">
        <v>596</v>
      </c>
      <c r="C615" s="324" t="s">
        <v>345</v>
      </c>
      <c r="D615" s="324">
        <v>1973</v>
      </c>
      <c r="E615" s="325">
        <v>43935</v>
      </c>
      <c r="F615" s="324"/>
      <c r="G615" s="324">
        <v>2024</v>
      </c>
      <c r="H615" s="324" t="s">
        <v>855</v>
      </c>
      <c r="I615" s="324">
        <v>1</v>
      </c>
    </row>
    <row r="616" spans="2:9">
      <c r="B616" s="324">
        <v>597</v>
      </c>
      <c r="C616" s="324" t="s">
        <v>345</v>
      </c>
      <c r="D616" s="324">
        <v>1977</v>
      </c>
      <c r="E616" s="325">
        <v>42959</v>
      </c>
      <c r="F616" s="324"/>
      <c r="G616" s="324">
        <v>2024</v>
      </c>
      <c r="H616" s="324" t="s">
        <v>855</v>
      </c>
      <c r="I616" s="324">
        <v>1</v>
      </c>
    </row>
    <row r="617" spans="2:9">
      <c r="B617" s="324">
        <v>598</v>
      </c>
      <c r="C617" s="324" t="s">
        <v>345</v>
      </c>
      <c r="D617" s="324">
        <v>1978</v>
      </c>
      <c r="E617" s="325">
        <v>4451317</v>
      </c>
      <c r="F617" s="324"/>
      <c r="G617" s="324">
        <v>2024</v>
      </c>
      <c r="H617" s="324" t="s">
        <v>855</v>
      </c>
      <c r="I617" s="324">
        <v>1</v>
      </c>
    </row>
    <row r="618" spans="2:9">
      <c r="B618" s="324">
        <v>599</v>
      </c>
      <c r="C618" s="324" t="s">
        <v>345</v>
      </c>
      <c r="D618" s="324">
        <v>1980</v>
      </c>
      <c r="E618" s="325">
        <v>140317</v>
      </c>
      <c r="F618" s="324"/>
      <c r="G618" s="324">
        <v>2024</v>
      </c>
      <c r="H618" s="324" t="s">
        <v>855</v>
      </c>
      <c r="I618" s="324">
        <v>1</v>
      </c>
    </row>
    <row r="619" spans="2:9">
      <c r="B619" s="324">
        <v>600</v>
      </c>
      <c r="C619" s="324" t="s">
        <v>345</v>
      </c>
      <c r="D619" s="324">
        <v>1982</v>
      </c>
      <c r="E619" s="325">
        <v>42588</v>
      </c>
      <c r="F619" s="324"/>
      <c r="G619" s="324">
        <v>2024</v>
      </c>
      <c r="H619" s="324" t="s">
        <v>855</v>
      </c>
      <c r="I619" s="324">
        <v>1</v>
      </c>
    </row>
    <row r="620" spans="2:9">
      <c r="B620" s="324">
        <v>601</v>
      </c>
      <c r="C620" s="324" t="s">
        <v>345</v>
      </c>
      <c r="D620" s="324">
        <v>1984</v>
      </c>
      <c r="E620" s="325">
        <v>25464</v>
      </c>
      <c r="F620" s="324"/>
      <c r="G620" s="324">
        <v>2024</v>
      </c>
      <c r="H620" s="324" t="s">
        <v>855</v>
      </c>
      <c r="I620" s="324">
        <v>1</v>
      </c>
    </row>
    <row r="621" spans="2:9">
      <c r="B621" s="324">
        <v>602</v>
      </c>
      <c r="C621" s="324" t="s">
        <v>345</v>
      </c>
      <c r="D621" s="324">
        <v>1990</v>
      </c>
      <c r="E621" s="325">
        <v>64981</v>
      </c>
      <c r="F621" s="324"/>
      <c r="G621" s="324">
        <v>2024</v>
      </c>
      <c r="H621" s="324" t="s">
        <v>855</v>
      </c>
      <c r="I621" s="324">
        <v>1</v>
      </c>
    </row>
    <row r="622" spans="2:9">
      <c r="B622" s="324">
        <v>603</v>
      </c>
      <c r="C622" s="324" t="s">
        <v>345</v>
      </c>
      <c r="D622" s="324">
        <v>1996</v>
      </c>
      <c r="E622" s="325">
        <v>24270</v>
      </c>
      <c r="F622" s="324"/>
      <c r="G622" s="324">
        <v>2024</v>
      </c>
      <c r="H622" s="324" t="s">
        <v>855</v>
      </c>
      <c r="I622" s="324">
        <v>1</v>
      </c>
    </row>
    <row r="623" spans="2:9">
      <c r="B623" s="324">
        <v>604</v>
      </c>
      <c r="C623" s="324" t="s">
        <v>345</v>
      </c>
      <c r="D623" s="324">
        <v>1997</v>
      </c>
      <c r="E623" s="325">
        <v>31301050</v>
      </c>
      <c r="F623" s="324"/>
      <c r="G623" s="324">
        <v>2024</v>
      </c>
      <c r="H623" s="324" t="s">
        <v>855</v>
      </c>
      <c r="I623" s="324">
        <v>1</v>
      </c>
    </row>
    <row r="624" spans="2:9">
      <c r="B624" s="324">
        <v>605</v>
      </c>
      <c r="C624" s="324" t="s">
        <v>345</v>
      </c>
      <c r="D624" s="324">
        <v>1998</v>
      </c>
      <c r="E624" s="325">
        <v>261490</v>
      </c>
      <c r="F624" s="324"/>
      <c r="G624" s="324">
        <v>2024</v>
      </c>
      <c r="H624" s="324" t="s">
        <v>855</v>
      </c>
      <c r="I624" s="324">
        <v>1</v>
      </c>
    </row>
    <row r="625" spans="2:9">
      <c r="B625" s="324">
        <v>606</v>
      </c>
      <c r="C625" s="324" t="s">
        <v>345</v>
      </c>
      <c r="D625" s="324">
        <v>2001</v>
      </c>
      <c r="E625" s="325">
        <v>44919</v>
      </c>
      <c r="F625" s="324"/>
      <c r="G625" s="324">
        <v>2024</v>
      </c>
      <c r="H625" s="324" t="s">
        <v>855</v>
      </c>
      <c r="I625" s="324">
        <v>1</v>
      </c>
    </row>
    <row r="626" spans="2:9">
      <c r="B626" s="324">
        <v>607</v>
      </c>
      <c r="C626" s="324" t="s">
        <v>345</v>
      </c>
      <c r="D626" s="324">
        <v>2002</v>
      </c>
      <c r="E626" s="325">
        <v>474428</v>
      </c>
      <c r="F626" s="324"/>
      <c r="G626" s="324">
        <v>2024</v>
      </c>
      <c r="H626" s="324" t="s">
        <v>855</v>
      </c>
      <c r="I626" s="324">
        <v>1</v>
      </c>
    </row>
    <row r="627" spans="2:9">
      <c r="B627" s="324">
        <v>608</v>
      </c>
      <c r="C627" s="324" t="s">
        <v>345</v>
      </c>
      <c r="D627" s="324">
        <v>2003</v>
      </c>
      <c r="E627" s="325">
        <v>562107</v>
      </c>
      <c r="F627" s="324"/>
      <c r="G627" s="324">
        <v>2024</v>
      </c>
      <c r="H627" s="324" t="s">
        <v>855</v>
      </c>
      <c r="I627" s="324">
        <v>1</v>
      </c>
    </row>
    <row r="628" spans="2:9">
      <c r="B628" s="324">
        <v>609</v>
      </c>
      <c r="C628" s="324" t="s">
        <v>345</v>
      </c>
      <c r="D628" s="324">
        <v>2004</v>
      </c>
      <c r="E628" s="325">
        <v>356008</v>
      </c>
      <c r="F628" s="324"/>
      <c r="G628" s="324">
        <v>2024</v>
      </c>
      <c r="H628" s="324" t="s">
        <v>855</v>
      </c>
      <c r="I628" s="324">
        <v>1</v>
      </c>
    </row>
    <row r="629" spans="2:9">
      <c r="B629" s="324">
        <v>610</v>
      </c>
      <c r="C629" s="324" t="s">
        <v>345</v>
      </c>
      <c r="D629" s="324">
        <v>2005</v>
      </c>
      <c r="E629" s="325">
        <v>1378695</v>
      </c>
      <c r="F629" s="324"/>
      <c r="G629" s="324">
        <v>2024</v>
      </c>
      <c r="H629" s="324" t="s">
        <v>855</v>
      </c>
      <c r="I629" s="324">
        <v>1</v>
      </c>
    </row>
    <row r="630" spans="2:9">
      <c r="B630" s="324">
        <v>611</v>
      </c>
      <c r="C630" s="324" t="s">
        <v>345</v>
      </c>
      <c r="D630" s="324">
        <v>2006</v>
      </c>
      <c r="E630" s="325">
        <v>1090118</v>
      </c>
      <c r="F630" s="324"/>
      <c r="G630" s="324">
        <v>2024</v>
      </c>
      <c r="H630" s="324" t="s">
        <v>855</v>
      </c>
      <c r="I630" s="324">
        <v>1</v>
      </c>
    </row>
    <row r="631" spans="2:9">
      <c r="B631" s="324">
        <v>612</v>
      </c>
      <c r="C631" s="324" t="s">
        <v>345</v>
      </c>
      <c r="D631" s="324">
        <v>2007</v>
      </c>
      <c r="E631" s="325">
        <v>2897967</v>
      </c>
      <c r="F631" s="324"/>
      <c r="G631" s="324">
        <v>2024</v>
      </c>
      <c r="H631" s="324" t="s">
        <v>855</v>
      </c>
      <c r="I631" s="324">
        <v>1</v>
      </c>
    </row>
    <row r="632" spans="2:9">
      <c r="B632" s="324">
        <v>613</v>
      </c>
      <c r="C632" s="324" t="s">
        <v>345</v>
      </c>
      <c r="D632" s="324">
        <v>2008</v>
      </c>
      <c r="E632" s="325">
        <v>3056602</v>
      </c>
      <c r="F632" s="324"/>
      <c r="G632" s="324">
        <v>2024</v>
      </c>
      <c r="H632" s="324" t="s">
        <v>855</v>
      </c>
      <c r="I632" s="324">
        <v>1</v>
      </c>
    </row>
    <row r="633" spans="2:9">
      <c r="B633" s="324">
        <v>614</v>
      </c>
      <c r="C633" s="324" t="s">
        <v>345</v>
      </c>
      <c r="D633" s="324">
        <v>2008</v>
      </c>
      <c r="E633" s="325">
        <v>303052</v>
      </c>
      <c r="F633" s="324"/>
      <c r="G633" s="324">
        <v>2024</v>
      </c>
      <c r="H633" s="324" t="s">
        <v>855</v>
      </c>
      <c r="I633" s="324">
        <v>1</v>
      </c>
    </row>
    <row r="634" spans="2:9">
      <c r="B634" s="324">
        <v>615</v>
      </c>
      <c r="C634" s="324" t="s">
        <v>345</v>
      </c>
      <c r="D634" s="324">
        <v>2009</v>
      </c>
      <c r="E634" s="325">
        <v>238210</v>
      </c>
      <c r="F634" s="324"/>
      <c r="G634" s="324">
        <v>2024</v>
      </c>
      <c r="H634" s="324" t="s">
        <v>855</v>
      </c>
      <c r="I634" s="324">
        <v>1</v>
      </c>
    </row>
    <row r="635" spans="2:9">
      <c r="B635" s="324">
        <v>616</v>
      </c>
      <c r="C635" s="324" t="s">
        <v>345</v>
      </c>
      <c r="D635" s="324">
        <v>2010</v>
      </c>
      <c r="E635" s="325">
        <v>1418545</v>
      </c>
      <c r="F635" s="324"/>
      <c r="G635" s="324">
        <v>2024</v>
      </c>
      <c r="H635" s="324" t="s">
        <v>855</v>
      </c>
      <c r="I635" s="324">
        <v>1</v>
      </c>
    </row>
    <row r="636" spans="2:9">
      <c r="B636" s="324">
        <v>617</v>
      </c>
      <c r="C636" s="324" t="s">
        <v>345</v>
      </c>
      <c r="D636" s="324">
        <v>2011</v>
      </c>
      <c r="E636" s="325">
        <v>5208178</v>
      </c>
      <c r="F636" s="324"/>
      <c r="G636" s="324">
        <v>2024</v>
      </c>
      <c r="H636" s="324" t="s">
        <v>855</v>
      </c>
      <c r="I636" s="324">
        <v>1</v>
      </c>
    </row>
    <row r="637" spans="2:9">
      <c r="B637" s="324">
        <v>618</v>
      </c>
      <c r="C637" s="324" t="s">
        <v>345</v>
      </c>
      <c r="D637" s="324">
        <v>2011</v>
      </c>
      <c r="E637" s="325">
        <v>54286</v>
      </c>
      <c r="F637" s="324"/>
      <c r="G637" s="324">
        <v>2024</v>
      </c>
      <c r="H637" s="324" t="s">
        <v>855</v>
      </c>
      <c r="I637" s="324">
        <v>1</v>
      </c>
    </row>
    <row r="638" spans="2:9">
      <c r="B638" s="324">
        <v>619</v>
      </c>
      <c r="C638" s="324" t="s">
        <v>345</v>
      </c>
      <c r="D638" s="324">
        <v>2012</v>
      </c>
      <c r="E638" s="325">
        <v>5403122</v>
      </c>
      <c r="F638" s="324"/>
      <c r="G638" s="324">
        <v>2024</v>
      </c>
      <c r="H638" s="324" t="s">
        <v>855</v>
      </c>
      <c r="I638" s="324">
        <v>1</v>
      </c>
    </row>
    <row r="639" spans="2:9">
      <c r="B639" s="324">
        <v>620</v>
      </c>
      <c r="C639" s="324" t="s">
        <v>345</v>
      </c>
      <c r="D639" s="324">
        <v>2013</v>
      </c>
      <c r="E639" s="325">
        <v>1629366</v>
      </c>
      <c r="F639" s="324"/>
      <c r="G639" s="324">
        <v>2024</v>
      </c>
      <c r="H639" s="324" t="s">
        <v>855</v>
      </c>
      <c r="I639" s="324">
        <v>1</v>
      </c>
    </row>
    <row r="640" spans="2:9">
      <c r="B640" s="324">
        <v>621</v>
      </c>
      <c r="C640" s="324" t="s">
        <v>345</v>
      </c>
      <c r="D640" s="324">
        <v>2014</v>
      </c>
      <c r="E640" s="325">
        <v>430444</v>
      </c>
      <c r="F640" s="324"/>
      <c r="G640" s="324">
        <v>2024</v>
      </c>
      <c r="H640" s="324" t="s">
        <v>855</v>
      </c>
      <c r="I640" s="324">
        <v>1</v>
      </c>
    </row>
    <row r="641" spans="2:9">
      <c r="B641" s="324">
        <v>622</v>
      </c>
      <c r="C641" s="324" t="s">
        <v>345</v>
      </c>
      <c r="D641" s="324">
        <v>2015</v>
      </c>
      <c r="E641" s="325">
        <v>10178980</v>
      </c>
      <c r="F641" s="324"/>
      <c r="G641" s="324">
        <v>2024</v>
      </c>
      <c r="H641" s="324" t="s">
        <v>855</v>
      </c>
      <c r="I641" s="324">
        <v>1</v>
      </c>
    </row>
    <row r="642" spans="2:9">
      <c r="B642" s="324">
        <v>623</v>
      </c>
      <c r="C642" s="324" t="s">
        <v>345</v>
      </c>
      <c r="D642" s="324">
        <v>2016</v>
      </c>
      <c r="E642" s="325">
        <v>234402</v>
      </c>
      <c r="F642" s="324"/>
      <c r="G642" s="324">
        <v>2024</v>
      </c>
      <c r="H642" s="324" t="s">
        <v>855</v>
      </c>
      <c r="I642" s="324">
        <v>1</v>
      </c>
    </row>
    <row r="643" spans="2:9">
      <c r="B643" s="324">
        <v>624</v>
      </c>
      <c r="C643" s="324" t="s">
        <v>345</v>
      </c>
      <c r="D643" s="324">
        <v>2017</v>
      </c>
      <c r="E643" s="325">
        <v>16812217</v>
      </c>
      <c r="F643" s="324"/>
      <c r="G643" s="324">
        <v>2024</v>
      </c>
      <c r="H643" s="324" t="s">
        <v>855</v>
      </c>
      <c r="I643" s="324">
        <v>1</v>
      </c>
    </row>
    <row r="644" spans="2:9">
      <c r="B644" s="324">
        <v>625</v>
      </c>
      <c r="C644" s="324" t="s">
        <v>345</v>
      </c>
      <c r="D644" s="324">
        <v>2020</v>
      </c>
      <c r="E644" s="325">
        <v>137668</v>
      </c>
      <c r="F644" s="324"/>
      <c r="G644" s="324">
        <v>2024</v>
      </c>
      <c r="H644" s="324" t="s">
        <v>855</v>
      </c>
      <c r="I644" s="324">
        <v>1</v>
      </c>
    </row>
    <row r="645" spans="2:9">
      <c r="B645" s="324">
        <v>626</v>
      </c>
      <c r="C645" s="324" t="s">
        <v>349</v>
      </c>
      <c r="D645" s="324">
        <v>1972</v>
      </c>
      <c r="E645" s="325">
        <v>21452</v>
      </c>
      <c r="F645" s="324"/>
      <c r="G645" s="324">
        <v>2024</v>
      </c>
      <c r="H645" s="324" t="s">
        <v>855</v>
      </c>
      <c r="I645" s="324">
        <v>1</v>
      </c>
    </row>
    <row r="646" spans="2:9">
      <c r="B646" s="324">
        <v>627</v>
      </c>
      <c r="C646" s="324" t="s">
        <v>349</v>
      </c>
      <c r="D646" s="324">
        <v>1979</v>
      </c>
      <c r="E646" s="325">
        <v>68889</v>
      </c>
      <c r="F646" s="324"/>
      <c r="G646" s="324">
        <v>2024</v>
      </c>
      <c r="H646" s="324" t="s">
        <v>855</v>
      </c>
      <c r="I646" s="324">
        <v>1</v>
      </c>
    </row>
    <row r="647" spans="2:9">
      <c r="B647" s="324">
        <v>628</v>
      </c>
      <c r="C647" s="324" t="s">
        <v>349</v>
      </c>
      <c r="D647" s="324">
        <v>1993</v>
      </c>
      <c r="E647" s="325">
        <v>15217</v>
      </c>
      <c r="F647" s="324"/>
      <c r="G647" s="324">
        <v>2024</v>
      </c>
      <c r="H647" s="324" t="s">
        <v>855</v>
      </c>
      <c r="I647" s="324">
        <v>1</v>
      </c>
    </row>
    <row r="648" spans="2:9">
      <c r="B648" s="324">
        <v>629</v>
      </c>
      <c r="C648" s="324" t="s">
        <v>349</v>
      </c>
      <c r="D648" s="324">
        <v>1994</v>
      </c>
      <c r="E648" s="325">
        <v>36896</v>
      </c>
      <c r="F648" s="324"/>
      <c r="G648" s="324">
        <v>2024</v>
      </c>
      <c r="H648" s="324" t="s">
        <v>855</v>
      </c>
      <c r="I648" s="324">
        <v>1</v>
      </c>
    </row>
    <row r="649" spans="2:9">
      <c r="B649" s="324">
        <v>630</v>
      </c>
      <c r="C649" s="324" t="s">
        <v>349</v>
      </c>
      <c r="D649" s="324">
        <v>2001</v>
      </c>
      <c r="E649" s="325">
        <v>136657</v>
      </c>
      <c r="F649" s="324"/>
      <c r="G649" s="324">
        <v>2024</v>
      </c>
      <c r="H649" s="324" t="s">
        <v>855</v>
      </c>
      <c r="I649" s="324">
        <v>1</v>
      </c>
    </row>
    <row r="650" spans="2:9">
      <c r="B650" s="324">
        <v>631</v>
      </c>
      <c r="C650" s="324" t="s">
        <v>349</v>
      </c>
      <c r="D650" s="324">
        <v>2005</v>
      </c>
      <c r="E650" s="325">
        <v>53318</v>
      </c>
      <c r="F650" s="324"/>
      <c r="G650" s="324">
        <v>2024</v>
      </c>
      <c r="H650" s="324" t="s">
        <v>855</v>
      </c>
      <c r="I650" s="324">
        <v>1</v>
      </c>
    </row>
    <row r="651" spans="2:9">
      <c r="B651" s="324">
        <v>632</v>
      </c>
      <c r="C651" s="324" t="s">
        <v>349</v>
      </c>
      <c r="D651" s="324">
        <v>2006</v>
      </c>
      <c r="E651" s="325">
        <v>109055</v>
      </c>
      <c r="F651" s="324"/>
      <c r="G651" s="324">
        <v>2024</v>
      </c>
      <c r="H651" s="324" t="s">
        <v>855</v>
      </c>
      <c r="I651" s="324">
        <v>1</v>
      </c>
    </row>
    <row r="652" spans="2:9">
      <c r="B652" s="324">
        <v>633</v>
      </c>
      <c r="C652" s="324" t="s">
        <v>349</v>
      </c>
      <c r="D652" s="324">
        <v>2014</v>
      </c>
      <c r="E652" s="325">
        <v>114078</v>
      </c>
      <c r="F652" s="324"/>
      <c r="G652" s="324">
        <v>2024</v>
      </c>
      <c r="H652" s="324" t="s">
        <v>855</v>
      </c>
      <c r="I652" s="324">
        <v>1</v>
      </c>
    </row>
    <row r="653" spans="2:9">
      <c r="B653" s="324">
        <v>634</v>
      </c>
      <c r="C653" s="324" t="s">
        <v>353</v>
      </c>
      <c r="D653" s="324">
        <v>1964</v>
      </c>
      <c r="E653" s="325">
        <v>31497</v>
      </c>
      <c r="F653" s="324"/>
      <c r="G653" s="324">
        <v>2024</v>
      </c>
      <c r="H653" s="324" t="s">
        <v>855</v>
      </c>
      <c r="I653" s="324">
        <v>1</v>
      </c>
    </row>
    <row r="654" spans="2:9">
      <c r="B654" s="324">
        <v>635</v>
      </c>
      <c r="C654" s="324" t="s">
        <v>353</v>
      </c>
      <c r="D654" s="324">
        <v>1966</v>
      </c>
      <c r="E654" s="325">
        <v>6226</v>
      </c>
      <c r="F654" s="324"/>
      <c r="G654" s="324">
        <v>2024</v>
      </c>
      <c r="H654" s="324" t="s">
        <v>855</v>
      </c>
      <c r="I654" s="324">
        <v>1</v>
      </c>
    </row>
    <row r="655" spans="2:9">
      <c r="B655" s="324">
        <v>636</v>
      </c>
      <c r="C655" s="324" t="s">
        <v>353</v>
      </c>
      <c r="D655" s="324">
        <v>1968</v>
      </c>
      <c r="E655" s="325">
        <v>20904</v>
      </c>
      <c r="F655" s="324"/>
      <c r="G655" s="324">
        <v>2024</v>
      </c>
      <c r="H655" s="324" t="s">
        <v>855</v>
      </c>
      <c r="I655" s="324">
        <v>1</v>
      </c>
    </row>
    <row r="656" spans="2:9">
      <c r="B656" s="324">
        <v>637</v>
      </c>
      <c r="C656" s="324" t="s">
        <v>353</v>
      </c>
      <c r="D656" s="324">
        <v>1970</v>
      </c>
      <c r="E656" s="325">
        <v>27359</v>
      </c>
      <c r="F656" s="324"/>
      <c r="G656" s="324">
        <v>2024</v>
      </c>
      <c r="H656" s="324" t="s">
        <v>855</v>
      </c>
      <c r="I656" s="324">
        <v>1</v>
      </c>
    </row>
    <row r="657" spans="2:9">
      <c r="B657" s="324">
        <v>638</v>
      </c>
      <c r="C657" s="324" t="s">
        <v>353</v>
      </c>
      <c r="D657" s="324">
        <v>1971</v>
      </c>
      <c r="E657" s="325">
        <v>8621</v>
      </c>
      <c r="F657" s="324"/>
      <c r="G657" s="324">
        <v>2024</v>
      </c>
      <c r="H657" s="324" t="s">
        <v>855</v>
      </c>
      <c r="I657" s="324">
        <v>1</v>
      </c>
    </row>
    <row r="658" spans="2:9">
      <c r="B658" s="324">
        <v>639</v>
      </c>
      <c r="C658" s="324" t="s">
        <v>353</v>
      </c>
      <c r="D658" s="324">
        <v>1992</v>
      </c>
      <c r="E658" s="325">
        <v>125847</v>
      </c>
      <c r="F658" s="324"/>
      <c r="G658" s="324">
        <v>2024</v>
      </c>
      <c r="H658" s="324" t="s">
        <v>855</v>
      </c>
      <c r="I658" s="324">
        <v>1</v>
      </c>
    </row>
    <row r="659" spans="2:9">
      <c r="B659" s="324">
        <v>640</v>
      </c>
      <c r="C659" s="324" t="s">
        <v>353</v>
      </c>
      <c r="D659" s="324">
        <v>2008</v>
      </c>
      <c r="E659" s="325">
        <v>49793</v>
      </c>
      <c r="F659" s="324"/>
      <c r="G659" s="324">
        <v>2024</v>
      </c>
      <c r="H659" s="324" t="s">
        <v>855</v>
      </c>
      <c r="I659" s="324">
        <v>1</v>
      </c>
    </row>
    <row r="660" spans="2:9">
      <c r="B660" s="324">
        <v>641</v>
      </c>
      <c r="C660" s="324" t="s">
        <v>353</v>
      </c>
      <c r="D660" s="324">
        <v>2010</v>
      </c>
      <c r="E660" s="325">
        <v>17971</v>
      </c>
      <c r="F660" s="324"/>
      <c r="G660" s="324">
        <v>2024</v>
      </c>
      <c r="H660" s="324" t="s">
        <v>855</v>
      </c>
      <c r="I660" s="324">
        <v>1</v>
      </c>
    </row>
    <row r="661" spans="2:9">
      <c r="B661" s="324">
        <v>642</v>
      </c>
      <c r="C661" s="324" t="s">
        <v>353</v>
      </c>
      <c r="D661" s="324">
        <v>2020</v>
      </c>
      <c r="E661" s="325">
        <v>26412</v>
      </c>
      <c r="F661" s="324"/>
      <c r="G661" s="324">
        <v>2024</v>
      </c>
      <c r="H661" s="324" t="s">
        <v>855</v>
      </c>
      <c r="I661" s="324">
        <v>1</v>
      </c>
    </row>
    <row r="662" spans="2:9">
      <c r="B662" s="324">
        <v>643</v>
      </c>
      <c r="C662" s="324" t="s">
        <v>353</v>
      </c>
      <c r="D662" s="324">
        <v>2022</v>
      </c>
      <c r="E662" s="325">
        <v>87808</v>
      </c>
      <c r="F662" s="324">
        <v>274866</v>
      </c>
      <c r="G662" s="324">
        <v>2024</v>
      </c>
      <c r="H662" s="324" t="s">
        <v>855</v>
      </c>
      <c r="I662" s="324">
        <v>1</v>
      </c>
    </row>
    <row r="663" spans="2:9">
      <c r="B663" s="324">
        <v>644</v>
      </c>
      <c r="C663" s="324" t="s">
        <v>361</v>
      </c>
      <c r="D663" s="324">
        <v>1964</v>
      </c>
      <c r="E663" s="325">
        <v>64261</v>
      </c>
      <c r="F663" s="324"/>
      <c r="G663" s="324">
        <v>2024</v>
      </c>
      <c r="H663" s="324" t="s">
        <v>855</v>
      </c>
      <c r="I663" s="324">
        <v>1</v>
      </c>
    </row>
    <row r="664" spans="2:9">
      <c r="B664" s="324">
        <v>645</v>
      </c>
      <c r="C664" s="324" t="s">
        <v>366</v>
      </c>
      <c r="D664" s="324">
        <v>1973</v>
      </c>
      <c r="E664" s="325">
        <v>21819</v>
      </c>
      <c r="F664" s="324"/>
      <c r="G664" s="324">
        <v>2024</v>
      </c>
      <c r="H664" s="324" t="s">
        <v>855</v>
      </c>
      <c r="I664" s="324">
        <v>1</v>
      </c>
    </row>
    <row r="665" spans="2:9">
      <c r="B665" s="324">
        <v>646</v>
      </c>
      <c r="C665" s="324" t="s">
        <v>366</v>
      </c>
      <c r="D665" s="324">
        <v>1986</v>
      </c>
      <c r="E665" s="325">
        <v>21598</v>
      </c>
      <c r="F665" s="324"/>
      <c r="G665" s="324">
        <v>2024</v>
      </c>
      <c r="H665" s="324" t="s">
        <v>855</v>
      </c>
      <c r="I665" s="324">
        <v>1</v>
      </c>
    </row>
    <row r="666" spans="2:9">
      <c r="B666" s="324">
        <v>647</v>
      </c>
      <c r="C666" s="324" t="s">
        <v>366</v>
      </c>
      <c r="D666" s="324">
        <v>2011</v>
      </c>
      <c r="E666" s="325">
        <v>34751</v>
      </c>
      <c r="F666" s="324"/>
      <c r="G666" s="324">
        <v>2024</v>
      </c>
      <c r="H666" s="324" t="s">
        <v>855</v>
      </c>
      <c r="I666" s="324">
        <v>1</v>
      </c>
    </row>
    <row r="667" spans="2:9">
      <c r="B667" s="324">
        <v>648</v>
      </c>
      <c r="C667" s="324" t="s">
        <v>369</v>
      </c>
      <c r="D667" s="324">
        <v>1998</v>
      </c>
      <c r="E667" s="325">
        <v>13173</v>
      </c>
      <c r="F667" s="324"/>
      <c r="G667" s="324">
        <v>2024</v>
      </c>
      <c r="H667" s="324" t="s">
        <v>855</v>
      </c>
      <c r="I667" s="324">
        <v>1</v>
      </c>
    </row>
    <row r="668" spans="2:9">
      <c r="B668" s="281">
        <v>649</v>
      </c>
      <c r="C668" s="341" t="s">
        <v>305</v>
      </c>
      <c r="D668" s="347">
        <v>1955</v>
      </c>
      <c r="E668" s="348">
        <v>0.01</v>
      </c>
      <c r="F668" s="347"/>
      <c r="G668" s="347">
        <v>2025</v>
      </c>
      <c r="H668" s="341"/>
      <c r="I668" s="281"/>
    </row>
    <row r="669" spans="2:9">
      <c r="B669" s="281">
        <v>650</v>
      </c>
      <c r="C669" s="341" t="s">
        <v>305</v>
      </c>
      <c r="D669" s="347">
        <v>1958</v>
      </c>
      <c r="E669" s="348">
        <v>59582.83</v>
      </c>
      <c r="F669" s="347"/>
      <c r="G669" s="347">
        <v>2025</v>
      </c>
      <c r="H669" s="341"/>
      <c r="I669" s="281"/>
    </row>
    <row r="670" spans="2:9">
      <c r="B670" s="281">
        <v>651</v>
      </c>
      <c r="C670" s="341" t="s">
        <v>305</v>
      </c>
      <c r="D670" s="347">
        <v>1959</v>
      </c>
      <c r="E670" s="348">
        <v>44892</v>
      </c>
      <c r="F670" s="347"/>
      <c r="G670" s="347">
        <v>2025</v>
      </c>
      <c r="H670" s="341"/>
      <c r="I670" s="281"/>
    </row>
    <row r="671" spans="2:9">
      <c r="B671" s="281">
        <v>652</v>
      </c>
      <c r="C671" s="341" t="s">
        <v>305</v>
      </c>
      <c r="D671" s="347">
        <v>1960</v>
      </c>
      <c r="E671" s="348">
        <v>5478.6</v>
      </c>
      <c r="F671" s="347"/>
      <c r="G671" s="347">
        <v>2025</v>
      </c>
      <c r="H671" s="341"/>
      <c r="I671" s="281"/>
    </row>
    <row r="672" spans="2:9">
      <c r="B672" s="281">
        <v>653</v>
      </c>
      <c r="C672" s="341" t="s">
        <v>305</v>
      </c>
      <c r="D672" s="347">
        <v>1962</v>
      </c>
      <c r="E672" s="348">
        <v>40000</v>
      </c>
      <c r="F672" s="347"/>
      <c r="G672" s="347">
        <v>2025</v>
      </c>
      <c r="H672" s="341"/>
      <c r="I672" s="281"/>
    </row>
    <row r="673" spans="2:9">
      <c r="B673" s="281">
        <v>654</v>
      </c>
      <c r="C673" s="341" t="s">
        <v>305</v>
      </c>
      <c r="D673" s="347">
        <v>1964</v>
      </c>
      <c r="E673" s="348">
        <v>9532.64</v>
      </c>
      <c r="F673" s="347"/>
      <c r="G673" s="347">
        <v>2025</v>
      </c>
      <c r="H673" s="341"/>
      <c r="I673" s="281"/>
    </row>
    <row r="674" spans="2:9">
      <c r="B674" s="281">
        <v>655</v>
      </c>
      <c r="C674" s="341" t="s">
        <v>305</v>
      </c>
      <c r="D674" s="347">
        <v>1965</v>
      </c>
      <c r="E674" s="348">
        <v>96092.19</v>
      </c>
      <c r="F674" s="347"/>
      <c r="G674" s="347">
        <v>2025</v>
      </c>
      <c r="H674" s="341"/>
      <c r="I674" s="281"/>
    </row>
    <row r="675" spans="2:9">
      <c r="B675" s="281">
        <v>656</v>
      </c>
      <c r="C675" s="341" t="s">
        <v>305</v>
      </c>
      <c r="D675" s="347">
        <v>1966</v>
      </c>
      <c r="E675" s="348">
        <v>22198.9</v>
      </c>
      <c r="F675" s="347"/>
      <c r="G675" s="347">
        <v>2025</v>
      </c>
      <c r="H675" s="341"/>
      <c r="I675" s="281"/>
    </row>
    <row r="676" spans="2:9">
      <c r="B676" s="281">
        <v>657</v>
      </c>
      <c r="C676" s="341" t="s">
        <v>305</v>
      </c>
      <c r="D676" s="347">
        <v>1967</v>
      </c>
      <c r="E676" s="348">
        <v>127525.68</v>
      </c>
      <c r="F676" s="347"/>
      <c r="G676" s="347">
        <v>2025</v>
      </c>
      <c r="H676" s="341"/>
      <c r="I676" s="281"/>
    </row>
    <row r="677" spans="2:9">
      <c r="B677" s="281">
        <v>658</v>
      </c>
      <c r="C677" s="341" t="s">
        <v>305</v>
      </c>
      <c r="D677" s="347">
        <v>1968</v>
      </c>
      <c r="E677" s="348">
        <v>94809.16</v>
      </c>
      <c r="F677" s="347"/>
      <c r="G677" s="347">
        <v>2025</v>
      </c>
      <c r="H677" s="341"/>
      <c r="I677" s="281"/>
    </row>
    <row r="678" spans="2:9">
      <c r="B678" s="281">
        <v>659</v>
      </c>
      <c r="C678" s="341" t="s">
        <v>305</v>
      </c>
      <c r="D678" s="347">
        <v>1969</v>
      </c>
      <c r="E678" s="348">
        <v>384260.95</v>
      </c>
      <c r="F678" s="347"/>
      <c r="G678" s="347">
        <v>2025</v>
      </c>
      <c r="H678" s="341"/>
      <c r="I678" s="281"/>
    </row>
    <row r="679" spans="2:9">
      <c r="B679" s="281">
        <v>660</v>
      </c>
      <c r="C679" s="341" t="s">
        <v>305</v>
      </c>
      <c r="D679" s="347">
        <v>1970</v>
      </c>
      <c r="E679" s="348">
        <v>56836.09</v>
      </c>
      <c r="F679" s="347"/>
      <c r="G679" s="347">
        <v>2025</v>
      </c>
      <c r="H679" s="341"/>
      <c r="I679" s="281"/>
    </row>
    <row r="680" spans="2:9">
      <c r="B680" s="281">
        <v>661</v>
      </c>
      <c r="C680" s="341" t="s">
        <v>305</v>
      </c>
      <c r="D680" s="347">
        <v>1971</v>
      </c>
      <c r="E680" s="348">
        <v>40095.18</v>
      </c>
      <c r="F680" s="347"/>
      <c r="G680" s="347">
        <v>2025</v>
      </c>
      <c r="H680" s="341"/>
      <c r="I680" s="281"/>
    </row>
    <row r="681" spans="2:9">
      <c r="B681" s="281">
        <v>662</v>
      </c>
      <c r="C681" s="341" t="s">
        <v>305</v>
      </c>
      <c r="D681" s="347">
        <v>1972</v>
      </c>
      <c r="E681" s="348">
        <v>80611.679999999993</v>
      </c>
      <c r="F681" s="347"/>
      <c r="G681" s="347">
        <v>2025</v>
      </c>
      <c r="H681" s="341"/>
      <c r="I681" s="281"/>
    </row>
    <row r="682" spans="2:9">
      <c r="B682" s="281">
        <v>663</v>
      </c>
      <c r="C682" s="341" t="s">
        <v>305</v>
      </c>
      <c r="D682" s="347">
        <v>1973</v>
      </c>
      <c r="E682" s="348">
        <v>39463.9</v>
      </c>
      <c r="F682" s="347"/>
      <c r="G682" s="347">
        <v>2025</v>
      </c>
      <c r="H682" s="341"/>
      <c r="I682" s="281"/>
    </row>
    <row r="683" spans="2:9">
      <c r="B683" s="281">
        <v>664</v>
      </c>
      <c r="C683" s="341" t="s">
        <v>305</v>
      </c>
      <c r="D683" s="347">
        <v>1974</v>
      </c>
      <c r="E683" s="348">
        <v>40000</v>
      </c>
      <c r="F683" s="347"/>
      <c r="G683" s="347">
        <v>2025</v>
      </c>
      <c r="H683" s="341"/>
      <c r="I683" s="281"/>
    </row>
    <row r="684" spans="2:9">
      <c r="B684" s="281">
        <v>665</v>
      </c>
      <c r="C684" s="341" t="s">
        <v>305</v>
      </c>
      <c r="D684" s="347">
        <v>1975</v>
      </c>
      <c r="E684" s="348">
        <v>40000</v>
      </c>
      <c r="F684" s="347"/>
      <c r="G684" s="347">
        <v>2025</v>
      </c>
      <c r="H684" s="341"/>
      <c r="I684" s="281"/>
    </row>
    <row r="685" spans="2:9">
      <c r="B685" s="281">
        <v>666</v>
      </c>
      <c r="C685" s="341" t="s">
        <v>305</v>
      </c>
      <c r="D685" s="347">
        <v>1977</v>
      </c>
      <c r="E685" s="348">
        <v>40000</v>
      </c>
      <c r="F685" s="347"/>
      <c r="G685" s="347">
        <v>2025</v>
      </c>
      <c r="H685" s="341"/>
      <c r="I685" s="281"/>
    </row>
    <row r="686" spans="2:9">
      <c r="B686" s="281">
        <v>667</v>
      </c>
      <c r="C686" s="341" t="s">
        <v>305</v>
      </c>
      <c r="D686" s="347">
        <v>1978</v>
      </c>
      <c r="E686" s="348">
        <v>40000</v>
      </c>
      <c r="F686" s="347"/>
      <c r="G686" s="347">
        <v>2025</v>
      </c>
      <c r="H686" s="341"/>
      <c r="I686" s="281"/>
    </row>
    <row r="687" spans="2:9">
      <c r="B687" s="281">
        <v>668</v>
      </c>
      <c r="C687" s="341" t="s">
        <v>305</v>
      </c>
      <c r="D687" s="347">
        <v>1980</v>
      </c>
      <c r="E687" s="348">
        <v>39612.29</v>
      </c>
      <c r="F687" s="347"/>
      <c r="G687" s="347">
        <v>2025</v>
      </c>
      <c r="H687" s="341"/>
      <c r="I687" s="281"/>
    </row>
    <row r="688" spans="2:9">
      <c r="B688" s="281">
        <v>669</v>
      </c>
      <c r="C688" s="341" t="s">
        <v>305</v>
      </c>
      <c r="D688" s="347">
        <v>1986</v>
      </c>
      <c r="E688" s="348">
        <v>50000</v>
      </c>
      <c r="F688" s="347"/>
      <c r="G688" s="347">
        <v>2025</v>
      </c>
      <c r="H688" s="341"/>
      <c r="I688" s="281"/>
    </row>
    <row r="689" spans="2:9">
      <c r="B689" s="281">
        <v>670</v>
      </c>
      <c r="C689" s="341" t="s">
        <v>305</v>
      </c>
      <c r="D689" s="347">
        <v>1987</v>
      </c>
      <c r="E689" s="348">
        <v>21032.32</v>
      </c>
      <c r="F689" s="347"/>
      <c r="G689" s="347">
        <v>2025</v>
      </c>
      <c r="H689" s="341"/>
      <c r="I689" s="281"/>
    </row>
    <row r="690" spans="2:9">
      <c r="B690" s="281">
        <v>671</v>
      </c>
      <c r="C690" s="341" t="s">
        <v>305</v>
      </c>
      <c r="D690" s="347">
        <v>1992</v>
      </c>
      <c r="E690" s="348">
        <v>26948.39</v>
      </c>
      <c r="F690" s="347"/>
      <c r="G690" s="347">
        <v>2025</v>
      </c>
      <c r="H690" s="341"/>
      <c r="I690" s="281"/>
    </row>
    <row r="691" spans="2:9">
      <c r="B691" s="281">
        <v>672</v>
      </c>
      <c r="C691" s="341" t="s">
        <v>305</v>
      </c>
      <c r="D691" s="347">
        <v>1993</v>
      </c>
      <c r="E691" s="348">
        <v>40734.44</v>
      </c>
      <c r="F691" s="347"/>
      <c r="G691" s="347">
        <v>2025</v>
      </c>
      <c r="H691" s="341"/>
      <c r="I691" s="281"/>
    </row>
    <row r="692" spans="2:9">
      <c r="B692" s="281">
        <v>673</v>
      </c>
      <c r="C692" s="341" t="s">
        <v>305</v>
      </c>
      <c r="D692" s="347">
        <v>1995</v>
      </c>
      <c r="E692" s="348">
        <v>17597.68</v>
      </c>
      <c r="F692" s="347"/>
      <c r="G692" s="347">
        <v>2025</v>
      </c>
      <c r="H692" s="341"/>
      <c r="I692" s="281"/>
    </row>
    <row r="693" spans="2:9">
      <c r="B693" s="281">
        <v>674</v>
      </c>
      <c r="C693" s="341" t="s">
        <v>305</v>
      </c>
      <c r="D693" s="347">
        <v>1998</v>
      </c>
      <c r="E693" s="348">
        <v>6240.6</v>
      </c>
      <c r="F693" s="347"/>
      <c r="G693" s="347">
        <v>2025</v>
      </c>
      <c r="H693" s="341"/>
      <c r="I693" s="281"/>
    </row>
    <row r="694" spans="2:9">
      <c r="B694" s="281">
        <v>675</v>
      </c>
      <c r="C694" s="341" t="s">
        <v>305</v>
      </c>
      <c r="D694" s="347">
        <v>2004</v>
      </c>
      <c r="E694" s="348">
        <v>7506.82</v>
      </c>
      <c r="F694" s="347"/>
      <c r="G694" s="347">
        <v>2025</v>
      </c>
      <c r="H694" s="341"/>
      <c r="I694" s="281"/>
    </row>
    <row r="695" spans="2:9">
      <c r="B695" s="281">
        <v>676</v>
      </c>
      <c r="C695" s="341" t="s">
        <v>305</v>
      </c>
      <c r="D695" s="347">
        <v>2005</v>
      </c>
      <c r="E695" s="348">
        <v>500909.4</v>
      </c>
      <c r="F695" s="347"/>
      <c r="G695" s="347">
        <v>2025</v>
      </c>
      <c r="H695" s="341"/>
      <c r="I695" s="281"/>
    </row>
    <row r="696" spans="2:9">
      <c r="B696" s="281">
        <v>677</v>
      </c>
      <c r="C696" s="341" t="s">
        <v>305</v>
      </c>
      <c r="D696" s="347">
        <v>2008</v>
      </c>
      <c r="E696" s="348">
        <v>232021.77</v>
      </c>
      <c r="F696" s="347"/>
      <c r="G696" s="347">
        <v>2025</v>
      </c>
      <c r="H696" s="341"/>
      <c r="I696" s="281"/>
    </row>
    <row r="697" spans="2:9">
      <c r="B697" s="281">
        <v>678</v>
      </c>
      <c r="C697" s="341" t="s">
        <v>305</v>
      </c>
      <c r="D697" s="347">
        <v>2010</v>
      </c>
      <c r="E697" s="348">
        <v>1064522.73</v>
      </c>
      <c r="F697" s="347"/>
      <c r="G697" s="347">
        <v>2025</v>
      </c>
      <c r="H697" s="341"/>
      <c r="I697" s="281"/>
    </row>
    <row r="698" spans="2:9">
      <c r="B698" s="281">
        <v>679</v>
      </c>
      <c r="C698" s="341" t="s">
        <v>305</v>
      </c>
      <c r="D698" s="347">
        <v>2011</v>
      </c>
      <c r="E698" s="348">
        <v>89555.22</v>
      </c>
      <c r="F698" s="347"/>
      <c r="G698" s="347">
        <v>2025</v>
      </c>
      <c r="H698" s="341"/>
      <c r="I698" s="281"/>
    </row>
    <row r="699" spans="2:9">
      <c r="B699" s="281">
        <v>680</v>
      </c>
      <c r="C699" s="341" t="s">
        <v>305</v>
      </c>
      <c r="D699" s="347">
        <v>2012</v>
      </c>
      <c r="E699" s="348">
        <v>609557.21</v>
      </c>
      <c r="F699" s="347"/>
      <c r="G699" s="347">
        <v>2025</v>
      </c>
      <c r="H699" s="341"/>
      <c r="I699" s="281"/>
    </row>
    <row r="700" spans="2:9">
      <c r="B700" s="281">
        <v>681</v>
      </c>
      <c r="C700" s="341" t="s">
        <v>305</v>
      </c>
      <c r="D700" s="347">
        <v>2016</v>
      </c>
      <c r="E700" s="348">
        <v>190476.55</v>
      </c>
      <c r="F700" s="347"/>
      <c r="G700" s="347">
        <v>2025</v>
      </c>
      <c r="H700" s="341"/>
      <c r="I700" s="281"/>
    </row>
    <row r="701" spans="2:9">
      <c r="B701" s="281">
        <v>682</v>
      </c>
      <c r="C701" s="341" t="s">
        <v>305</v>
      </c>
      <c r="D701" s="347">
        <v>2017</v>
      </c>
      <c r="E701" s="348">
        <v>439054.05</v>
      </c>
      <c r="F701" s="347"/>
      <c r="G701" s="347">
        <v>2025</v>
      </c>
      <c r="H701" s="341"/>
      <c r="I701" s="281"/>
    </row>
    <row r="702" spans="2:9">
      <c r="B702" s="281">
        <v>683</v>
      </c>
      <c r="C702" s="341" t="s">
        <v>305</v>
      </c>
      <c r="D702" s="347">
        <v>2018</v>
      </c>
      <c r="E702" s="348">
        <v>-2874.02</v>
      </c>
      <c r="F702" s="347"/>
      <c r="G702" s="347">
        <v>2025</v>
      </c>
      <c r="H702" s="341"/>
      <c r="I702" s="281"/>
    </row>
    <row r="703" spans="2:9">
      <c r="B703" s="281">
        <v>684</v>
      </c>
      <c r="C703" s="341" t="s">
        <v>309</v>
      </c>
      <c r="D703" s="347">
        <v>1966</v>
      </c>
      <c r="E703" s="348">
        <v>20442.080000000002</v>
      </c>
      <c r="F703" s="347"/>
      <c r="G703" s="347">
        <v>2025</v>
      </c>
      <c r="H703" s="341"/>
      <c r="I703" s="281"/>
    </row>
    <row r="704" spans="2:9">
      <c r="B704" s="281">
        <v>685</v>
      </c>
      <c r="C704" s="341" t="s">
        <v>309</v>
      </c>
      <c r="D704" s="347">
        <v>1967</v>
      </c>
      <c r="E704" s="348">
        <v>70722.649999999994</v>
      </c>
      <c r="F704" s="347"/>
      <c r="G704" s="347">
        <v>2025</v>
      </c>
      <c r="H704" s="341"/>
      <c r="I704" s="281"/>
    </row>
    <row r="705" spans="2:9">
      <c r="B705" s="281">
        <v>686</v>
      </c>
      <c r="C705" s="341" t="s">
        <v>309</v>
      </c>
      <c r="D705" s="347">
        <v>1968</v>
      </c>
      <c r="E705" s="348">
        <v>142783</v>
      </c>
      <c r="F705" s="347"/>
      <c r="G705" s="347">
        <v>2025</v>
      </c>
      <c r="H705" s="341"/>
      <c r="I705" s="281"/>
    </row>
    <row r="706" spans="2:9">
      <c r="B706" s="281">
        <v>687</v>
      </c>
      <c r="C706" s="341" t="s">
        <v>309</v>
      </c>
      <c r="D706" s="347">
        <v>1969</v>
      </c>
      <c r="E706" s="348">
        <v>243331.28</v>
      </c>
      <c r="F706" s="347"/>
      <c r="G706" s="347">
        <v>2025</v>
      </c>
      <c r="H706" s="341"/>
      <c r="I706" s="281"/>
    </row>
    <row r="707" spans="2:9">
      <c r="B707" s="281">
        <v>688</v>
      </c>
      <c r="C707" s="341" t="s">
        <v>309</v>
      </c>
      <c r="D707" s="347">
        <v>1970</v>
      </c>
      <c r="E707" s="348">
        <v>249536.62</v>
      </c>
      <c r="F707" s="347"/>
      <c r="G707" s="347">
        <v>2025</v>
      </c>
      <c r="H707" s="341"/>
      <c r="I707" s="281"/>
    </row>
    <row r="708" spans="2:9">
      <c r="B708" s="281">
        <v>689</v>
      </c>
      <c r="C708" s="341" t="s">
        <v>309</v>
      </c>
      <c r="D708" s="347">
        <v>1971</v>
      </c>
      <c r="E708" s="348">
        <v>141153.21</v>
      </c>
      <c r="F708" s="347"/>
      <c r="G708" s="347">
        <v>2025</v>
      </c>
      <c r="H708" s="341"/>
      <c r="I708" s="281"/>
    </row>
    <row r="709" spans="2:9">
      <c r="B709" s="281">
        <v>690</v>
      </c>
      <c r="C709" s="341" t="s">
        <v>309</v>
      </c>
      <c r="D709" s="347">
        <v>1972</v>
      </c>
      <c r="E709" s="348">
        <v>112822.17</v>
      </c>
      <c r="F709" s="347"/>
      <c r="G709" s="347">
        <v>2025</v>
      </c>
      <c r="H709" s="341"/>
      <c r="I709" s="281"/>
    </row>
    <row r="710" spans="2:9">
      <c r="B710" s="281">
        <v>691</v>
      </c>
      <c r="C710" s="341" t="s">
        <v>309</v>
      </c>
      <c r="D710" s="347">
        <v>1973</v>
      </c>
      <c r="E710" s="348">
        <v>21109.19</v>
      </c>
      <c r="F710" s="347"/>
      <c r="G710" s="347">
        <v>2025</v>
      </c>
      <c r="H710" s="341"/>
      <c r="I710" s="281"/>
    </row>
    <row r="711" spans="2:9">
      <c r="B711" s="281">
        <v>692</v>
      </c>
      <c r="C711" s="341" t="s">
        <v>309</v>
      </c>
      <c r="D711" s="347">
        <v>1974</v>
      </c>
      <c r="E711" s="348">
        <v>66336.070000000007</v>
      </c>
      <c r="F711" s="347"/>
      <c r="G711" s="347">
        <v>2025</v>
      </c>
      <c r="H711" s="341"/>
      <c r="I711" s="281"/>
    </row>
    <row r="712" spans="2:9">
      <c r="B712" s="281">
        <v>693</v>
      </c>
      <c r="C712" s="341" t="s">
        <v>309</v>
      </c>
      <c r="D712" s="347">
        <v>1975</v>
      </c>
      <c r="E712" s="348">
        <v>116217.54</v>
      </c>
      <c r="F712" s="347"/>
      <c r="G712" s="347">
        <v>2025</v>
      </c>
      <c r="H712" s="341"/>
      <c r="I712" s="281"/>
    </row>
    <row r="713" spans="2:9">
      <c r="B713" s="281">
        <v>694</v>
      </c>
      <c r="C713" s="341" t="s">
        <v>309</v>
      </c>
      <c r="D713" s="347">
        <v>1976</v>
      </c>
      <c r="E713" s="348">
        <v>112997.91</v>
      </c>
      <c r="F713" s="347"/>
      <c r="G713" s="347">
        <v>2025</v>
      </c>
      <c r="H713" s="341"/>
      <c r="I713" s="281"/>
    </row>
    <row r="714" spans="2:9">
      <c r="B714" s="281">
        <v>695</v>
      </c>
      <c r="C714" s="341" t="s">
        <v>309</v>
      </c>
      <c r="D714" s="347">
        <v>1977</v>
      </c>
      <c r="E714" s="348">
        <v>102021.61</v>
      </c>
      <c r="F714" s="347"/>
      <c r="G714" s="347">
        <v>2025</v>
      </c>
      <c r="H714" s="341"/>
      <c r="I714" s="281"/>
    </row>
    <row r="715" spans="2:9">
      <c r="B715" s="281">
        <v>696</v>
      </c>
      <c r="C715" s="341" t="s">
        <v>309</v>
      </c>
      <c r="D715" s="347">
        <v>1978</v>
      </c>
      <c r="E715" s="348">
        <v>29172.21</v>
      </c>
      <c r="F715" s="347"/>
      <c r="G715" s="347">
        <v>2025</v>
      </c>
      <c r="H715" s="341"/>
      <c r="I715" s="281"/>
    </row>
    <row r="716" spans="2:9">
      <c r="B716" s="281">
        <v>697</v>
      </c>
      <c r="C716" s="341" t="s">
        <v>309</v>
      </c>
      <c r="D716" s="347">
        <v>1980</v>
      </c>
      <c r="E716" s="348">
        <v>15011.07</v>
      </c>
      <c r="F716" s="347"/>
      <c r="G716" s="347">
        <v>2025</v>
      </c>
      <c r="H716" s="341"/>
      <c r="I716" s="281"/>
    </row>
    <row r="717" spans="2:9">
      <c r="B717" s="281">
        <v>698</v>
      </c>
      <c r="C717" s="341" t="s">
        <v>309</v>
      </c>
      <c r="D717" s="347">
        <v>1982</v>
      </c>
      <c r="E717" s="348">
        <v>44175.28</v>
      </c>
      <c r="F717" s="347"/>
      <c r="G717" s="347">
        <v>2025</v>
      </c>
      <c r="H717" s="341"/>
      <c r="I717" s="281"/>
    </row>
    <row r="718" spans="2:9">
      <c r="B718" s="281">
        <v>699</v>
      </c>
      <c r="C718" s="341" t="s">
        <v>309</v>
      </c>
      <c r="D718" s="347">
        <v>1984</v>
      </c>
      <c r="E718" s="348">
        <v>17043.580000000002</v>
      </c>
      <c r="F718" s="347"/>
      <c r="G718" s="347">
        <v>2025</v>
      </c>
      <c r="H718" s="341"/>
      <c r="I718" s="281"/>
    </row>
    <row r="719" spans="2:9">
      <c r="B719" s="281">
        <v>700</v>
      </c>
      <c r="C719" s="341" t="s">
        <v>309</v>
      </c>
      <c r="D719" s="347">
        <v>1985</v>
      </c>
      <c r="E719" s="348">
        <v>19671.18</v>
      </c>
      <c r="F719" s="347"/>
      <c r="G719" s="347">
        <v>2025</v>
      </c>
      <c r="H719" s="341"/>
      <c r="I719" s="281"/>
    </row>
    <row r="720" spans="2:9">
      <c r="B720" s="281">
        <v>701</v>
      </c>
      <c r="C720" s="341" t="s">
        <v>309</v>
      </c>
      <c r="D720" s="347">
        <v>1987</v>
      </c>
      <c r="E720" s="348">
        <v>20031.16</v>
      </c>
      <c r="F720" s="347"/>
      <c r="G720" s="347">
        <v>2025</v>
      </c>
      <c r="H720" s="341"/>
      <c r="I720" s="281"/>
    </row>
    <row r="721" spans="2:9">
      <c r="B721" s="281">
        <v>702</v>
      </c>
      <c r="C721" s="341" t="s">
        <v>309</v>
      </c>
      <c r="D721" s="347">
        <v>1988</v>
      </c>
      <c r="E721" s="348">
        <v>73937.05</v>
      </c>
      <c r="F721" s="347"/>
      <c r="G721" s="347">
        <v>2025</v>
      </c>
      <c r="H721" s="341"/>
      <c r="I721" s="281"/>
    </row>
    <row r="722" spans="2:9">
      <c r="B722" s="281">
        <v>703</v>
      </c>
      <c r="C722" s="341" t="s">
        <v>309</v>
      </c>
      <c r="D722" s="347">
        <v>1989</v>
      </c>
      <c r="E722" s="348">
        <v>45174.17</v>
      </c>
      <c r="F722" s="347"/>
      <c r="G722" s="347">
        <v>2025</v>
      </c>
      <c r="H722" s="341"/>
      <c r="I722" s="281"/>
    </row>
    <row r="723" spans="2:9">
      <c r="B723" s="281">
        <v>704</v>
      </c>
      <c r="C723" s="341" t="s">
        <v>309</v>
      </c>
      <c r="D723" s="347">
        <v>1992</v>
      </c>
      <c r="E723" s="348">
        <v>81859.009999999995</v>
      </c>
      <c r="F723" s="347"/>
      <c r="G723" s="347">
        <v>2025</v>
      </c>
      <c r="H723" s="341"/>
      <c r="I723" s="281"/>
    </row>
    <row r="724" spans="2:9">
      <c r="B724" s="281">
        <v>705</v>
      </c>
      <c r="C724" s="341" t="s">
        <v>309</v>
      </c>
      <c r="D724" s="347">
        <v>1993</v>
      </c>
      <c r="E724" s="348">
        <v>157381.32</v>
      </c>
      <c r="F724" s="347"/>
      <c r="G724" s="347">
        <v>2025</v>
      </c>
      <c r="H724" s="341"/>
      <c r="I724" s="281"/>
    </row>
    <row r="725" spans="2:9">
      <c r="B725" s="281">
        <v>706</v>
      </c>
      <c r="C725" s="341" t="s">
        <v>309</v>
      </c>
      <c r="D725" s="347">
        <v>1994</v>
      </c>
      <c r="E725" s="348">
        <v>65700.2</v>
      </c>
      <c r="F725" s="347"/>
      <c r="G725" s="347">
        <v>2025</v>
      </c>
      <c r="H725" s="341"/>
      <c r="I725" s="281"/>
    </row>
    <row r="726" spans="2:9">
      <c r="B726" s="281">
        <v>707</v>
      </c>
      <c r="C726" s="341" t="s">
        <v>309</v>
      </c>
      <c r="D726" s="347">
        <v>1995</v>
      </c>
      <c r="E726" s="348">
        <v>155979.47</v>
      </c>
      <c r="F726" s="347"/>
      <c r="G726" s="347">
        <v>2025</v>
      </c>
      <c r="H726" s="341"/>
      <c r="I726" s="281"/>
    </row>
    <row r="727" spans="2:9">
      <c r="B727" s="281">
        <v>708</v>
      </c>
      <c r="C727" s="341" t="s">
        <v>309</v>
      </c>
      <c r="D727" s="347">
        <v>1997</v>
      </c>
      <c r="E727" s="348">
        <v>23723.48</v>
      </c>
      <c r="F727" s="347"/>
      <c r="G727" s="347">
        <v>2025</v>
      </c>
      <c r="H727" s="341"/>
      <c r="I727" s="281"/>
    </row>
    <row r="728" spans="2:9">
      <c r="B728" s="281">
        <v>709</v>
      </c>
      <c r="C728" s="341" t="s">
        <v>309</v>
      </c>
      <c r="D728" s="347">
        <v>1998</v>
      </c>
      <c r="E728" s="348">
        <v>70555.61</v>
      </c>
      <c r="F728" s="347"/>
      <c r="G728" s="347">
        <v>2025</v>
      </c>
      <c r="H728" s="341"/>
      <c r="I728" s="281"/>
    </row>
    <row r="729" spans="2:9">
      <c r="B729" s="281">
        <v>710</v>
      </c>
      <c r="C729" s="341" t="s">
        <v>309</v>
      </c>
      <c r="D729" s="347">
        <v>2000</v>
      </c>
      <c r="E729" s="348">
        <v>25047.81</v>
      </c>
      <c r="F729" s="347"/>
      <c r="G729" s="347">
        <v>2025</v>
      </c>
      <c r="H729" s="341"/>
      <c r="I729" s="281"/>
    </row>
    <row r="730" spans="2:9">
      <c r="B730" s="281">
        <v>711</v>
      </c>
      <c r="C730" s="341" t="s">
        <v>309</v>
      </c>
      <c r="D730" s="347">
        <v>2002</v>
      </c>
      <c r="E730" s="348">
        <v>26302.54</v>
      </c>
      <c r="F730" s="347"/>
      <c r="G730" s="347">
        <v>2025</v>
      </c>
      <c r="H730" s="341"/>
      <c r="I730" s="281"/>
    </row>
    <row r="731" spans="2:9">
      <c r="B731" s="281">
        <v>712</v>
      </c>
      <c r="C731" s="341" t="s">
        <v>309</v>
      </c>
      <c r="D731" s="347">
        <v>2003</v>
      </c>
      <c r="E731" s="348">
        <v>34546.400000000001</v>
      </c>
      <c r="F731" s="347"/>
      <c r="G731" s="347">
        <v>2025</v>
      </c>
      <c r="H731" s="341"/>
      <c r="I731" s="281"/>
    </row>
    <row r="732" spans="2:9">
      <c r="B732" s="281">
        <v>713</v>
      </c>
      <c r="C732" s="341" t="s">
        <v>309</v>
      </c>
      <c r="D732" s="347">
        <v>2005</v>
      </c>
      <c r="E732" s="348">
        <v>93426.13</v>
      </c>
      <c r="F732" s="347"/>
      <c r="G732" s="347">
        <v>2025</v>
      </c>
      <c r="H732" s="341"/>
      <c r="I732" s="281"/>
    </row>
    <row r="733" spans="2:9">
      <c r="B733" s="281">
        <v>714</v>
      </c>
      <c r="C733" s="341" t="s">
        <v>309</v>
      </c>
      <c r="D733" s="347">
        <v>2006</v>
      </c>
      <c r="E733" s="348">
        <v>55849.25</v>
      </c>
      <c r="F733" s="347"/>
      <c r="G733" s="347">
        <v>2025</v>
      </c>
      <c r="H733" s="341"/>
      <c r="I733" s="281"/>
    </row>
    <row r="734" spans="2:9">
      <c r="B734" s="281">
        <v>715</v>
      </c>
      <c r="C734" s="341" t="s">
        <v>309</v>
      </c>
      <c r="D734" s="347">
        <v>2007</v>
      </c>
      <c r="E734" s="348">
        <v>27068.3</v>
      </c>
      <c r="F734" s="347"/>
      <c r="G734" s="347">
        <v>2025</v>
      </c>
      <c r="H734" s="341"/>
      <c r="I734" s="281"/>
    </row>
    <row r="735" spans="2:9">
      <c r="B735" s="281">
        <v>716</v>
      </c>
      <c r="C735" s="341" t="s">
        <v>309</v>
      </c>
      <c r="D735" s="347">
        <v>2009</v>
      </c>
      <c r="E735" s="348">
        <v>84141.16</v>
      </c>
      <c r="F735" s="347"/>
      <c r="G735" s="347">
        <v>2025</v>
      </c>
      <c r="H735" s="341"/>
      <c r="I735" s="281"/>
    </row>
    <row r="736" spans="2:9">
      <c r="B736" s="281">
        <v>717</v>
      </c>
      <c r="C736" s="341" t="s">
        <v>309</v>
      </c>
      <c r="D736" s="347">
        <v>2011</v>
      </c>
      <c r="E736" s="348">
        <v>32415.49</v>
      </c>
      <c r="F736" s="347"/>
      <c r="G736" s="347">
        <v>2025</v>
      </c>
      <c r="H736" s="341"/>
      <c r="I736" s="281"/>
    </row>
    <row r="737" spans="2:9">
      <c r="B737" s="281">
        <v>718</v>
      </c>
      <c r="C737" s="341" t="s">
        <v>309</v>
      </c>
      <c r="D737" s="347">
        <v>2017</v>
      </c>
      <c r="E737" s="348">
        <v>63625.98</v>
      </c>
      <c r="F737" s="347"/>
      <c r="G737" s="347">
        <v>2025</v>
      </c>
      <c r="H737" s="341"/>
      <c r="I737" s="281"/>
    </row>
    <row r="738" spans="2:9">
      <c r="B738" s="281">
        <v>719</v>
      </c>
      <c r="C738" s="341" t="s">
        <v>309</v>
      </c>
      <c r="D738" s="347">
        <v>2018</v>
      </c>
      <c r="E738" s="348">
        <v>-1236.18</v>
      </c>
      <c r="F738" s="347"/>
      <c r="G738" s="347">
        <v>2025</v>
      </c>
      <c r="H738" s="341"/>
      <c r="I738" s="281"/>
    </row>
    <row r="739" spans="2:9">
      <c r="B739" s="281">
        <v>720</v>
      </c>
      <c r="C739" s="341" t="s">
        <v>309</v>
      </c>
      <c r="D739" s="347">
        <v>2019</v>
      </c>
      <c r="E739" s="348">
        <v>21322.87</v>
      </c>
      <c r="F739" s="347"/>
      <c r="G739" s="347">
        <v>2025</v>
      </c>
      <c r="H739" s="341"/>
      <c r="I739" s="281"/>
    </row>
    <row r="740" spans="2:9">
      <c r="B740" s="281">
        <v>721</v>
      </c>
      <c r="C740" s="341" t="s">
        <v>309</v>
      </c>
      <c r="D740" s="347">
        <v>2020</v>
      </c>
      <c r="E740" s="348">
        <v>57793.46</v>
      </c>
      <c r="F740" s="347"/>
      <c r="G740" s="347">
        <v>2025</v>
      </c>
      <c r="H740" s="341"/>
      <c r="I740" s="281"/>
    </row>
    <row r="741" spans="2:9">
      <c r="B741" s="281">
        <v>722</v>
      </c>
      <c r="C741" s="341" t="s">
        <v>312</v>
      </c>
      <c r="D741" s="347">
        <v>2007</v>
      </c>
      <c r="E741" s="348">
        <v>7351.24</v>
      </c>
      <c r="F741" s="347"/>
      <c r="G741" s="347">
        <v>2025</v>
      </c>
      <c r="H741" s="341"/>
      <c r="I741" s="281"/>
    </row>
    <row r="742" spans="2:9">
      <c r="B742" s="281">
        <v>723</v>
      </c>
      <c r="C742" s="341" t="s">
        <v>321</v>
      </c>
      <c r="D742" s="347">
        <v>2010</v>
      </c>
      <c r="E742" s="348">
        <v>33850.980000000003</v>
      </c>
      <c r="F742" s="347"/>
      <c r="G742" s="347">
        <v>2025</v>
      </c>
      <c r="H742" s="341"/>
      <c r="I742" s="281"/>
    </row>
    <row r="743" spans="2:9">
      <c r="B743" s="281">
        <v>724</v>
      </c>
      <c r="C743" s="341" t="s">
        <v>321</v>
      </c>
      <c r="D743" s="347">
        <v>2005</v>
      </c>
      <c r="E743" s="348">
        <v>73548.490000000005</v>
      </c>
      <c r="F743" s="347"/>
      <c r="G743" s="347">
        <v>2025</v>
      </c>
      <c r="H743" s="341"/>
      <c r="I743" s="281"/>
    </row>
    <row r="744" spans="2:9">
      <c r="B744" s="281">
        <v>725</v>
      </c>
      <c r="C744" s="341" t="s">
        <v>327</v>
      </c>
      <c r="D744" s="347">
        <v>1970</v>
      </c>
      <c r="E744" s="348">
        <v>12465.83</v>
      </c>
      <c r="F744" s="347"/>
      <c r="G744" s="347">
        <v>2025</v>
      </c>
      <c r="H744" s="341"/>
      <c r="I744" s="281"/>
    </row>
    <row r="745" spans="2:9">
      <c r="B745" s="281">
        <v>726</v>
      </c>
      <c r="C745" s="341" t="s">
        <v>345</v>
      </c>
      <c r="D745" s="347">
        <v>1970</v>
      </c>
      <c r="E745" s="348">
        <v>19829.099999999999</v>
      </c>
      <c r="F745" s="347"/>
      <c r="G745" s="347">
        <v>2025</v>
      </c>
      <c r="H745" s="341"/>
      <c r="I745" s="281"/>
    </row>
    <row r="746" spans="2:9">
      <c r="B746" s="281">
        <v>727</v>
      </c>
      <c r="C746" s="341" t="s">
        <v>347</v>
      </c>
      <c r="D746" s="347">
        <v>1970</v>
      </c>
      <c r="E746" s="348">
        <v>1226.22</v>
      </c>
      <c r="F746" s="347"/>
      <c r="G746" s="347">
        <v>2025</v>
      </c>
      <c r="H746" s="341"/>
      <c r="I746" s="281"/>
    </row>
    <row r="747" spans="2:9">
      <c r="B747" s="281">
        <v>728</v>
      </c>
      <c r="C747" s="341" t="s">
        <v>345</v>
      </c>
      <c r="D747" s="347">
        <v>1971</v>
      </c>
      <c r="E747" s="348">
        <v>68455.149999999994</v>
      </c>
      <c r="F747" s="347"/>
      <c r="G747" s="347">
        <v>2025</v>
      </c>
      <c r="H747" s="341"/>
      <c r="I747" s="281"/>
    </row>
    <row r="748" spans="2:9">
      <c r="B748" s="281">
        <v>729</v>
      </c>
      <c r="C748" s="341" t="s">
        <v>347</v>
      </c>
      <c r="D748" s="347">
        <v>1971</v>
      </c>
      <c r="E748" s="348">
        <v>21145.83</v>
      </c>
      <c r="F748" s="347"/>
      <c r="G748" s="347">
        <v>2025</v>
      </c>
      <c r="H748" s="341"/>
      <c r="I748" s="281"/>
    </row>
    <row r="749" spans="2:9">
      <c r="B749" s="281">
        <v>730</v>
      </c>
      <c r="C749" s="341" t="s">
        <v>345</v>
      </c>
      <c r="D749" s="347">
        <v>1972</v>
      </c>
      <c r="E749" s="348">
        <v>4002.08</v>
      </c>
      <c r="F749" s="347"/>
      <c r="G749" s="347">
        <v>2025</v>
      </c>
      <c r="H749" s="341"/>
      <c r="I749" s="281"/>
    </row>
    <row r="750" spans="2:9">
      <c r="B750" s="281">
        <v>731</v>
      </c>
      <c r="C750" s="341" t="s">
        <v>347</v>
      </c>
      <c r="D750" s="347">
        <v>1972</v>
      </c>
      <c r="E750" s="348">
        <v>415.23</v>
      </c>
      <c r="F750" s="347"/>
      <c r="G750" s="347">
        <v>2025</v>
      </c>
      <c r="H750" s="341"/>
      <c r="I750" s="281"/>
    </row>
    <row r="751" spans="2:9">
      <c r="B751" s="281">
        <v>732</v>
      </c>
      <c r="C751" s="341" t="s">
        <v>345</v>
      </c>
      <c r="D751" s="347">
        <v>2007</v>
      </c>
      <c r="E751" s="348">
        <v>500384.61</v>
      </c>
      <c r="F751" s="347"/>
      <c r="G751" s="347">
        <v>2025</v>
      </c>
      <c r="H751" s="341"/>
      <c r="I751" s="281"/>
    </row>
    <row r="752" spans="2:9">
      <c r="B752" s="281">
        <v>733</v>
      </c>
      <c r="C752" s="341" t="s">
        <v>347</v>
      </c>
      <c r="D752" s="347">
        <v>2010</v>
      </c>
      <c r="E752" s="348">
        <v>31970.31</v>
      </c>
      <c r="F752" s="347"/>
      <c r="G752" s="347">
        <v>2025</v>
      </c>
      <c r="H752" s="341"/>
      <c r="I752" s="281"/>
    </row>
    <row r="753" spans="2:9">
      <c r="B753" s="281">
        <v>734</v>
      </c>
      <c r="C753" s="341" t="s">
        <v>345</v>
      </c>
      <c r="D753" s="347">
        <v>2010</v>
      </c>
      <c r="E753" s="348">
        <v>1009667.61</v>
      </c>
      <c r="F753" s="347"/>
      <c r="G753" s="347">
        <v>2025</v>
      </c>
      <c r="H753" s="341"/>
      <c r="I753" s="281"/>
    </row>
    <row r="754" spans="2:9">
      <c r="B754" s="281">
        <v>735</v>
      </c>
      <c r="C754" s="341" t="s">
        <v>345</v>
      </c>
      <c r="D754" s="347">
        <v>2011</v>
      </c>
      <c r="E754" s="348">
        <v>200273.91999999998</v>
      </c>
      <c r="F754" s="347"/>
      <c r="G754" s="347">
        <v>2025</v>
      </c>
      <c r="H754" s="341"/>
      <c r="I754" s="281"/>
    </row>
    <row r="755" spans="2:9">
      <c r="B755" s="281">
        <v>736</v>
      </c>
      <c r="C755" s="341" t="s">
        <v>348</v>
      </c>
      <c r="D755" s="347">
        <v>1977</v>
      </c>
      <c r="E755" s="348">
        <v>501531.13</v>
      </c>
      <c r="F755" s="347"/>
      <c r="G755" s="347">
        <v>2025</v>
      </c>
      <c r="H755" s="341"/>
      <c r="I755" s="281"/>
    </row>
    <row r="756" spans="2:9">
      <c r="B756" s="281">
        <v>737</v>
      </c>
      <c r="C756" s="341" t="s">
        <v>349</v>
      </c>
      <c r="D756" s="347">
        <v>1978</v>
      </c>
      <c r="E756" s="348">
        <v>5765991.25</v>
      </c>
      <c r="F756" s="347"/>
      <c r="G756" s="347">
        <v>2025</v>
      </c>
      <c r="H756" s="341"/>
      <c r="I756" s="281"/>
    </row>
    <row r="757" spans="2:9">
      <c r="B757" s="281">
        <v>738</v>
      </c>
      <c r="C757" s="341" t="s">
        <v>349</v>
      </c>
      <c r="D757" s="347">
        <v>1979</v>
      </c>
      <c r="E757" s="348">
        <v>12064.52</v>
      </c>
      <c r="F757" s="347"/>
      <c r="G757" s="347">
        <v>2025</v>
      </c>
      <c r="H757" s="341"/>
      <c r="I757" s="281"/>
    </row>
    <row r="758" spans="2:9">
      <c r="B758" s="281">
        <v>739</v>
      </c>
      <c r="C758" s="341" t="s">
        <v>349</v>
      </c>
      <c r="D758" s="347">
        <v>1990</v>
      </c>
      <c r="E758" s="348">
        <v>60239.68</v>
      </c>
      <c r="F758" s="347"/>
      <c r="G758" s="347">
        <v>2025</v>
      </c>
      <c r="H758" s="341"/>
      <c r="I758" s="281"/>
    </row>
    <row r="759" spans="2:9">
      <c r="B759" s="281">
        <v>740</v>
      </c>
      <c r="C759" s="341" t="s">
        <v>349</v>
      </c>
      <c r="D759" s="347">
        <v>1992</v>
      </c>
      <c r="E759" s="348">
        <v>477787.53</v>
      </c>
      <c r="F759" s="347"/>
      <c r="G759" s="347">
        <v>2025</v>
      </c>
      <c r="H759" s="341"/>
      <c r="I759" s="281"/>
    </row>
    <row r="760" spans="2:9">
      <c r="B760" s="281">
        <v>741</v>
      </c>
      <c r="C760" s="341" t="s">
        <v>349</v>
      </c>
      <c r="D760" s="347">
        <v>2003</v>
      </c>
      <c r="E760" s="348">
        <v>803.59</v>
      </c>
      <c r="F760" s="347"/>
      <c r="G760" s="347">
        <v>2025</v>
      </c>
      <c r="H760" s="341"/>
      <c r="I760" s="281"/>
    </row>
    <row r="761" spans="2:9">
      <c r="B761" s="281">
        <v>742</v>
      </c>
      <c r="C761" s="341" t="s">
        <v>349</v>
      </c>
      <c r="D761" s="347">
        <v>2011</v>
      </c>
      <c r="E761" s="348">
        <v>390154.47</v>
      </c>
      <c r="F761" s="347"/>
      <c r="G761" s="347">
        <v>2025</v>
      </c>
      <c r="H761" s="341"/>
      <c r="I761" s="281"/>
    </row>
    <row r="762" spans="2:9">
      <c r="B762" s="281">
        <v>743</v>
      </c>
      <c r="C762" s="341" t="s">
        <v>349</v>
      </c>
      <c r="D762" s="347">
        <v>2013</v>
      </c>
      <c r="E762" s="348">
        <v>1165099.05</v>
      </c>
      <c r="F762" s="347"/>
      <c r="G762" s="347">
        <v>2025</v>
      </c>
      <c r="H762" s="341"/>
      <c r="I762" s="281"/>
    </row>
    <row r="763" spans="2:9">
      <c r="B763" s="281">
        <v>744</v>
      </c>
      <c r="C763" s="341" t="s">
        <v>349</v>
      </c>
      <c r="D763" s="347">
        <v>2016</v>
      </c>
      <c r="E763" s="348">
        <v>119449.71</v>
      </c>
      <c r="F763" s="347"/>
      <c r="G763" s="347">
        <v>2025</v>
      </c>
      <c r="H763" s="341"/>
      <c r="I763" s="281"/>
    </row>
    <row r="764" spans="2:9">
      <c r="B764" s="281">
        <v>745</v>
      </c>
      <c r="C764" s="341" t="s">
        <v>349</v>
      </c>
      <c r="D764" s="347">
        <v>2018</v>
      </c>
      <c r="E764" s="348">
        <v>95300.17</v>
      </c>
      <c r="F764" s="347"/>
      <c r="G764" s="347">
        <v>2025</v>
      </c>
      <c r="H764" s="341"/>
      <c r="I764" s="281"/>
    </row>
    <row r="765" spans="2:9">
      <c r="B765" s="281">
        <v>746</v>
      </c>
      <c r="C765" s="341" t="s">
        <v>353</v>
      </c>
      <c r="D765" s="347">
        <v>1964</v>
      </c>
      <c r="E765" s="348">
        <v>77865.440000000002</v>
      </c>
      <c r="F765" s="347"/>
      <c r="G765" s="347">
        <v>2025</v>
      </c>
      <c r="H765" s="341"/>
      <c r="I765" s="281"/>
    </row>
    <row r="766" spans="2:9">
      <c r="B766" s="281">
        <v>747</v>
      </c>
      <c r="C766" s="341" t="s">
        <v>353</v>
      </c>
      <c r="D766" s="347">
        <v>1966</v>
      </c>
      <c r="E766" s="348">
        <v>99174.45</v>
      </c>
      <c r="F766" s="347"/>
      <c r="G766" s="347">
        <v>2025</v>
      </c>
      <c r="H766" s="341"/>
      <c r="I766" s="281"/>
    </row>
    <row r="767" spans="2:9">
      <c r="B767" s="281">
        <v>748</v>
      </c>
      <c r="C767" s="341" t="s">
        <v>353</v>
      </c>
      <c r="D767" s="347">
        <v>1968</v>
      </c>
      <c r="E767" s="348">
        <v>7832.59</v>
      </c>
      <c r="F767" s="347"/>
      <c r="G767" s="347">
        <v>2025</v>
      </c>
      <c r="H767" s="341"/>
      <c r="I767" s="281"/>
    </row>
    <row r="768" spans="2:9">
      <c r="B768" s="281">
        <v>749</v>
      </c>
      <c r="C768" s="341" t="s">
        <v>353</v>
      </c>
      <c r="D768" s="347">
        <v>1970</v>
      </c>
      <c r="E768" s="348">
        <v>70000</v>
      </c>
      <c r="F768" s="347"/>
      <c r="G768" s="347">
        <v>2025</v>
      </c>
      <c r="H768" s="341"/>
      <c r="I768" s="281"/>
    </row>
    <row r="769" spans="2:9">
      <c r="B769" s="281">
        <v>750</v>
      </c>
      <c r="C769" s="341" t="s">
        <v>353</v>
      </c>
      <c r="D769" s="347">
        <v>1971</v>
      </c>
      <c r="E769" s="348">
        <v>2807.5</v>
      </c>
      <c r="F769" s="347"/>
      <c r="G769" s="347">
        <v>2025</v>
      </c>
      <c r="H769" s="341"/>
      <c r="I769" s="281"/>
    </row>
    <row r="770" spans="2:9">
      <c r="B770" s="281">
        <v>751</v>
      </c>
      <c r="C770" s="341" t="s">
        <v>353</v>
      </c>
      <c r="D770" s="347">
        <v>1972</v>
      </c>
      <c r="E770" s="348">
        <v>170910.43</v>
      </c>
      <c r="F770" s="347"/>
      <c r="G770" s="347">
        <v>2025</v>
      </c>
      <c r="H770" s="341"/>
      <c r="I770" s="281"/>
    </row>
    <row r="771" spans="2:9">
      <c r="B771" s="281">
        <v>752</v>
      </c>
      <c r="C771" s="341" t="s">
        <v>353</v>
      </c>
      <c r="D771" s="347">
        <v>1973</v>
      </c>
      <c r="E771" s="348">
        <v>148797.57999999999</v>
      </c>
      <c r="F771" s="347"/>
      <c r="G771" s="347">
        <v>2025</v>
      </c>
      <c r="H771" s="341"/>
      <c r="I771" s="281"/>
    </row>
    <row r="772" spans="2:9">
      <c r="B772" s="281">
        <v>753</v>
      </c>
      <c r="C772" s="341" t="s">
        <v>353</v>
      </c>
      <c r="D772" s="347">
        <v>1975</v>
      </c>
      <c r="E772" s="348">
        <v>18564.669999999998</v>
      </c>
      <c r="F772" s="347"/>
      <c r="G772" s="347">
        <v>2025</v>
      </c>
      <c r="H772" s="341"/>
      <c r="I772" s="281"/>
    </row>
    <row r="773" spans="2:9">
      <c r="B773" s="281">
        <v>754</v>
      </c>
      <c r="C773" s="341" t="s">
        <v>353</v>
      </c>
      <c r="D773" s="347">
        <v>1978</v>
      </c>
      <c r="E773" s="348">
        <v>89246.22</v>
      </c>
      <c r="F773" s="347"/>
      <c r="G773" s="347">
        <v>2025</v>
      </c>
      <c r="H773" s="341"/>
      <c r="I773" s="281"/>
    </row>
    <row r="774" spans="2:9">
      <c r="B774" s="281">
        <v>755</v>
      </c>
      <c r="C774" s="341" t="s">
        <v>353</v>
      </c>
      <c r="D774" s="347">
        <v>1979</v>
      </c>
      <c r="E774" s="348">
        <v>91234.26</v>
      </c>
      <c r="F774" s="347"/>
      <c r="G774" s="347">
        <v>2025</v>
      </c>
      <c r="H774" s="341"/>
      <c r="I774" s="281"/>
    </row>
    <row r="775" spans="2:9">
      <c r="B775" s="281">
        <v>756</v>
      </c>
      <c r="C775" s="341" t="s">
        <v>353</v>
      </c>
      <c r="D775" s="347">
        <v>1980</v>
      </c>
      <c r="E775" s="348">
        <v>232659.4</v>
      </c>
      <c r="F775" s="347"/>
      <c r="G775" s="347">
        <v>2025</v>
      </c>
      <c r="H775" s="341"/>
      <c r="I775" s="281"/>
    </row>
    <row r="776" spans="2:9">
      <c r="B776" s="281">
        <v>757</v>
      </c>
      <c r="C776" s="341" t="s">
        <v>353</v>
      </c>
      <c r="D776" s="347">
        <v>1984</v>
      </c>
      <c r="E776" s="348">
        <v>261656.56</v>
      </c>
      <c r="F776" s="347"/>
      <c r="G776" s="347">
        <v>2025</v>
      </c>
      <c r="H776" s="341"/>
      <c r="I776" s="281"/>
    </row>
    <row r="777" spans="2:9">
      <c r="B777" s="281">
        <v>758</v>
      </c>
      <c r="C777" s="341" t="s">
        <v>353</v>
      </c>
      <c r="D777" s="347">
        <v>1985</v>
      </c>
      <c r="E777" s="348">
        <v>27354.11</v>
      </c>
      <c r="F777" s="347"/>
      <c r="G777" s="347">
        <v>2025</v>
      </c>
      <c r="H777" s="341"/>
      <c r="I777" s="281"/>
    </row>
    <row r="778" spans="2:9">
      <c r="B778" s="281">
        <v>759</v>
      </c>
      <c r="C778" s="341" t="s">
        <v>353</v>
      </c>
      <c r="D778" s="347">
        <v>1996</v>
      </c>
      <c r="E778" s="348">
        <v>9238.51</v>
      </c>
      <c r="F778" s="347"/>
      <c r="G778" s="347">
        <v>2025</v>
      </c>
      <c r="H778" s="341"/>
      <c r="I778" s="281"/>
    </row>
    <row r="779" spans="2:9">
      <c r="B779" s="281">
        <v>760</v>
      </c>
      <c r="C779" s="341" t="s">
        <v>353</v>
      </c>
      <c r="D779" s="347">
        <v>2005</v>
      </c>
      <c r="E779" s="348">
        <v>13067.35</v>
      </c>
      <c r="F779" s="347"/>
      <c r="G779" s="347">
        <v>2025</v>
      </c>
      <c r="H779" s="341"/>
      <c r="I779" s="281"/>
    </row>
    <row r="780" spans="2:9">
      <c r="B780" s="281">
        <v>761</v>
      </c>
      <c r="C780" s="341" t="s">
        <v>353</v>
      </c>
      <c r="D780" s="347">
        <v>2010</v>
      </c>
      <c r="E780" s="348">
        <v>94765.099999999991</v>
      </c>
      <c r="F780" s="347"/>
      <c r="G780" s="347">
        <v>2025</v>
      </c>
      <c r="H780" s="341"/>
      <c r="I780" s="281"/>
    </row>
    <row r="781" spans="2:9">
      <c r="B781" s="281">
        <v>762</v>
      </c>
      <c r="C781" s="341" t="s">
        <v>353</v>
      </c>
      <c r="D781" s="347">
        <v>2015</v>
      </c>
      <c r="E781" s="348">
        <v>5962.19</v>
      </c>
      <c r="F781" s="347"/>
      <c r="G781" s="347">
        <v>2025</v>
      </c>
      <c r="H781" s="341"/>
      <c r="I781" s="281"/>
    </row>
    <row r="782" spans="2:9">
      <c r="B782" s="281">
        <v>763</v>
      </c>
      <c r="C782" s="341" t="s">
        <v>353</v>
      </c>
      <c r="D782" s="347">
        <v>2016</v>
      </c>
      <c r="E782" s="348">
        <v>104948.47</v>
      </c>
      <c r="F782" s="347"/>
      <c r="G782" s="347">
        <v>2025</v>
      </c>
      <c r="H782" s="341"/>
      <c r="I782" s="281"/>
    </row>
    <row r="783" spans="2:9">
      <c r="B783" s="281">
        <v>764</v>
      </c>
      <c r="C783" s="341" t="s">
        <v>353</v>
      </c>
      <c r="D783" s="347">
        <v>2018</v>
      </c>
      <c r="E783" s="348">
        <v>54575.82</v>
      </c>
      <c r="F783" s="347"/>
      <c r="G783" s="347">
        <v>2025</v>
      </c>
      <c r="H783" s="341"/>
      <c r="I783" s="281"/>
    </row>
    <row r="784" spans="2:9">
      <c r="B784" s="281">
        <v>765</v>
      </c>
      <c r="C784" s="341" t="s">
        <v>353</v>
      </c>
      <c r="D784" s="347">
        <v>2021</v>
      </c>
      <c r="E784" s="348">
        <v>45.76</v>
      </c>
      <c r="F784" s="347"/>
      <c r="G784" s="347">
        <v>2025</v>
      </c>
      <c r="H784" s="341"/>
      <c r="I784" s="281"/>
    </row>
    <row r="785" spans="2:9">
      <c r="B785" s="281">
        <v>766</v>
      </c>
      <c r="C785" s="341" t="s">
        <v>353</v>
      </c>
      <c r="D785" s="347">
        <v>2022</v>
      </c>
      <c r="E785" s="348">
        <v>217452.82</v>
      </c>
      <c r="F785" s="347"/>
      <c r="G785" s="347">
        <v>2025</v>
      </c>
      <c r="H785" s="341"/>
      <c r="I785" s="281"/>
    </row>
    <row r="786" spans="2:9">
      <c r="B786" s="281">
        <v>767</v>
      </c>
      <c r="C786" s="341" t="s">
        <v>361</v>
      </c>
      <c r="D786" s="347">
        <v>1966</v>
      </c>
      <c r="E786" s="348">
        <v>1942.4</v>
      </c>
      <c r="F786" s="347"/>
      <c r="G786" s="347">
        <v>2025</v>
      </c>
      <c r="H786" s="341"/>
      <c r="I786" s="281"/>
    </row>
    <row r="787" spans="2:9">
      <c r="B787" s="281">
        <v>768</v>
      </c>
      <c r="C787" s="341" t="s">
        <v>361</v>
      </c>
      <c r="D787" s="347">
        <v>2006</v>
      </c>
      <c r="E787" s="348">
        <v>28075.7</v>
      </c>
      <c r="F787" s="347"/>
      <c r="G787" s="347">
        <v>2025</v>
      </c>
      <c r="H787" s="341"/>
      <c r="I787" s="281"/>
    </row>
    <row r="788" spans="2:9">
      <c r="B788" s="281">
        <v>769</v>
      </c>
      <c r="C788" s="341" t="s">
        <v>364</v>
      </c>
      <c r="D788" s="347">
        <v>1966</v>
      </c>
      <c r="E788" s="348">
        <v>379080.76</v>
      </c>
      <c r="F788" s="347"/>
      <c r="G788" s="347">
        <v>2025</v>
      </c>
      <c r="H788" s="341"/>
      <c r="I788" s="281"/>
    </row>
    <row r="789" spans="2:9">
      <c r="B789" s="281">
        <v>770</v>
      </c>
      <c r="C789" s="341" t="s">
        <v>364</v>
      </c>
      <c r="D789" s="347">
        <v>1980</v>
      </c>
      <c r="E789" s="348">
        <v>84708.06</v>
      </c>
      <c r="F789" s="347"/>
      <c r="G789" s="347">
        <v>2025</v>
      </c>
      <c r="H789" s="341"/>
      <c r="I789" s="281"/>
    </row>
    <row r="790" spans="2:9">
      <c r="B790" s="281">
        <v>771</v>
      </c>
      <c r="C790" s="341" t="s">
        <v>364</v>
      </c>
      <c r="D790" s="347">
        <v>1982</v>
      </c>
      <c r="E790" s="348">
        <v>30674.639999999999</v>
      </c>
      <c r="F790" s="347"/>
      <c r="G790" s="347">
        <v>2025</v>
      </c>
      <c r="H790" s="341"/>
      <c r="I790" s="281"/>
    </row>
    <row r="791" spans="2:9">
      <c r="B791" s="281">
        <v>772</v>
      </c>
      <c r="C791" s="341" t="s">
        <v>364</v>
      </c>
      <c r="D791" s="347">
        <v>1998</v>
      </c>
      <c r="E791" s="348">
        <v>43038.32</v>
      </c>
      <c r="F791" s="347"/>
      <c r="G791" s="347">
        <v>2025</v>
      </c>
      <c r="H791" s="341"/>
      <c r="I791" s="281"/>
    </row>
    <row r="792" spans="2:9">
      <c r="B792" s="281">
        <v>773</v>
      </c>
      <c r="C792" s="341" t="s">
        <v>364</v>
      </c>
      <c r="D792" s="347">
        <v>2005</v>
      </c>
      <c r="E792" s="348">
        <v>173542.6</v>
      </c>
      <c r="F792" s="347"/>
      <c r="G792" s="347">
        <v>2025</v>
      </c>
      <c r="H792" s="341"/>
      <c r="I792" s="281"/>
    </row>
    <row r="793" spans="2:9">
      <c r="B793" s="281">
        <v>774</v>
      </c>
      <c r="C793" s="341" t="s">
        <v>364</v>
      </c>
      <c r="D793" s="347">
        <v>2006</v>
      </c>
      <c r="E793" s="348">
        <v>13931.96</v>
      </c>
      <c r="F793" s="347"/>
      <c r="G793" s="347">
        <v>2025</v>
      </c>
      <c r="H793" s="341"/>
      <c r="I793" s="281"/>
    </row>
    <row r="794" spans="2:9">
      <c r="B794" s="281">
        <v>775</v>
      </c>
      <c r="C794" s="341" t="s">
        <v>364</v>
      </c>
      <c r="D794" s="347">
        <v>2009</v>
      </c>
      <c r="E794" s="348">
        <v>20943.189999999999</v>
      </c>
      <c r="F794" s="347"/>
      <c r="G794" s="347">
        <v>2025</v>
      </c>
      <c r="H794" s="341"/>
      <c r="I794" s="281"/>
    </row>
    <row r="795" spans="2:9">
      <c r="B795" s="281">
        <v>776</v>
      </c>
      <c r="C795" s="341" t="s">
        <v>364</v>
      </c>
      <c r="D795" s="347">
        <v>2011</v>
      </c>
      <c r="E795" s="348">
        <v>299723.8</v>
      </c>
      <c r="F795" s="347"/>
      <c r="G795" s="347">
        <v>2025</v>
      </c>
      <c r="H795" s="341"/>
      <c r="I795" s="281"/>
    </row>
    <row r="796" spans="2:9">
      <c r="B796" s="281">
        <v>777</v>
      </c>
      <c r="C796" s="341" t="s">
        <v>364</v>
      </c>
      <c r="D796" s="347">
        <v>2016</v>
      </c>
      <c r="E796" s="348">
        <v>139526.74</v>
      </c>
      <c r="F796" s="347"/>
      <c r="G796" s="347">
        <v>2025</v>
      </c>
      <c r="H796" s="341"/>
      <c r="I796" s="281"/>
    </row>
    <row r="797" spans="2:9">
      <c r="B797" s="281">
        <v>778</v>
      </c>
      <c r="C797" s="341" t="s">
        <v>364</v>
      </c>
      <c r="D797" s="347">
        <v>2023</v>
      </c>
      <c r="E797" s="348">
        <v>33018.629999999997</v>
      </c>
      <c r="F797" s="347"/>
      <c r="G797" s="347">
        <v>2025</v>
      </c>
      <c r="H797" s="341"/>
      <c r="I797" s="281"/>
    </row>
    <row r="798" spans="2:9">
      <c r="B798" s="281">
        <v>779</v>
      </c>
      <c r="C798" s="341" t="s">
        <v>366</v>
      </c>
      <c r="D798" s="347">
        <v>1979</v>
      </c>
      <c r="E798" s="348">
        <v>423038.97</v>
      </c>
      <c r="F798" s="347"/>
      <c r="G798" s="347">
        <v>2025</v>
      </c>
      <c r="H798" s="341"/>
      <c r="I798" s="281"/>
    </row>
    <row r="799" spans="2:9">
      <c r="B799" s="281">
        <v>780</v>
      </c>
      <c r="C799" s="341" t="s">
        <v>366</v>
      </c>
      <c r="D799" s="347">
        <v>1998</v>
      </c>
      <c r="E799" s="348">
        <v>277145.73</v>
      </c>
      <c r="F799" s="347"/>
      <c r="G799" s="347">
        <v>2025</v>
      </c>
      <c r="H799" s="341"/>
      <c r="I799" s="281"/>
    </row>
    <row r="800" spans="2:9">
      <c r="B800" s="281">
        <v>781</v>
      </c>
      <c r="C800" s="341" t="s">
        <v>366</v>
      </c>
      <c r="D800" s="347">
        <v>2010</v>
      </c>
      <c r="E800" s="348">
        <v>183780.12</v>
      </c>
      <c r="F800" s="347"/>
      <c r="G800" s="347">
        <v>2025</v>
      </c>
      <c r="H800" s="341"/>
      <c r="I800" s="281"/>
    </row>
    <row r="801" spans="2:9">
      <c r="B801" s="281">
        <v>782</v>
      </c>
      <c r="C801" s="341" t="s">
        <v>370</v>
      </c>
      <c r="D801" s="347">
        <v>1988</v>
      </c>
      <c r="E801" s="348">
        <v>28938.61</v>
      </c>
      <c r="F801" s="347"/>
      <c r="G801" s="347">
        <v>2025</v>
      </c>
      <c r="H801" s="341"/>
      <c r="I801" s="281"/>
    </row>
  </sheetData>
  <mergeCells count="3">
    <mergeCell ref="B8:M8"/>
    <mergeCell ref="B11:D11"/>
    <mergeCell ref="B14:D14"/>
  </mergeCells>
  <pageMargins left="0.7" right="0.7" top="0.75" bottom="0.75" header="0.3" footer="0.3"/>
  <pageSetup paperSize="9" orientation="portrait" r:id="rId1"/>
  <headerFooter>
    <oddFooter>&amp;C_x000D_&amp;1#&amp;"Calibri"&amp;10&amp;K000000 Vertrouwelijk/Confidential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16BC-3F5C-413F-82D5-45EE704A45D3}">
  <sheetPr>
    <tabColor rgb="FFCCCCFF"/>
  </sheetPr>
  <dimension ref="B1:N25"/>
  <sheetViews>
    <sheetView showGridLines="0" zoomScale="85" zoomScaleNormal="85" workbookViewId="0"/>
  </sheetViews>
  <sheetFormatPr defaultRowHeight="12.75"/>
  <cols>
    <col min="1" max="1" width="2.5703125" customWidth="1"/>
    <col min="2" max="2" width="58" bestFit="1" customWidth="1"/>
    <col min="3" max="3" width="63" bestFit="1" customWidth="1"/>
    <col min="4" max="4" width="7.28515625" bestFit="1" customWidth="1"/>
    <col min="5" max="5" width="36.28515625" bestFit="1" customWidth="1"/>
    <col min="6" max="6" width="34.5703125" bestFit="1" customWidth="1"/>
    <col min="7" max="7" width="16.28515625" bestFit="1" customWidth="1"/>
    <col min="8" max="8" width="32.85546875" bestFit="1" customWidth="1"/>
    <col min="9" max="9" width="72.28515625" bestFit="1" customWidth="1"/>
    <col min="10" max="10" width="9.28515625" bestFit="1" customWidth="1"/>
  </cols>
  <sheetData>
    <row r="1" spans="2:14" s="3" customFormat="1"/>
    <row r="2" spans="2:14" s="12" customFormat="1" ht="18">
      <c r="B2" s="12" t="s">
        <v>869</v>
      </c>
    </row>
    <row r="3" spans="2:14" s="3" customFormat="1"/>
    <row r="4" spans="2:14" s="3" customFormat="1">
      <c r="B4" s="2" t="s">
        <v>202</v>
      </c>
    </row>
    <row r="5" spans="2:14" s="3" customFormat="1" ht="38.25" customHeight="1">
      <c r="B5" s="359" t="s">
        <v>870</v>
      </c>
      <c r="C5" s="359"/>
      <c r="D5" s="359"/>
    </row>
    <row r="6" spans="2:14" s="3" customFormat="1"/>
    <row r="7" spans="2:14" s="3" customFormat="1">
      <c r="B7" s="16" t="s">
        <v>839</v>
      </c>
      <c r="C7" s="181"/>
      <c r="D7" s="2"/>
    </row>
    <row r="8" spans="2:14" s="3" customFormat="1" ht="16.5" customHeight="1">
      <c r="B8" s="366" t="s">
        <v>871</v>
      </c>
      <c r="C8" s="366"/>
      <c r="D8" s="366"/>
      <c r="E8" s="366"/>
      <c r="F8" s="366"/>
      <c r="G8" s="366"/>
      <c r="H8" s="366"/>
      <c r="I8" s="366"/>
      <c r="J8" s="366"/>
      <c r="K8" s="366"/>
      <c r="L8" s="366"/>
      <c r="M8" s="366"/>
    </row>
    <row r="9" spans="2:14" s="3" customFormat="1">
      <c r="B9" s="4"/>
      <c r="C9" s="181"/>
    </row>
    <row r="10" spans="2:14" s="3" customFormat="1">
      <c r="B10" s="176" t="s">
        <v>841</v>
      </c>
      <c r="C10" s="181"/>
    </row>
    <row r="11" spans="2:14" s="3" customFormat="1">
      <c r="B11" s="368">
        <v>45050</v>
      </c>
      <c r="C11" s="368"/>
      <c r="D11" s="368"/>
      <c r="E11" s="119"/>
    </row>
    <row r="13" spans="2:14">
      <c r="B13" s="176" t="s">
        <v>842</v>
      </c>
      <c r="C13" s="3"/>
      <c r="D13" s="3"/>
      <c r="E13" s="3"/>
      <c r="F13" s="3"/>
      <c r="G13" s="3"/>
      <c r="H13" s="3"/>
      <c r="I13" s="3"/>
      <c r="J13" s="3"/>
      <c r="K13" s="3"/>
      <c r="L13" s="3"/>
      <c r="M13" s="3"/>
      <c r="N13" s="3"/>
    </row>
    <row r="14" spans="2:14" ht="25.5" customHeight="1">
      <c r="B14" s="368" t="s">
        <v>872</v>
      </c>
      <c r="C14" s="359"/>
      <c r="D14" s="359"/>
      <c r="E14" s="1"/>
      <c r="F14" s="1"/>
      <c r="G14" s="1"/>
      <c r="H14" s="1"/>
      <c r="I14" s="1"/>
      <c r="J14" s="1"/>
      <c r="K14" s="1"/>
      <c r="L14" s="1"/>
      <c r="M14" s="1"/>
      <c r="N14" s="1"/>
    </row>
    <row r="16" spans="2:14">
      <c r="B16" s="177" t="s">
        <v>844</v>
      </c>
    </row>
    <row r="17" spans="2:12">
      <c r="B17" s="126">
        <f>SUBTOTAL(103,B20:B460)</f>
        <v>5</v>
      </c>
    </row>
    <row r="18" spans="2:12" ht="14.25" customHeight="1"/>
    <row r="19" spans="2:12" s="8" customFormat="1">
      <c r="B19" s="8" t="s">
        <v>873</v>
      </c>
      <c r="C19" s="8" t="s">
        <v>874</v>
      </c>
      <c r="D19" s="8" t="s">
        <v>168</v>
      </c>
      <c r="E19" s="8" t="s">
        <v>875</v>
      </c>
      <c r="F19" s="8" t="s">
        <v>876</v>
      </c>
      <c r="G19" s="8" t="s">
        <v>877</v>
      </c>
      <c r="H19" s="8" t="s">
        <v>878</v>
      </c>
      <c r="I19" s="8" t="s">
        <v>850</v>
      </c>
      <c r="J19" s="8" t="s">
        <v>860</v>
      </c>
    </row>
    <row r="20" spans="2:12">
      <c r="B20" t="s">
        <v>879</v>
      </c>
      <c r="C20" t="s">
        <v>880</v>
      </c>
      <c r="D20">
        <v>2020</v>
      </c>
      <c r="E20" s="178">
        <v>909823616.24000001</v>
      </c>
      <c r="F20" s="178">
        <v>7382022.1000000006</v>
      </c>
      <c r="G20" s="178">
        <v>1408616.89</v>
      </c>
      <c r="H20" s="178">
        <v>-7141324.5900000008</v>
      </c>
      <c r="I20" t="s">
        <v>852</v>
      </c>
      <c r="J20">
        <v>1</v>
      </c>
    </row>
    <row r="21" spans="2:12">
      <c r="B21" t="s">
        <v>879</v>
      </c>
      <c r="C21" t="s">
        <v>880</v>
      </c>
      <c r="D21">
        <v>2021</v>
      </c>
      <c r="E21" s="178">
        <v>922405562.78000021</v>
      </c>
      <c r="F21" s="178">
        <v>13494084.869999999</v>
      </c>
      <c r="G21" s="178">
        <v>1093413.33</v>
      </c>
      <c r="H21" s="178">
        <v>-21856587.380000003</v>
      </c>
      <c r="I21" t="s">
        <v>861</v>
      </c>
      <c r="J21">
        <v>1</v>
      </c>
    </row>
    <row r="22" spans="2:12">
      <c r="B22" t="s">
        <v>879</v>
      </c>
      <c r="C22" t="s">
        <v>880</v>
      </c>
      <c r="D22">
        <v>2022</v>
      </c>
      <c r="E22" s="178">
        <v>1354081798.3900001</v>
      </c>
      <c r="F22" s="178">
        <v>33326739.559999999</v>
      </c>
      <c r="G22" s="178">
        <v>221359938.30000001</v>
      </c>
      <c r="H22" s="178">
        <v>-2234578.129999999</v>
      </c>
      <c r="I22" t="s">
        <v>853</v>
      </c>
      <c r="J22">
        <v>2</v>
      </c>
    </row>
    <row r="23" spans="2:12">
      <c r="B23" s="324" t="s">
        <v>879</v>
      </c>
      <c r="C23" s="324" t="s">
        <v>880</v>
      </c>
      <c r="D23" s="324">
        <v>2023</v>
      </c>
      <c r="E23" s="326">
        <v>1053217263.61</v>
      </c>
      <c r="F23" s="326">
        <v>36546798.390000001</v>
      </c>
      <c r="G23" s="326">
        <v>161390059.07999998</v>
      </c>
      <c r="H23" s="326">
        <v>-76372358.110525161</v>
      </c>
      <c r="I23" s="324" t="s">
        <v>854</v>
      </c>
      <c r="J23" s="324">
        <v>1</v>
      </c>
    </row>
    <row r="24" spans="2:12">
      <c r="B24" s="324" t="s">
        <v>879</v>
      </c>
      <c r="C24" s="324" t="s">
        <v>880</v>
      </c>
      <c r="D24" s="324">
        <v>2024</v>
      </c>
      <c r="E24" s="326">
        <v>790445299.95999992</v>
      </c>
      <c r="F24" s="326">
        <v>17029575.25</v>
      </c>
      <c r="G24" s="326">
        <v>48324856.469999999</v>
      </c>
      <c r="H24" s="326">
        <v>-41469456.140000001</v>
      </c>
      <c r="I24" s="324" t="s">
        <v>855</v>
      </c>
      <c r="J24" s="324">
        <v>1</v>
      </c>
    </row>
    <row r="25" spans="2:12">
      <c r="B25" s="341"/>
      <c r="C25" s="341" t="s">
        <v>880</v>
      </c>
      <c r="D25" s="347">
        <v>2025</v>
      </c>
      <c r="E25" s="281">
        <v>1006790076.3599999</v>
      </c>
      <c r="F25" s="281">
        <v>14646611.33</v>
      </c>
      <c r="G25" s="281">
        <v>4689355.4799999995</v>
      </c>
      <c r="H25" s="281">
        <v>-47704132.830000006</v>
      </c>
      <c r="I25" s="341"/>
      <c r="J25" s="281"/>
      <c r="L25" s="342"/>
    </row>
  </sheetData>
  <mergeCells count="4">
    <mergeCell ref="B5:D5"/>
    <mergeCell ref="B8:M8"/>
    <mergeCell ref="B11:D11"/>
    <mergeCell ref="B14:D14"/>
  </mergeCells>
  <pageMargins left="0.7" right="0.7" top="0.75" bottom="0.75" header="0.3" footer="0.3"/>
  <headerFooter>
    <oddFooter>&amp;C_x000D_&amp;1#&amp;"Calibri"&amp;10&amp;K000000 Vertrouwelijk/Confidential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pageSetUpPr fitToPage="1"/>
  </sheetPr>
  <dimension ref="B2:AB113"/>
  <sheetViews>
    <sheetView showGridLines="0" zoomScale="80" zoomScaleNormal="80" workbookViewId="0">
      <pane ySplit="3" topLeftCell="A4" activePane="bottomLeft" state="frozen"/>
      <selection pane="bottomLeft"/>
      <selection activeCell="C40" sqref="C40"/>
    </sheetView>
  </sheetViews>
  <sheetFormatPr defaultColWidth="9" defaultRowHeight="12.75"/>
  <cols>
    <col min="1" max="1" width="2.5703125" style="3" customWidth="1"/>
    <col min="2" max="2" width="19" style="3" customWidth="1"/>
    <col min="3" max="3" width="2.5703125" style="3" customWidth="1"/>
    <col min="4" max="4" width="35.5703125" style="3" customWidth="1"/>
    <col min="5" max="5" width="2.5703125" style="3" customWidth="1"/>
    <col min="6" max="6" width="10.5703125" style="3" customWidth="1"/>
    <col min="7" max="7" width="2.5703125" style="3" customWidth="1"/>
    <col min="8" max="8" width="37.85546875" style="3" customWidth="1"/>
    <col min="9" max="9" width="2.5703125" style="3" customWidth="1"/>
    <col min="10" max="10" width="10.5703125" style="3" customWidth="1"/>
    <col min="11" max="11" width="2.5703125" style="3" customWidth="1"/>
    <col min="12" max="12" width="25.5703125" style="3" customWidth="1"/>
    <col min="13" max="13" width="2.5703125" style="3" customWidth="1"/>
    <col min="14" max="14" width="10.5703125" style="3" customWidth="1"/>
    <col min="15" max="15" width="2.5703125" style="3" customWidth="1"/>
    <col min="16" max="16" width="25.5703125" style="3" customWidth="1"/>
    <col min="17" max="17" width="2.5703125" style="3" customWidth="1"/>
    <col min="18" max="18" width="10.5703125" style="3" customWidth="1"/>
    <col min="19" max="19" width="2.5703125" style="3" customWidth="1"/>
    <col min="20" max="20" width="25.5703125" style="3" customWidth="1"/>
    <col min="21" max="21" width="2.5703125" style="3" customWidth="1"/>
    <col min="22" max="22" width="10.5703125" style="3" customWidth="1"/>
    <col min="23" max="23" width="2.5703125" style="3" customWidth="1"/>
    <col min="24" max="24" width="25.5703125" style="3" customWidth="1"/>
    <col min="25" max="25" width="2.5703125" style="3" customWidth="1"/>
    <col min="26" max="16384" width="9" style="3"/>
  </cols>
  <sheetData>
    <row r="2" spans="2:26" s="7" customFormat="1" ht="18">
      <c r="B2" s="7" t="s">
        <v>27</v>
      </c>
    </row>
    <row r="4" spans="2:26" s="8" customFormat="1">
      <c r="B4" s="8" t="s">
        <v>28</v>
      </c>
    </row>
    <row r="6" spans="2:26">
      <c r="B6" s="3" t="s">
        <v>29</v>
      </c>
    </row>
    <row r="7" spans="2:26">
      <c r="B7" s="3" t="s">
        <v>30</v>
      </c>
      <c r="H7" s="19"/>
    </row>
    <row r="9" spans="2:26" s="8" customFormat="1">
      <c r="B9" s="8" t="s">
        <v>31</v>
      </c>
    </row>
    <row r="11" spans="2:26" s="58" customFormat="1">
      <c r="B11" s="58" t="s">
        <v>32</v>
      </c>
    </row>
    <row r="12" spans="2:26" s="58" customFormat="1"/>
    <row r="13" spans="2:26" s="58" customFormat="1">
      <c r="B13" s="75"/>
      <c r="C13" s="75"/>
      <c r="D13" s="76" t="s">
        <v>33</v>
      </c>
      <c r="E13" s="75"/>
      <c r="F13" s="75"/>
      <c r="G13" s="75"/>
      <c r="H13" s="76" t="s">
        <v>34</v>
      </c>
      <c r="I13" s="75"/>
      <c r="J13" s="75"/>
      <c r="K13" s="75"/>
      <c r="L13" s="75"/>
      <c r="M13" s="75"/>
      <c r="N13" s="75"/>
      <c r="O13" s="75"/>
      <c r="P13" s="75"/>
      <c r="Q13" s="75"/>
      <c r="R13" s="75"/>
      <c r="S13" s="75"/>
      <c r="T13" s="76"/>
      <c r="U13" s="75"/>
      <c r="V13" s="75"/>
      <c r="W13" s="75"/>
      <c r="X13" s="76" t="s">
        <v>35</v>
      </c>
      <c r="Y13" s="75"/>
      <c r="Z13" s="75"/>
    </row>
    <row r="14" spans="2:26" s="58" customFormat="1" ht="14.25">
      <c r="B14" s="59"/>
      <c r="C14" s="59"/>
      <c r="D14" s="59"/>
      <c r="E14" s="59"/>
      <c r="F14" s="59"/>
      <c r="G14" s="59"/>
      <c r="H14" s="59"/>
      <c r="I14" s="59"/>
      <c r="J14" s="59"/>
      <c r="K14" s="59"/>
      <c r="L14" s="59"/>
      <c r="M14" s="59"/>
      <c r="N14" s="59"/>
      <c r="O14" s="59"/>
      <c r="P14" s="59"/>
      <c r="Q14" s="59"/>
      <c r="R14" s="59"/>
      <c r="S14" s="59"/>
      <c r="T14" s="59"/>
      <c r="V14" s="59"/>
      <c r="W14" s="59"/>
      <c r="X14" s="59"/>
      <c r="Z14" s="59"/>
    </row>
    <row r="15" spans="2:26" s="58" customFormat="1" ht="14.25">
      <c r="B15" s="59"/>
      <c r="C15" s="60"/>
      <c r="D15" s="61"/>
      <c r="E15" s="62"/>
      <c r="F15" s="63"/>
      <c r="G15" s="60"/>
      <c r="H15" s="61"/>
      <c r="I15" s="62"/>
      <c r="J15" s="63"/>
      <c r="K15" s="63"/>
      <c r="M15" s="63"/>
      <c r="N15" s="63"/>
      <c r="O15" s="63"/>
      <c r="Q15" s="63"/>
      <c r="R15" s="63"/>
      <c r="S15" s="59"/>
      <c r="V15" s="63"/>
      <c r="W15" s="59"/>
      <c r="Z15" s="63"/>
    </row>
    <row r="16" spans="2:26" s="58" customFormat="1" ht="14.25">
      <c r="B16" s="59"/>
      <c r="C16" s="64"/>
      <c r="D16" s="65" t="s">
        <v>36</v>
      </c>
      <c r="E16" s="66"/>
      <c r="F16" s="63"/>
      <c r="G16" s="64"/>
      <c r="H16" s="72" t="s">
        <v>37</v>
      </c>
      <c r="I16" s="66"/>
      <c r="J16" s="63"/>
      <c r="S16" s="59"/>
      <c r="W16" s="59"/>
    </row>
    <row r="17" spans="2:28" s="58" customFormat="1" ht="14.25">
      <c r="B17" s="59"/>
      <c r="C17" s="67"/>
      <c r="D17" s="68"/>
      <c r="E17" s="69"/>
      <c r="F17" s="63"/>
      <c r="G17" s="67"/>
      <c r="H17" s="68"/>
      <c r="I17" s="69"/>
      <c r="J17" s="63"/>
      <c r="S17" s="59"/>
      <c r="W17" s="59"/>
      <c r="AB17" s="70"/>
    </row>
    <row r="18" spans="2:28" s="58" customFormat="1" ht="14.25">
      <c r="B18" s="59"/>
      <c r="F18" s="63"/>
      <c r="J18" s="63"/>
      <c r="S18" s="59"/>
      <c r="W18" s="59"/>
    </row>
    <row r="19" spans="2:28" s="58" customFormat="1" ht="14.25">
      <c r="B19" s="59"/>
      <c r="F19" s="63"/>
      <c r="J19" s="63"/>
      <c r="S19" s="59"/>
      <c r="W19" s="59"/>
    </row>
    <row r="20" spans="2:28" s="58" customFormat="1" ht="14.25">
      <c r="B20" s="59"/>
      <c r="C20" s="60"/>
      <c r="D20" s="61"/>
      <c r="E20" s="62"/>
      <c r="F20" s="63"/>
      <c r="J20" s="63"/>
      <c r="S20" s="59"/>
      <c r="W20" s="59"/>
    </row>
    <row r="21" spans="2:28" s="58" customFormat="1" ht="14.25">
      <c r="B21" s="59"/>
      <c r="C21" s="64"/>
      <c r="D21" s="65" t="s">
        <v>38</v>
      </c>
      <c r="E21" s="66"/>
      <c r="F21" s="63"/>
      <c r="J21" s="63"/>
      <c r="S21" s="59"/>
      <c r="W21" s="59"/>
    </row>
    <row r="22" spans="2:28" s="58" customFormat="1" ht="14.25">
      <c r="B22" s="59"/>
      <c r="C22" s="67"/>
      <c r="D22" s="68"/>
      <c r="E22" s="69"/>
      <c r="F22" s="63"/>
      <c r="J22" s="63"/>
      <c r="S22" s="59"/>
      <c r="W22" s="59"/>
    </row>
    <row r="23" spans="2:28" s="58" customFormat="1" ht="14.25">
      <c r="B23" s="59"/>
      <c r="C23" s="63"/>
      <c r="D23" s="63"/>
      <c r="E23" s="63"/>
      <c r="F23" s="63"/>
      <c r="J23" s="63"/>
      <c r="S23" s="59"/>
      <c r="W23" s="59"/>
    </row>
    <row r="24" spans="2:28" s="58" customFormat="1" ht="14.25">
      <c r="B24" s="59"/>
      <c r="C24" s="60"/>
      <c r="D24" s="61"/>
      <c r="E24" s="62"/>
      <c r="F24" s="63"/>
      <c r="G24" s="60"/>
      <c r="H24" s="61"/>
      <c r="I24" s="62"/>
      <c r="J24" s="63"/>
      <c r="S24" s="59"/>
      <c r="W24" s="59"/>
    </row>
    <row r="25" spans="2:28" s="58" customFormat="1" ht="14.25">
      <c r="B25" s="59"/>
      <c r="C25" s="64"/>
      <c r="D25" s="65" t="s">
        <v>39</v>
      </c>
      <c r="E25" s="66"/>
      <c r="F25" s="63"/>
      <c r="G25" s="64"/>
      <c r="H25" s="84" t="s">
        <v>40</v>
      </c>
      <c r="I25" s="66"/>
      <c r="J25" s="63"/>
      <c r="S25" s="59"/>
      <c r="W25" s="59"/>
    </row>
    <row r="26" spans="2:28" s="58" customFormat="1" ht="14.25">
      <c r="B26" s="59"/>
      <c r="C26" s="67"/>
      <c r="D26" s="68"/>
      <c r="E26" s="69"/>
      <c r="F26" s="63"/>
      <c r="G26" s="67"/>
      <c r="H26" s="68"/>
      <c r="I26" s="69"/>
      <c r="J26" s="63"/>
      <c r="S26" s="59"/>
      <c r="W26" s="59"/>
    </row>
    <row r="27" spans="2:28" s="58" customFormat="1" ht="14.25">
      <c r="B27" s="59"/>
      <c r="C27" s="63"/>
      <c r="D27" s="63"/>
      <c r="E27" s="63"/>
      <c r="F27" s="63"/>
      <c r="J27" s="63"/>
      <c r="S27" s="59"/>
      <c r="W27" s="59"/>
    </row>
    <row r="28" spans="2:28" s="58" customFormat="1" ht="14.25">
      <c r="B28" s="59"/>
      <c r="C28" s="60"/>
      <c r="D28" s="61"/>
      <c r="E28" s="62"/>
      <c r="F28" s="63"/>
      <c r="G28" s="60"/>
      <c r="H28" s="61"/>
      <c r="I28" s="62"/>
      <c r="J28" s="63"/>
      <c r="S28" s="59"/>
      <c r="W28" s="59"/>
    </row>
    <row r="29" spans="2:28" s="58" customFormat="1" ht="14.25">
      <c r="B29" s="59"/>
      <c r="C29" s="64"/>
      <c r="D29" s="65" t="s">
        <v>41</v>
      </c>
      <c r="E29" s="66"/>
      <c r="F29" s="63"/>
      <c r="G29" s="64"/>
      <c r="H29" s="84" t="s">
        <v>42</v>
      </c>
      <c r="I29" s="66"/>
      <c r="J29" s="63"/>
      <c r="S29" s="59"/>
      <c r="W29" s="59"/>
    </row>
    <row r="30" spans="2:28" s="58" customFormat="1" ht="14.25">
      <c r="B30" s="59"/>
      <c r="C30" s="67"/>
      <c r="D30" s="68"/>
      <c r="E30" s="69"/>
      <c r="F30" s="63"/>
      <c r="G30" s="67"/>
      <c r="H30" s="68"/>
      <c r="I30" s="69"/>
      <c r="J30" s="63"/>
      <c r="S30" s="59"/>
      <c r="W30" s="59"/>
    </row>
    <row r="31" spans="2:28" s="58" customFormat="1" ht="14.25">
      <c r="B31" s="59"/>
      <c r="C31" s="63"/>
      <c r="D31" s="63"/>
      <c r="E31" s="63"/>
      <c r="F31" s="63"/>
      <c r="G31" s="59"/>
      <c r="H31" s="59"/>
      <c r="J31" s="63"/>
      <c r="S31" s="59"/>
      <c r="W31" s="59"/>
    </row>
    <row r="32" spans="2:28" s="58" customFormat="1" ht="14.25">
      <c r="B32" s="59"/>
      <c r="C32" s="60"/>
      <c r="D32" s="61"/>
      <c r="E32" s="62"/>
      <c r="F32" s="63"/>
      <c r="G32" s="60"/>
      <c r="H32" s="61"/>
      <c r="I32" s="62"/>
      <c r="J32" s="63"/>
      <c r="S32" s="59"/>
      <c r="W32" s="59"/>
    </row>
    <row r="33" spans="2:25" s="58" customFormat="1" ht="14.25">
      <c r="B33" s="59"/>
      <c r="C33" s="64"/>
      <c r="D33" s="65" t="s">
        <v>43</v>
      </c>
      <c r="E33" s="66"/>
      <c r="F33" s="63"/>
      <c r="G33" s="64"/>
      <c r="H33" s="84" t="s">
        <v>44</v>
      </c>
      <c r="I33" s="66"/>
      <c r="J33" s="63"/>
    </row>
    <row r="34" spans="2:25" s="58" customFormat="1" ht="14.25">
      <c r="B34" s="59"/>
      <c r="C34" s="67"/>
      <c r="D34" s="68"/>
      <c r="E34" s="69"/>
      <c r="F34" s="63"/>
      <c r="G34" s="67"/>
      <c r="H34" s="68"/>
      <c r="I34" s="69"/>
      <c r="J34" s="63"/>
      <c r="K34" s="60"/>
      <c r="L34" s="61"/>
      <c r="M34" s="62"/>
      <c r="O34" s="60"/>
      <c r="P34" s="61"/>
      <c r="Q34" s="62"/>
      <c r="S34" s="60"/>
      <c r="T34" s="61"/>
      <c r="U34" s="62"/>
      <c r="W34" s="60"/>
      <c r="X34" s="61"/>
      <c r="Y34" s="62"/>
    </row>
    <row r="35" spans="2:25" s="58" customFormat="1" ht="14.25">
      <c r="B35" s="59"/>
      <c r="F35" s="63"/>
      <c r="J35" s="63"/>
      <c r="K35" s="64"/>
      <c r="L35" s="84" t="s">
        <v>45</v>
      </c>
      <c r="M35" s="66"/>
      <c r="O35" s="64"/>
      <c r="P35" s="84" t="s">
        <v>46</v>
      </c>
      <c r="Q35" s="66"/>
      <c r="S35" s="64"/>
      <c r="T35" s="84" t="s">
        <v>47</v>
      </c>
      <c r="U35" s="66"/>
      <c r="W35" s="64"/>
      <c r="X35" s="71" t="s">
        <v>48</v>
      </c>
      <c r="Y35" s="66"/>
    </row>
    <row r="36" spans="2:25" s="58" customFormat="1" ht="14.25">
      <c r="B36" s="59"/>
      <c r="C36" s="60"/>
      <c r="D36" s="61"/>
      <c r="E36" s="62"/>
      <c r="F36" s="63"/>
      <c r="G36" s="60"/>
      <c r="H36" s="61"/>
      <c r="I36" s="62"/>
      <c r="J36" s="63"/>
      <c r="K36" s="67"/>
      <c r="L36" s="68"/>
      <c r="M36" s="69"/>
      <c r="O36" s="67"/>
      <c r="P36" s="68"/>
      <c r="Q36" s="69"/>
      <c r="S36" s="67"/>
      <c r="T36" s="68"/>
      <c r="U36" s="69"/>
      <c r="W36" s="67"/>
      <c r="X36" s="68"/>
      <c r="Y36" s="69"/>
    </row>
    <row r="37" spans="2:25" s="58" customFormat="1" ht="14.25">
      <c r="B37" s="59"/>
      <c r="C37" s="64"/>
      <c r="D37" s="65" t="s">
        <v>49</v>
      </c>
      <c r="E37" s="66"/>
      <c r="F37" s="63"/>
      <c r="G37" s="64"/>
      <c r="H37" s="84" t="s">
        <v>50</v>
      </c>
      <c r="I37" s="66"/>
      <c r="J37" s="63"/>
      <c r="K37" s="73"/>
      <c r="L37" s="74"/>
      <c r="M37" s="73"/>
      <c r="O37" s="73"/>
      <c r="P37" s="74"/>
      <c r="Q37" s="73"/>
      <c r="S37" s="59"/>
      <c r="W37" s="59"/>
    </row>
    <row r="38" spans="2:25" s="58" customFormat="1" ht="14.25">
      <c r="B38" s="59"/>
      <c r="C38" s="67"/>
      <c r="D38" s="68"/>
      <c r="E38" s="69"/>
      <c r="F38" s="63"/>
      <c r="G38" s="67"/>
      <c r="H38" s="68"/>
      <c r="I38" s="69"/>
      <c r="J38" s="63"/>
      <c r="K38" s="73"/>
      <c r="L38" s="73"/>
      <c r="M38" s="73"/>
      <c r="O38" s="73"/>
      <c r="P38" s="73"/>
      <c r="Q38" s="73"/>
      <c r="S38" s="59"/>
      <c r="W38" s="59"/>
    </row>
    <row r="39" spans="2:25" s="58" customFormat="1" ht="14.25">
      <c r="B39" s="309"/>
      <c r="C39" s="63"/>
      <c r="D39" s="63"/>
      <c r="E39" s="63"/>
      <c r="F39" s="63"/>
      <c r="J39" s="63"/>
      <c r="S39" s="59"/>
      <c r="W39" s="59"/>
    </row>
    <row r="40" spans="2:25" s="58" customFormat="1" ht="14.25">
      <c r="B40" s="59"/>
      <c r="C40" s="60"/>
      <c r="D40" s="61"/>
      <c r="E40" s="62"/>
      <c r="F40" s="63"/>
      <c r="G40" s="60"/>
      <c r="H40" s="61"/>
      <c r="I40" s="62"/>
      <c r="J40" s="63"/>
      <c r="K40" s="73"/>
      <c r="L40" s="73"/>
      <c r="M40" s="73"/>
      <c r="O40" s="73"/>
      <c r="P40" s="73"/>
      <c r="Q40" s="73"/>
    </row>
    <row r="41" spans="2:25" s="58" customFormat="1" ht="14.25">
      <c r="B41" s="59"/>
      <c r="C41" s="64"/>
      <c r="D41" s="65" t="s">
        <v>51</v>
      </c>
      <c r="E41" s="66"/>
      <c r="F41" s="63"/>
      <c r="G41" s="64"/>
      <c r="H41" s="84" t="s">
        <v>52</v>
      </c>
      <c r="I41" s="66"/>
      <c r="J41" s="63"/>
      <c r="K41" s="73"/>
      <c r="L41" s="74"/>
      <c r="M41" s="73"/>
      <c r="O41" s="73"/>
      <c r="P41" s="74"/>
      <c r="Q41" s="73"/>
    </row>
    <row r="42" spans="2:25" s="58" customFormat="1" ht="14.25">
      <c r="B42" s="59"/>
      <c r="C42" s="67"/>
      <c r="D42" s="68"/>
      <c r="E42" s="69"/>
      <c r="F42" s="63"/>
      <c r="G42" s="67"/>
      <c r="H42" s="68"/>
      <c r="I42" s="69"/>
      <c r="J42" s="63"/>
      <c r="K42" s="73"/>
      <c r="L42" s="73"/>
      <c r="M42" s="73"/>
      <c r="O42" s="73"/>
      <c r="P42" s="73"/>
      <c r="Q42" s="73"/>
    </row>
    <row r="43" spans="2:25" s="58" customFormat="1" ht="14.25">
      <c r="B43" s="59"/>
      <c r="C43" s="63"/>
      <c r="D43" s="63"/>
      <c r="E43" s="63"/>
      <c r="F43" s="63"/>
      <c r="G43" s="63"/>
      <c r="H43" s="63"/>
      <c r="I43" s="63"/>
      <c r="J43" s="63"/>
      <c r="K43" s="73"/>
      <c r="L43" s="73"/>
      <c r="M43" s="73"/>
      <c r="O43" s="73"/>
      <c r="P43" s="73"/>
      <c r="Q43" s="73"/>
    </row>
    <row r="44" spans="2:25" s="58" customFormat="1" ht="14.25">
      <c r="B44" s="59"/>
      <c r="C44" s="60"/>
      <c r="D44" s="61"/>
      <c r="E44" s="62"/>
      <c r="F44" s="63"/>
      <c r="G44" s="60"/>
      <c r="H44" s="61"/>
      <c r="I44" s="62"/>
      <c r="J44" s="63"/>
      <c r="K44" s="73"/>
      <c r="L44" s="73"/>
      <c r="M44" s="73"/>
      <c r="O44" s="73"/>
      <c r="P44" s="73"/>
      <c r="Q44" s="73"/>
    </row>
    <row r="45" spans="2:25" s="58" customFormat="1" ht="14.25">
      <c r="B45" s="59"/>
      <c r="C45" s="64"/>
      <c r="D45" s="65" t="s">
        <v>53</v>
      </c>
      <c r="E45" s="66"/>
      <c r="F45" s="63"/>
      <c r="G45" s="64"/>
      <c r="H45" s="84" t="s">
        <v>54</v>
      </c>
      <c r="I45" s="66"/>
      <c r="J45" s="63"/>
      <c r="K45" s="73"/>
      <c r="L45" s="73"/>
      <c r="M45" s="73"/>
      <c r="O45" s="73"/>
      <c r="P45" s="73"/>
      <c r="Q45" s="73"/>
    </row>
    <row r="46" spans="2:25" s="58" customFormat="1" ht="14.25">
      <c r="B46" s="59"/>
      <c r="C46" s="67"/>
      <c r="D46" s="68"/>
      <c r="E46" s="69"/>
      <c r="F46" s="63"/>
      <c r="G46" s="67"/>
      <c r="H46" s="68"/>
      <c r="I46" s="69"/>
      <c r="J46" s="63"/>
      <c r="K46" s="73"/>
      <c r="L46" s="73"/>
      <c r="M46" s="73"/>
      <c r="O46" s="73"/>
      <c r="P46" s="73"/>
      <c r="Q46" s="73"/>
    </row>
    <row r="47" spans="2:25" s="58" customFormat="1" ht="14.25">
      <c r="B47" s="59"/>
      <c r="F47" s="63"/>
      <c r="J47" s="63"/>
      <c r="S47" s="59"/>
      <c r="W47" s="59"/>
    </row>
    <row r="48" spans="2:25" s="58" customFormat="1" ht="14.25">
      <c r="B48" s="59"/>
      <c r="C48" s="60"/>
      <c r="D48" s="61"/>
      <c r="E48" s="62"/>
      <c r="G48" s="60"/>
      <c r="H48" s="61"/>
      <c r="I48" s="62"/>
      <c r="K48" s="73"/>
      <c r="L48" s="73"/>
      <c r="M48" s="73"/>
      <c r="O48" s="73"/>
    </row>
    <row r="49" spans="2:25" s="58" customFormat="1" ht="14.25">
      <c r="B49" s="59"/>
      <c r="C49" s="64"/>
      <c r="D49" s="65" t="s">
        <v>55</v>
      </c>
      <c r="E49" s="66"/>
      <c r="G49" s="64"/>
      <c r="H49" s="84" t="s">
        <v>56</v>
      </c>
      <c r="I49" s="66"/>
      <c r="K49" s="73"/>
      <c r="L49" s="74"/>
      <c r="M49" s="73"/>
      <c r="O49" s="73"/>
    </row>
    <row r="50" spans="2:25" s="58" customFormat="1" ht="14.25">
      <c r="B50" s="59"/>
      <c r="C50" s="67"/>
      <c r="D50" s="68"/>
      <c r="E50" s="69"/>
      <c r="G50" s="67"/>
      <c r="H50" s="68"/>
      <c r="I50" s="69"/>
      <c r="K50" s="73"/>
      <c r="L50" s="73"/>
      <c r="M50" s="73"/>
      <c r="N50" s="73"/>
      <c r="O50" s="73"/>
    </row>
    <row r="51" spans="2:25" s="58" customFormat="1" ht="14.25">
      <c r="C51" s="63"/>
      <c r="D51" s="63"/>
      <c r="E51" s="63"/>
      <c r="F51" s="59"/>
      <c r="J51" s="59"/>
      <c r="N51" s="74"/>
      <c r="O51" s="73"/>
      <c r="Y51" s="73"/>
    </row>
    <row r="52" spans="2:25" s="58" customFormat="1" ht="14.25">
      <c r="B52" s="59"/>
      <c r="C52" s="60"/>
      <c r="D52" s="61"/>
      <c r="E52" s="62"/>
      <c r="G52" s="60"/>
      <c r="H52" s="61"/>
      <c r="I52" s="62"/>
      <c r="N52" s="73"/>
      <c r="O52" s="73"/>
      <c r="Y52" s="73"/>
    </row>
    <row r="53" spans="2:25" s="58" customFormat="1" ht="14.25">
      <c r="B53" s="59"/>
      <c r="C53" s="64"/>
      <c r="D53" s="187" t="s">
        <v>57</v>
      </c>
      <c r="E53" s="66"/>
      <c r="G53" s="64"/>
      <c r="H53" s="84" t="s">
        <v>58</v>
      </c>
      <c r="I53" s="66"/>
      <c r="S53" s="73"/>
      <c r="U53" s="73"/>
      <c r="V53" s="73"/>
      <c r="Y53" s="73"/>
    </row>
    <row r="54" spans="2:25" s="58" customFormat="1" ht="14.25">
      <c r="B54" s="59"/>
      <c r="C54" s="67"/>
      <c r="D54" s="68"/>
      <c r="E54" s="69"/>
      <c r="G54" s="67"/>
      <c r="H54" s="68"/>
      <c r="I54" s="69"/>
      <c r="S54" s="73"/>
      <c r="U54" s="73"/>
      <c r="V54" s="73"/>
      <c r="W54" s="73"/>
      <c r="X54" s="74"/>
      <c r="Y54" s="73"/>
    </row>
    <row r="55" spans="2:25" s="58" customFormat="1" ht="14.25">
      <c r="B55" s="59"/>
      <c r="E55" s="59"/>
      <c r="S55" s="73"/>
      <c r="U55" s="73"/>
      <c r="V55" s="73"/>
      <c r="W55" s="73"/>
      <c r="X55" s="73"/>
      <c r="Y55" s="73"/>
    </row>
    <row r="56" spans="2:25" s="58" customFormat="1" ht="14.25">
      <c r="B56" s="59"/>
      <c r="C56" s="60"/>
      <c r="D56" s="61"/>
      <c r="E56" s="62"/>
      <c r="G56" s="60"/>
      <c r="H56" s="61"/>
      <c r="I56" s="62"/>
      <c r="S56" s="73"/>
      <c r="T56" s="73"/>
      <c r="U56" s="73"/>
      <c r="W56" s="73"/>
      <c r="X56" s="73"/>
      <c r="Y56" s="73"/>
    </row>
    <row r="57" spans="2:25" s="58" customFormat="1" ht="14.25">
      <c r="B57" s="59"/>
      <c r="C57" s="64"/>
      <c r="D57" s="187" t="s">
        <v>59</v>
      </c>
      <c r="E57" s="66"/>
      <c r="G57" s="64"/>
      <c r="H57" s="84" t="s">
        <v>60</v>
      </c>
      <c r="I57" s="66"/>
      <c r="Q57" s="73"/>
      <c r="R57" s="73"/>
      <c r="S57" s="73"/>
      <c r="T57" s="73"/>
      <c r="U57" s="73"/>
      <c r="W57" s="73"/>
      <c r="X57" s="73"/>
      <c r="Y57" s="73"/>
    </row>
    <row r="58" spans="2:25" s="58" customFormat="1" ht="14.25">
      <c r="B58" s="59"/>
      <c r="C58" s="67"/>
      <c r="D58" s="68"/>
      <c r="E58" s="69"/>
      <c r="G58" s="67"/>
      <c r="H58" s="68"/>
      <c r="I58" s="69"/>
      <c r="Q58" s="73"/>
      <c r="R58" s="73"/>
      <c r="S58" s="73"/>
      <c r="T58" s="73"/>
      <c r="U58" s="73"/>
      <c r="W58" s="73"/>
      <c r="X58" s="73"/>
      <c r="Y58" s="73"/>
    </row>
    <row r="59" spans="2:25" s="58" customFormat="1" ht="14.25">
      <c r="B59" s="59"/>
      <c r="H59" s="74"/>
      <c r="S59" s="73"/>
      <c r="T59" s="73"/>
      <c r="U59" s="73"/>
      <c r="W59" s="73"/>
      <c r="X59" s="73"/>
      <c r="Y59" s="73"/>
    </row>
    <row r="60" spans="2:25" s="58" customFormat="1" ht="14.25">
      <c r="B60" s="59"/>
      <c r="C60" s="60"/>
      <c r="D60" s="61"/>
      <c r="E60" s="62"/>
      <c r="S60" s="73"/>
      <c r="T60" s="73"/>
      <c r="U60" s="73"/>
      <c r="W60" s="73"/>
      <c r="X60" s="73"/>
      <c r="Y60" s="73"/>
    </row>
    <row r="61" spans="2:25" s="58" customFormat="1" ht="14.25">
      <c r="B61" s="59"/>
      <c r="C61" s="64"/>
      <c r="D61" s="187" t="s">
        <v>61</v>
      </c>
      <c r="E61" s="66"/>
      <c r="S61" s="73"/>
      <c r="T61" s="73"/>
      <c r="U61" s="73"/>
      <c r="W61" s="73"/>
      <c r="X61" s="73"/>
      <c r="Y61" s="73"/>
    </row>
    <row r="62" spans="2:25" s="58" customFormat="1" ht="14.25">
      <c r="B62" s="59"/>
      <c r="C62" s="67"/>
      <c r="D62" s="68"/>
      <c r="E62" s="69"/>
      <c r="S62" s="73"/>
      <c r="T62" s="73"/>
      <c r="U62" s="73"/>
      <c r="W62" s="73"/>
      <c r="X62" s="73"/>
      <c r="Y62" s="73"/>
    </row>
    <row r="63" spans="2:25" s="58" customFormat="1" ht="14.25">
      <c r="B63" s="59"/>
      <c r="S63" s="73"/>
      <c r="T63" s="73"/>
      <c r="U63" s="73"/>
      <c r="W63" s="73"/>
      <c r="X63" s="73"/>
      <c r="Y63" s="73"/>
    </row>
    <row r="64" spans="2:25" s="58" customFormat="1" ht="14.25">
      <c r="B64" s="59"/>
      <c r="C64" s="60"/>
      <c r="D64" s="61"/>
      <c r="E64" s="62"/>
      <c r="S64" s="73"/>
      <c r="T64" s="73"/>
      <c r="U64" s="73"/>
      <c r="W64" s="73"/>
      <c r="X64" s="73"/>
      <c r="Y64" s="73"/>
    </row>
    <row r="65" spans="2:25" s="58" customFormat="1" ht="14.25">
      <c r="B65" s="59"/>
      <c r="C65" s="64"/>
      <c r="D65" s="187" t="s">
        <v>62</v>
      </c>
      <c r="E65" s="66"/>
      <c r="S65" s="73"/>
      <c r="T65" s="73"/>
      <c r="U65" s="73"/>
      <c r="W65" s="73"/>
      <c r="X65" s="73"/>
      <c r="Y65" s="73"/>
    </row>
    <row r="66" spans="2:25" s="58" customFormat="1" ht="14.25">
      <c r="B66" s="59"/>
      <c r="C66" s="67"/>
      <c r="D66" s="68"/>
      <c r="E66" s="69"/>
      <c r="S66" s="73"/>
      <c r="T66" s="73"/>
      <c r="U66" s="73"/>
      <c r="W66" s="73"/>
      <c r="X66" s="73"/>
      <c r="Y66" s="73"/>
    </row>
    <row r="67" spans="2:25" s="58" customFormat="1" ht="14.25">
      <c r="B67" s="59"/>
      <c r="S67" s="73"/>
      <c r="T67" s="73"/>
      <c r="U67" s="73"/>
      <c r="W67" s="73"/>
      <c r="X67" s="73"/>
      <c r="Y67" s="73"/>
    </row>
    <row r="68" spans="2:25" s="58" customFormat="1" ht="14.25">
      <c r="B68" s="59"/>
      <c r="C68" s="60"/>
      <c r="D68" s="61"/>
      <c r="E68" s="62"/>
      <c r="S68" s="73"/>
      <c r="T68" s="73"/>
      <c r="U68" s="73"/>
      <c r="W68" s="73"/>
      <c r="X68" s="73"/>
      <c r="Y68" s="73"/>
    </row>
    <row r="69" spans="2:25" s="58" customFormat="1" ht="14.25">
      <c r="B69" s="59"/>
      <c r="C69" s="64"/>
      <c r="D69" s="187" t="s">
        <v>63</v>
      </c>
      <c r="E69" s="66"/>
      <c r="S69" s="73"/>
      <c r="T69" s="73"/>
      <c r="U69" s="73"/>
      <c r="W69" s="73"/>
      <c r="X69" s="73"/>
      <c r="Y69" s="73"/>
    </row>
    <row r="70" spans="2:25" s="58" customFormat="1" ht="14.25">
      <c r="B70" s="59"/>
      <c r="C70" s="67"/>
      <c r="D70" s="68"/>
      <c r="E70" s="69"/>
      <c r="S70" s="73"/>
      <c r="T70" s="73"/>
      <c r="U70" s="73"/>
      <c r="W70" s="73"/>
      <c r="X70" s="73"/>
      <c r="Y70" s="73"/>
    </row>
    <row r="71" spans="2:25" s="58" customFormat="1" ht="14.25">
      <c r="B71" s="59"/>
      <c r="C71" s="63"/>
      <c r="D71" s="63"/>
      <c r="E71" s="63"/>
      <c r="S71" s="73"/>
      <c r="T71" s="73"/>
      <c r="U71" s="73"/>
      <c r="W71" s="73"/>
      <c r="X71" s="73"/>
      <c r="Y71" s="73"/>
    </row>
    <row r="72" spans="2:25" s="58" customFormat="1" ht="14.25">
      <c r="B72" s="59"/>
      <c r="C72" s="63"/>
      <c r="D72" s="63"/>
      <c r="E72" s="63"/>
      <c r="S72" s="73"/>
      <c r="T72" s="73"/>
      <c r="U72" s="73"/>
      <c r="W72" s="73"/>
      <c r="X72" s="73"/>
      <c r="Y72" s="73"/>
    </row>
    <row r="73" spans="2:25" s="58" customFormat="1" ht="14.25">
      <c r="B73" s="59"/>
      <c r="C73" s="63"/>
      <c r="D73" s="63"/>
      <c r="E73" s="63"/>
      <c r="S73" s="73"/>
      <c r="T73" s="73"/>
      <c r="U73" s="73"/>
      <c r="W73" s="73"/>
      <c r="X73" s="73"/>
      <c r="Y73" s="73"/>
    </row>
    <row r="74" spans="2:25" s="58" customFormat="1" ht="14.25">
      <c r="B74" s="59"/>
      <c r="C74" s="63"/>
      <c r="D74" s="63"/>
      <c r="E74" s="63"/>
      <c r="S74" s="73"/>
      <c r="T74" s="73"/>
      <c r="U74" s="73"/>
      <c r="W74" s="73"/>
      <c r="X74" s="73"/>
      <c r="Y74" s="73"/>
    </row>
    <row r="75" spans="2:25" s="58" customFormat="1" ht="14.25">
      <c r="B75" s="59"/>
      <c r="C75" s="63"/>
      <c r="D75" s="63"/>
      <c r="E75" s="63"/>
      <c r="S75" s="73"/>
      <c r="T75" s="73"/>
      <c r="U75" s="73"/>
      <c r="W75" s="73"/>
      <c r="X75" s="73"/>
      <c r="Y75" s="73"/>
    </row>
    <row r="76" spans="2:25" s="58" customFormat="1" ht="14.25">
      <c r="B76" s="59"/>
      <c r="C76" s="63"/>
      <c r="D76" s="63"/>
      <c r="E76" s="63"/>
      <c r="S76" s="73"/>
      <c r="T76" s="73"/>
      <c r="U76" s="73"/>
      <c r="W76" s="73"/>
      <c r="X76" s="73"/>
      <c r="Y76" s="73"/>
    </row>
    <row r="77" spans="2:25" s="58" customFormat="1" ht="14.25">
      <c r="B77" s="59"/>
      <c r="C77" s="63"/>
      <c r="D77" s="63"/>
      <c r="E77" s="63"/>
      <c r="S77" s="73"/>
      <c r="T77" s="73"/>
      <c r="U77" s="73"/>
      <c r="W77" s="73"/>
      <c r="X77" s="73"/>
      <c r="Y77" s="73"/>
    </row>
    <row r="78" spans="2:25" s="58" customFormat="1" ht="14.25">
      <c r="B78" s="59"/>
      <c r="C78" s="59"/>
      <c r="D78" s="59"/>
      <c r="E78" s="59"/>
      <c r="F78" s="59"/>
      <c r="G78" s="59"/>
      <c r="S78" s="73"/>
      <c r="T78" s="73"/>
      <c r="U78" s="73"/>
      <c r="W78" s="73"/>
      <c r="X78" s="73"/>
      <c r="Y78" s="73"/>
    </row>
    <row r="79" spans="2:25" s="58" customFormat="1" ht="14.25">
      <c r="B79" s="59"/>
      <c r="S79" s="73"/>
      <c r="T79" s="73"/>
      <c r="U79" s="73"/>
      <c r="W79" s="73"/>
      <c r="X79" s="73"/>
      <c r="Y79" s="73"/>
    </row>
    <row r="80" spans="2:25" s="8" customFormat="1">
      <c r="B80" s="8" t="s">
        <v>64</v>
      </c>
    </row>
    <row r="82" spans="2:10">
      <c r="B82" s="16" t="s">
        <v>65</v>
      </c>
      <c r="D82" s="16" t="s">
        <v>66</v>
      </c>
      <c r="F82" s="5"/>
      <c r="J82" s="5"/>
    </row>
    <row r="83" spans="2:10">
      <c r="F83" s="5"/>
      <c r="J83" s="5"/>
    </row>
    <row r="84" spans="2:10">
      <c r="B84" s="155">
        <v>123</v>
      </c>
      <c r="D84" s="3" t="s">
        <v>67</v>
      </c>
    </row>
    <row r="85" spans="2:10">
      <c r="B85" s="156">
        <f>B84</f>
        <v>123</v>
      </c>
      <c r="D85" s="3" t="s">
        <v>68</v>
      </c>
    </row>
    <row r="86" spans="2:10">
      <c r="B86" s="157">
        <f>B85+B84</f>
        <v>246</v>
      </c>
      <c r="D86" s="3" t="s">
        <v>69</v>
      </c>
    </row>
    <row r="87" spans="2:10">
      <c r="B87" s="18">
        <f>B85+B86</f>
        <v>369</v>
      </c>
      <c r="D87" s="3" t="s">
        <v>70</v>
      </c>
    </row>
    <row r="88" spans="2:10">
      <c r="B88" s="188">
        <v>123</v>
      </c>
      <c r="D88" s="3" t="s">
        <v>71</v>
      </c>
    </row>
    <row r="89" spans="2:10">
      <c r="B89" s="158"/>
      <c r="D89" s="3" t="s">
        <v>72</v>
      </c>
      <c r="E89" s="5"/>
      <c r="F89" s="5"/>
      <c r="J89" s="5"/>
    </row>
    <row r="90" spans="2:10">
      <c r="E90" s="5"/>
    </row>
    <row r="91" spans="2:10">
      <c r="B91" s="17" t="s">
        <v>73</v>
      </c>
      <c r="E91" s="5"/>
    </row>
    <row r="92" spans="2:10">
      <c r="B92" s="20">
        <f>B87+16</f>
        <v>385</v>
      </c>
      <c r="D92" s="3" t="s">
        <v>74</v>
      </c>
    </row>
    <row r="93" spans="2:10">
      <c r="B93" s="230">
        <v>385</v>
      </c>
      <c r="D93" t="s">
        <v>75</v>
      </c>
    </row>
    <row r="94" spans="2:10">
      <c r="B94" s="159"/>
      <c r="C94" s="159"/>
    </row>
    <row r="95" spans="2:10">
      <c r="B95" s="17" t="s">
        <v>76</v>
      </c>
      <c r="C95" s="160"/>
    </row>
    <row r="96" spans="2:10">
      <c r="B96" s="161">
        <v>123</v>
      </c>
      <c r="C96" s="160"/>
      <c r="D96" s="3" t="s">
        <v>77</v>
      </c>
    </row>
    <row r="97" spans="2:7">
      <c r="B97" s="21">
        <v>124</v>
      </c>
      <c r="C97" s="160"/>
      <c r="D97" s="3" t="s">
        <v>78</v>
      </c>
    </row>
    <row r="98" spans="2:7">
      <c r="B98" s="22">
        <f>B96-B97</f>
        <v>-1</v>
      </c>
      <c r="C98" s="162"/>
      <c r="D98" s="3" t="s">
        <v>79</v>
      </c>
      <c r="G98" s="5"/>
    </row>
    <row r="101" spans="2:7">
      <c r="B101" s="16" t="s">
        <v>80</v>
      </c>
    </row>
    <row r="102" spans="2:7">
      <c r="B102" s="2"/>
    </row>
    <row r="103" spans="2:7">
      <c r="B103" s="17" t="s">
        <v>81</v>
      </c>
    </row>
    <row r="104" spans="2:7">
      <c r="B104" s="18" t="s">
        <v>82</v>
      </c>
      <c r="D104" s="3" t="s">
        <v>83</v>
      </c>
    </row>
    <row r="105" spans="2:7">
      <c r="B105" s="155" t="s">
        <v>84</v>
      </c>
      <c r="D105" s="3" t="s">
        <v>85</v>
      </c>
    </row>
    <row r="106" spans="2:7">
      <c r="B106" s="189" t="s">
        <v>86</v>
      </c>
      <c r="D106" s="3" t="s">
        <v>87</v>
      </c>
    </row>
    <row r="107" spans="2:7">
      <c r="B107" s="157" t="s">
        <v>88</v>
      </c>
      <c r="D107" s="3" t="s">
        <v>89</v>
      </c>
    </row>
    <row r="109" spans="2:7">
      <c r="B109" s="17" t="s">
        <v>90</v>
      </c>
    </row>
    <row r="110" spans="2:7">
      <c r="B110" s="14" t="s">
        <v>91</v>
      </c>
      <c r="D110" s="3" t="s">
        <v>92</v>
      </c>
    </row>
    <row r="111" spans="2:7">
      <c r="B111" s="79" t="s">
        <v>93</v>
      </c>
      <c r="D111" s="3" t="s">
        <v>94</v>
      </c>
    </row>
    <row r="113" spans="2:2">
      <c r="B113" s="163"/>
    </row>
  </sheetData>
  <pageMargins left="0.75" right="0.75" top="1" bottom="1" header="0.5" footer="0.5"/>
  <pageSetup paperSize="9" scale="29" orientation="portrait" r:id="rId1"/>
  <headerFooter alignWithMargins="0">
    <oddFooter>&amp;C_x000D_&amp;1#&amp;"Calibri"&amp;10&amp;K000000 Vertrouwelijk/Confidential</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26E5-7712-4F84-9367-743E2AD4D825}">
  <sheetPr>
    <tabColor rgb="FFCCCCFF"/>
  </sheetPr>
  <dimension ref="B1:S31"/>
  <sheetViews>
    <sheetView showGridLines="0" zoomScale="85" zoomScaleNormal="85" workbookViewId="0"/>
  </sheetViews>
  <sheetFormatPr defaultRowHeight="12.75"/>
  <cols>
    <col min="1" max="1" width="2.5703125" customWidth="1"/>
    <col min="2" max="2" width="71.85546875" bestFit="1" customWidth="1"/>
    <col min="3" max="3" width="35" bestFit="1" customWidth="1"/>
    <col min="4" max="4" width="7.28515625" bestFit="1" customWidth="1"/>
    <col min="5" max="6" width="12.28515625" bestFit="1" customWidth="1"/>
    <col min="7" max="7" width="69" bestFit="1" customWidth="1"/>
    <col min="8" max="8" width="9.28515625" bestFit="1" customWidth="1"/>
    <col min="9" max="9" width="10.85546875" bestFit="1" customWidth="1"/>
    <col min="10" max="10" width="19.5703125" bestFit="1" customWidth="1"/>
    <col min="11" max="11" width="31" bestFit="1" customWidth="1"/>
    <col min="12" max="12" width="8.5703125" bestFit="1" customWidth="1"/>
    <col min="13" max="13" width="39" bestFit="1" customWidth="1"/>
    <col min="14" max="14" width="42" bestFit="1" customWidth="1"/>
    <col min="15" max="15" width="28.28515625" bestFit="1" customWidth="1"/>
    <col min="16" max="16" width="80.5703125" bestFit="1" customWidth="1"/>
    <col min="17" max="17" width="66.5703125" bestFit="1" customWidth="1"/>
    <col min="18" max="18" width="37.85546875" bestFit="1" customWidth="1"/>
    <col min="19" max="19" width="8.28515625" bestFit="1" customWidth="1"/>
    <col min="20" max="20" width="13.28515625" bestFit="1" customWidth="1"/>
  </cols>
  <sheetData>
    <row r="1" spans="2:19" s="3" customFormat="1"/>
    <row r="2" spans="2:19" s="12" customFormat="1" ht="18">
      <c r="B2" s="12" t="s">
        <v>881</v>
      </c>
    </row>
    <row r="3" spans="2:19" s="3" customFormat="1"/>
    <row r="4" spans="2:19" s="3" customFormat="1">
      <c r="B4" s="2" t="s">
        <v>202</v>
      </c>
    </row>
    <row r="5" spans="2:19" s="3" customFormat="1">
      <c r="B5" s="3" t="s">
        <v>882</v>
      </c>
    </row>
    <row r="6" spans="2:19" s="3" customFormat="1"/>
    <row r="7" spans="2:19" s="3" customFormat="1">
      <c r="B7" s="16" t="s">
        <v>839</v>
      </c>
      <c r="C7" s="181"/>
      <c r="D7" s="2"/>
    </row>
    <row r="8" spans="2:19" s="3" customFormat="1" ht="16.5" customHeight="1">
      <c r="B8" s="366" t="s">
        <v>883</v>
      </c>
      <c r="C8" s="366"/>
      <c r="D8" s="366"/>
      <c r="E8" s="366"/>
      <c r="F8" s="366"/>
      <c r="G8" s="366"/>
      <c r="H8" s="366"/>
      <c r="I8" s="366"/>
      <c r="J8" s="366"/>
      <c r="K8" s="366"/>
      <c r="L8" s="366"/>
      <c r="M8" s="366"/>
    </row>
    <row r="9" spans="2:19" s="3" customFormat="1">
      <c r="B9" s="4"/>
      <c r="C9" s="181"/>
    </row>
    <row r="10" spans="2:19" s="3" customFormat="1">
      <c r="B10" s="176" t="s">
        <v>841</v>
      </c>
      <c r="C10" s="181"/>
    </row>
    <row r="11" spans="2:19" s="3" customFormat="1">
      <c r="B11" s="368">
        <v>45050</v>
      </c>
      <c r="C11" s="368"/>
      <c r="D11" s="368"/>
      <c r="E11" s="119"/>
    </row>
    <row r="13" spans="2:19">
      <c r="B13" s="176" t="s">
        <v>842</v>
      </c>
      <c r="C13" s="3"/>
      <c r="D13" s="3"/>
      <c r="E13" s="3"/>
      <c r="F13" s="3"/>
      <c r="G13" s="3"/>
      <c r="H13" s="3"/>
      <c r="I13" s="3"/>
      <c r="J13" s="3"/>
      <c r="K13" s="3"/>
      <c r="L13" s="3"/>
      <c r="M13" s="3"/>
      <c r="N13" s="3"/>
      <c r="O13" s="3"/>
      <c r="P13" s="3"/>
      <c r="Q13" s="3"/>
      <c r="R13" s="3"/>
      <c r="S13" s="3"/>
    </row>
    <row r="14" spans="2:19" ht="12.75" customHeight="1">
      <c r="B14" s="368" t="s">
        <v>884</v>
      </c>
      <c r="C14" s="368"/>
      <c r="D14" s="368"/>
      <c r="E14" s="368"/>
      <c r="F14" s="368"/>
      <c r="G14" s="1"/>
      <c r="H14" s="1"/>
      <c r="I14" s="1"/>
      <c r="J14" s="1"/>
      <c r="K14" s="1"/>
      <c r="L14" s="1"/>
      <c r="M14" s="1"/>
      <c r="N14" s="1"/>
      <c r="O14" s="1"/>
      <c r="P14" s="1"/>
      <c r="Q14" s="1"/>
      <c r="R14" s="1"/>
      <c r="S14" s="1"/>
    </row>
    <row r="16" spans="2:19">
      <c r="B16" s="177" t="s">
        <v>844</v>
      </c>
    </row>
    <row r="17" spans="2:10">
      <c r="B17" s="126">
        <f>SUBTOTAL(103,B20:B460)</f>
        <v>12</v>
      </c>
    </row>
    <row r="18" spans="2:10" ht="14.25" customHeight="1"/>
    <row r="19" spans="2:10" s="8" customFormat="1">
      <c r="B19" s="8" t="s">
        <v>873</v>
      </c>
      <c r="C19" s="8" t="s">
        <v>874</v>
      </c>
      <c r="D19" s="8" t="s">
        <v>168</v>
      </c>
      <c r="E19" s="8" t="s">
        <v>885</v>
      </c>
      <c r="F19" s="8" t="s">
        <v>886</v>
      </c>
      <c r="G19" s="8" t="s">
        <v>850</v>
      </c>
      <c r="H19" s="8" t="s">
        <v>860</v>
      </c>
    </row>
    <row r="20" spans="2:10">
      <c r="B20" s="324" t="s">
        <v>552</v>
      </c>
      <c r="C20" s="324" t="s">
        <v>887</v>
      </c>
      <c r="D20" s="324">
        <v>2022</v>
      </c>
      <c r="E20" s="326">
        <v>117613906.59917724</v>
      </c>
      <c r="F20" s="326">
        <v>255375350.92082277</v>
      </c>
      <c r="G20" s="324" t="s">
        <v>853</v>
      </c>
      <c r="H20" s="324">
        <v>2</v>
      </c>
    </row>
    <row r="21" spans="2:10">
      <c r="B21" s="324" t="s">
        <v>552</v>
      </c>
      <c r="C21" s="324" t="s">
        <v>888</v>
      </c>
      <c r="D21" s="324">
        <v>2022</v>
      </c>
      <c r="E21" s="326"/>
      <c r="F21" s="326">
        <v>4045629</v>
      </c>
      <c r="G21" s="324" t="s">
        <v>853</v>
      </c>
      <c r="H21" s="324">
        <v>2</v>
      </c>
    </row>
    <row r="22" spans="2:10">
      <c r="B22" s="324" t="s">
        <v>889</v>
      </c>
      <c r="C22" s="324" t="s">
        <v>890</v>
      </c>
      <c r="D22" s="324">
        <v>2022</v>
      </c>
      <c r="E22" s="326">
        <v>15909724.839999994</v>
      </c>
      <c r="F22" s="326">
        <v>194686.33000000002</v>
      </c>
      <c r="G22" s="324" t="s">
        <v>853</v>
      </c>
      <c r="H22" s="324">
        <v>2</v>
      </c>
    </row>
    <row r="23" spans="2:10">
      <c r="B23" s="324" t="s">
        <v>552</v>
      </c>
      <c r="C23" s="324" t="s">
        <v>887</v>
      </c>
      <c r="D23" s="324">
        <v>2023</v>
      </c>
      <c r="E23" s="326">
        <v>85777606.813960448</v>
      </c>
      <c r="F23" s="326">
        <v>235931593.58603954</v>
      </c>
      <c r="G23" s="324" t="s">
        <v>854</v>
      </c>
      <c r="H23" s="324">
        <v>1</v>
      </c>
    </row>
    <row r="24" spans="2:10">
      <c r="B24" s="324" t="s">
        <v>552</v>
      </c>
      <c r="C24" s="324" t="s">
        <v>888</v>
      </c>
      <c r="D24" s="324">
        <v>2023</v>
      </c>
      <c r="E24" s="326"/>
      <c r="F24" s="326">
        <v>4280846.4400000004</v>
      </c>
      <c r="G24" s="324" t="s">
        <v>854</v>
      </c>
      <c r="H24" s="324">
        <v>1</v>
      </c>
    </row>
    <row r="25" spans="2:10">
      <c r="B25" s="324" t="s">
        <v>889</v>
      </c>
      <c r="C25" s="324" t="s">
        <v>890</v>
      </c>
      <c r="D25" s="324">
        <v>2023</v>
      </c>
      <c r="E25" s="326">
        <v>17090064.669999968</v>
      </c>
      <c r="F25" s="326">
        <v>363492.70999999996</v>
      </c>
      <c r="G25" s="324" t="s">
        <v>854</v>
      </c>
      <c r="H25" s="324">
        <v>1</v>
      </c>
    </row>
    <row r="26" spans="2:10">
      <c r="B26" s="324" t="s">
        <v>552</v>
      </c>
      <c r="C26" s="324" t="s">
        <v>887</v>
      </c>
      <c r="D26" s="324">
        <v>2024</v>
      </c>
      <c r="E26" s="326">
        <v>57272557.30969505</v>
      </c>
      <c r="F26" s="326">
        <v>151724179.39030492</v>
      </c>
      <c r="G26" s="324" t="s">
        <v>855</v>
      </c>
      <c r="H26" s="324">
        <v>1</v>
      </c>
    </row>
    <row r="27" spans="2:10">
      <c r="B27" s="324" t="s">
        <v>552</v>
      </c>
      <c r="C27" s="324" t="s">
        <v>888</v>
      </c>
      <c r="D27" s="324">
        <v>2024</v>
      </c>
      <c r="E27" s="326"/>
      <c r="F27" s="326">
        <v>2788340.2199999997</v>
      </c>
      <c r="G27" s="324" t="s">
        <v>855</v>
      </c>
      <c r="H27" s="324">
        <v>1</v>
      </c>
    </row>
    <row r="28" spans="2:10">
      <c r="B28" s="324" t="s">
        <v>889</v>
      </c>
      <c r="C28" s="324" t="s">
        <v>890</v>
      </c>
      <c r="D28" s="324">
        <v>2024</v>
      </c>
      <c r="E28" s="326">
        <v>19166694.399999991</v>
      </c>
      <c r="F28" s="326">
        <v>88813.959999999992</v>
      </c>
      <c r="G28" s="324" t="s">
        <v>855</v>
      </c>
      <c r="H28" s="324">
        <v>1</v>
      </c>
    </row>
    <row r="29" spans="2:10">
      <c r="B29" s="347" t="s">
        <v>552</v>
      </c>
      <c r="C29" s="347" t="s">
        <v>887</v>
      </c>
      <c r="D29" s="347">
        <v>2025</v>
      </c>
      <c r="E29" s="281">
        <v>56906270</v>
      </c>
      <c r="F29" s="281">
        <v>131989333</v>
      </c>
      <c r="G29" s="281"/>
      <c r="H29" s="281"/>
      <c r="J29" s="342"/>
    </row>
    <row r="30" spans="2:10">
      <c r="B30" s="347" t="s">
        <v>552</v>
      </c>
      <c r="C30" s="347" t="s">
        <v>888</v>
      </c>
      <c r="D30" s="347">
        <v>2025</v>
      </c>
      <c r="E30" s="281" t="s">
        <v>891</v>
      </c>
      <c r="F30" s="281">
        <v>2735428</v>
      </c>
      <c r="G30" s="281"/>
      <c r="H30" s="281"/>
      <c r="J30" s="342"/>
    </row>
    <row r="31" spans="2:10">
      <c r="B31" s="347" t="s">
        <v>889</v>
      </c>
      <c r="C31" s="347" t="s">
        <v>890</v>
      </c>
      <c r="D31" s="347">
        <v>2025</v>
      </c>
      <c r="E31" s="281">
        <v>36720146.740000002</v>
      </c>
      <c r="F31" s="281">
        <v>362559.97</v>
      </c>
      <c r="G31" s="281"/>
      <c r="H31" s="281"/>
      <c r="J31" s="342"/>
    </row>
  </sheetData>
  <mergeCells count="3">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 defaultRowHeight="12.75"/>
  <cols>
    <col min="1" max="16384" width="9"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A2:CA106"/>
  <sheetViews>
    <sheetView showGridLines="0" zoomScale="85" zoomScaleNormal="85" workbookViewId="0">
      <pane xSplit="2" topLeftCell="C1" activePane="topRight" state="frozen"/>
      <selection pane="topRight" activeCell="D22" sqref="D22"/>
      <selection activeCell="A46" sqref="A46"/>
    </sheetView>
  </sheetViews>
  <sheetFormatPr defaultColWidth="13.5703125" defaultRowHeight="12.75"/>
  <cols>
    <col min="1" max="1" width="2.5703125" style="3" customWidth="1"/>
    <col min="2" max="2" width="63.28515625" style="3" customWidth="1"/>
    <col min="3" max="3" width="2.5703125" style="3" customWidth="1"/>
    <col min="4" max="4" width="54.5703125" style="3" customWidth="1"/>
    <col min="5" max="5" width="2.5703125" style="3" customWidth="1"/>
    <col min="6" max="6" width="15.5703125" style="3" customWidth="1"/>
    <col min="7" max="7" width="2.5703125" style="3" customWidth="1"/>
    <col min="8" max="8" width="15.5703125" style="3" customWidth="1"/>
    <col min="9" max="9" width="22" style="3" bestFit="1" customWidth="1"/>
    <col min="10" max="10" width="25.28515625" style="3" customWidth="1"/>
    <col min="11" max="11" width="27.28515625" style="3" bestFit="1" customWidth="1"/>
    <col min="12" max="12" width="24.85546875" style="3" customWidth="1"/>
    <col min="13" max="14" width="15.5703125" style="3" customWidth="1"/>
    <col min="15" max="15" width="12" style="3" customWidth="1"/>
    <col min="16" max="18" width="15.5703125" style="3" customWidth="1"/>
    <col min="19" max="19" width="18" style="3" bestFit="1" customWidth="1"/>
    <col min="20" max="20" width="13.5703125" style="3" customWidth="1"/>
    <col min="21" max="21" width="30.28515625" style="3" customWidth="1"/>
    <col min="22" max="22" width="40" style="3" bestFit="1" customWidth="1"/>
    <col min="23" max="23" width="2.5703125" style="3" customWidth="1"/>
    <col min="24" max="24" width="25" style="3" bestFit="1" customWidth="1"/>
    <col min="25" max="28" width="15.5703125" style="3" customWidth="1"/>
    <col min="29" max="29" width="2.5703125" style="3" customWidth="1"/>
    <col min="30" max="30" width="25" style="3" bestFit="1" customWidth="1"/>
    <col min="31" max="34" width="15.5703125" style="3" customWidth="1"/>
    <col min="35" max="35" width="2.5703125" style="3" customWidth="1"/>
    <col min="36" max="36" width="25" style="3" bestFit="1" customWidth="1"/>
    <col min="37" max="40" width="15.5703125" style="3" customWidth="1"/>
    <col min="41" max="41" width="2.5703125" style="3" customWidth="1"/>
    <col min="42" max="42" width="22.28515625" style="3" bestFit="1" customWidth="1"/>
    <col min="43" max="46" width="15.5703125" style="3" customWidth="1"/>
    <col min="47" max="47" width="15.85546875" style="3" customWidth="1"/>
    <col min="48" max="48" width="15" style="3" bestFit="1" customWidth="1"/>
    <col min="49" max="54" width="13.5703125" style="3" customWidth="1"/>
    <col min="55" max="55" width="2.5703125" style="3" customWidth="1"/>
    <col min="56" max="56" width="15.85546875" style="3" customWidth="1"/>
    <col min="57" max="62" width="13.5703125" style="3" customWidth="1"/>
    <col min="63" max="63" width="2.5703125" style="3" customWidth="1"/>
    <col min="64" max="64" width="14" style="3" bestFit="1" customWidth="1"/>
    <col min="65" max="68" width="13.5703125" style="3" customWidth="1"/>
    <col min="69" max="70" width="13.5703125" style="3"/>
    <col min="71" max="71" width="2.5703125" style="3" customWidth="1"/>
    <col min="72" max="72" width="12.28515625" style="3" bestFit="1" customWidth="1"/>
    <col min="73" max="79" width="13.5703125" style="3"/>
    <col min="80" max="80" width="15.5703125" style="3" customWidth="1"/>
    <col min="81" max="16384" width="13.5703125" style="3"/>
  </cols>
  <sheetData>
    <row r="2" spans="1:37" s="12" customFormat="1" ht="18">
      <c r="B2" s="12" t="s">
        <v>892</v>
      </c>
    </row>
    <row r="4" spans="1:37">
      <c r="B4" s="16" t="s">
        <v>893</v>
      </c>
    </row>
    <row r="5" spans="1:37" ht="27.75" customHeight="1">
      <c r="B5" s="359" t="s">
        <v>894</v>
      </c>
      <c r="C5" s="359"/>
      <c r="D5" s="359"/>
      <c r="F5" s="13"/>
    </row>
    <row r="6" spans="1:37">
      <c r="B6" s="1"/>
      <c r="C6" s="1"/>
      <c r="D6" s="1"/>
      <c r="F6" s="13"/>
    </row>
    <row r="7" spans="1:37">
      <c r="B7" s="367" t="s">
        <v>895</v>
      </c>
      <c r="C7" s="369"/>
      <c r="D7" s="369"/>
      <c r="F7" s="13"/>
    </row>
    <row r="8" spans="1:37" ht="27.75" customHeight="1">
      <c r="B8" s="359" t="s">
        <v>896</v>
      </c>
      <c r="C8" s="359"/>
      <c r="D8" s="359"/>
      <c r="F8" s="13"/>
    </row>
    <row r="10" spans="1:37" s="8" customFormat="1">
      <c r="B10" s="8" t="s">
        <v>162</v>
      </c>
      <c r="H10" s="53"/>
      <c r="I10" s="46"/>
      <c r="J10" s="53"/>
      <c r="K10" s="46"/>
      <c r="L10" s="53"/>
      <c r="M10" s="46"/>
      <c r="N10" s="46"/>
      <c r="O10" s="46"/>
      <c r="P10" s="46"/>
      <c r="Q10" s="46"/>
      <c r="R10" s="46"/>
      <c r="S10" s="46"/>
      <c r="T10" s="46"/>
    </row>
    <row r="12" spans="1:37" s="33" customFormat="1">
      <c r="A12" s="97"/>
      <c r="B12" s="33" t="s">
        <v>897</v>
      </c>
    </row>
    <row r="13" spans="1:37" s="34" customFormat="1">
      <c r="A13" s="98"/>
      <c r="B13" s="34" t="s">
        <v>162</v>
      </c>
      <c r="D13" s="34" t="s">
        <v>204</v>
      </c>
      <c r="F13" s="34" t="s">
        <v>205</v>
      </c>
      <c r="H13" s="99">
        <v>2020</v>
      </c>
      <c r="I13" s="100">
        <v>2021</v>
      </c>
      <c r="J13" s="100">
        <v>2022</v>
      </c>
      <c r="K13" s="100">
        <v>2023</v>
      </c>
      <c r="L13" s="100">
        <v>2024</v>
      </c>
      <c r="M13" s="100">
        <v>2025</v>
      </c>
      <c r="N13" s="100">
        <v>2026</v>
      </c>
      <c r="O13" s="100">
        <v>2027</v>
      </c>
    </row>
    <row r="14" spans="1:37" s="101" customFormat="1">
      <c r="H14" s="102"/>
      <c r="I14" s="103"/>
      <c r="J14" s="102"/>
      <c r="K14" s="103"/>
      <c r="L14" s="102"/>
      <c r="M14" s="103"/>
      <c r="N14" s="103"/>
      <c r="S14" s="103"/>
      <c r="T14" s="103"/>
      <c r="U14" s="103"/>
      <c r="V14" s="103"/>
      <c r="W14" s="103"/>
      <c r="X14" s="103"/>
      <c r="Y14" s="103"/>
      <c r="AC14" s="103"/>
      <c r="AD14" s="103"/>
      <c r="AE14" s="103"/>
      <c r="AI14" s="103"/>
      <c r="AJ14" s="103"/>
      <c r="AK14" s="103"/>
    </row>
    <row r="15" spans="1:37">
      <c r="B15" s="16" t="s">
        <v>211</v>
      </c>
    </row>
    <row r="16" spans="1:37">
      <c r="B16" s="147" t="s">
        <v>213</v>
      </c>
      <c r="D16" s="3" t="s">
        <v>214</v>
      </c>
      <c r="H16" s="139">
        <f>'2. Parameters'!K17</f>
        <v>3.3000000000000002E-2</v>
      </c>
      <c r="I16" s="139">
        <f>'2. Parameters'!L17</f>
        <v>0.03</v>
      </c>
      <c r="J16" s="10"/>
      <c r="K16" s="10"/>
      <c r="L16" s="10"/>
      <c r="M16" s="10"/>
      <c r="N16" s="10"/>
      <c r="O16" s="10"/>
    </row>
    <row r="17" spans="1:15">
      <c r="B17" s="147" t="s">
        <v>898</v>
      </c>
      <c r="D17" s="3" t="s">
        <v>214</v>
      </c>
      <c r="H17" s="10"/>
      <c r="I17" s="10"/>
      <c r="J17" s="139">
        <f>'2. Parameters'!M19</f>
        <v>3.4000000000000002E-2</v>
      </c>
      <c r="K17" s="139">
        <f>'2. Parameters'!N19</f>
        <v>3.3000000000000002E-2</v>
      </c>
      <c r="L17" s="139">
        <f>'2. Parameters'!O19</f>
        <v>3.7999999999999999E-2</v>
      </c>
      <c r="M17" s="139">
        <f>'2. Parameters'!P19</f>
        <v>3.7999999999999999E-2</v>
      </c>
      <c r="N17" s="139">
        <f>'2. Parameters'!Q19</f>
        <v>3.7999999999999999E-2</v>
      </c>
      <c r="O17" s="10"/>
    </row>
    <row r="19" spans="1:15">
      <c r="B19" s="16" t="s">
        <v>223</v>
      </c>
    </row>
    <row r="20" spans="1:15">
      <c r="B20" s="3" t="s">
        <v>223</v>
      </c>
      <c r="D20" s="3" t="s">
        <v>214</v>
      </c>
      <c r="F20" s="77">
        <f>'2. Parameters'!F27</f>
        <v>0.01</v>
      </c>
    </row>
    <row r="21" spans="1:15" s="89" customFormat="1">
      <c r="A21" s="3"/>
      <c r="F21" s="105"/>
    </row>
    <row r="22" spans="1:15" s="89" customFormat="1">
      <c r="A22" s="3"/>
      <c r="B22" s="106" t="s">
        <v>249</v>
      </c>
      <c r="F22" s="105"/>
    </row>
    <row r="23" spans="1:15">
      <c r="B23" s="3" t="s">
        <v>249</v>
      </c>
      <c r="F23" s="107">
        <f>'2. Parameters'!F83</f>
        <v>1.3</v>
      </c>
    </row>
    <row r="25" spans="1:15">
      <c r="B25" s="2" t="s">
        <v>250</v>
      </c>
    </row>
    <row r="26" spans="1:15">
      <c r="B26" s="3" t="s">
        <v>250</v>
      </c>
      <c r="D26" s="3" t="s">
        <v>214</v>
      </c>
      <c r="F26" s="78">
        <f>'2. Parameters'!F87</f>
        <v>0.1</v>
      </c>
    </row>
    <row r="28" spans="1:15">
      <c r="B28" s="16" t="s">
        <v>243</v>
      </c>
    </row>
    <row r="29" spans="1:15">
      <c r="B29" s="28" t="s">
        <v>231</v>
      </c>
      <c r="D29" s="3" t="s">
        <v>899</v>
      </c>
      <c r="H29" s="32">
        <f>'2. Parameters'!K69</f>
        <v>1</v>
      </c>
      <c r="I29" s="32">
        <f>'2. Parameters'!L69</f>
        <v>1.02</v>
      </c>
      <c r="J29" s="32">
        <f>'2. Parameters'!M69</f>
        <v>1.0404</v>
      </c>
      <c r="K29" s="32">
        <f>'2. Parameters'!N69</f>
        <v>1.0612079999999999</v>
      </c>
      <c r="L29" s="32">
        <f>'2. Parameters'!O69</f>
        <v>1.10365632</v>
      </c>
      <c r="M29" s="32">
        <f>'2. Parameters'!P69</f>
        <v>1.1809122624000001</v>
      </c>
      <c r="N29" s="32">
        <f>'2. Parameters'!Q69</f>
        <v>1.2399578755200003</v>
      </c>
      <c r="O29" s="32">
        <f>'2. Parameters'!R69</f>
        <v>1.2895561905408004</v>
      </c>
    </row>
    <row r="30" spans="1:15">
      <c r="B30" s="28" t="s">
        <v>232</v>
      </c>
      <c r="D30" s="3" t="s">
        <v>899</v>
      </c>
      <c r="H30" s="10"/>
      <c r="I30" s="32">
        <f>'2. Parameters'!L70</f>
        <v>1</v>
      </c>
      <c r="J30" s="32">
        <f>'2. Parameters'!M70</f>
        <v>1.02</v>
      </c>
      <c r="K30" s="32">
        <f>'2. Parameters'!N70</f>
        <v>1.0404</v>
      </c>
      <c r="L30" s="32">
        <f>'2. Parameters'!O70</f>
        <v>1.0820160000000001</v>
      </c>
      <c r="M30" s="32">
        <f>'2. Parameters'!P70</f>
        <v>1.1577571200000001</v>
      </c>
      <c r="N30" s="32">
        <f>'2. Parameters'!Q70</f>
        <v>1.2156449760000001</v>
      </c>
      <c r="O30" s="32">
        <f>'2. Parameters'!R70</f>
        <v>1.2642707750400002</v>
      </c>
    </row>
    <row r="31" spans="1:15">
      <c r="B31" s="28" t="s">
        <v>233</v>
      </c>
      <c r="D31" s="3" t="s">
        <v>899</v>
      </c>
      <c r="H31" s="10"/>
      <c r="I31" s="10"/>
      <c r="J31" s="32">
        <f>'2. Parameters'!M71</f>
        <v>1</v>
      </c>
      <c r="K31" s="32">
        <f>'2. Parameters'!N71</f>
        <v>1.02</v>
      </c>
      <c r="L31" s="32">
        <f>'2. Parameters'!O71</f>
        <v>1.0608</v>
      </c>
      <c r="M31" s="32">
        <f>'2. Parameters'!P71</f>
        <v>1.1350560000000001</v>
      </c>
      <c r="N31" s="32">
        <f>'2. Parameters'!Q71</f>
        <v>1.1918088000000002</v>
      </c>
      <c r="O31" s="32">
        <f>'2. Parameters'!R71</f>
        <v>1.2394811520000002</v>
      </c>
    </row>
    <row r="32" spans="1:15">
      <c r="B32" s="28" t="s">
        <v>234</v>
      </c>
      <c r="D32" s="3" t="s">
        <v>899</v>
      </c>
      <c r="H32" s="10"/>
      <c r="I32" s="10"/>
      <c r="J32" s="10"/>
      <c r="K32" s="32">
        <f>'2. Parameters'!N72</f>
        <v>1</v>
      </c>
      <c r="L32" s="32">
        <f>'2. Parameters'!O72</f>
        <v>1.04</v>
      </c>
      <c r="M32" s="32">
        <f>'2. Parameters'!P72</f>
        <v>1.1128</v>
      </c>
      <c r="N32" s="32">
        <f>'2. Parameters'!Q72</f>
        <v>1.1684400000000001</v>
      </c>
      <c r="O32" s="32">
        <f>'2. Parameters'!R72</f>
        <v>1.2151776000000003</v>
      </c>
    </row>
    <row r="33" spans="2:15">
      <c r="B33" s="28" t="s">
        <v>235</v>
      </c>
      <c r="D33" s="3" t="s">
        <v>899</v>
      </c>
      <c r="H33" s="10"/>
      <c r="I33" s="10"/>
      <c r="J33" s="10"/>
      <c r="K33" s="10"/>
      <c r="L33" s="32">
        <f>'2. Parameters'!O73</f>
        <v>1</v>
      </c>
      <c r="M33" s="32">
        <f>'2. Parameters'!P73</f>
        <v>1.07</v>
      </c>
      <c r="N33" s="32">
        <f>'2. Parameters'!Q73</f>
        <v>1.1235000000000002</v>
      </c>
      <c r="O33" s="32">
        <f>'2. Parameters'!R73</f>
        <v>1.1684400000000001</v>
      </c>
    </row>
    <row r="34" spans="2:15">
      <c r="B34" s="28" t="s">
        <v>236</v>
      </c>
      <c r="D34" s="3" t="s">
        <v>899</v>
      </c>
      <c r="H34" s="10"/>
      <c r="I34" s="10"/>
      <c r="J34" s="10"/>
      <c r="K34" s="10"/>
      <c r="L34" s="10"/>
      <c r="M34" s="32">
        <f>'2. Parameters'!P74</f>
        <v>1</v>
      </c>
      <c r="N34" s="32">
        <f>'2. Parameters'!Q74</f>
        <v>1.05</v>
      </c>
      <c r="O34" s="32">
        <f>'2. Parameters'!R74</f>
        <v>1.0920000000000001</v>
      </c>
    </row>
    <row r="35" spans="2:15">
      <c r="B35" s="28" t="s">
        <v>237</v>
      </c>
      <c r="D35" s="3" t="s">
        <v>899</v>
      </c>
      <c r="H35" s="10"/>
      <c r="I35" s="10"/>
      <c r="J35" s="10"/>
      <c r="K35" s="10"/>
      <c r="L35" s="10"/>
      <c r="M35" s="10"/>
      <c r="N35" s="32">
        <f>'2. Parameters'!Q75</f>
        <v>1</v>
      </c>
      <c r="O35" s="32">
        <f>'2. Parameters'!R75</f>
        <v>1.04</v>
      </c>
    </row>
    <row r="37" spans="2:15">
      <c r="B37" s="2" t="s">
        <v>224</v>
      </c>
    </row>
    <row r="38" spans="2:15">
      <c r="B38" s="3" t="s">
        <v>900</v>
      </c>
      <c r="D38" s="3" t="s">
        <v>228</v>
      </c>
      <c r="H38" s="32">
        <f>'2. Parameters'!K38</f>
        <v>1</v>
      </c>
      <c r="I38" s="32">
        <f>'2. Parameters'!L38</f>
        <v>1.016</v>
      </c>
      <c r="J38" s="32">
        <f>'2. Parameters'!M38</f>
        <v>1.0342880000000001</v>
      </c>
      <c r="K38" s="32">
        <f>'2. Parameters'!N38</f>
        <v>1.0984138560000001</v>
      </c>
      <c r="L38" s="32">
        <f>'2. Parameters'!O38</f>
        <v>1.1862869644800003</v>
      </c>
      <c r="M38" s="32">
        <f>'2. Parameters'!P38</f>
        <v>1.2195029994854403</v>
      </c>
      <c r="N38" s="32">
        <f>'2. Parameters'!Q38</f>
        <v>1.2658441134658871</v>
      </c>
      <c r="O38" s="10"/>
    </row>
    <row r="39" spans="2:15">
      <c r="B39" s="3" t="s">
        <v>901</v>
      </c>
      <c r="D39" s="3" t="s">
        <v>228</v>
      </c>
      <c r="H39" s="10"/>
      <c r="I39" s="32">
        <f>'2. Parameters'!L39</f>
        <v>1</v>
      </c>
      <c r="J39" s="32">
        <f>'2. Parameters'!M39</f>
        <v>1.018</v>
      </c>
      <c r="K39" s="32">
        <f>'2. Parameters'!N39</f>
        <v>1.081116</v>
      </c>
      <c r="L39" s="32">
        <f>'2. Parameters'!O39</f>
        <v>1.1676052800000001</v>
      </c>
      <c r="M39" s="32">
        <f>'2. Parameters'!P39</f>
        <v>1.2002982278400001</v>
      </c>
      <c r="N39" s="32">
        <f>'2. Parameters'!Q39</f>
        <v>1.24590956049792</v>
      </c>
      <c r="O39" s="10"/>
    </row>
    <row r="40" spans="2:15">
      <c r="B40" s="3" t="s">
        <v>902</v>
      </c>
      <c r="D40" s="3" t="s">
        <v>228</v>
      </c>
      <c r="H40" s="10"/>
      <c r="I40" s="10"/>
      <c r="J40" s="32">
        <f>'2. Parameters'!M40</f>
        <v>1</v>
      </c>
      <c r="K40" s="32">
        <f>'2. Parameters'!N40</f>
        <v>1.0620000000000001</v>
      </c>
      <c r="L40" s="32">
        <f>'2. Parameters'!O40</f>
        <v>1.1469600000000002</v>
      </c>
      <c r="M40" s="32">
        <f>'2. Parameters'!P40</f>
        <v>1.1790748800000002</v>
      </c>
      <c r="N40" s="32">
        <f>'2. Parameters'!Q40</f>
        <v>1.2238797254400002</v>
      </c>
      <c r="O40" s="10"/>
    </row>
    <row r="41" spans="2:15">
      <c r="B41" s="3" t="s">
        <v>903</v>
      </c>
      <c r="D41" s="3" t="s">
        <v>228</v>
      </c>
      <c r="H41" s="10"/>
      <c r="I41" s="10"/>
      <c r="J41" s="10"/>
      <c r="K41" s="32">
        <f>'2. Parameters'!N41</f>
        <v>1</v>
      </c>
      <c r="L41" s="32">
        <f>'2. Parameters'!O41</f>
        <v>1.08</v>
      </c>
      <c r="M41" s="32">
        <f>'2. Parameters'!P41</f>
        <v>1.1102400000000001</v>
      </c>
      <c r="N41" s="32">
        <f>'2. Parameters'!Q41</f>
        <v>1.1524291200000001</v>
      </c>
      <c r="O41" s="10"/>
    </row>
    <row r="42" spans="2:15">
      <c r="B42" s="3" t="s">
        <v>904</v>
      </c>
      <c r="D42" s="3" t="s">
        <v>228</v>
      </c>
      <c r="H42" s="10"/>
      <c r="I42" s="10"/>
      <c r="J42" s="10"/>
      <c r="K42" s="10"/>
      <c r="L42" s="32">
        <f>'2. Parameters'!O42</f>
        <v>1</v>
      </c>
      <c r="M42" s="32">
        <f>'2. Parameters'!P42</f>
        <v>1.028</v>
      </c>
      <c r="N42" s="32">
        <f>'2. Parameters'!Q42</f>
        <v>1.067064</v>
      </c>
      <c r="O42" s="10"/>
    </row>
    <row r="43" spans="2:15">
      <c r="B43" s="3" t="s">
        <v>905</v>
      </c>
      <c r="D43" s="3" t="s">
        <v>228</v>
      </c>
      <c r="H43" s="10"/>
      <c r="I43" s="10"/>
      <c r="J43" s="10"/>
      <c r="K43" s="10"/>
      <c r="L43" s="10"/>
      <c r="M43" s="32">
        <f>'2. Parameters'!P43</f>
        <v>1</v>
      </c>
      <c r="N43" s="32">
        <f>'2. Parameters'!Q43</f>
        <v>1.038</v>
      </c>
      <c r="O43" s="10"/>
    </row>
    <row r="44" spans="2:15">
      <c r="B44" s="3" t="s">
        <v>906</v>
      </c>
      <c r="D44" s="3" t="s">
        <v>228</v>
      </c>
      <c r="H44" s="10"/>
      <c r="I44" s="10"/>
      <c r="J44" s="10"/>
      <c r="K44" s="10"/>
      <c r="L44" s="10"/>
      <c r="M44" s="10"/>
      <c r="N44" s="32">
        <f>'2. Parameters'!Q44</f>
        <v>1</v>
      </c>
      <c r="O44" s="10"/>
    </row>
    <row r="46" spans="2:15">
      <c r="B46" s="2" t="s">
        <v>238</v>
      </c>
    </row>
    <row r="47" spans="2:15">
      <c r="B47" s="28" t="s">
        <v>231</v>
      </c>
      <c r="D47" s="3" t="s">
        <v>242</v>
      </c>
      <c r="H47" s="32">
        <f>'2. Parameters'!K55</f>
        <v>1</v>
      </c>
      <c r="I47" s="32">
        <f>'2. Parameters'!L55</f>
        <v>0.999</v>
      </c>
      <c r="J47" s="32">
        <f>'2. Parameters'!M55</f>
        <v>0.995004</v>
      </c>
      <c r="K47" s="32">
        <f>'2. Parameters'!N55</f>
        <v>0.99102398400000002</v>
      </c>
      <c r="L47" s="32">
        <f>'2. Parameters'!O55</f>
        <v>0.98705988806400002</v>
      </c>
      <c r="M47" s="32">
        <f>'2. Parameters'!P55</f>
        <v>0.98311164851174404</v>
      </c>
      <c r="N47" s="32">
        <f>'2. Parameters'!Q55</f>
        <v>0.97917920191769703</v>
      </c>
      <c r="O47" s="10"/>
    </row>
    <row r="48" spans="2:15">
      <c r="B48" s="28" t="s">
        <v>232</v>
      </c>
      <c r="D48" s="3" t="s">
        <v>242</v>
      </c>
      <c r="H48" s="10"/>
      <c r="I48" s="32">
        <f>'2. Parameters'!L56</f>
        <v>1</v>
      </c>
      <c r="J48" s="32">
        <f>'2. Parameters'!M56</f>
        <v>0.996</v>
      </c>
      <c r="K48" s="32">
        <f>'2. Parameters'!N56</f>
        <v>0.99201600000000001</v>
      </c>
      <c r="L48" s="32">
        <f>'2. Parameters'!O56</f>
        <v>0.98804793599999996</v>
      </c>
      <c r="M48" s="32">
        <f>'2. Parameters'!P56</f>
        <v>0.98409574425599999</v>
      </c>
      <c r="N48" s="32">
        <f>'2. Parameters'!Q56</f>
        <v>0.98015936127897596</v>
      </c>
      <c r="O48" s="10"/>
    </row>
    <row r="49" spans="1:79">
      <c r="B49" s="28" t="s">
        <v>233</v>
      </c>
      <c r="D49" s="3" t="s">
        <v>242</v>
      </c>
      <c r="H49" s="10"/>
      <c r="I49" s="10"/>
      <c r="J49" s="32">
        <f>'2. Parameters'!M57</f>
        <v>1</v>
      </c>
      <c r="K49" s="32">
        <f>'2. Parameters'!N57</f>
        <v>0.996</v>
      </c>
      <c r="L49" s="32">
        <f>'2. Parameters'!O57</f>
        <v>0.99201600000000001</v>
      </c>
      <c r="M49" s="32">
        <f>'2. Parameters'!P57</f>
        <v>0.98804793599999996</v>
      </c>
      <c r="N49" s="32">
        <f>'2. Parameters'!Q57</f>
        <v>0.98409574425599999</v>
      </c>
      <c r="O49" s="10"/>
    </row>
    <row r="50" spans="1:79">
      <c r="B50" s="28" t="s">
        <v>234</v>
      </c>
      <c r="D50" s="3" t="s">
        <v>242</v>
      </c>
      <c r="H50" s="10"/>
      <c r="I50" s="10"/>
      <c r="J50" s="10"/>
      <c r="K50" s="32">
        <f>'2. Parameters'!N58</f>
        <v>1</v>
      </c>
      <c r="L50" s="32">
        <f>'2. Parameters'!O58</f>
        <v>0.996</v>
      </c>
      <c r="M50" s="32">
        <f>'2. Parameters'!P58</f>
        <v>0.99201600000000001</v>
      </c>
      <c r="N50" s="32">
        <f>'2. Parameters'!Q58</f>
        <v>0.98804793599999996</v>
      </c>
      <c r="O50" s="10"/>
    </row>
    <row r="51" spans="1:79">
      <c r="B51" s="28" t="s">
        <v>235</v>
      </c>
      <c r="D51" s="3" t="s">
        <v>242</v>
      </c>
      <c r="H51" s="10"/>
      <c r="I51" s="10"/>
      <c r="J51" s="10"/>
      <c r="K51" s="10"/>
      <c r="L51" s="32">
        <f>'2. Parameters'!O59</f>
        <v>1</v>
      </c>
      <c r="M51" s="32">
        <f>'2. Parameters'!P59</f>
        <v>0.996</v>
      </c>
      <c r="N51" s="32">
        <f>'2. Parameters'!Q59</f>
        <v>0.99201600000000001</v>
      </c>
      <c r="O51" s="10"/>
    </row>
    <row r="52" spans="1:79">
      <c r="B52" s="28" t="s">
        <v>236</v>
      </c>
      <c r="D52" s="3" t="s">
        <v>242</v>
      </c>
      <c r="H52" s="10"/>
      <c r="I52" s="10"/>
      <c r="J52" s="10"/>
      <c r="K52" s="10"/>
      <c r="L52" s="10"/>
      <c r="M52" s="32">
        <f>'2. Parameters'!P60</f>
        <v>1</v>
      </c>
      <c r="N52" s="32">
        <f>'2. Parameters'!Q60</f>
        <v>0.996</v>
      </c>
      <c r="O52" s="10"/>
    </row>
    <row r="53" spans="1:79">
      <c r="B53" s="28" t="s">
        <v>237</v>
      </c>
      <c r="D53" s="3" t="s">
        <v>242</v>
      </c>
      <c r="H53" s="10"/>
      <c r="I53" s="10"/>
      <c r="J53" s="10"/>
      <c r="K53" s="10"/>
      <c r="L53" s="10"/>
      <c r="M53" s="10"/>
      <c r="N53" s="32">
        <f>'2. Parameters'!Q61</f>
        <v>1</v>
      </c>
      <c r="O53" s="10"/>
    </row>
    <row r="55" spans="1:79" s="33" customFormat="1">
      <c r="B55" s="33" t="s">
        <v>907</v>
      </c>
    </row>
    <row r="56" spans="1:79" s="36" customFormat="1">
      <c r="B56" s="108"/>
    </row>
    <row r="57" spans="1:79" s="36" customFormat="1">
      <c r="O57" s="36" t="s">
        <v>908</v>
      </c>
      <c r="R57" s="36" t="s">
        <v>909</v>
      </c>
      <c r="U57" s="36" t="s">
        <v>910</v>
      </c>
      <c r="X57" s="36" t="s">
        <v>911</v>
      </c>
      <c r="AD57" s="36" t="s">
        <v>912</v>
      </c>
      <c r="AJ57" s="36" t="s">
        <v>913</v>
      </c>
      <c r="AP57" s="36" t="s">
        <v>914</v>
      </c>
      <c r="AV57" s="36" t="s">
        <v>915</v>
      </c>
      <c r="BD57" s="36" t="s">
        <v>552</v>
      </c>
      <c r="BL57" s="36" t="s">
        <v>916</v>
      </c>
      <c r="BT57" s="36" t="s">
        <v>917</v>
      </c>
    </row>
    <row r="58" spans="1:79" s="39" customFormat="1">
      <c r="B58" s="39" t="s">
        <v>918</v>
      </c>
      <c r="F58" s="39" t="s">
        <v>389</v>
      </c>
      <c r="H58" s="40" t="s">
        <v>919</v>
      </c>
      <c r="I58" s="40" t="s">
        <v>920</v>
      </c>
      <c r="J58" s="40" t="s">
        <v>848</v>
      </c>
      <c r="K58" s="40" t="s">
        <v>849</v>
      </c>
      <c r="L58" s="39" t="s">
        <v>921</v>
      </c>
      <c r="M58" s="39" t="s">
        <v>922</v>
      </c>
      <c r="O58" s="45">
        <v>2020</v>
      </c>
      <c r="P58" s="45">
        <v>2021</v>
      </c>
      <c r="R58" s="45">
        <v>2020</v>
      </c>
      <c r="S58" s="45">
        <v>2021</v>
      </c>
      <c r="U58" s="39" t="s">
        <v>923</v>
      </c>
      <c r="V58" s="39" t="s">
        <v>924</v>
      </c>
      <c r="X58" s="45">
        <v>2022</v>
      </c>
      <c r="Y58" s="45">
        <v>2023</v>
      </c>
      <c r="Z58" s="45">
        <v>2024</v>
      </c>
      <c r="AA58" s="45">
        <v>2025</v>
      </c>
      <c r="AB58" s="45">
        <v>2026</v>
      </c>
      <c r="AD58" s="45">
        <v>2022</v>
      </c>
      <c r="AE58" s="45">
        <v>2023</v>
      </c>
      <c r="AF58" s="45">
        <v>2024</v>
      </c>
      <c r="AG58" s="45">
        <v>2025</v>
      </c>
      <c r="AH58" s="45">
        <v>2026</v>
      </c>
      <c r="AJ58" s="45">
        <v>2022</v>
      </c>
      <c r="AK58" s="45">
        <v>2023</v>
      </c>
      <c r="AL58" s="45">
        <v>2024</v>
      </c>
      <c r="AM58" s="45">
        <v>2025</v>
      </c>
      <c r="AN58" s="45">
        <v>2026</v>
      </c>
      <c r="AP58" s="45">
        <v>2022</v>
      </c>
      <c r="AQ58" s="45">
        <v>2023</v>
      </c>
      <c r="AR58" s="45">
        <v>2024</v>
      </c>
      <c r="AS58" s="45">
        <v>2025</v>
      </c>
      <c r="AT58" s="45">
        <v>2026</v>
      </c>
      <c r="AV58" s="45">
        <v>2020</v>
      </c>
      <c r="AW58" s="45">
        <v>2021</v>
      </c>
      <c r="AX58" s="45">
        <v>2022</v>
      </c>
      <c r="AY58" s="45">
        <v>2023</v>
      </c>
      <c r="AZ58" s="45">
        <v>2024</v>
      </c>
      <c r="BA58" s="45">
        <v>2025</v>
      </c>
      <c r="BB58" s="45">
        <v>2026</v>
      </c>
      <c r="BD58" s="45">
        <v>2020</v>
      </c>
      <c r="BE58" s="45">
        <v>2021</v>
      </c>
      <c r="BF58" s="45">
        <v>2022</v>
      </c>
      <c r="BG58" s="45">
        <v>2023</v>
      </c>
      <c r="BH58" s="45">
        <v>2024</v>
      </c>
      <c r="BI58" s="45">
        <v>2025</v>
      </c>
      <c r="BJ58" s="45">
        <v>2026</v>
      </c>
      <c r="BL58" s="45">
        <v>2020</v>
      </c>
      <c r="BM58" s="45">
        <v>2021</v>
      </c>
      <c r="BN58" s="45">
        <v>2022</v>
      </c>
      <c r="BO58" s="45">
        <v>2023</v>
      </c>
      <c r="BP58" s="45">
        <v>2024</v>
      </c>
      <c r="BQ58" s="45">
        <v>2025</v>
      </c>
      <c r="BR58" s="45">
        <v>2026</v>
      </c>
      <c r="BT58" s="45">
        <v>2020</v>
      </c>
      <c r="BU58" s="45">
        <v>2021</v>
      </c>
      <c r="BV58" s="45">
        <v>2022</v>
      </c>
      <c r="BW58" s="45">
        <v>2023</v>
      </c>
      <c r="BX58" s="45">
        <v>2024</v>
      </c>
      <c r="BY58" s="45">
        <v>2025</v>
      </c>
      <c r="BZ58" s="45">
        <v>2026</v>
      </c>
      <c r="CA58" s="45">
        <v>2027</v>
      </c>
    </row>
    <row r="59" spans="1:79" s="48" customFormat="1">
      <c r="H59" s="49"/>
      <c r="I59" s="49"/>
    </row>
    <row r="60" spans="1:79">
      <c r="A60" s="48"/>
      <c r="B60" s="37">
        <f>'11. Investeringen (WUI+ombouw)'!B20</f>
        <v>1</v>
      </c>
      <c r="C60" s="48"/>
      <c r="D60" s="48"/>
      <c r="E60" s="48"/>
      <c r="F60" s="42">
        <f>'11. Investeringen (WUI+ombouw)'!C20</f>
        <v>560010.50868726079</v>
      </c>
      <c r="G60" s="48"/>
      <c r="H60" s="37">
        <f>'11. Investeringen (WUI+ombouw)'!D20</f>
        <v>2020</v>
      </c>
      <c r="I60" s="37" t="str">
        <f>'11. Investeringen (WUI+ombouw)'!E20</f>
        <v>02 Gasontvangststations</v>
      </c>
      <c r="J60" s="37" t="str">
        <f>'11. Investeringen (WUI+ombouw)'!F20</f>
        <v>VVI</v>
      </c>
      <c r="K60" s="37" t="str">
        <f>'11. Investeringen (WUI+ombouw)'!G20</f>
        <v>Ja</v>
      </c>
      <c r="L60" s="38">
        <f>H60+2</f>
        <v>2022</v>
      </c>
      <c r="M60" s="38">
        <f>_xlfn.XLOOKUP(I60,'3. Input (des)investeringen '!$B$11:$B$89,'3. Input (des)investeringen '!$D$11:$D$89,0)</f>
        <v>30</v>
      </c>
      <c r="O60" s="43">
        <f t="shared" ref="O60:O98" si="0">IF($M60&gt;0, IF($H60&lt;=O$58, VDB($F60,0,$M60,MAX(0,O$58-$H60-0.5),MIN($M60,O$58-$H60+0.5),1)*INDEX(H$38:H$44,$H60-2019,1),0),0)</f>
        <v>9333.5084781210135</v>
      </c>
      <c r="P60" s="43">
        <f t="shared" ref="P60:P98" si="1">IF($M60&gt;0, IF($H60&lt;=P$58, VDB($F60,0,$M60,MAX(0,P$58-$H60-0.5),MIN($M60,P$58-$H60+0.5),1)*INDEX(I$38:I$44,$H60-2019,1),0),0)</f>
        <v>18965.689227541901</v>
      </c>
      <c r="R60" s="43">
        <f>IF($O60=0,IF($H60=O$58,$F60,0),IF(OR($H60&gt;R$58,$H60+$M60&lt;=R$58),0,F60-O60))</f>
        <v>550677.00020913978</v>
      </c>
      <c r="S60" s="43">
        <f t="shared" ref="S60:S98" si="2">IF($M60=0,IF($H60=P$58,$F60,$R60*I$38),IF(OR($H60&gt;S$58,$H60+$M60&lt;=S$58),0,
IF($H60=S$58,F60-P60,R60*I$38-P60)))</f>
        <v>540522.14298494416</v>
      </c>
      <c r="U60" s="43">
        <f>IF(H60&lt;=2021,S60,F60)</f>
        <v>540522.14298494416</v>
      </c>
      <c r="V60" s="38">
        <f>IF($M60&gt;0,IF(H60&lt;2022,M60-2021+H60-0.5,M60),0)</f>
        <v>28.5</v>
      </c>
      <c r="X60" s="43">
        <f t="shared" ref="X60:AB69" si="3">IF($M60&gt;0, IF(OR($H60&gt;X$58,$H60+$M60&lt;X$58),0,IF(OR($H60=2020,$H60=2021),VDB($U60,0,$V60,X$58-2022,MIN($V60,X$58-2021),$F$23,FALSE),
VDB($U60,0,$V60,MAX(0,X$58-$H60-0.5),MIN($V60,X$58-$H60+0.5),$F$23,FALSE)))*(1-$F$26), 0)</f>
        <v>22189.856396224026</v>
      </c>
      <c r="Y60" s="43">
        <f t="shared" si="3"/>
        <v>21177.68750797521</v>
      </c>
      <c r="Z60" s="43">
        <f t="shared" si="3"/>
        <v>20211.687726909673</v>
      </c>
      <c r="AA60" s="43">
        <f t="shared" si="3"/>
        <v>19289.751093752395</v>
      </c>
      <c r="AB60" s="43">
        <f t="shared" si="3"/>
        <v>18409.867710528601</v>
      </c>
      <c r="AD60" s="43">
        <f t="shared" ref="AD60:AH69" si="4">IF($M60&gt;0, IF(OR($H60&gt;AD$58,$H60+$M60&lt;AD$58),0,IF(OR($H60=2020,$H60=2021),VDB($U60,0,$V60,AD$58-2022,MIN($V60,AD$58-2021),1,FALSE),
VDB($U60,0,$V60,MAX(0,AD$58-$H60-0.5),MIN($V60,AD$58-$H60+0.5),1,FALSE)))*$F$26,0)</f>
        <v>1896.5689227541902</v>
      </c>
      <c r="AE60" s="43">
        <f t="shared" si="4"/>
        <v>1896.5689227541902</v>
      </c>
      <c r="AF60" s="43">
        <f t="shared" si="4"/>
        <v>1896.5689227541902</v>
      </c>
      <c r="AG60" s="43">
        <f t="shared" si="4"/>
        <v>1896.5689227541902</v>
      </c>
      <c r="AH60" s="43">
        <f t="shared" si="4"/>
        <v>1896.5689227541902</v>
      </c>
      <c r="AJ60" s="43">
        <f>X60+AD60</f>
        <v>24086.425318978218</v>
      </c>
      <c r="AK60" s="43">
        <f>Y60+AE60</f>
        <v>23074.256430729401</v>
      </c>
      <c r="AL60" s="43">
        <f>Z60+AF60</f>
        <v>22108.256649663865</v>
      </c>
      <c r="AM60" s="43">
        <f t="shared" ref="AM60:AN60" si="5">AA60+AG60</f>
        <v>21186.320016506586</v>
      </c>
      <c r="AN60" s="43">
        <f t="shared" si="5"/>
        <v>20306.436633282792</v>
      </c>
      <c r="AP60" s="43">
        <f>IF($M60=0, IF($H60&gt;AP$58,0, $U60), IF(OR($H60&gt;AP$58,$H60+$M60&lt;=AP$58),0,
IF($H60=AP$58,$U60-AJ60,
U60-AJ60)))</f>
        <v>516435.71766596596</v>
      </c>
      <c r="AQ60" s="43">
        <f>IF($M60=0, IF($H60 &gt; AQ$58, 0, IF($H60=AQ$58, $F60, AP60)), IF(OR($H60&gt;AQ$58,$H60+$M60&lt;=AQ$58),0,
IF($H60=AQ$58,$U60-AK60,
AP60-AK60)))</f>
        <v>493361.46123523655</v>
      </c>
      <c r="AR60" s="43">
        <f t="shared" ref="AR60:AT75" si="6">IF($M60=0, IF($H60 &gt; AR$58, 0, IF($H60=AR$58, $F60, AQ60)), IF(OR($H60&gt;AR$58,$H60+$M60&lt;=AR$58),0,
IF($H60=AR$58,$U60-AL60,
AQ60-AL60)))</f>
        <v>471253.2045855727</v>
      </c>
      <c r="AS60" s="43">
        <f t="shared" si="6"/>
        <v>450066.88456906611</v>
      </c>
      <c r="AT60" s="43">
        <f t="shared" si="6"/>
        <v>429760.4479357833</v>
      </c>
      <c r="AV60" s="47">
        <f>O60+R60*H$16</f>
        <v>27505.849485022627</v>
      </c>
      <c r="AW60" s="47">
        <f>P60+S60*I$16</f>
        <v>35181.353517090225</v>
      </c>
      <c r="AX60" s="47">
        <f>AJ60+AP60*J$17</f>
        <v>41645.239719621066</v>
      </c>
      <c r="AY60" s="47">
        <f>AK60+AQ60*K$17</f>
        <v>39355.184651492207</v>
      </c>
      <c r="AZ60" s="47">
        <f>AL60+AR60*L$17</f>
        <v>40015.878423915623</v>
      </c>
      <c r="BA60" s="43">
        <f>AM60+AS60*M$17</f>
        <v>38288.861630131098</v>
      </c>
      <c r="BB60" s="43">
        <f>AN60+AT60*N$17</f>
        <v>36637.333654842558</v>
      </c>
      <c r="BD60" s="43">
        <f t="shared" ref="BD60:BD98" si="7">IF(O60&gt;0,$F60*$F$20*INDEX($H$38:$N$44,$H60-2019,BD$58-2019)*INDEX($H$47:$N$53,$H60-2019,BD$58-2019)* IF(OR(BD$58=$H60,BD$58=$H60+$M60),0.5,1),0)</f>
        <v>2800.0525434363039</v>
      </c>
      <c r="BE60" s="43">
        <f t="shared" ref="BE60:BE98" si="8">IF(P60&gt;0,$F60*$F$20*INDEX($H$38:$N$44,$H60-2019,BE$58-2019)*INDEX($H$47:$N$53,$H60-2019,BE$58-2019)*
 IF(OR(BE$58=$H60,BE$58=$H60+$M60),0.5,1),0)</f>
        <v>5684.0170614943063</v>
      </c>
      <c r="BF60" s="43">
        <f t="shared" ref="BF60:BF98" si="9">IF(AJ60&gt;0,
$F60*$F$20*INDEX($H$38:$N$44,$H60-2019,BF$58-2019)*INDEX($H$47:$N$53,$H60-2019,BF$58-2019)*
 IF(OR(BF$58=$H60,BF$58=$H60+$M60),0.5,1),0)</f>
        <v>5763.1840511268001</v>
      </c>
      <c r="BG60" s="43">
        <f t="shared" ref="BG60:BG98" si="10">IF(AK60&gt;0,
$F60*$F$20*INDEX($H$38:$N$44,$H60-2019,BG$58-2019)*INDEX($H$47:$N$53,$H60-2019,BG$58-2019)*
 IF(OR(BG$58=$H60,BG$58=$H60+$M60),0.5,1),0)</f>
        <v>6096.019456447475</v>
      </c>
      <c r="BH60" s="43">
        <f t="shared" ref="BH60:BH98" si="11">IF(AL60&gt;0,
$F60*$F$20*INDEX($H$38:$N$44,$H60-2019,BH$58-2019)*INDEX($H$47:$N$53,$H60-2019,BH$58-2019)*
 IF(OR(BH$58=$H60,BH$58=$H60+$M60),0.5,1),0)</f>
        <v>6557.3662089114214</v>
      </c>
      <c r="BI60" s="43">
        <f t="shared" ref="BI60:BI98" si="12">IF(AM60&gt;0,
$F60*$F$20*INDEX($H$38:$N$44,$H60-2019,BI$58-2019)*INDEX($H$47:$N$53,$H60-2019,BI$58-2019)*
 IF(OR(BI$58=$H60,BI$58=$H60+$M60),0.5,1),0)</f>
        <v>6714.0085729098973</v>
      </c>
      <c r="BJ60" s="43">
        <f t="shared" ref="BJ60:BJ98" si="13">IF(AN60&gt;0,
$F60*$F$20*INDEX($H$38:$N$44,$H60-2019,BJ$58-2019)*INDEX($H$47:$N$53,$H60-2019,BJ$58-2019)*
 IF(OR(BJ$58=$H60,BJ$58=$H60+$M60),0.5,1),0)</f>
        <v>6941.2643350857525</v>
      </c>
      <c r="BL60" s="43">
        <f>AV60+BD60</f>
        <v>30305.902028458931</v>
      </c>
      <c r="BM60" s="43">
        <f t="shared" ref="BM60:BR60" si="14">AW60+BE60</f>
        <v>40865.37057858453</v>
      </c>
      <c r="BN60" s="43">
        <f t="shared" si="14"/>
        <v>47408.423770747868</v>
      </c>
      <c r="BO60" s="43">
        <f t="shared" si="14"/>
        <v>45451.20410793968</v>
      </c>
      <c r="BP60" s="43">
        <f t="shared" si="14"/>
        <v>46573.244632827045</v>
      </c>
      <c r="BQ60" s="43">
        <f t="shared" si="14"/>
        <v>45002.870203040991</v>
      </c>
      <c r="BR60" s="43">
        <f t="shared" si="14"/>
        <v>43578.597989928312</v>
      </c>
      <c r="BT60" s="10"/>
      <c r="BU60" s="10"/>
      <c r="BV60" s="51">
        <f t="shared" ref="BV60:BV98" si="15">IF($L60&gt;BV$58,0,
IF($L60=BV$58,BL60*INDEX(J$29:J$35,BV$58-2021)+BM60*INDEX(J$29:J$35,BV$58-2020)+BN60,BN60))</f>
        <v>120621.36223131276</v>
      </c>
      <c r="BW60" s="51">
        <f t="shared" ref="BW60:BW98" si="16">IF($L60&gt;BW$58,0,
IF($L60=BW$58,BM60*INDEX(K$29:K$35,BW$58-2021)+BN60*INDEX(K$29:K$35,BW$58-2020)+BO60,BO60))</f>
        <v>45451.20410793968</v>
      </c>
      <c r="BX60" s="51">
        <f t="shared" ref="BX60:BX98" si="17">IF($L60&gt;BX$58,0,
IF($L60=BX$58,BN60*INDEX(L$29:L$35,BX$58-2021)+BO60*INDEX(L$29:L$35,BX$58-2020)+BP60,BP60))</f>
        <v>46573.244632827045</v>
      </c>
      <c r="BY60" s="51">
        <f t="shared" ref="BY60:BY98" si="18">IF($L60&gt;BY$58,0,
IF($L60=BY$58,BO60*INDEX(M$29:M$35,BY$58-2021)+BP60*INDEX(M$29:M$35,BY$58-2020)+BQ60,BQ60))</f>
        <v>45002.870203040991</v>
      </c>
      <c r="BZ60" s="51">
        <f t="shared" ref="BZ60:BZ98" si="19">IF($L60&gt;BZ$58,0,
IF($L60=BZ$58,BP60*INDEX(N$29:N$35,BZ$58-2021)+BQ60*INDEX(N$29:N$35,BZ$58-2020)+BR60,BR60))</f>
        <v>43578.597989928312</v>
      </c>
      <c r="CA60" s="337">
        <f t="shared" ref="CA60:CA98" si="20" xml:space="preserve"> IF(
       $L60 = CA$58,
       BQ60 * _xlfn.SINGLE(INDEX(O$29:O$35, CA$58 - 2021)) + BR60 * _xlfn.SINGLE(INDEX(O$29:O$35, CA$58 - 2020)),
       0
  )</f>
        <v>0</v>
      </c>
    </row>
    <row r="61" spans="1:79">
      <c r="A61" s="48"/>
      <c r="B61" s="37">
        <f>'11. Investeringen (WUI+ombouw)'!B21</f>
        <v>2</v>
      </c>
      <c r="C61" s="48"/>
      <c r="D61" s="48"/>
      <c r="E61" s="48"/>
      <c r="F61" s="42">
        <f>'11. Investeringen (WUI+ombouw)'!C21</f>
        <v>1887912.8589451036</v>
      </c>
      <c r="G61" s="48"/>
      <c r="H61" s="37">
        <f>'11. Investeringen (WUI+ombouw)'!D21</f>
        <v>2022</v>
      </c>
      <c r="I61" s="37" t="str">
        <f>'11. Investeringen (WUI+ombouw)'!E21</f>
        <v>01 Regionale leidingen</v>
      </c>
      <c r="J61" s="37" t="str">
        <f>'11. Investeringen (WUI+ombouw)'!F21</f>
        <v>VVI</v>
      </c>
      <c r="K61" s="37" t="str">
        <f>'11. Investeringen (WUI+ombouw)'!G21</f>
        <v>Ja</v>
      </c>
      <c r="L61" s="38">
        <f t="shared" ref="L61:L64" si="21">H61+2</f>
        <v>2024</v>
      </c>
      <c r="M61" s="38">
        <f>_xlfn.XLOOKUP(I61,'3. Input (des)investeringen '!$B$11:$B$89,'3. Input (des)investeringen '!$D$11:$D$89,0)</f>
        <v>55</v>
      </c>
      <c r="O61" s="43">
        <f t="shared" si="0"/>
        <v>0</v>
      </c>
      <c r="P61" s="43">
        <f t="shared" si="1"/>
        <v>0</v>
      </c>
      <c r="R61" s="43">
        <f t="shared" ref="R61:R78" si="22">IF($O61=0,IF($H61=O$58,$F61,0),IF(OR($H61&gt;R$58,$H61+$M61&lt;=R$58),0,F61-O61))</f>
        <v>0</v>
      </c>
      <c r="S61" s="43">
        <f t="shared" si="2"/>
        <v>0</v>
      </c>
      <c r="U61" s="43">
        <f t="shared" ref="U61:U64" si="23">IF(H61&lt;=2021,S61,F61)</f>
        <v>1887912.8589451036</v>
      </c>
      <c r="V61" s="38">
        <f t="shared" ref="V61:V65" si="24">IF($M61&gt;0,IF(H61&lt;2022,M61-2021+H61-0.5,M61),0)</f>
        <v>55</v>
      </c>
      <c r="X61" s="43">
        <f t="shared" si="3"/>
        <v>20080.527681507014</v>
      </c>
      <c r="Y61" s="43">
        <f t="shared" si="3"/>
        <v>39686.424708723855</v>
      </c>
      <c r="Z61" s="43">
        <f t="shared" si="3"/>
        <v>38748.381942881293</v>
      </c>
      <c r="AA61" s="43">
        <f t="shared" si="3"/>
        <v>37832.511096958646</v>
      </c>
      <c r="AB61" s="43">
        <f t="shared" si="3"/>
        <v>36938.288107394168</v>
      </c>
      <c r="AD61" s="43">
        <f t="shared" si="4"/>
        <v>1716.2844172228215</v>
      </c>
      <c r="AE61" s="43">
        <f t="shared" si="4"/>
        <v>3432.568834445643</v>
      </c>
      <c r="AF61" s="43">
        <f t="shared" si="4"/>
        <v>3432.568834445643</v>
      </c>
      <c r="AG61" s="43">
        <f t="shared" si="4"/>
        <v>3432.568834445643</v>
      </c>
      <c r="AH61" s="43">
        <f t="shared" si="4"/>
        <v>3432.568834445643</v>
      </c>
      <c r="AJ61" s="43">
        <f t="shared" ref="AJ61:AJ65" si="25">X61+AD61</f>
        <v>21796.812098729835</v>
      </c>
      <c r="AK61" s="43">
        <f t="shared" ref="AK61:AK65" si="26">Y61+AE61</f>
        <v>43118.993543169498</v>
      </c>
      <c r="AL61" s="43">
        <f t="shared" ref="AL61:AL65" si="27">Z61+AF61</f>
        <v>42180.950777326936</v>
      </c>
      <c r="AM61" s="43">
        <f t="shared" ref="AM61:AM65" si="28">AA61+AG61</f>
        <v>41265.079931404289</v>
      </c>
      <c r="AN61" s="43">
        <f t="shared" ref="AN61:AN65" si="29">AB61+AH61</f>
        <v>40370.856941839811</v>
      </c>
      <c r="AP61" s="43">
        <f t="shared" ref="AP61:AP78" si="30">IF($M61=0, IF($H61&gt;AP$58,0, $U61), IF(OR($H61&gt;AP$58,$H61+$M61&lt;=AP$58),0,
IF($H61=AP$58,$U61-AJ61,
U61-AJ61)))</f>
        <v>1866116.0468463737</v>
      </c>
      <c r="AQ61" s="43">
        <f t="shared" ref="AQ61:AQ79" si="31">IF($M61=0, IF($H61 &gt; AQ$58, 0, IF($H61=AQ$58, $F61, AP61)), IF(OR($H61&gt;AQ$58,$H61+$M61&lt;=AQ$58),0,
IF($H61=AQ$58,$U61-AK61,
AP61-AK61)))</f>
        <v>1822997.0533032042</v>
      </c>
      <c r="AR61" s="43">
        <f t="shared" si="6"/>
        <v>1780816.1025258773</v>
      </c>
      <c r="AS61" s="43">
        <f t="shared" si="6"/>
        <v>1739551.0225944731</v>
      </c>
      <c r="AT61" s="43">
        <f t="shared" si="6"/>
        <v>1699180.1656526332</v>
      </c>
      <c r="AV61" s="47">
        <f t="shared" ref="AV61:AV64" si="32">O61+R61*H$16</f>
        <v>0</v>
      </c>
      <c r="AW61" s="47">
        <f t="shared" ref="AW61:AW65" si="33">P61+S61*I$16</f>
        <v>0</v>
      </c>
      <c r="AX61" s="47">
        <f t="shared" ref="AX61:AX64" si="34">AJ61+AP61*J$17</f>
        <v>85244.757691506544</v>
      </c>
      <c r="AY61" s="47">
        <f t="shared" ref="AY61:AY65" si="35">AK61+AQ61*K$17</f>
        <v>103277.89630217524</v>
      </c>
      <c r="AZ61" s="47">
        <f t="shared" ref="AZ61:AZ65" si="36">AL61+AR61*L$17</f>
        <v>109851.96267331028</v>
      </c>
      <c r="BA61" s="43">
        <f t="shared" ref="BA61:BA65" si="37">AM61+AS61*M$17</f>
        <v>107368.01878999427</v>
      </c>
      <c r="BB61" s="43">
        <f t="shared" ref="BB61:BB65" si="38">AN61+AT61*N$17</f>
        <v>104939.70323663988</v>
      </c>
      <c r="BD61" s="43">
        <f t="shared" si="7"/>
        <v>0</v>
      </c>
      <c r="BE61" s="43">
        <f t="shared" si="8"/>
        <v>0</v>
      </c>
      <c r="BF61" s="43">
        <f t="shared" si="9"/>
        <v>9439.5642947255183</v>
      </c>
      <c r="BG61" s="43">
        <f t="shared" si="10"/>
        <v>19969.436023749015</v>
      </c>
      <c r="BH61" s="43">
        <f t="shared" si="11"/>
        <v>21480.722942026343</v>
      </c>
      <c r="BI61" s="43">
        <f t="shared" si="12"/>
        <v>21993.854451665466</v>
      </c>
      <c r="BJ61" s="43">
        <f t="shared" si="13"/>
        <v>22738.302437145438</v>
      </c>
      <c r="BL61" s="43">
        <f t="shared" ref="BL61:BL65" si="39">AV61+BD61</f>
        <v>0</v>
      </c>
      <c r="BM61" s="43">
        <f t="shared" ref="BM61:BM65" si="40">AW61+BE61</f>
        <v>0</v>
      </c>
      <c r="BN61" s="43">
        <f t="shared" ref="BN61:BN65" si="41">AX61+BF61</f>
        <v>94684.321986232069</v>
      </c>
      <c r="BO61" s="43">
        <f t="shared" ref="BO61:BO65" si="42">AY61+BG61</f>
        <v>123247.33232592426</v>
      </c>
      <c r="BP61" s="43">
        <f t="shared" ref="BP61:BP65" si="43">AZ61+BH61</f>
        <v>131332.68561533661</v>
      </c>
      <c r="BQ61" s="43">
        <f t="shared" ref="BQ61:BQ65" si="44">BA61+BI61</f>
        <v>129361.87324165973</v>
      </c>
      <c r="BR61" s="43">
        <f t="shared" ref="BR61:BR65" si="45">BB61+BJ61</f>
        <v>127678.00567378532</v>
      </c>
      <c r="BT61" s="10"/>
      <c r="BU61" s="10"/>
      <c r="BV61" s="51">
        <f t="shared" si="15"/>
        <v>0</v>
      </c>
      <c r="BW61" s="51">
        <f t="shared" si="16"/>
        <v>0</v>
      </c>
      <c r="BX61" s="51">
        <f t="shared" si="17"/>
        <v>359951.0399972928</v>
      </c>
      <c r="BY61" s="51">
        <f t="shared" si="18"/>
        <v>129361.87324165973</v>
      </c>
      <c r="BZ61" s="51">
        <f t="shared" si="19"/>
        <v>127678.00567378532</v>
      </c>
      <c r="CA61" s="337">
        <f t="shared" si="20"/>
        <v>0</v>
      </c>
    </row>
    <row r="62" spans="1:79">
      <c r="A62" s="48"/>
      <c r="B62" s="37">
        <f>'11. Investeringen (WUI+ombouw)'!B22</f>
        <v>3</v>
      </c>
      <c r="C62" s="48"/>
      <c r="D62" s="48"/>
      <c r="E62" s="48"/>
      <c r="F62" s="42">
        <f>'11. Investeringen (WUI+ombouw)'!C22</f>
        <v>2724356.4622969897</v>
      </c>
      <c r="G62" s="48"/>
      <c r="H62" s="37">
        <f>'11. Investeringen (WUI+ombouw)'!D22</f>
        <v>2022</v>
      </c>
      <c r="I62" s="37" t="str">
        <f>'11. Investeringen (WUI+ombouw)'!E22</f>
        <v>02 Gasontvangststations</v>
      </c>
      <c r="J62" s="37" t="str">
        <f>'11. Investeringen (WUI+ombouw)'!F22</f>
        <v>VVI</v>
      </c>
      <c r="K62" s="37" t="str">
        <f>'11. Investeringen (WUI+ombouw)'!G22</f>
        <v>Ja</v>
      </c>
      <c r="L62" s="38">
        <f t="shared" si="21"/>
        <v>2024</v>
      </c>
      <c r="M62" s="38">
        <f>_xlfn.XLOOKUP(I62,'3. Input (des)investeringen '!$B$11:$B$89,'3. Input (des)investeringen '!$D$11:$D$89,0)</f>
        <v>30</v>
      </c>
      <c r="O62" s="43">
        <f t="shared" si="0"/>
        <v>0</v>
      </c>
      <c r="P62" s="43">
        <f t="shared" si="1"/>
        <v>0</v>
      </c>
      <c r="R62" s="43">
        <f t="shared" si="22"/>
        <v>0</v>
      </c>
      <c r="S62" s="43">
        <f t="shared" si="2"/>
        <v>0</v>
      </c>
      <c r="U62" s="43">
        <f t="shared" si="23"/>
        <v>2724356.4622969897</v>
      </c>
      <c r="V62" s="38">
        <f t="shared" si="24"/>
        <v>30</v>
      </c>
      <c r="X62" s="43">
        <f t="shared" si="3"/>
        <v>53124.951014791302</v>
      </c>
      <c r="Y62" s="43">
        <f t="shared" si="3"/>
        <v>103947.82081894165</v>
      </c>
      <c r="Z62" s="43">
        <f t="shared" si="3"/>
        <v>99443.415250120845</v>
      </c>
      <c r="AA62" s="43">
        <f t="shared" si="3"/>
        <v>95134.200589282264</v>
      </c>
      <c r="AB62" s="43">
        <f t="shared" si="3"/>
        <v>91011.71856374669</v>
      </c>
      <c r="AD62" s="43">
        <f t="shared" si="4"/>
        <v>4540.5941038283163</v>
      </c>
      <c r="AE62" s="43">
        <f t="shared" si="4"/>
        <v>9081.1882076566326</v>
      </c>
      <c r="AF62" s="43">
        <f t="shared" si="4"/>
        <v>9081.1882076566326</v>
      </c>
      <c r="AG62" s="43">
        <f t="shared" si="4"/>
        <v>9081.1882076566326</v>
      </c>
      <c r="AH62" s="43">
        <f t="shared" si="4"/>
        <v>9081.1882076566326</v>
      </c>
      <c r="AJ62" s="43">
        <f t="shared" si="25"/>
        <v>57665.545118619615</v>
      </c>
      <c r="AK62" s="43">
        <f t="shared" si="26"/>
        <v>113029.00902659827</v>
      </c>
      <c r="AL62" s="43">
        <f t="shared" si="27"/>
        <v>108524.60345777747</v>
      </c>
      <c r="AM62" s="43">
        <f t="shared" si="28"/>
        <v>104215.3887969389</v>
      </c>
      <c r="AN62" s="43">
        <f t="shared" si="29"/>
        <v>100092.90677140333</v>
      </c>
      <c r="AP62" s="43">
        <f t="shared" si="30"/>
        <v>2666690.9171783701</v>
      </c>
      <c r="AQ62" s="43">
        <f t="shared" si="31"/>
        <v>2553661.9081517719</v>
      </c>
      <c r="AR62" s="43">
        <f t="shared" si="6"/>
        <v>2445137.3046939946</v>
      </c>
      <c r="AS62" s="43">
        <f t="shared" si="6"/>
        <v>2340921.9158970555</v>
      </c>
      <c r="AT62" s="43">
        <f t="shared" si="6"/>
        <v>2240829.0091256523</v>
      </c>
      <c r="AV62" s="47">
        <f t="shared" si="32"/>
        <v>0</v>
      </c>
      <c r="AW62" s="47">
        <f t="shared" si="33"/>
        <v>0</v>
      </c>
      <c r="AX62" s="47">
        <f t="shared" si="34"/>
        <v>148333.03630268422</v>
      </c>
      <c r="AY62" s="47">
        <f t="shared" si="35"/>
        <v>197299.85199560673</v>
      </c>
      <c r="AZ62" s="47">
        <f t="shared" si="36"/>
        <v>201439.82103614928</v>
      </c>
      <c r="BA62" s="43">
        <f t="shared" si="37"/>
        <v>193170.42160102702</v>
      </c>
      <c r="BB62" s="43">
        <f t="shared" si="38"/>
        <v>185244.40911817813</v>
      </c>
      <c r="BD62" s="43">
        <f t="shared" si="7"/>
        <v>0</v>
      </c>
      <c r="BE62" s="43">
        <f t="shared" si="8"/>
        <v>0</v>
      </c>
      <c r="BF62" s="43">
        <f t="shared" si="9"/>
        <v>13621.782311484949</v>
      </c>
      <c r="BG62" s="43">
        <f t="shared" si="10"/>
        <v>28816.934967075656</v>
      </c>
      <c r="BH62" s="43">
        <f t="shared" si="11"/>
        <v>30997.800605383945</v>
      </c>
      <c r="BI62" s="43">
        <f t="shared" si="12"/>
        <v>31738.276066245355</v>
      </c>
      <c r="BJ62" s="43">
        <f t="shared" si="13"/>
        <v>32812.553234535626</v>
      </c>
      <c r="BL62" s="43">
        <f t="shared" si="39"/>
        <v>0</v>
      </c>
      <c r="BM62" s="43">
        <f t="shared" si="40"/>
        <v>0</v>
      </c>
      <c r="BN62" s="43">
        <f t="shared" si="41"/>
        <v>161954.81861416917</v>
      </c>
      <c r="BO62" s="43">
        <f t="shared" si="42"/>
        <v>226116.78696268238</v>
      </c>
      <c r="BP62" s="43">
        <f t="shared" si="43"/>
        <v>232437.62164153322</v>
      </c>
      <c r="BQ62" s="43">
        <f t="shared" si="44"/>
        <v>224908.69766727238</v>
      </c>
      <c r="BR62" s="43">
        <f t="shared" si="45"/>
        <v>218056.96235271374</v>
      </c>
      <c r="BT62" s="10"/>
      <c r="BU62" s="10"/>
      <c r="BV62" s="51">
        <f t="shared" si="15"/>
        <v>0</v>
      </c>
      <c r="BW62" s="51">
        <f t="shared" si="16"/>
        <v>0</v>
      </c>
      <c r="BX62" s="51">
        <f t="shared" si="17"/>
        <v>639400.75166863354</v>
      </c>
      <c r="BY62" s="51">
        <f t="shared" si="18"/>
        <v>224908.69766727238</v>
      </c>
      <c r="BZ62" s="51">
        <f t="shared" si="19"/>
        <v>218056.96235271374</v>
      </c>
      <c r="CA62" s="337">
        <f t="shared" si="20"/>
        <v>0</v>
      </c>
    </row>
    <row r="63" spans="1:79">
      <c r="A63" s="48"/>
      <c r="B63" s="37">
        <f>'11. Investeringen (WUI+ombouw)'!B23</f>
        <v>4</v>
      </c>
      <c r="C63" s="48"/>
      <c r="D63" s="48"/>
      <c r="E63" s="48"/>
      <c r="F63" s="42">
        <f>'11. Investeringen (WUI+ombouw)'!C23</f>
        <v>226794.9736094765</v>
      </c>
      <c r="G63" s="48"/>
      <c r="H63" s="37">
        <f>'11. Investeringen (WUI+ombouw)'!D23</f>
        <v>2022</v>
      </c>
      <c r="I63" s="37" t="str">
        <f>'11. Investeringen (WUI+ombouw)'!E23</f>
        <v>06 Utiliteitsgebouwen</v>
      </c>
      <c r="J63" s="37" t="str">
        <f>'11. Investeringen (WUI+ombouw)'!F23</f>
        <v>VVI</v>
      </c>
      <c r="K63" s="37" t="str">
        <f>'11. Investeringen (WUI+ombouw)'!G23</f>
        <v>Ja</v>
      </c>
      <c r="L63" s="38">
        <f t="shared" si="21"/>
        <v>2024</v>
      </c>
      <c r="M63" s="38">
        <f>_xlfn.XLOOKUP(I63,'3. Input (des)investeringen '!$B$11:$B$89,'3. Input (des)investeringen '!$D$11:$D$89,0)</f>
        <v>30</v>
      </c>
      <c r="O63" s="43">
        <f t="shared" si="0"/>
        <v>0</v>
      </c>
      <c r="P63" s="43">
        <f t="shared" si="1"/>
        <v>0</v>
      </c>
      <c r="R63" s="43">
        <f t="shared" si="22"/>
        <v>0</v>
      </c>
      <c r="S63" s="43">
        <f t="shared" si="2"/>
        <v>0</v>
      </c>
      <c r="U63" s="43">
        <f t="shared" si="23"/>
        <v>226794.9736094765</v>
      </c>
      <c r="V63" s="38">
        <f t="shared" si="24"/>
        <v>30</v>
      </c>
      <c r="X63" s="43">
        <f t="shared" si="3"/>
        <v>4422.5019853847925</v>
      </c>
      <c r="Y63" s="43">
        <f t="shared" si="3"/>
        <v>8653.3622180695766</v>
      </c>
      <c r="Z63" s="43">
        <f t="shared" si="3"/>
        <v>8278.3831886198932</v>
      </c>
      <c r="AA63" s="43">
        <f t="shared" si="3"/>
        <v>7919.6532504463667</v>
      </c>
      <c r="AB63" s="43">
        <f t="shared" si="3"/>
        <v>7576.468276260357</v>
      </c>
      <c r="AD63" s="43">
        <f t="shared" si="4"/>
        <v>377.99162268246084</v>
      </c>
      <c r="AE63" s="43">
        <f t="shared" si="4"/>
        <v>755.98324536492169</v>
      </c>
      <c r="AF63" s="43">
        <f t="shared" si="4"/>
        <v>755.98324536492169</v>
      </c>
      <c r="AG63" s="43">
        <f t="shared" si="4"/>
        <v>755.98324536492169</v>
      </c>
      <c r="AH63" s="43">
        <f t="shared" si="4"/>
        <v>755.98324536492169</v>
      </c>
      <c r="AJ63" s="43">
        <f t="shared" si="25"/>
        <v>4800.4936080672533</v>
      </c>
      <c r="AK63" s="43">
        <f t="shared" si="26"/>
        <v>9409.345463434498</v>
      </c>
      <c r="AL63" s="43">
        <f t="shared" si="27"/>
        <v>9034.3664339848146</v>
      </c>
      <c r="AM63" s="43">
        <f t="shared" si="28"/>
        <v>8675.6364958112881</v>
      </c>
      <c r="AN63" s="43">
        <f t="shared" si="29"/>
        <v>8332.4515216252785</v>
      </c>
      <c r="AP63" s="43">
        <f t="shared" si="30"/>
        <v>221994.48000140925</v>
      </c>
      <c r="AQ63" s="43">
        <f t="shared" si="31"/>
        <v>212585.13453797475</v>
      </c>
      <c r="AR63" s="43">
        <f t="shared" si="6"/>
        <v>203550.76810398995</v>
      </c>
      <c r="AS63" s="43">
        <f t="shared" si="6"/>
        <v>194875.13160817866</v>
      </c>
      <c r="AT63" s="43">
        <f t="shared" si="6"/>
        <v>186542.68008655339</v>
      </c>
      <c r="AV63" s="47">
        <f t="shared" si="32"/>
        <v>0</v>
      </c>
      <c r="AW63" s="47">
        <f t="shared" si="33"/>
        <v>0</v>
      </c>
      <c r="AX63" s="47">
        <f t="shared" si="34"/>
        <v>12348.305928115169</v>
      </c>
      <c r="AY63" s="47">
        <f t="shared" si="35"/>
        <v>16424.654903187664</v>
      </c>
      <c r="AZ63" s="47">
        <f t="shared" si="36"/>
        <v>16769.295621936431</v>
      </c>
      <c r="BA63" s="43">
        <f t="shared" si="37"/>
        <v>16080.891496922077</v>
      </c>
      <c r="BB63" s="43">
        <f t="shared" si="38"/>
        <v>15421.073364914308</v>
      </c>
      <c r="BD63" s="43">
        <f t="shared" si="7"/>
        <v>0</v>
      </c>
      <c r="BE63" s="43">
        <f t="shared" si="8"/>
        <v>0</v>
      </c>
      <c r="BF63" s="43">
        <f t="shared" si="9"/>
        <v>1133.9748680473824</v>
      </c>
      <c r="BG63" s="43">
        <f t="shared" si="10"/>
        <v>2398.9283692537101</v>
      </c>
      <c r="BH63" s="43">
        <f t="shared" si="11"/>
        <v>2580.4792682388306</v>
      </c>
      <c r="BI63" s="43">
        <f t="shared" si="12"/>
        <v>2642.1217569985201</v>
      </c>
      <c r="BJ63" s="43">
        <f t="shared" si="13"/>
        <v>2731.552294229406</v>
      </c>
      <c r="BL63" s="43">
        <f t="shared" si="39"/>
        <v>0</v>
      </c>
      <c r="BM63" s="43">
        <f t="shared" si="40"/>
        <v>0</v>
      </c>
      <c r="BN63" s="43">
        <f t="shared" si="41"/>
        <v>13482.280796162551</v>
      </c>
      <c r="BO63" s="43">
        <f>AY63+BG63</f>
        <v>18823.583272441374</v>
      </c>
      <c r="BP63" s="43">
        <f t="shared" si="43"/>
        <v>19349.774890175264</v>
      </c>
      <c r="BQ63" s="43">
        <f t="shared" si="44"/>
        <v>18723.013253920595</v>
      </c>
      <c r="BR63" s="43">
        <f t="shared" si="45"/>
        <v>18152.625659143712</v>
      </c>
      <c r="BT63" s="10"/>
      <c r="BU63" s="10"/>
      <c r="BV63" s="51">
        <f t="shared" si="15"/>
        <v>0</v>
      </c>
      <c r="BW63" s="51">
        <f t="shared" si="16"/>
        <v>0</v>
      </c>
      <c r="BX63" s="51">
        <f t="shared" si="17"/>
        <v>53228.304962083523</v>
      </c>
      <c r="BY63" s="51">
        <f t="shared" si="18"/>
        <v>18723.013253920595</v>
      </c>
      <c r="BZ63" s="51">
        <f t="shared" si="19"/>
        <v>18152.625659143712</v>
      </c>
      <c r="CA63" s="337">
        <f t="shared" si="20"/>
        <v>0</v>
      </c>
    </row>
    <row r="64" spans="1:79">
      <c r="A64" s="48"/>
      <c r="B64" s="37">
        <f>'11. Investeringen (WUI+ombouw)'!B24</f>
        <v>5</v>
      </c>
      <c r="C64" s="48"/>
      <c r="D64" s="48"/>
      <c r="E64" s="48"/>
      <c r="F64" s="42">
        <f>'11. Investeringen (WUI+ombouw)'!C24</f>
        <v>3824577.1209736457</v>
      </c>
      <c r="G64" s="48"/>
      <c r="H64" s="37">
        <f>'11. Investeringen (WUI+ombouw)'!D24</f>
        <v>2022</v>
      </c>
      <c r="I64" s="37" t="str">
        <f>'11. Investeringen (WUI+ombouw)'!E24</f>
        <v>21 Hoofdtransportleiding</v>
      </c>
      <c r="J64" s="37" t="str">
        <f>'11. Investeringen (WUI+ombouw)'!F24</f>
        <v>VVI</v>
      </c>
      <c r="K64" s="37" t="str">
        <f>'11. Investeringen (WUI+ombouw)'!G24</f>
        <v>Ja</v>
      </c>
      <c r="L64" s="38">
        <f t="shared" si="21"/>
        <v>2024</v>
      </c>
      <c r="M64" s="38">
        <f>_xlfn.XLOOKUP(I64,'3. Input (des)investeringen '!$B$11:$B$89,'3. Input (des)investeringen '!$D$11:$D$89,0)</f>
        <v>55</v>
      </c>
      <c r="O64" s="43">
        <f t="shared" si="0"/>
        <v>0</v>
      </c>
      <c r="P64" s="43">
        <f t="shared" si="1"/>
        <v>0</v>
      </c>
      <c r="R64" s="43">
        <f t="shared" si="22"/>
        <v>0</v>
      </c>
      <c r="S64" s="43">
        <f t="shared" si="2"/>
        <v>0</v>
      </c>
      <c r="U64" s="43">
        <f t="shared" si="23"/>
        <v>3824577.1209736457</v>
      </c>
      <c r="V64" s="38">
        <f t="shared" si="24"/>
        <v>55</v>
      </c>
      <c r="X64" s="43">
        <f t="shared" si="3"/>
        <v>40679.593013992417</v>
      </c>
      <c r="Y64" s="43">
        <f t="shared" si="3"/>
        <v>80397.668374926827</v>
      </c>
      <c r="Z64" s="43">
        <f t="shared" si="3"/>
        <v>78497.359849701272</v>
      </c>
      <c r="AA64" s="43">
        <f t="shared" si="3"/>
        <v>76641.967707799253</v>
      </c>
      <c r="AB64" s="43">
        <f t="shared" si="3"/>
        <v>74830.430289251264</v>
      </c>
      <c r="AD64" s="43">
        <f t="shared" si="4"/>
        <v>3476.8882917942233</v>
      </c>
      <c r="AE64" s="43">
        <f t="shared" si="4"/>
        <v>6953.7765835884484</v>
      </c>
      <c r="AF64" s="43">
        <f t="shared" si="4"/>
        <v>6953.7765835884484</v>
      </c>
      <c r="AG64" s="43">
        <f t="shared" si="4"/>
        <v>6953.7765835884484</v>
      </c>
      <c r="AH64" s="43">
        <f t="shared" si="4"/>
        <v>6953.7765835884484</v>
      </c>
      <c r="AJ64" s="43">
        <f t="shared" si="25"/>
        <v>44156.481305786641</v>
      </c>
      <c r="AK64" s="43">
        <f t="shared" si="26"/>
        <v>87351.444958515276</v>
      </c>
      <c r="AL64" s="43">
        <f t="shared" si="27"/>
        <v>85451.136433289721</v>
      </c>
      <c r="AM64" s="43">
        <f t="shared" si="28"/>
        <v>83595.744291387702</v>
      </c>
      <c r="AN64" s="43">
        <f t="shared" si="29"/>
        <v>81784.206872839713</v>
      </c>
      <c r="AP64" s="43">
        <f t="shared" si="30"/>
        <v>3780420.6396678593</v>
      </c>
      <c r="AQ64" s="43">
        <f t="shared" si="31"/>
        <v>3693069.1947093438</v>
      </c>
      <c r="AR64" s="43">
        <f t="shared" si="6"/>
        <v>3607618.058276054</v>
      </c>
      <c r="AS64" s="43">
        <f t="shared" si="6"/>
        <v>3524022.3139846665</v>
      </c>
      <c r="AT64" s="43">
        <f t="shared" si="6"/>
        <v>3442238.1071118265</v>
      </c>
      <c r="AV64" s="47">
        <f t="shared" si="32"/>
        <v>0</v>
      </c>
      <c r="AW64" s="47">
        <f t="shared" si="33"/>
        <v>0</v>
      </c>
      <c r="AX64" s="47">
        <f t="shared" si="34"/>
        <v>172690.78305449386</v>
      </c>
      <c r="AY64" s="47">
        <f t="shared" si="35"/>
        <v>209222.72838392365</v>
      </c>
      <c r="AZ64" s="47">
        <f t="shared" si="36"/>
        <v>222540.62264777976</v>
      </c>
      <c r="BA64" s="43">
        <f t="shared" si="37"/>
        <v>217508.59222280502</v>
      </c>
      <c r="BB64" s="43">
        <f t="shared" si="38"/>
        <v>212589.25494308912</v>
      </c>
      <c r="BD64" s="43">
        <f t="shared" si="7"/>
        <v>0</v>
      </c>
      <c r="BE64" s="43">
        <f t="shared" si="8"/>
        <v>0</v>
      </c>
      <c r="BF64" s="43">
        <f t="shared" si="9"/>
        <v>19122.885604868228</v>
      </c>
      <c r="BG64" s="43">
        <f t="shared" si="10"/>
        <v>40454.540988641158</v>
      </c>
      <c r="BH64" s="43">
        <f t="shared" si="11"/>
        <v>43516.140650661524</v>
      </c>
      <c r="BI64" s="43">
        <f t="shared" si="12"/>
        <v>44555.654218524527</v>
      </c>
      <c r="BJ64" s="43">
        <f t="shared" si="13"/>
        <v>46063.77400251315</v>
      </c>
      <c r="BL64" s="43">
        <f t="shared" si="39"/>
        <v>0</v>
      </c>
      <c r="BM64" s="43">
        <f t="shared" si="40"/>
        <v>0</v>
      </c>
      <c r="BN64" s="43">
        <f t="shared" si="41"/>
        <v>191813.6686593621</v>
      </c>
      <c r="BO64" s="43">
        <f t="shared" si="42"/>
        <v>249677.2693725648</v>
      </c>
      <c r="BP64" s="43">
        <f t="shared" si="43"/>
        <v>266056.76329844131</v>
      </c>
      <c r="BQ64" s="43">
        <f t="shared" si="44"/>
        <v>262064.24644132954</v>
      </c>
      <c r="BR64" s="43">
        <f t="shared" si="45"/>
        <v>258653.02894560227</v>
      </c>
      <c r="BT64" s="10"/>
      <c r="BU64" s="10"/>
      <c r="BV64" s="51">
        <f t="shared" si="15"/>
        <v>0</v>
      </c>
      <c r="BW64" s="51">
        <f t="shared" si="16"/>
        <v>0</v>
      </c>
      <c r="BX64" s="51">
        <f t="shared" si="17"/>
        <v>729197.06315976009</v>
      </c>
      <c r="BY64" s="51">
        <f t="shared" si="18"/>
        <v>262064.24644132954</v>
      </c>
      <c r="BZ64" s="51">
        <f t="shared" si="19"/>
        <v>258653.02894560227</v>
      </c>
      <c r="CA64" s="337">
        <f t="shared" si="20"/>
        <v>0</v>
      </c>
    </row>
    <row r="65" spans="1:79">
      <c r="A65" s="48"/>
      <c r="B65" s="37">
        <f>'11. Investeringen (WUI+ombouw)'!B25</f>
        <v>6</v>
      </c>
      <c r="C65" s="48"/>
      <c r="D65" s="48"/>
      <c r="E65" s="48"/>
      <c r="F65" s="42">
        <f>'11. Investeringen (WUI+ombouw)'!C25</f>
        <v>3150608.2540416676</v>
      </c>
      <c r="G65" s="48"/>
      <c r="H65" s="37">
        <f>'11. Investeringen (WUI+ombouw)'!D25</f>
        <v>2022</v>
      </c>
      <c r="I65" s="37" t="str">
        <f>'11. Investeringen (WUI+ombouw)'!E25</f>
        <v>32 M&amp;R stations</v>
      </c>
      <c r="J65" s="37" t="str">
        <f>'11. Investeringen (WUI+ombouw)'!F25</f>
        <v>VVI</v>
      </c>
      <c r="K65" s="37" t="str">
        <f>'11. Investeringen (WUI+ombouw)'!G25</f>
        <v>Ja</v>
      </c>
      <c r="L65" s="38">
        <f>H65+2</f>
        <v>2024</v>
      </c>
      <c r="M65" s="38">
        <f>_xlfn.XLOOKUP(I65,'3. Input (des)investeringen '!$B$11:$B$89,'3. Input (des)investeringen '!$D$11:$D$89,0)</f>
        <v>30</v>
      </c>
      <c r="O65" s="43">
        <f t="shared" si="0"/>
        <v>0</v>
      </c>
      <c r="P65" s="43">
        <f t="shared" si="1"/>
        <v>0</v>
      </c>
      <c r="R65" s="43">
        <f t="shared" si="22"/>
        <v>0</v>
      </c>
      <c r="S65" s="43">
        <f t="shared" si="2"/>
        <v>0</v>
      </c>
      <c r="U65" s="43">
        <f>IF(H65&lt;=2021,S65,F65)</f>
        <v>3150608.2540416676</v>
      </c>
      <c r="V65" s="38">
        <f t="shared" si="24"/>
        <v>30</v>
      </c>
      <c r="X65" s="43">
        <f t="shared" si="3"/>
        <v>61436.860953812517</v>
      </c>
      <c r="Y65" s="43">
        <f t="shared" si="3"/>
        <v>120211.45793295982</v>
      </c>
      <c r="Z65" s="43">
        <f t="shared" si="3"/>
        <v>115002.29475586492</v>
      </c>
      <c r="AA65" s="43">
        <f t="shared" si="3"/>
        <v>110018.86198311076</v>
      </c>
      <c r="AB65" s="43">
        <f t="shared" si="3"/>
        <v>105251.37796384263</v>
      </c>
      <c r="AD65" s="43">
        <f t="shared" si="4"/>
        <v>5251.0137567361126</v>
      </c>
      <c r="AE65" s="43">
        <f t="shared" si="4"/>
        <v>10502.027513472225</v>
      </c>
      <c r="AF65" s="43">
        <f t="shared" si="4"/>
        <v>10502.027513472225</v>
      </c>
      <c r="AG65" s="43">
        <f t="shared" si="4"/>
        <v>10502.027513472225</v>
      </c>
      <c r="AH65" s="43">
        <f t="shared" si="4"/>
        <v>10502.027513472225</v>
      </c>
      <c r="AJ65" s="43">
        <f t="shared" si="25"/>
        <v>66687.874710548625</v>
      </c>
      <c r="AK65" s="43">
        <f t="shared" si="26"/>
        <v>130713.48544643205</v>
      </c>
      <c r="AL65" s="43">
        <f t="shared" si="27"/>
        <v>125504.32226933714</v>
      </c>
      <c r="AM65" s="43">
        <f t="shared" si="28"/>
        <v>120520.889496583</v>
      </c>
      <c r="AN65" s="43">
        <f t="shared" si="29"/>
        <v>115753.40547731487</v>
      </c>
      <c r="AP65" s="43">
        <f t="shared" si="30"/>
        <v>3083920.3793311189</v>
      </c>
      <c r="AQ65" s="43">
        <f t="shared" si="31"/>
        <v>2953206.8938846868</v>
      </c>
      <c r="AR65" s="43">
        <f t="shared" si="6"/>
        <v>2827702.5716153495</v>
      </c>
      <c r="AS65" s="43">
        <f t="shared" si="6"/>
        <v>2707181.6821187665</v>
      </c>
      <c r="AT65" s="43">
        <f t="shared" si="6"/>
        <v>2591428.2766414518</v>
      </c>
      <c r="AV65" s="47">
        <f>O65+R65*H$16</f>
        <v>0</v>
      </c>
      <c r="AW65" s="47">
        <f t="shared" si="33"/>
        <v>0</v>
      </c>
      <c r="AX65" s="47">
        <f>AJ65+AP65*J$17</f>
        <v>171541.16760780668</v>
      </c>
      <c r="AY65" s="47">
        <f t="shared" si="35"/>
        <v>228169.31294462673</v>
      </c>
      <c r="AZ65" s="47">
        <f t="shared" si="36"/>
        <v>232957.01999072041</v>
      </c>
      <c r="BA65" s="43">
        <f t="shared" si="37"/>
        <v>223393.79341709614</v>
      </c>
      <c r="BB65" s="43">
        <f t="shared" si="38"/>
        <v>214227.67998969002</v>
      </c>
      <c r="BD65" s="43">
        <f t="shared" si="7"/>
        <v>0</v>
      </c>
      <c r="BE65" s="43">
        <f t="shared" si="8"/>
        <v>0</v>
      </c>
      <c r="BF65" s="43">
        <f t="shared" si="9"/>
        <v>15753.041270208338</v>
      </c>
      <c r="BG65" s="43">
        <f t="shared" si="10"/>
        <v>33325.62181929082</v>
      </c>
      <c r="BH65" s="43">
        <f t="shared" si="11"/>
        <v>35847.704878574754</v>
      </c>
      <c r="BI65" s="43">
        <f t="shared" si="12"/>
        <v>36704.034852714147</v>
      </c>
      <c r="BJ65" s="43">
        <f t="shared" si="13"/>
        <v>37946.393024408819</v>
      </c>
      <c r="BL65" s="43">
        <f t="shared" si="39"/>
        <v>0</v>
      </c>
      <c r="BM65" s="43">
        <f t="shared" si="40"/>
        <v>0</v>
      </c>
      <c r="BN65" s="43">
        <f t="shared" si="41"/>
        <v>187294.20887801502</v>
      </c>
      <c r="BO65" s="43">
        <f t="shared" si="42"/>
        <v>261494.93476391755</v>
      </c>
      <c r="BP65" s="43">
        <f t="shared" si="43"/>
        <v>268804.72486929514</v>
      </c>
      <c r="BQ65" s="43">
        <f t="shared" si="44"/>
        <v>260097.8282698103</v>
      </c>
      <c r="BR65" s="43">
        <f t="shared" si="45"/>
        <v>252174.07301409883</v>
      </c>
      <c r="BT65" s="10"/>
      <c r="BU65" s="10"/>
      <c r="BV65" s="51">
        <f t="shared" si="15"/>
        <v>0</v>
      </c>
      <c r="BW65" s="51">
        <f t="shared" si="16"/>
        <v>0</v>
      </c>
      <c r="BX65" s="51">
        <f t="shared" si="17"/>
        <v>739441.15380156774</v>
      </c>
      <c r="BY65" s="51">
        <f t="shared" si="18"/>
        <v>260097.8282698103</v>
      </c>
      <c r="BZ65" s="51">
        <f t="shared" si="19"/>
        <v>252174.07301409883</v>
      </c>
      <c r="CA65" s="337">
        <f t="shared" si="20"/>
        <v>0</v>
      </c>
    </row>
    <row r="66" spans="1:79" s="227" customFormat="1">
      <c r="A66" s="48"/>
      <c r="B66" s="37">
        <f>'11. Investeringen (WUI+ombouw)'!B26</f>
        <v>7</v>
      </c>
      <c r="C66" s="48"/>
      <c r="D66" s="48"/>
      <c r="E66" s="48"/>
      <c r="F66" s="42">
        <f>'11. Investeringen (WUI+ombouw)'!C26</f>
        <v>1821898.5094885458</v>
      </c>
      <c r="G66" s="48"/>
      <c r="H66" s="37">
        <f>'11. Investeringen (WUI+ombouw)'!D26</f>
        <v>2023</v>
      </c>
      <c r="I66" s="37" t="str">
        <f>'11. Investeringen (WUI+ombouw)'!E26</f>
        <v>04 Terreinen</v>
      </c>
      <c r="J66" s="37" t="str">
        <f>'11. Investeringen (WUI+ombouw)'!F26</f>
        <v>WUI</v>
      </c>
      <c r="K66" s="37" t="str">
        <f>'11. Investeringen (WUI+ombouw)'!G26</f>
        <v>Nee</v>
      </c>
      <c r="L66" s="38">
        <f t="shared" ref="L66:L79" si="46">H66+2</f>
        <v>2025</v>
      </c>
      <c r="M66" s="38">
        <f>_xlfn.XLOOKUP(I66,'3. Input (des)investeringen '!$B$11:$B$89,'3. Input (des)investeringen '!$D$11:$D$89,0)</f>
        <v>0</v>
      </c>
      <c r="N66" s="3"/>
      <c r="O66" s="43">
        <f t="shared" si="0"/>
        <v>0</v>
      </c>
      <c r="P66" s="43">
        <f t="shared" si="1"/>
        <v>0</v>
      </c>
      <c r="Q66" s="3"/>
      <c r="R66" s="43">
        <f t="shared" si="22"/>
        <v>0</v>
      </c>
      <c r="S66" s="43">
        <f t="shared" si="2"/>
        <v>0</v>
      </c>
      <c r="T66" s="3"/>
      <c r="U66" s="43">
        <f t="shared" ref="U66:U79" si="47">IF(H66&lt;=2021,S66,F66)</f>
        <v>1821898.5094885458</v>
      </c>
      <c r="V66" s="38">
        <f t="shared" ref="V66:V79" si="48">IF($M66&gt;0,IF(H66&lt;2022,M66-2021+H66-0.5,M66),0)</f>
        <v>0</v>
      </c>
      <c r="W66" s="3"/>
      <c r="X66" s="43">
        <f t="shared" si="3"/>
        <v>0</v>
      </c>
      <c r="Y66" s="43">
        <f t="shared" si="3"/>
        <v>0</v>
      </c>
      <c r="Z66" s="43">
        <f t="shared" si="3"/>
        <v>0</v>
      </c>
      <c r="AA66" s="43">
        <f t="shared" si="3"/>
        <v>0</v>
      </c>
      <c r="AB66" s="43">
        <f t="shared" si="3"/>
        <v>0</v>
      </c>
      <c r="AC66" s="3"/>
      <c r="AD66" s="43">
        <f t="shared" si="4"/>
        <v>0</v>
      </c>
      <c r="AE66" s="43">
        <f t="shared" si="4"/>
        <v>0</v>
      </c>
      <c r="AF66" s="43">
        <f t="shared" si="4"/>
        <v>0</v>
      </c>
      <c r="AG66" s="43">
        <f t="shared" si="4"/>
        <v>0</v>
      </c>
      <c r="AH66" s="43">
        <f t="shared" si="4"/>
        <v>0</v>
      </c>
      <c r="AI66" s="3"/>
      <c r="AJ66" s="43">
        <f t="shared" ref="AJ66:AJ79" si="49">X66+AD66</f>
        <v>0</v>
      </c>
      <c r="AK66" s="43">
        <f t="shared" ref="AK66:AK79" si="50">Y66+AE66</f>
        <v>0</v>
      </c>
      <c r="AL66" s="43">
        <f t="shared" ref="AL66:AL79" si="51">Z66+AF66</f>
        <v>0</v>
      </c>
      <c r="AM66" s="43">
        <f t="shared" ref="AM66:AM79" si="52">AA66+AG66</f>
        <v>0</v>
      </c>
      <c r="AN66" s="43">
        <f t="shared" ref="AN66:AN79" si="53">AB66+AH66</f>
        <v>0</v>
      </c>
      <c r="AO66" s="3"/>
      <c r="AP66" s="43">
        <f t="shared" si="30"/>
        <v>0</v>
      </c>
      <c r="AQ66" s="43">
        <f t="shared" si="31"/>
        <v>1821898.5094885458</v>
      </c>
      <c r="AR66" s="43">
        <f t="shared" si="6"/>
        <v>1821898.5094885458</v>
      </c>
      <c r="AS66" s="43">
        <f t="shared" si="6"/>
        <v>1821898.5094885458</v>
      </c>
      <c r="AT66" s="43">
        <f t="shared" si="6"/>
        <v>1821898.5094885458</v>
      </c>
      <c r="AU66" s="3"/>
      <c r="AV66" s="47">
        <f>O66+R66*H$16</f>
        <v>0</v>
      </c>
      <c r="AW66" s="47">
        <f t="shared" ref="AW66:AW79" si="54">P66+S66*I$16</f>
        <v>0</v>
      </c>
      <c r="AX66" s="47">
        <f>AJ66+AP66*J$17</f>
        <v>0</v>
      </c>
      <c r="AY66" s="47">
        <f t="shared" ref="AY66:AY79" si="55">AK66+AQ66*K$17</f>
        <v>60122.650813122018</v>
      </c>
      <c r="AZ66" s="47">
        <f t="shared" ref="AZ66:AZ79" si="56">AL66+AR66*L$17</f>
        <v>69232.143360564733</v>
      </c>
      <c r="BA66" s="43">
        <f t="shared" ref="BA66:BA79" si="57">AM66+AS66*M$17</f>
        <v>69232.143360564733</v>
      </c>
      <c r="BB66" s="43">
        <f t="shared" ref="BB66:BB79" si="58">AN66+AT66*N$17</f>
        <v>69232.143360564733</v>
      </c>
      <c r="BC66" s="3"/>
      <c r="BD66" s="43">
        <f t="shared" si="7"/>
        <v>0</v>
      </c>
      <c r="BE66" s="43">
        <f t="shared" si="8"/>
        <v>0</v>
      </c>
      <c r="BF66" s="43">
        <f t="shared" si="9"/>
        <v>0</v>
      </c>
      <c r="BG66" s="43">
        <f t="shared" si="10"/>
        <v>0</v>
      </c>
      <c r="BH66" s="43">
        <f t="shared" si="11"/>
        <v>0</v>
      </c>
      <c r="BI66" s="43">
        <f t="shared" si="12"/>
        <v>0</v>
      </c>
      <c r="BJ66" s="43">
        <f t="shared" si="13"/>
        <v>0</v>
      </c>
      <c r="BK66" s="3"/>
      <c r="BL66" s="43">
        <f t="shared" ref="BL66:BL79" si="59">AV66+BD66</f>
        <v>0</v>
      </c>
      <c r="BM66" s="43">
        <f t="shared" ref="BM66:BM79" si="60">AW66+BE66</f>
        <v>0</v>
      </c>
      <c r="BN66" s="43">
        <f t="shared" ref="BN66:BN79" si="61">AX66+BF66</f>
        <v>0</v>
      </c>
      <c r="BO66" s="43">
        <f t="shared" ref="BO66:BO79" si="62">AY66+BG66</f>
        <v>60122.650813122018</v>
      </c>
      <c r="BP66" s="43">
        <f t="shared" ref="BP66:BP79" si="63">AZ66+BH66</f>
        <v>69232.143360564733</v>
      </c>
      <c r="BQ66" s="43">
        <f t="shared" ref="BQ66:BQ79" si="64">BA66+BI66</f>
        <v>69232.143360564733</v>
      </c>
      <c r="BR66" s="43">
        <f t="shared" ref="BR66:BR79" si="65">BB66+BJ66</f>
        <v>69232.143360564733</v>
      </c>
      <c r="BS66" s="3"/>
      <c r="BT66" s="10"/>
      <c r="BU66" s="10"/>
      <c r="BV66" s="51">
        <f t="shared" si="15"/>
        <v>0</v>
      </c>
      <c r="BW66" s="51">
        <f t="shared" si="16"/>
        <v>0</v>
      </c>
      <c r="BX66" s="51">
        <f t="shared" si="17"/>
        <v>0</v>
      </c>
      <c r="BY66" s="320">
        <f t="shared" si="18"/>
        <v>210215.02258121117</v>
      </c>
      <c r="BZ66" s="51">
        <f t="shared" si="19"/>
        <v>69232.143360564733</v>
      </c>
      <c r="CA66" s="337">
        <f t="shared" si="20"/>
        <v>0</v>
      </c>
    </row>
    <row r="67" spans="1:79" s="227" customFormat="1">
      <c r="A67" s="48"/>
      <c r="B67" s="37">
        <f>'11. Investeringen (WUI+ombouw)'!B27</f>
        <v>8</v>
      </c>
      <c r="C67" s="48"/>
      <c r="D67" s="48"/>
      <c r="E67" s="48"/>
      <c r="F67" s="42">
        <f>'11. Investeringen (WUI+ombouw)'!C27</f>
        <v>41241409.443761975</v>
      </c>
      <c r="G67" s="48"/>
      <c r="H67" s="37">
        <f>'11. Investeringen (WUI+ombouw)'!D27</f>
        <v>2023</v>
      </c>
      <c r="I67" s="37" t="str">
        <f>'11. Investeringen (WUI+ombouw)'!E27</f>
        <v>05 Wegen en terreinvoorzieningen</v>
      </c>
      <c r="J67" s="37" t="str">
        <f>'11. Investeringen (WUI+ombouw)'!F27</f>
        <v>WUI</v>
      </c>
      <c r="K67" s="37" t="str">
        <f>'11. Investeringen (WUI+ombouw)'!G27</f>
        <v>Nee</v>
      </c>
      <c r="L67" s="38">
        <f t="shared" si="46"/>
        <v>2025</v>
      </c>
      <c r="M67" s="38">
        <f>_xlfn.XLOOKUP(I67,'3. Input (des)investeringen '!$B$11:$B$89,'3. Input (des)investeringen '!$D$11:$D$89,0)</f>
        <v>10</v>
      </c>
      <c r="N67" s="3"/>
      <c r="O67" s="43">
        <f t="shared" si="0"/>
        <v>0</v>
      </c>
      <c r="P67" s="43">
        <f t="shared" si="1"/>
        <v>0</v>
      </c>
      <c r="Q67" s="3"/>
      <c r="R67" s="43">
        <f t="shared" si="22"/>
        <v>0</v>
      </c>
      <c r="S67" s="43">
        <f t="shared" si="2"/>
        <v>0</v>
      </c>
      <c r="T67" s="3"/>
      <c r="U67" s="43">
        <f t="shared" si="47"/>
        <v>41241409.443761975</v>
      </c>
      <c r="V67" s="38">
        <f t="shared" si="48"/>
        <v>10</v>
      </c>
      <c r="W67" s="3"/>
      <c r="X67" s="43">
        <f t="shared" si="3"/>
        <v>0</v>
      </c>
      <c r="Y67" s="43">
        <f t="shared" si="3"/>
        <v>2412622.4524600757</v>
      </c>
      <c r="Z67" s="43">
        <f t="shared" si="3"/>
        <v>4511603.9861003421</v>
      </c>
      <c r="AA67" s="43">
        <f t="shared" si="3"/>
        <v>3925095.467907297</v>
      </c>
      <c r="AB67" s="43">
        <f t="shared" si="3"/>
        <v>3502392.8790557417</v>
      </c>
      <c r="AC67" s="3"/>
      <c r="AD67" s="43">
        <f t="shared" si="4"/>
        <v>0</v>
      </c>
      <c r="AE67" s="43">
        <f t="shared" si="4"/>
        <v>206207.04721880989</v>
      </c>
      <c r="AF67" s="43">
        <f t="shared" si="4"/>
        <v>412414.09443761973</v>
      </c>
      <c r="AG67" s="43">
        <f t="shared" si="4"/>
        <v>412414.09443761973</v>
      </c>
      <c r="AH67" s="43">
        <f t="shared" si="4"/>
        <v>412414.09443761973</v>
      </c>
      <c r="AI67" s="3"/>
      <c r="AJ67" s="43">
        <f t="shared" si="49"/>
        <v>0</v>
      </c>
      <c r="AK67" s="43">
        <f t="shared" si="50"/>
        <v>2618829.4996788856</v>
      </c>
      <c r="AL67" s="43">
        <f t="shared" si="51"/>
        <v>4924018.0805379618</v>
      </c>
      <c r="AM67" s="43">
        <f t="shared" si="52"/>
        <v>4337509.5623449171</v>
      </c>
      <c r="AN67" s="43">
        <f t="shared" si="53"/>
        <v>3914806.9734933614</v>
      </c>
      <c r="AO67" s="3"/>
      <c r="AP67" s="43">
        <f t="shared" si="30"/>
        <v>0</v>
      </c>
      <c r="AQ67" s="43">
        <f t="shared" si="31"/>
        <v>38622579.944083087</v>
      </c>
      <c r="AR67" s="43">
        <f t="shared" si="6"/>
        <v>33698561.863545127</v>
      </c>
      <c r="AS67" s="43">
        <f t="shared" si="6"/>
        <v>29361052.301200211</v>
      </c>
      <c r="AT67" s="43">
        <f t="shared" si="6"/>
        <v>25446245.327706851</v>
      </c>
      <c r="AU67" s="3"/>
      <c r="AV67" s="47">
        <f t="shared" ref="AV67:AV79" si="66">O67+R67*H$16</f>
        <v>0</v>
      </c>
      <c r="AW67" s="47">
        <f t="shared" si="54"/>
        <v>0</v>
      </c>
      <c r="AX67" s="47">
        <f t="shared" ref="AX67:AX79" si="67">AJ67+AP67*J$17</f>
        <v>0</v>
      </c>
      <c r="AY67" s="47">
        <f t="shared" si="55"/>
        <v>3893374.6378336274</v>
      </c>
      <c r="AZ67" s="47">
        <f t="shared" si="56"/>
        <v>6204563.4313526768</v>
      </c>
      <c r="BA67" s="43">
        <f t="shared" si="57"/>
        <v>5453229.5497905249</v>
      </c>
      <c r="BB67" s="43">
        <f t="shared" si="58"/>
        <v>4881764.2959462218</v>
      </c>
      <c r="BC67" s="3"/>
      <c r="BD67" s="43">
        <f t="shared" si="7"/>
        <v>0</v>
      </c>
      <c r="BE67" s="43">
        <f t="shared" si="8"/>
        <v>0</v>
      </c>
      <c r="BF67" s="43">
        <f t="shared" si="9"/>
        <v>0</v>
      </c>
      <c r="BG67" s="43">
        <f t="shared" si="10"/>
        <v>206207.04721880986</v>
      </c>
      <c r="BH67" s="43">
        <f t="shared" si="11"/>
        <v>443625.59310465882</v>
      </c>
      <c r="BI67" s="43">
        <f t="shared" si="12"/>
        <v>454222.92127274291</v>
      </c>
      <c r="BJ67" s="43">
        <f t="shared" si="13"/>
        <v>469597.4587119827</v>
      </c>
      <c r="BK67" s="3"/>
      <c r="BL67" s="43">
        <f t="shared" si="59"/>
        <v>0</v>
      </c>
      <c r="BM67" s="43">
        <f t="shared" si="60"/>
        <v>0</v>
      </c>
      <c r="BN67" s="43">
        <f t="shared" si="61"/>
        <v>0</v>
      </c>
      <c r="BO67" s="43">
        <f t="shared" si="62"/>
        <v>4099581.6850524372</v>
      </c>
      <c r="BP67" s="43">
        <f t="shared" si="63"/>
        <v>6648189.0244573355</v>
      </c>
      <c r="BQ67" s="43">
        <f t="shared" si="64"/>
        <v>5907452.4710632674</v>
      </c>
      <c r="BR67" s="43">
        <f t="shared" si="65"/>
        <v>5351361.7546582045</v>
      </c>
      <c r="BS67" s="3"/>
      <c r="BT67" s="10"/>
      <c r="BU67" s="10"/>
      <c r="BV67" s="51">
        <f t="shared" si="15"/>
        <v>0</v>
      </c>
      <c r="BW67" s="51">
        <f t="shared" si="16"/>
        <v>0</v>
      </c>
      <c r="BX67" s="51">
        <f t="shared" si="17"/>
        <v>0</v>
      </c>
      <c r="BY67" s="320">
        <f t="shared" si="18"/>
        <v>17583029.226358969</v>
      </c>
      <c r="BZ67" s="51">
        <f t="shared" si="19"/>
        <v>5351361.7546582045</v>
      </c>
      <c r="CA67" s="337">
        <f t="shared" si="20"/>
        <v>0</v>
      </c>
    </row>
    <row r="68" spans="1:79" s="227" customFormat="1">
      <c r="A68" s="48"/>
      <c r="B68" s="37">
        <f>'11. Investeringen (WUI+ombouw)'!B28</f>
        <v>9</v>
      </c>
      <c r="C68" s="48"/>
      <c r="D68" s="48"/>
      <c r="E68" s="48"/>
      <c r="F68" s="42">
        <f>'11. Investeringen (WUI+ombouw)'!C28</f>
        <v>26179329.440538418</v>
      </c>
      <c r="G68" s="48"/>
      <c r="H68" s="37">
        <f>'11. Investeringen (WUI+ombouw)'!D28</f>
        <v>2023</v>
      </c>
      <c r="I68" s="37" t="str">
        <f>'11. Investeringen (WUI+ombouw)'!E28</f>
        <v>06 Utiliteitsgebouwen</v>
      </c>
      <c r="J68" s="37" t="str">
        <f>'11. Investeringen (WUI+ombouw)'!F28</f>
        <v>WUI</v>
      </c>
      <c r="K68" s="37" t="str">
        <f>'11. Investeringen (WUI+ombouw)'!G28</f>
        <v>Nee</v>
      </c>
      <c r="L68" s="38">
        <f t="shared" si="46"/>
        <v>2025</v>
      </c>
      <c r="M68" s="38">
        <f>_xlfn.XLOOKUP(I68,'3. Input (des)investeringen '!$B$11:$B$89,'3. Input (des)investeringen '!$D$11:$D$89,0)</f>
        <v>30</v>
      </c>
      <c r="N68" s="3"/>
      <c r="O68" s="43">
        <f t="shared" si="0"/>
        <v>0</v>
      </c>
      <c r="P68" s="43">
        <f t="shared" si="1"/>
        <v>0</v>
      </c>
      <c r="Q68" s="3"/>
      <c r="R68" s="43">
        <f t="shared" si="22"/>
        <v>0</v>
      </c>
      <c r="S68" s="43">
        <f t="shared" si="2"/>
        <v>0</v>
      </c>
      <c r="T68" s="3"/>
      <c r="U68" s="43">
        <f t="shared" si="47"/>
        <v>26179329.440538418</v>
      </c>
      <c r="V68" s="38">
        <f t="shared" si="48"/>
        <v>30</v>
      </c>
      <c r="W68" s="3"/>
      <c r="X68" s="43">
        <f t="shared" si="3"/>
        <v>0</v>
      </c>
      <c r="Y68" s="43">
        <f t="shared" si="3"/>
        <v>510496.92409049912</v>
      </c>
      <c r="Z68" s="43">
        <f t="shared" si="3"/>
        <v>998872.31480374327</v>
      </c>
      <c r="AA68" s="43">
        <f t="shared" si="3"/>
        <v>955587.84782891441</v>
      </c>
      <c r="AB68" s="43">
        <f t="shared" si="3"/>
        <v>914179.04108966154</v>
      </c>
      <c r="AC68" s="3"/>
      <c r="AD68" s="43">
        <f t="shared" si="4"/>
        <v>0</v>
      </c>
      <c r="AE68" s="43">
        <f t="shared" si="4"/>
        <v>43632.215734230704</v>
      </c>
      <c r="AF68" s="43">
        <f t="shared" si="4"/>
        <v>87264.431468461407</v>
      </c>
      <c r="AG68" s="43">
        <f t="shared" si="4"/>
        <v>87264.431468461407</v>
      </c>
      <c r="AH68" s="43">
        <f t="shared" si="4"/>
        <v>87264.431468461407</v>
      </c>
      <c r="AI68" s="3"/>
      <c r="AJ68" s="43">
        <f t="shared" si="49"/>
        <v>0</v>
      </c>
      <c r="AK68" s="43">
        <f t="shared" si="50"/>
        <v>554129.13982472988</v>
      </c>
      <c r="AL68" s="43">
        <f t="shared" si="51"/>
        <v>1086136.7462722047</v>
      </c>
      <c r="AM68" s="43">
        <f t="shared" si="52"/>
        <v>1042852.2792973758</v>
      </c>
      <c r="AN68" s="43">
        <f t="shared" si="53"/>
        <v>1001443.4725581229</v>
      </c>
      <c r="AO68" s="3"/>
      <c r="AP68" s="43">
        <f t="shared" si="30"/>
        <v>0</v>
      </c>
      <c r="AQ68" s="43">
        <f t="shared" si="31"/>
        <v>25625200.300713688</v>
      </c>
      <c r="AR68" s="43">
        <f t="shared" si="6"/>
        <v>24539063.554441482</v>
      </c>
      <c r="AS68" s="43">
        <f t="shared" si="6"/>
        <v>23496211.275144108</v>
      </c>
      <c r="AT68" s="43">
        <f t="shared" si="6"/>
        <v>22494767.802585986</v>
      </c>
      <c r="AU68" s="3"/>
      <c r="AV68" s="47">
        <f t="shared" si="66"/>
        <v>0</v>
      </c>
      <c r="AW68" s="47">
        <f t="shared" si="54"/>
        <v>0</v>
      </c>
      <c r="AX68" s="47">
        <f t="shared" si="67"/>
        <v>0</v>
      </c>
      <c r="AY68" s="47">
        <f t="shared" si="55"/>
        <v>1399760.7497482817</v>
      </c>
      <c r="AZ68" s="47">
        <f t="shared" si="56"/>
        <v>2018621.1613409808</v>
      </c>
      <c r="BA68" s="43">
        <f t="shared" si="57"/>
        <v>1935708.3077528519</v>
      </c>
      <c r="BB68" s="43">
        <f t="shared" si="58"/>
        <v>1856244.6490563904</v>
      </c>
      <c r="BC68" s="3"/>
      <c r="BD68" s="43">
        <f t="shared" si="7"/>
        <v>0</v>
      </c>
      <c r="BE68" s="43">
        <f t="shared" si="8"/>
        <v>0</v>
      </c>
      <c r="BF68" s="43">
        <f t="shared" si="9"/>
        <v>0</v>
      </c>
      <c r="BG68" s="43">
        <f t="shared" si="10"/>
        <v>130896.6472026921</v>
      </c>
      <c r="BH68" s="43">
        <f t="shared" si="11"/>
        <v>281605.81092598371</v>
      </c>
      <c r="BI68" s="43">
        <f t="shared" si="12"/>
        <v>288332.8105373836</v>
      </c>
      <c r="BJ68" s="43">
        <f t="shared" si="13"/>
        <v>298092.29950845294</v>
      </c>
      <c r="BK68" s="3"/>
      <c r="BL68" s="43">
        <f t="shared" si="59"/>
        <v>0</v>
      </c>
      <c r="BM68" s="43">
        <f t="shared" si="60"/>
        <v>0</v>
      </c>
      <c r="BN68" s="43">
        <f t="shared" si="61"/>
        <v>0</v>
      </c>
      <c r="BO68" s="43">
        <f t="shared" si="62"/>
        <v>1530657.3969509737</v>
      </c>
      <c r="BP68" s="43">
        <f t="shared" si="63"/>
        <v>2300226.9722669646</v>
      </c>
      <c r="BQ68" s="43">
        <f t="shared" si="64"/>
        <v>2224041.1182902353</v>
      </c>
      <c r="BR68" s="43">
        <f t="shared" si="65"/>
        <v>2154336.9485648433</v>
      </c>
      <c r="BS68" s="3"/>
      <c r="BT68" s="10"/>
      <c r="BU68" s="10"/>
      <c r="BV68" s="51">
        <f t="shared" si="15"/>
        <v>0</v>
      </c>
      <c r="BW68" s="51">
        <f t="shared" si="16"/>
        <v>0</v>
      </c>
      <c r="BX68" s="51">
        <f t="shared" si="17"/>
        <v>0</v>
      </c>
      <c r="BY68" s="320">
        <f t="shared" si="18"/>
        <v>6388599.5299429307</v>
      </c>
      <c r="BZ68" s="51">
        <f t="shared" si="19"/>
        <v>2154336.9485648433</v>
      </c>
      <c r="CA68" s="337">
        <f t="shared" si="20"/>
        <v>0</v>
      </c>
    </row>
    <row r="69" spans="1:79" s="227" customFormat="1">
      <c r="A69" s="48"/>
      <c r="B69" s="37">
        <f>'11. Investeringen (WUI+ombouw)'!B29</f>
        <v>10</v>
      </c>
      <c r="C69" s="48"/>
      <c r="D69" s="48"/>
      <c r="E69" s="48"/>
      <c r="F69" s="42">
        <f>'11. Investeringen (WUI+ombouw)'!C29</f>
        <v>324466.46385633486</v>
      </c>
      <c r="G69" s="48"/>
      <c r="H69" s="37">
        <f>'11. Investeringen (WUI+ombouw)'!D29</f>
        <v>2023</v>
      </c>
      <c r="I69" s="37" t="str">
        <f>'11. Investeringen (WUI+ombouw)'!E29</f>
        <v>08 Inrichting gebouwen</v>
      </c>
      <c r="J69" s="37" t="str">
        <f>'11. Investeringen (WUI+ombouw)'!F29</f>
        <v>WUI</v>
      </c>
      <c r="K69" s="37" t="str">
        <f>'11. Investeringen (WUI+ombouw)'!G29</f>
        <v>Nee</v>
      </c>
      <c r="L69" s="38">
        <f t="shared" si="46"/>
        <v>2025</v>
      </c>
      <c r="M69" s="38">
        <f>_xlfn.XLOOKUP(I69,'3. Input (des)investeringen '!$B$11:$B$89,'3. Input (des)investeringen '!$D$11:$D$89,0)</f>
        <v>10</v>
      </c>
      <c r="N69" s="3"/>
      <c r="O69" s="43">
        <f t="shared" si="0"/>
        <v>0</v>
      </c>
      <c r="P69" s="43">
        <f t="shared" si="1"/>
        <v>0</v>
      </c>
      <c r="Q69" s="3"/>
      <c r="R69" s="43">
        <f t="shared" si="22"/>
        <v>0</v>
      </c>
      <c r="S69" s="43">
        <f t="shared" si="2"/>
        <v>0</v>
      </c>
      <c r="T69" s="3"/>
      <c r="U69" s="43">
        <f t="shared" si="47"/>
        <v>324466.46385633486</v>
      </c>
      <c r="V69" s="38">
        <f t="shared" si="48"/>
        <v>10</v>
      </c>
      <c r="W69" s="3"/>
      <c r="X69" s="43">
        <f t="shared" si="3"/>
        <v>0</v>
      </c>
      <c r="Y69" s="43">
        <f t="shared" si="3"/>
        <v>18981.288135595591</v>
      </c>
      <c r="Z69" s="43">
        <f t="shared" si="3"/>
        <v>35495.008813563756</v>
      </c>
      <c r="AA69" s="43">
        <f t="shared" si="3"/>
        <v>30880.657667800471</v>
      </c>
      <c r="AB69" s="43">
        <f t="shared" si="3"/>
        <v>27555.04838049888</v>
      </c>
      <c r="AC69" s="3"/>
      <c r="AD69" s="43">
        <f t="shared" si="4"/>
        <v>0</v>
      </c>
      <c r="AE69" s="43">
        <f t="shared" si="4"/>
        <v>1622.3323192816745</v>
      </c>
      <c r="AF69" s="43">
        <f t="shared" si="4"/>
        <v>3244.6646385633485</v>
      </c>
      <c r="AG69" s="43">
        <f t="shared" si="4"/>
        <v>3244.6646385633485</v>
      </c>
      <c r="AH69" s="43">
        <f t="shared" si="4"/>
        <v>3244.6646385633485</v>
      </c>
      <c r="AI69" s="3"/>
      <c r="AJ69" s="43">
        <f t="shared" si="49"/>
        <v>0</v>
      </c>
      <c r="AK69" s="43">
        <f t="shared" si="50"/>
        <v>20603.620454877266</v>
      </c>
      <c r="AL69" s="43">
        <f t="shared" si="51"/>
        <v>38739.673452127106</v>
      </c>
      <c r="AM69" s="43">
        <f t="shared" si="52"/>
        <v>34125.322306363822</v>
      </c>
      <c r="AN69" s="43">
        <f t="shared" si="53"/>
        <v>30799.713019062227</v>
      </c>
      <c r="AO69" s="3"/>
      <c r="AP69" s="43">
        <f t="shared" si="30"/>
        <v>0</v>
      </c>
      <c r="AQ69" s="43">
        <f t="shared" si="31"/>
        <v>303862.84340145759</v>
      </c>
      <c r="AR69" s="43">
        <f t="shared" si="6"/>
        <v>265123.16994933051</v>
      </c>
      <c r="AS69" s="43">
        <f t="shared" si="6"/>
        <v>230997.84764296669</v>
      </c>
      <c r="AT69" s="43">
        <f t="shared" si="6"/>
        <v>200198.13462390448</v>
      </c>
      <c r="AU69" s="3"/>
      <c r="AV69" s="47">
        <f t="shared" si="66"/>
        <v>0</v>
      </c>
      <c r="AW69" s="47">
        <f t="shared" si="54"/>
        <v>0</v>
      </c>
      <c r="AX69" s="47">
        <f t="shared" si="67"/>
        <v>0</v>
      </c>
      <c r="AY69" s="47">
        <f t="shared" si="55"/>
        <v>30631.094287125365</v>
      </c>
      <c r="AZ69" s="47">
        <f t="shared" si="56"/>
        <v>48814.353910201666</v>
      </c>
      <c r="BA69" s="43">
        <f t="shared" si="57"/>
        <v>42903.240516796555</v>
      </c>
      <c r="BB69" s="43">
        <f t="shared" si="58"/>
        <v>38407.242134770597</v>
      </c>
      <c r="BC69" s="3"/>
      <c r="BD69" s="43">
        <f t="shared" si="7"/>
        <v>0</v>
      </c>
      <c r="BE69" s="43">
        <f t="shared" si="8"/>
        <v>0</v>
      </c>
      <c r="BF69" s="43">
        <f t="shared" si="9"/>
        <v>0</v>
      </c>
      <c r="BG69" s="43">
        <f t="shared" si="10"/>
        <v>1622.3323192816742</v>
      </c>
      <c r="BH69" s="43">
        <f t="shared" si="11"/>
        <v>3490.220858409823</v>
      </c>
      <c r="BI69" s="43">
        <f t="shared" si="12"/>
        <v>3573.5952542755167</v>
      </c>
      <c r="BJ69" s="43">
        <f t="shared" si="13"/>
        <v>3694.5543064422345</v>
      </c>
      <c r="BK69" s="3"/>
      <c r="BL69" s="43">
        <f t="shared" si="59"/>
        <v>0</v>
      </c>
      <c r="BM69" s="43">
        <f t="shared" si="60"/>
        <v>0</v>
      </c>
      <c r="BN69" s="43">
        <f t="shared" si="61"/>
        <v>0</v>
      </c>
      <c r="BO69" s="43">
        <f t="shared" si="62"/>
        <v>32253.42660640704</v>
      </c>
      <c r="BP69" s="43">
        <f t="shared" si="63"/>
        <v>52304.574768611492</v>
      </c>
      <c r="BQ69" s="43">
        <f t="shared" si="64"/>
        <v>46476.835771072074</v>
      </c>
      <c r="BR69" s="43">
        <f t="shared" si="65"/>
        <v>42101.796441212835</v>
      </c>
      <c r="BS69" s="3"/>
      <c r="BT69" s="10"/>
      <c r="BU69" s="10"/>
      <c r="BV69" s="51">
        <f t="shared" si="15"/>
        <v>0</v>
      </c>
      <c r="BW69" s="51">
        <f t="shared" si="16"/>
        <v>0</v>
      </c>
      <c r="BX69" s="51">
        <f t="shared" si="17"/>
        <v>0</v>
      </c>
      <c r="BY69" s="320">
        <f t="shared" si="18"/>
        <v>138334.34390109612</v>
      </c>
      <c r="BZ69" s="51">
        <f t="shared" si="19"/>
        <v>42101.796441212835</v>
      </c>
      <c r="CA69" s="337">
        <f t="shared" si="20"/>
        <v>0</v>
      </c>
    </row>
    <row r="70" spans="1:79" s="227" customFormat="1">
      <c r="A70" s="48"/>
      <c r="B70" s="37">
        <f>'11. Investeringen (WUI+ombouw)'!B30</f>
        <v>11</v>
      </c>
      <c r="C70" s="48"/>
      <c r="D70" s="48"/>
      <c r="E70" s="48"/>
      <c r="F70" s="42">
        <f>'11. Investeringen (WUI+ombouw)'!C30</f>
        <v>358620.80849138752</v>
      </c>
      <c r="G70" s="48"/>
      <c r="H70" s="37">
        <f>'11. Investeringen (WUI+ombouw)'!D30</f>
        <v>2023</v>
      </c>
      <c r="I70" s="37" t="str">
        <f>'11. Investeringen (WUI+ombouw)'!E30</f>
        <v>09 Bedrijfsinventaris</v>
      </c>
      <c r="J70" s="37" t="str">
        <f>'11. Investeringen (WUI+ombouw)'!F30</f>
        <v>WUI</v>
      </c>
      <c r="K70" s="37" t="str">
        <f>'11. Investeringen (WUI+ombouw)'!G30</f>
        <v>Nee</v>
      </c>
      <c r="L70" s="38">
        <f t="shared" si="46"/>
        <v>2025</v>
      </c>
      <c r="M70" s="38">
        <f>_xlfn.XLOOKUP(I70,'3. Input (des)investeringen '!$B$11:$B$89,'3. Input (des)investeringen '!$D$11:$D$89,0)</f>
        <v>10</v>
      </c>
      <c r="N70" s="3"/>
      <c r="O70" s="43">
        <f t="shared" si="0"/>
        <v>0</v>
      </c>
      <c r="P70" s="43">
        <f t="shared" si="1"/>
        <v>0</v>
      </c>
      <c r="Q70" s="3"/>
      <c r="R70" s="43">
        <f t="shared" si="22"/>
        <v>0</v>
      </c>
      <c r="S70" s="43">
        <f t="shared" si="2"/>
        <v>0</v>
      </c>
      <c r="T70" s="3"/>
      <c r="U70" s="43">
        <f t="shared" si="47"/>
        <v>358620.80849138752</v>
      </c>
      <c r="V70" s="38">
        <f t="shared" si="48"/>
        <v>10</v>
      </c>
      <c r="W70" s="3"/>
      <c r="X70" s="43">
        <f t="shared" ref="X70:AB79" si="68">IF($M70&gt;0, IF(OR($H70&gt;X$58,$H70+$M70&lt;X$58),0,IF(OR($H70=2020,$H70=2021),VDB($U70,0,$V70,X$58-2022,MIN($V70,X$58-2021),$F$23,FALSE),
VDB($U70,0,$V70,MAX(0,X$58-$H70-0.5),MIN($V70,X$58-$H70+0.5),$F$23,FALSE)))*(1-$F$26), 0)</f>
        <v>0</v>
      </c>
      <c r="Y70" s="43">
        <f t="shared" si="68"/>
        <v>20979.317296746169</v>
      </c>
      <c r="Z70" s="43">
        <f t="shared" si="68"/>
        <v>39231.323344915341</v>
      </c>
      <c r="AA70" s="43">
        <f t="shared" si="68"/>
        <v>34131.251310076346</v>
      </c>
      <c r="AB70" s="43">
        <f t="shared" si="68"/>
        <v>30455.578092068125</v>
      </c>
      <c r="AC70" s="3"/>
      <c r="AD70" s="43">
        <f t="shared" ref="AD70:AH79" si="69">IF($M70&gt;0, IF(OR($H70&gt;AD$58,$H70+$M70&lt;AD$58),0,IF(OR($H70=2020,$H70=2021),VDB($U70,0,$V70,AD$58-2022,MIN($V70,AD$58-2021),1,FALSE),
VDB($U70,0,$V70,MAX(0,AD$58-$H70-0.5),MIN($V70,AD$58-$H70+0.5),1,FALSE)))*$F$26,0)</f>
        <v>0</v>
      </c>
      <c r="AE70" s="43">
        <f t="shared" si="69"/>
        <v>1793.1040424569376</v>
      </c>
      <c r="AF70" s="43">
        <f t="shared" si="69"/>
        <v>3586.2080849138752</v>
      </c>
      <c r="AG70" s="43">
        <f t="shared" si="69"/>
        <v>3586.2080849138752</v>
      </c>
      <c r="AH70" s="43">
        <f t="shared" si="69"/>
        <v>3586.2080849138752</v>
      </c>
      <c r="AI70" s="3"/>
      <c r="AJ70" s="43">
        <f t="shared" si="49"/>
        <v>0</v>
      </c>
      <c r="AK70" s="43">
        <f t="shared" si="50"/>
        <v>22772.421339203105</v>
      </c>
      <c r="AL70" s="43">
        <f t="shared" si="51"/>
        <v>42817.531429829214</v>
      </c>
      <c r="AM70" s="43">
        <f t="shared" si="52"/>
        <v>37717.459394990219</v>
      </c>
      <c r="AN70" s="43">
        <f t="shared" si="53"/>
        <v>34041.786176982001</v>
      </c>
      <c r="AO70" s="3"/>
      <c r="AP70" s="43">
        <f t="shared" si="30"/>
        <v>0</v>
      </c>
      <c r="AQ70" s="43">
        <f t="shared" si="31"/>
        <v>335848.38715218444</v>
      </c>
      <c r="AR70" s="43">
        <f t="shared" si="6"/>
        <v>293030.85572235525</v>
      </c>
      <c r="AS70" s="43">
        <f t="shared" si="6"/>
        <v>255313.39632736502</v>
      </c>
      <c r="AT70" s="43">
        <f t="shared" si="6"/>
        <v>221271.61015038303</v>
      </c>
      <c r="AU70" s="3"/>
      <c r="AV70" s="47">
        <f t="shared" si="66"/>
        <v>0</v>
      </c>
      <c r="AW70" s="47">
        <f t="shared" si="54"/>
        <v>0</v>
      </c>
      <c r="AX70" s="47">
        <f t="shared" si="67"/>
        <v>0</v>
      </c>
      <c r="AY70" s="47">
        <f t="shared" si="55"/>
        <v>33855.418115225191</v>
      </c>
      <c r="AZ70" s="47">
        <f t="shared" si="56"/>
        <v>53952.703947278715</v>
      </c>
      <c r="BA70" s="43">
        <f t="shared" si="57"/>
        <v>47419.368455430085</v>
      </c>
      <c r="BB70" s="43">
        <f t="shared" si="58"/>
        <v>42450.107362696552</v>
      </c>
      <c r="BC70" s="3"/>
      <c r="BD70" s="43">
        <f t="shared" si="7"/>
        <v>0</v>
      </c>
      <c r="BE70" s="43">
        <f t="shared" si="8"/>
        <v>0</v>
      </c>
      <c r="BF70" s="43">
        <f t="shared" si="9"/>
        <v>0</v>
      </c>
      <c r="BG70" s="43">
        <f t="shared" si="10"/>
        <v>1793.1040424569376</v>
      </c>
      <c r="BH70" s="43">
        <f t="shared" si="11"/>
        <v>3857.6123127801575</v>
      </c>
      <c r="BI70" s="43">
        <f t="shared" si="12"/>
        <v>3949.7629557078499</v>
      </c>
      <c r="BJ70" s="43">
        <f t="shared" si="13"/>
        <v>4083.4545322326489</v>
      </c>
      <c r="BK70" s="3"/>
      <c r="BL70" s="43">
        <f t="shared" si="59"/>
        <v>0</v>
      </c>
      <c r="BM70" s="43">
        <f t="shared" si="60"/>
        <v>0</v>
      </c>
      <c r="BN70" s="43">
        <f t="shared" si="61"/>
        <v>0</v>
      </c>
      <c r="BO70" s="43">
        <f t="shared" si="62"/>
        <v>35648.522157682128</v>
      </c>
      <c r="BP70" s="43">
        <f t="shared" si="63"/>
        <v>57810.316260058869</v>
      </c>
      <c r="BQ70" s="43">
        <f t="shared" si="64"/>
        <v>51369.131411137932</v>
      </c>
      <c r="BR70" s="43">
        <f t="shared" si="65"/>
        <v>46533.561894929204</v>
      </c>
      <c r="BS70" s="3"/>
      <c r="BT70" s="10"/>
      <c r="BU70" s="10"/>
      <c r="BV70" s="51">
        <f t="shared" si="15"/>
        <v>0</v>
      </c>
      <c r="BW70" s="51">
        <f t="shared" si="16"/>
        <v>0</v>
      </c>
      <c r="BX70" s="51">
        <f t="shared" si="17"/>
        <v>0</v>
      </c>
      <c r="BY70" s="320">
        <f t="shared" si="18"/>
        <v>152895.84526646961</v>
      </c>
      <c r="BZ70" s="51">
        <f t="shared" si="19"/>
        <v>46533.561894929204</v>
      </c>
      <c r="CA70" s="337">
        <f t="shared" si="20"/>
        <v>0</v>
      </c>
    </row>
    <row r="71" spans="1:79" s="227" customFormat="1">
      <c r="A71" s="48"/>
      <c r="B71" s="37">
        <f>'11. Investeringen (WUI+ombouw)'!B31</f>
        <v>12</v>
      </c>
      <c r="C71" s="48"/>
      <c r="D71" s="48"/>
      <c r="E71" s="48"/>
      <c r="F71" s="42">
        <f>'11. Investeringen (WUI+ombouw)'!C31</f>
        <v>77940287.016589478</v>
      </c>
      <c r="G71" s="48"/>
      <c r="H71" s="37">
        <f>'11. Investeringen (WUI+ombouw)'!D31</f>
        <v>2023</v>
      </c>
      <c r="I71" s="37" t="str">
        <f>'11. Investeringen (WUI+ombouw)'!E31</f>
        <v>17 Mengstations</v>
      </c>
      <c r="J71" s="37" t="str">
        <f>'11. Investeringen (WUI+ombouw)'!F31</f>
        <v>WUI</v>
      </c>
      <c r="K71" s="37" t="str">
        <f>'11. Investeringen (WUI+ombouw)'!G31</f>
        <v>Nee</v>
      </c>
      <c r="L71" s="38">
        <f t="shared" si="46"/>
        <v>2025</v>
      </c>
      <c r="M71" s="38">
        <f>_xlfn.XLOOKUP(I71,'3. Input (des)investeringen '!$B$11:$B$89,'3. Input (des)investeringen '!$D$11:$D$89,0)</f>
        <v>30</v>
      </c>
      <c r="N71" s="3"/>
      <c r="O71" s="43">
        <f t="shared" si="0"/>
        <v>0</v>
      </c>
      <c r="P71" s="43">
        <f t="shared" si="1"/>
        <v>0</v>
      </c>
      <c r="Q71" s="3"/>
      <c r="R71" s="43">
        <f t="shared" si="22"/>
        <v>0</v>
      </c>
      <c r="S71" s="43">
        <f t="shared" si="2"/>
        <v>0</v>
      </c>
      <c r="T71" s="3"/>
      <c r="U71" s="43">
        <f t="shared" si="47"/>
        <v>77940287.016589478</v>
      </c>
      <c r="V71" s="38">
        <f t="shared" si="48"/>
        <v>30</v>
      </c>
      <c r="W71" s="3"/>
      <c r="X71" s="43">
        <f t="shared" si="68"/>
        <v>0</v>
      </c>
      <c r="Y71" s="43">
        <f t="shared" si="68"/>
        <v>1519835.5968234949</v>
      </c>
      <c r="Z71" s="43">
        <f t="shared" si="68"/>
        <v>2973811.6511179721</v>
      </c>
      <c r="AA71" s="43">
        <f t="shared" si="68"/>
        <v>2844946.4795695264</v>
      </c>
      <c r="AB71" s="43">
        <f t="shared" si="68"/>
        <v>2721665.4654548471</v>
      </c>
      <c r="AC71" s="3"/>
      <c r="AD71" s="43">
        <f t="shared" si="69"/>
        <v>0</v>
      </c>
      <c r="AE71" s="43">
        <f t="shared" si="69"/>
        <v>129900.47836098248</v>
      </c>
      <c r="AF71" s="43">
        <f t="shared" si="69"/>
        <v>259800.95672196496</v>
      </c>
      <c r="AG71" s="43">
        <f t="shared" si="69"/>
        <v>259800.95672196496</v>
      </c>
      <c r="AH71" s="43">
        <f t="shared" si="69"/>
        <v>259800.95672196496</v>
      </c>
      <c r="AI71" s="3"/>
      <c r="AJ71" s="43">
        <f t="shared" si="49"/>
        <v>0</v>
      </c>
      <c r="AK71" s="43">
        <f t="shared" si="50"/>
        <v>1649736.0751844773</v>
      </c>
      <c r="AL71" s="43">
        <f t="shared" si="51"/>
        <v>3233612.6078399369</v>
      </c>
      <c r="AM71" s="43">
        <f t="shared" si="52"/>
        <v>3104747.4362914911</v>
      </c>
      <c r="AN71" s="43">
        <f t="shared" si="53"/>
        <v>2981466.4221768118</v>
      </c>
      <c r="AO71" s="3"/>
      <c r="AP71" s="43">
        <f t="shared" si="30"/>
        <v>0</v>
      </c>
      <c r="AQ71" s="43">
        <f t="shared" si="31"/>
        <v>76290550.941404998</v>
      </c>
      <c r="AR71" s="43">
        <f t="shared" si="6"/>
        <v>73056938.333565056</v>
      </c>
      <c r="AS71" s="43">
        <f t="shared" si="6"/>
        <v>69952190.89727357</v>
      </c>
      <c r="AT71" s="43">
        <f t="shared" si="6"/>
        <v>66970724.475096762</v>
      </c>
      <c r="AU71" s="3"/>
      <c r="AV71" s="47">
        <f t="shared" si="66"/>
        <v>0</v>
      </c>
      <c r="AW71" s="47">
        <f t="shared" si="54"/>
        <v>0</v>
      </c>
      <c r="AX71" s="47">
        <f t="shared" si="67"/>
        <v>0</v>
      </c>
      <c r="AY71" s="47">
        <f t="shared" si="55"/>
        <v>4167324.2562508425</v>
      </c>
      <c r="AZ71" s="47">
        <f t="shared" si="56"/>
        <v>6009776.2645154092</v>
      </c>
      <c r="BA71" s="43">
        <f t="shared" si="57"/>
        <v>5762930.6903878869</v>
      </c>
      <c r="BB71" s="43">
        <f t="shared" si="58"/>
        <v>5526353.9522304889</v>
      </c>
      <c r="BC71" s="3"/>
      <c r="BD71" s="43">
        <f t="shared" si="7"/>
        <v>0</v>
      </c>
      <c r="BE71" s="43">
        <f t="shared" si="8"/>
        <v>0</v>
      </c>
      <c r="BF71" s="43">
        <f t="shared" si="9"/>
        <v>0</v>
      </c>
      <c r="BG71" s="43">
        <f t="shared" si="10"/>
        <v>389701.43508294737</v>
      </c>
      <c r="BH71" s="43">
        <f t="shared" si="11"/>
        <v>838388.07938004972</v>
      </c>
      <c r="BI71" s="43">
        <f t="shared" si="12"/>
        <v>858415.4938202803</v>
      </c>
      <c r="BJ71" s="43">
        <f t="shared" si="13"/>
        <v>887471.14145510911</v>
      </c>
      <c r="BK71" s="3"/>
      <c r="BL71" s="43">
        <f t="shared" si="59"/>
        <v>0</v>
      </c>
      <c r="BM71" s="43">
        <f t="shared" si="60"/>
        <v>0</v>
      </c>
      <c r="BN71" s="43">
        <f t="shared" si="61"/>
        <v>0</v>
      </c>
      <c r="BO71" s="43">
        <f t="shared" si="62"/>
        <v>4557025.6913337894</v>
      </c>
      <c r="BP71" s="43">
        <f t="shared" si="63"/>
        <v>6848164.3438954586</v>
      </c>
      <c r="BQ71" s="43">
        <f t="shared" si="64"/>
        <v>6621346.1842081677</v>
      </c>
      <c r="BR71" s="43">
        <f t="shared" si="65"/>
        <v>6413825.0936855981</v>
      </c>
      <c r="BS71" s="3"/>
      <c r="BT71" s="10"/>
      <c r="BU71" s="10"/>
      <c r="BV71" s="51">
        <f t="shared" si="15"/>
        <v>0</v>
      </c>
      <c r="BW71" s="51">
        <f t="shared" si="16"/>
        <v>0</v>
      </c>
      <c r="BX71" s="51">
        <f t="shared" si="17"/>
        <v>0</v>
      </c>
      <c r="BY71" s="320">
        <f t="shared" si="18"/>
        <v>19019940.221492551</v>
      </c>
      <c r="BZ71" s="51">
        <f t="shared" si="19"/>
        <v>6413825.0936855981</v>
      </c>
      <c r="CA71" s="337">
        <f t="shared" si="20"/>
        <v>0</v>
      </c>
    </row>
    <row r="72" spans="1:79" s="227" customFormat="1">
      <c r="A72" s="48"/>
      <c r="B72" s="37">
        <f>'11. Investeringen (WUI+ombouw)'!B32</f>
        <v>13</v>
      </c>
      <c r="C72" s="48"/>
      <c r="D72" s="48"/>
      <c r="E72" s="48"/>
      <c r="F72" s="42">
        <f>'11. Investeringen (WUI+ombouw)'!C32</f>
        <v>21107403.53252615</v>
      </c>
      <c r="G72" s="48"/>
      <c r="H72" s="37">
        <f>'11. Investeringen (WUI+ombouw)'!D32</f>
        <v>2023</v>
      </c>
      <c r="I72" s="37" t="str">
        <f>'11. Investeringen (WUI+ombouw)'!E32</f>
        <v>21 Hoofdtransportleiding</v>
      </c>
      <c r="J72" s="37" t="str">
        <f>'11. Investeringen (WUI+ombouw)'!F32</f>
        <v>WUI</v>
      </c>
      <c r="K72" s="37" t="str">
        <f>'11. Investeringen (WUI+ombouw)'!G32</f>
        <v>Nee</v>
      </c>
      <c r="L72" s="38">
        <f t="shared" si="46"/>
        <v>2025</v>
      </c>
      <c r="M72" s="38">
        <f>_xlfn.XLOOKUP(I72,'3. Input (des)investeringen '!$B$11:$B$89,'3. Input (des)investeringen '!$D$11:$D$89,0)</f>
        <v>55</v>
      </c>
      <c r="N72" s="3"/>
      <c r="O72" s="43">
        <f t="shared" si="0"/>
        <v>0</v>
      </c>
      <c r="P72" s="43">
        <f t="shared" si="1"/>
        <v>0</v>
      </c>
      <c r="Q72" s="3"/>
      <c r="R72" s="43">
        <f t="shared" si="22"/>
        <v>0</v>
      </c>
      <c r="S72" s="43">
        <f t="shared" si="2"/>
        <v>0</v>
      </c>
      <c r="T72" s="3"/>
      <c r="U72" s="43">
        <f t="shared" si="47"/>
        <v>21107403.53252615</v>
      </c>
      <c r="V72" s="38">
        <f t="shared" si="48"/>
        <v>55</v>
      </c>
      <c r="W72" s="3"/>
      <c r="X72" s="43">
        <f t="shared" si="68"/>
        <v>0</v>
      </c>
      <c r="Y72" s="43">
        <f t="shared" si="68"/>
        <v>224506.01939141451</v>
      </c>
      <c r="Z72" s="43">
        <f t="shared" si="68"/>
        <v>443705.53286994109</v>
      </c>
      <c r="AA72" s="43">
        <f t="shared" si="68"/>
        <v>433217.94754756062</v>
      </c>
      <c r="AB72" s="43">
        <f t="shared" si="68"/>
        <v>422978.25060552737</v>
      </c>
      <c r="AC72" s="3"/>
      <c r="AD72" s="43">
        <f t="shared" si="69"/>
        <v>0</v>
      </c>
      <c r="AE72" s="43">
        <f t="shared" si="69"/>
        <v>19188.548665932864</v>
      </c>
      <c r="AF72" s="43">
        <f t="shared" si="69"/>
        <v>38377.097331865727</v>
      </c>
      <c r="AG72" s="43">
        <f t="shared" si="69"/>
        <v>38377.097331865727</v>
      </c>
      <c r="AH72" s="43">
        <f t="shared" si="69"/>
        <v>38377.097331865727</v>
      </c>
      <c r="AI72" s="3"/>
      <c r="AJ72" s="43">
        <f t="shared" si="49"/>
        <v>0</v>
      </c>
      <c r="AK72" s="43">
        <f t="shared" si="50"/>
        <v>243694.56805734738</v>
      </c>
      <c r="AL72" s="43">
        <f t="shared" si="51"/>
        <v>482082.63020180684</v>
      </c>
      <c r="AM72" s="43">
        <f t="shared" si="52"/>
        <v>471595.04487942636</v>
      </c>
      <c r="AN72" s="43">
        <f t="shared" si="53"/>
        <v>461355.34793739312</v>
      </c>
      <c r="AO72" s="3"/>
      <c r="AP72" s="43">
        <f t="shared" si="30"/>
        <v>0</v>
      </c>
      <c r="AQ72" s="43">
        <f t="shared" si="31"/>
        <v>20863708.964468803</v>
      </c>
      <c r="AR72" s="43">
        <f t="shared" si="6"/>
        <v>20381626.334266998</v>
      </c>
      <c r="AS72" s="43">
        <f t="shared" si="6"/>
        <v>19910031.289387573</v>
      </c>
      <c r="AT72" s="43">
        <f t="shared" si="6"/>
        <v>19448675.941450179</v>
      </c>
      <c r="AU72" s="3"/>
      <c r="AV72" s="47">
        <f t="shared" si="66"/>
        <v>0</v>
      </c>
      <c r="AW72" s="47">
        <f t="shared" si="54"/>
        <v>0</v>
      </c>
      <c r="AX72" s="47">
        <f t="shared" si="67"/>
        <v>0</v>
      </c>
      <c r="AY72" s="47">
        <f t="shared" si="55"/>
        <v>932196.9638848179</v>
      </c>
      <c r="AZ72" s="47">
        <f t="shared" si="56"/>
        <v>1256584.4309039528</v>
      </c>
      <c r="BA72" s="43">
        <f t="shared" si="57"/>
        <v>1228176.2338761541</v>
      </c>
      <c r="BB72" s="43">
        <f t="shared" si="58"/>
        <v>1200405.0337124998</v>
      </c>
      <c r="BC72" s="3"/>
      <c r="BD72" s="43">
        <f t="shared" si="7"/>
        <v>0</v>
      </c>
      <c r="BE72" s="43">
        <f t="shared" si="8"/>
        <v>0</v>
      </c>
      <c r="BF72" s="43">
        <f t="shared" si="9"/>
        <v>0</v>
      </c>
      <c r="BG72" s="43">
        <f t="shared" si="10"/>
        <v>105537.01766263075</v>
      </c>
      <c r="BH72" s="43">
        <f t="shared" si="11"/>
        <v>227048.11831867733</v>
      </c>
      <c r="BI72" s="43">
        <f t="shared" si="12"/>
        <v>232471.84376907389</v>
      </c>
      <c r="BJ72" s="43">
        <f t="shared" si="13"/>
        <v>240340.55073696948</v>
      </c>
      <c r="BK72" s="3"/>
      <c r="BL72" s="43">
        <f t="shared" si="59"/>
        <v>0</v>
      </c>
      <c r="BM72" s="43">
        <f t="shared" si="60"/>
        <v>0</v>
      </c>
      <c r="BN72" s="43">
        <f t="shared" si="61"/>
        <v>0</v>
      </c>
      <c r="BO72" s="43">
        <f t="shared" si="62"/>
        <v>1037733.9815474487</v>
      </c>
      <c r="BP72" s="43">
        <f t="shared" si="63"/>
        <v>1483632.5492226302</v>
      </c>
      <c r="BQ72" s="43">
        <f t="shared" si="64"/>
        <v>1460648.077645228</v>
      </c>
      <c r="BR72" s="43">
        <f t="shared" si="65"/>
        <v>1440745.5844494693</v>
      </c>
      <c r="BS72" s="3"/>
      <c r="BT72" s="10"/>
      <c r="BU72" s="10"/>
      <c r="BV72" s="51">
        <f t="shared" si="15"/>
        <v>0</v>
      </c>
      <c r="BW72" s="51">
        <f t="shared" si="16"/>
        <v>0</v>
      </c>
      <c r="BX72" s="51">
        <f t="shared" si="17"/>
        <v>0</v>
      </c>
      <c r="BY72" s="320">
        <f t="shared" si="18"/>
        <v>4202925.2799794432</v>
      </c>
      <c r="BZ72" s="51">
        <f t="shared" si="19"/>
        <v>1440745.5844494693</v>
      </c>
      <c r="CA72" s="337">
        <f t="shared" si="20"/>
        <v>0</v>
      </c>
    </row>
    <row r="73" spans="1:79" s="227" customFormat="1">
      <c r="A73" s="48"/>
      <c r="B73" s="37">
        <f>'11. Investeringen (WUI+ombouw)'!B33</f>
        <v>14</v>
      </c>
      <c r="C73" s="48"/>
      <c r="D73" s="48"/>
      <c r="E73" s="48"/>
      <c r="F73" s="42">
        <f>'11. Investeringen (WUI+ombouw)'!C33</f>
        <v>18334898.10779709</v>
      </c>
      <c r="G73" s="48"/>
      <c r="H73" s="37">
        <f>'11. Investeringen (WUI+ombouw)'!D33</f>
        <v>2023</v>
      </c>
      <c r="I73" s="37" t="str">
        <f>'11. Investeringen (WUI+ombouw)'!E33</f>
        <v>36 Luchtscheidingsunit</v>
      </c>
      <c r="J73" s="37" t="str">
        <f>'11. Investeringen (WUI+ombouw)'!F33</f>
        <v>WUI</v>
      </c>
      <c r="K73" s="37" t="str">
        <f>'11. Investeringen (WUI+ombouw)'!G33</f>
        <v>Nee</v>
      </c>
      <c r="L73" s="38">
        <f t="shared" si="46"/>
        <v>2025</v>
      </c>
      <c r="M73" s="38">
        <f>_xlfn.XLOOKUP(I73,'3. Input (des)investeringen '!$B$11:$B$89,'3. Input (des)investeringen '!$D$11:$D$89,0)</f>
        <v>30</v>
      </c>
      <c r="N73" s="3"/>
      <c r="O73" s="43">
        <f t="shared" si="0"/>
        <v>0</v>
      </c>
      <c r="P73" s="43">
        <f t="shared" si="1"/>
        <v>0</v>
      </c>
      <c r="Q73" s="3"/>
      <c r="R73" s="43">
        <f t="shared" si="22"/>
        <v>0</v>
      </c>
      <c r="S73" s="43">
        <f t="shared" si="2"/>
        <v>0</v>
      </c>
      <c r="T73" s="3"/>
      <c r="U73" s="43">
        <f t="shared" si="47"/>
        <v>18334898.10779709</v>
      </c>
      <c r="V73" s="38">
        <f t="shared" si="48"/>
        <v>30</v>
      </c>
      <c r="W73" s="3"/>
      <c r="X73" s="43">
        <f t="shared" si="68"/>
        <v>0</v>
      </c>
      <c r="Y73" s="43">
        <f t="shared" si="68"/>
        <v>357530.5131020433</v>
      </c>
      <c r="Z73" s="43">
        <f t="shared" si="68"/>
        <v>699568.03730299813</v>
      </c>
      <c r="AA73" s="43">
        <f t="shared" si="68"/>
        <v>669253.42235320143</v>
      </c>
      <c r="AB73" s="43">
        <f t="shared" si="68"/>
        <v>640252.44071789621</v>
      </c>
      <c r="AC73" s="3"/>
      <c r="AD73" s="43">
        <f t="shared" si="69"/>
        <v>0</v>
      </c>
      <c r="AE73" s="43">
        <f t="shared" si="69"/>
        <v>30558.163512995154</v>
      </c>
      <c r="AF73" s="43">
        <f t="shared" si="69"/>
        <v>61116.327025990307</v>
      </c>
      <c r="AG73" s="43">
        <f t="shared" si="69"/>
        <v>61116.327025990307</v>
      </c>
      <c r="AH73" s="43">
        <f t="shared" si="69"/>
        <v>61116.327025990307</v>
      </c>
      <c r="AI73" s="3"/>
      <c r="AJ73" s="43">
        <f t="shared" si="49"/>
        <v>0</v>
      </c>
      <c r="AK73" s="43">
        <f t="shared" si="50"/>
        <v>388088.67661503848</v>
      </c>
      <c r="AL73" s="43">
        <f t="shared" si="51"/>
        <v>760684.36432898848</v>
      </c>
      <c r="AM73" s="43">
        <f t="shared" si="52"/>
        <v>730369.74937919178</v>
      </c>
      <c r="AN73" s="43">
        <f t="shared" si="53"/>
        <v>701368.76774388656</v>
      </c>
      <c r="AO73" s="3"/>
      <c r="AP73" s="43">
        <f t="shared" si="30"/>
        <v>0</v>
      </c>
      <c r="AQ73" s="43">
        <f t="shared" si="31"/>
        <v>17946809.431182053</v>
      </c>
      <c r="AR73" s="43">
        <f t="shared" si="6"/>
        <v>17186125.066853065</v>
      </c>
      <c r="AS73" s="43">
        <f t="shared" si="6"/>
        <v>16455755.317473873</v>
      </c>
      <c r="AT73" s="43">
        <f t="shared" si="6"/>
        <v>15754386.549729986</v>
      </c>
      <c r="AU73" s="3"/>
      <c r="AV73" s="47">
        <f t="shared" si="66"/>
        <v>0</v>
      </c>
      <c r="AW73" s="47">
        <f t="shared" si="54"/>
        <v>0</v>
      </c>
      <c r="AX73" s="47">
        <f t="shared" si="67"/>
        <v>0</v>
      </c>
      <c r="AY73" s="47">
        <f t="shared" si="55"/>
        <v>980333.38784404634</v>
      </c>
      <c r="AZ73" s="47">
        <f t="shared" si="56"/>
        <v>1413757.1168694049</v>
      </c>
      <c r="BA73" s="43">
        <f t="shared" si="57"/>
        <v>1355688.4514431991</v>
      </c>
      <c r="BB73" s="43">
        <f t="shared" si="58"/>
        <v>1300035.456633626</v>
      </c>
      <c r="BC73" s="3"/>
      <c r="BD73" s="43">
        <f t="shared" si="7"/>
        <v>0</v>
      </c>
      <c r="BE73" s="43">
        <f t="shared" si="8"/>
        <v>0</v>
      </c>
      <c r="BF73" s="43">
        <f t="shared" si="9"/>
        <v>0</v>
      </c>
      <c r="BG73" s="43">
        <f t="shared" si="10"/>
        <v>91674.490538985454</v>
      </c>
      <c r="BH73" s="43">
        <f t="shared" si="11"/>
        <v>197224.83196595174</v>
      </c>
      <c r="BI73" s="43">
        <f t="shared" si="12"/>
        <v>201936.13875195442</v>
      </c>
      <c r="BJ73" s="43">
        <f t="shared" si="13"/>
        <v>208771.27317643055</v>
      </c>
      <c r="BK73" s="3"/>
      <c r="BL73" s="43">
        <f t="shared" si="59"/>
        <v>0</v>
      </c>
      <c r="BM73" s="43">
        <f t="shared" si="60"/>
        <v>0</v>
      </c>
      <c r="BN73" s="43">
        <f t="shared" si="61"/>
        <v>0</v>
      </c>
      <c r="BO73" s="43">
        <f t="shared" si="62"/>
        <v>1072007.8783830318</v>
      </c>
      <c r="BP73" s="43">
        <f t="shared" si="63"/>
        <v>1610981.9488353566</v>
      </c>
      <c r="BQ73" s="43">
        <f t="shared" si="64"/>
        <v>1557624.5901951534</v>
      </c>
      <c r="BR73" s="43">
        <f t="shared" si="65"/>
        <v>1508806.7298100565</v>
      </c>
      <c r="BS73" s="3"/>
      <c r="BT73" s="10"/>
      <c r="BU73" s="10"/>
      <c r="BV73" s="51">
        <f t="shared" si="15"/>
        <v>0</v>
      </c>
      <c r="BW73" s="51">
        <f t="shared" si="16"/>
        <v>0</v>
      </c>
      <c r="BX73" s="51">
        <f t="shared" si="17"/>
        <v>0</v>
      </c>
      <c r="BY73" s="320">
        <f t="shared" si="18"/>
        <v>4474305.6425136235</v>
      </c>
      <c r="BZ73" s="51">
        <f t="shared" si="19"/>
        <v>1508806.7298100565</v>
      </c>
      <c r="CA73" s="337">
        <f t="shared" si="20"/>
        <v>0</v>
      </c>
    </row>
    <row r="74" spans="1:79" s="227" customFormat="1">
      <c r="A74" s="48"/>
      <c r="B74" s="37">
        <f>'11. Investeringen (WUI+ombouw)'!B34</f>
        <v>15</v>
      </c>
      <c r="C74" s="48"/>
      <c r="D74" s="48"/>
      <c r="E74" s="48"/>
      <c r="F74" s="42">
        <f>'11. Investeringen (WUI+ombouw)'!C34</f>
        <v>3620364.0601766575</v>
      </c>
      <c r="G74" s="48"/>
      <c r="H74" s="37">
        <f>'11. Investeringen (WUI+ombouw)'!D34</f>
        <v>2023</v>
      </c>
      <c r="I74" s="37" t="str">
        <f>'11. Investeringen (WUI+ombouw)'!E34</f>
        <v>41 Stikstofbuffer</v>
      </c>
      <c r="J74" s="37" t="str">
        <f>'11. Investeringen (WUI+ombouw)'!F34</f>
        <v>WUI</v>
      </c>
      <c r="K74" s="37" t="str">
        <f>'11. Investeringen (WUI+ombouw)'!G34</f>
        <v>Nee</v>
      </c>
      <c r="L74" s="38">
        <f t="shared" si="46"/>
        <v>2025</v>
      </c>
      <c r="M74" s="38">
        <f>_xlfn.XLOOKUP(I74,'3. Input (des)investeringen '!$B$11:$B$89,'3. Input (des)investeringen '!$D$11:$D$89,0)</f>
        <v>30</v>
      </c>
      <c r="N74" s="3"/>
      <c r="O74" s="43">
        <f t="shared" si="0"/>
        <v>0</v>
      </c>
      <c r="P74" s="43">
        <f t="shared" si="1"/>
        <v>0</v>
      </c>
      <c r="Q74" s="3"/>
      <c r="R74" s="43">
        <f t="shared" si="22"/>
        <v>0</v>
      </c>
      <c r="S74" s="43">
        <f t="shared" si="2"/>
        <v>0</v>
      </c>
      <c r="T74" s="3"/>
      <c r="U74" s="43">
        <f t="shared" si="47"/>
        <v>3620364.0601766575</v>
      </c>
      <c r="V74" s="38">
        <f t="shared" si="48"/>
        <v>30</v>
      </c>
      <c r="W74" s="3"/>
      <c r="X74" s="43">
        <f t="shared" si="68"/>
        <v>0</v>
      </c>
      <c r="Y74" s="43">
        <f t="shared" si="68"/>
        <v>70597.099173444818</v>
      </c>
      <c r="Z74" s="43">
        <f t="shared" si="68"/>
        <v>138134.99071604037</v>
      </c>
      <c r="AA74" s="43">
        <f t="shared" si="68"/>
        <v>132149.14111834532</v>
      </c>
      <c r="AB74" s="43">
        <f t="shared" si="68"/>
        <v>126422.67833655035</v>
      </c>
      <c r="AC74" s="3"/>
      <c r="AD74" s="43">
        <f t="shared" si="69"/>
        <v>0</v>
      </c>
      <c r="AE74" s="43">
        <f t="shared" si="69"/>
        <v>6033.9401002944296</v>
      </c>
      <c r="AF74" s="43">
        <f t="shared" si="69"/>
        <v>12067.880200588857</v>
      </c>
      <c r="AG74" s="43">
        <f t="shared" si="69"/>
        <v>12067.880200588857</v>
      </c>
      <c r="AH74" s="43">
        <f t="shared" si="69"/>
        <v>12067.880200588857</v>
      </c>
      <c r="AI74" s="3"/>
      <c r="AJ74" s="43">
        <f t="shared" si="49"/>
        <v>0</v>
      </c>
      <c r="AK74" s="43">
        <f t="shared" si="50"/>
        <v>76631.039273739254</v>
      </c>
      <c r="AL74" s="43">
        <f t="shared" si="51"/>
        <v>150202.87091662921</v>
      </c>
      <c r="AM74" s="43">
        <f t="shared" si="52"/>
        <v>144217.02131893416</v>
      </c>
      <c r="AN74" s="43">
        <f t="shared" si="53"/>
        <v>138490.55853713921</v>
      </c>
      <c r="AO74" s="3"/>
      <c r="AP74" s="43">
        <f t="shared" si="30"/>
        <v>0</v>
      </c>
      <c r="AQ74" s="43">
        <f t="shared" si="31"/>
        <v>3543733.0209029182</v>
      </c>
      <c r="AR74" s="43">
        <f t="shared" si="6"/>
        <v>3393530.149986289</v>
      </c>
      <c r="AS74" s="43">
        <f t="shared" si="6"/>
        <v>3249313.1286673546</v>
      </c>
      <c r="AT74" s="43">
        <f t="shared" si="6"/>
        <v>3110822.5701302155</v>
      </c>
      <c r="AU74" s="3"/>
      <c r="AV74" s="47">
        <f t="shared" si="66"/>
        <v>0</v>
      </c>
      <c r="AW74" s="47">
        <f t="shared" si="54"/>
        <v>0</v>
      </c>
      <c r="AX74" s="47">
        <f t="shared" si="67"/>
        <v>0</v>
      </c>
      <c r="AY74" s="47">
        <f t="shared" si="55"/>
        <v>193574.22896353557</v>
      </c>
      <c r="AZ74" s="47">
        <f t="shared" si="56"/>
        <v>279157.01661610819</v>
      </c>
      <c r="BA74" s="43">
        <f t="shared" si="57"/>
        <v>267690.9202082936</v>
      </c>
      <c r="BB74" s="43">
        <f t="shared" si="58"/>
        <v>256701.81620208739</v>
      </c>
      <c r="BC74" s="3"/>
      <c r="BD74" s="43">
        <f t="shared" si="7"/>
        <v>0</v>
      </c>
      <c r="BE74" s="43">
        <f t="shared" si="8"/>
        <v>0</v>
      </c>
      <c r="BF74" s="43">
        <f t="shared" si="9"/>
        <v>0</v>
      </c>
      <c r="BG74" s="43">
        <f t="shared" si="10"/>
        <v>18101.82030088329</v>
      </c>
      <c r="BH74" s="43">
        <f t="shared" si="11"/>
        <v>38943.532122508281</v>
      </c>
      <c r="BI74" s="43">
        <f t="shared" si="12"/>
        <v>39873.815217850752</v>
      </c>
      <c r="BJ74" s="43">
        <f t="shared" si="13"/>
        <v>41223.46411534457</v>
      </c>
      <c r="BK74" s="3"/>
      <c r="BL74" s="43">
        <f t="shared" si="59"/>
        <v>0</v>
      </c>
      <c r="BM74" s="43">
        <f t="shared" si="60"/>
        <v>0</v>
      </c>
      <c r="BN74" s="43">
        <f t="shared" si="61"/>
        <v>0</v>
      </c>
      <c r="BO74" s="43">
        <f t="shared" si="62"/>
        <v>211676.04926441886</v>
      </c>
      <c r="BP74" s="43">
        <f t="shared" si="63"/>
        <v>318100.54873861646</v>
      </c>
      <c r="BQ74" s="43">
        <f t="shared" si="64"/>
        <v>307564.73542614433</v>
      </c>
      <c r="BR74" s="43">
        <f t="shared" si="65"/>
        <v>297925.28031743196</v>
      </c>
      <c r="BS74" s="3"/>
      <c r="BT74" s="10"/>
      <c r="BU74" s="10"/>
      <c r="BV74" s="51">
        <f t="shared" si="15"/>
        <v>0</v>
      </c>
      <c r="BW74" s="51">
        <f t="shared" si="16"/>
        <v>0</v>
      </c>
      <c r="BX74" s="51">
        <f t="shared" si="17"/>
        <v>0</v>
      </c>
      <c r="BY74" s="320">
        <f t="shared" si="18"/>
        <v>883485.43019790936</v>
      </c>
      <c r="BZ74" s="51">
        <f t="shared" si="19"/>
        <v>297925.28031743196</v>
      </c>
      <c r="CA74" s="337">
        <f t="shared" si="20"/>
        <v>0</v>
      </c>
    </row>
    <row r="75" spans="1:79" s="227" customFormat="1">
      <c r="A75" s="48"/>
      <c r="B75" s="37">
        <f>'11. Investeringen (WUI+ombouw)'!B35</f>
        <v>16</v>
      </c>
      <c r="C75" s="48"/>
      <c r="D75" s="48"/>
      <c r="E75" s="48"/>
      <c r="F75" s="42">
        <f>'11. Investeringen (WUI+ombouw)'!C35</f>
        <v>480761.86491484893</v>
      </c>
      <c r="G75" s="48"/>
      <c r="H75" s="37">
        <f>'11. Investeringen (WUI+ombouw)'!D35</f>
        <v>2023</v>
      </c>
      <c r="I75" s="37" t="str">
        <f>'11. Investeringen (WUI+ombouw)'!E35</f>
        <v>01 Regionale leidingen</v>
      </c>
      <c r="J75" s="37" t="str">
        <f>'11. Investeringen (WUI+ombouw)'!F35</f>
        <v>VVI</v>
      </c>
      <c r="K75" s="37" t="str">
        <f>'11. Investeringen (WUI+ombouw)'!G35</f>
        <v>Ja</v>
      </c>
      <c r="L75" s="38">
        <f t="shared" si="46"/>
        <v>2025</v>
      </c>
      <c r="M75" s="38">
        <f>_xlfn.XLOOKUP(I75,'3. Input (des)investeringen '!$B$11:$B$89,'3. Input (des)investeringen '!$D$11:$D$89,0)</f>
        <v>55</v>
      </c>
      <c r="N75" s="3"/>
      <c r="O75" s="43">
        <f t="shared" si="0"/>
        <v>0</v>
      </c>
      <c r="P75" s="43">
        <f t="shared" si="1"/>
        <v>0</v>
      </c>
      <c r="Q75" s="3"/>
      <c r="R75" s="43">
        <f t="shared" si="22"/>
        <v>0</v>
      </c>
      <c r="S75" s="43">
        <f t="shared" si="2"/>
        <v>0</v>
      </c>
      <c r="T75" s="3"/>
      <c r="U75" s="43">
        <f t="shared" si="47"/>
        <v>480761.86491484893</v>
      </c>
      <c r="V75" s="38">
        <f t="shared" si="48"/>
        <v>55</v>
      </c>
      <c r="W75" s="3"/>
      <c r="X75" s="43">
        <f t="shared" si="68"/>
        <v>0</v>
      </c>
      <c r="Y75" s="43">
        <f t="shared" si="68"/>
        <v>5113.5580177306656</v>
      </c>
      <c r="Z75" s="43">
        <f t="shared" si="68"/>
        <v>10106.250118678607</v>
      </c>
      <c r="AA75" s="43">
        <f t="shared" si="68"/>
        <v>9867.3751158734758</v>
      </c>
      <c r="AB75" s="43">
        <f t="shared" si="68"/>
        <v>9634.1462494982861</v>
      </c>
      <c r="AC75" s="3"/>
      <c r="AD75" s="43">
        <f t="shared" si="69"/>
        <v>0</v>
      </c>
      <c r="AE75" s="43">
        <f t="shared" si="69"/>
        <v>437.0562408316809</v>
      </c>
      <c r="AF75" s="43">
        <f t="shared" si="69"/>
        <v>874.11248166336179</v>
      </c>
      <c r="AG75" s="43">
        <f t="shared" si="69"/>
        <v>874.11248166336179</v>
      </c>
      <c r="AH75" s="43">
        <f t="shared" si="69"/>
        <v>874.11248166336179</v>
      </c>
      <c r="AI75" s="3"/>
      <c r="AJ75" s="43">
        <f t="shared" si="49"/>
        <v>0</v>
      </c>
      <c r="AK75" s="43">
        <f t="shared" si="50"/>
        <v>5550.6142585623465</v>
      </c>
      <c r="AL75" s="43">
        <f t="shared" si="51"/>
        <v>10980.362600341969</v>
      </c>
      <c r="AM75" s="43">
        <f t="shared" si="52"/>
        <v>10741.487597536838</v>
      </c>
      <c r="AN75" s="43">
        <f t="shared" si="53"/>
        <v>10508.258731161648</v>
      </c>
      <c r="AO75" s="3"/>
      <c r="AP75" s="43">
        <f t="shared" si="30"/>
        <v>0</v>
      </c>
      <c r="AQ75" s="43">
        <f t="shared" si="31"/>
        <v>475211.2506562866</v>
      </c>
      <c r="AR75" s="43">
        <f t="shared" si="6"/>
        <v>464230.88805594464</v>
      </c>
      <c r="AS75" s="43">
        <f t="shared" si="6"/>
        <v>453489.40045840782</v>
      </c>
      <c r="AT75" s="43">
        <f t="shared" si="6"/>
        <v>442981.14172724617</v>
      </c>
      <c r="AU75" s="3"/>
      <c r="AV75" s="47">
        <f t="shared" si="66"/>
        <v>0</v>
      </c>
      <c r="AW75" s="47">
        <f t="shared" si="54"/>
        <v>0</v>
      </c>
      <c r="AX75" s="47">
        <f t="shared" si="67"/>
        <v>0</v>
      </c>
      <c r="AY75" s="47">
        <f t="shared" si="55"/>
        <v>21232.585530219807</v>
      </c>
      <c r="AZ75" s="47">
        <f t="shared" si="56"/>
        <v>28621.136346467865</v>
      </c>
      <c r="BA75" s="43">
        <f t="shared" si="57"/>
        <v>27974.084814956335</v>
      </c>
      <c r="BB75" s="43">
        <f t="shared" si="58"/>
        <v>27341.542116797002</v>
      </c>
      <c r="BC75" s="3"/>
      <c r="BD75" s="43">
        <f t="shared" si="7"/>
        <v>0</v>
      </c>
      <c r="BE75" s="43">
        <f t="shared" si="8"/>
        <v>0</v>
      </c>
      <c r="BF75" s="43">
        <f t="shared" si="9"/>
        <v>0</v>
      </c>
      <c r="BG75" s="43">
        <f t="shared" si="10"/>
        <v>2403.8093245742448</v>
      </c>
      <c r="BH75" s="43">
        <f t="shared" si="11"/>
        <v>5171.459228516047</v>
      </c>
      <c r="BI75" s="43">
        <f t="shared" si="12"/>
        <v>5294.9950465668389</v>
      </c>
      <c r="BJ75" s="43">
        <f t="shared" si="13"/>
        <v>5474.2200389030331</v>
      </c>
      <c r="BK75" s="3"/>
      <c r="BL75" s="43">
        <f t="shared" si="59"/>
        <v>0</v>
      </c>
      <c r="BM75" s="43">
        <f t="shared" si="60"/>
        <v>0</v>
      </c>
      <c r="BN75" s="43">
        <f t="shared" si="61"/>
        <v>0</v>
      </c>
      <c r="BO75" s="43">
        <f t="shared" si="62"/>
        <v>23636.394854794053</v>
      </c>
      <c r="BP75" s="43">
        <f t="shared" si="63"/>
        <v>33792.595574983912</v>
      </c>
      <c r="BQ75" s="43">
        <f t="shared" si="64"/>
        <v>33269.079861523176</v>
      </c>
      <c r="BR75" s="43">
        <f t="shared" si="65"/>
        <v>32815.762155700038</v>
      </c>
      <c r="BS75" s="3"/>
      <c r="BT75" s="10"/>
      <c r="BU75" s="10"/>
      <c r="BV75" s="51">
        <f t="shared" si="15"/>
        <v>0</v>
      </c>
      <c r="BW75" s="51">
        <f t="shared" si="16"/>
        <v>0</v>
      </c>
      <c r="BX75" s="51">
        <f t="shared" si="17"/>
        <v>0</v>
      </c>
      <c r="BY75" s="51">
        <f t="shared" si="18"/>
        <v>95729.737321170789</v>
      </c>
      <c r="BZ75" s="51">
        <f t="shared" si="19"/>
        <v>32815.762155700038</v>
      </c>
      <c r="CA75" s="337">
        <f t="shared" si="20"/>
        <v>0</v>
      </c>
    </row>
    <row r="76" spans="1:79" s="227" customFormat="1">
      <c r="A76" s="48"/>
      <c r="B76" s="37">
        <f>'11. Investeringen (WUI+ombouw)'!B36</f>
        <v>17</v>
      </c>
      <c r="C76" s="48"/>
      <c r="D76" s="48"/>
      <c r="E76" s="48"/>
      <c r="F76" s="42">
        <f>'11. Investeringen (WUI+ombouw)'!C36</f>
        <v>1837695.4875736441</v>
      </c>
      <c r="G76" s="48"/>
      <c r="H76" s="37">
        <f>'11. Investeringen (WUI+ombouw)'!D36</f>
        <v>2023</v>
      </c>
      <c r="I76" s="37" t="str">
        <f>'11. Investeringen (WUI+ombouw)'!E36</f>
        <v>02 Gasontvangststations</v>
      </c>
      <c r="J76" s="37" t="str">
        <f>'11. Investeringen (WUI+ombouw)'!F36</f>
        <v>VVI</v>
      </c>
      <c r="K76" s="37" t="str">
        <f>'11. Investeringen (WUI+ombouw)'!G36</f>
        <v>Ja</v>
      </c>
      <c r="L76" s="38">
        <f t="shared" si="46"/>
        <v>2025</v>
      </c>
      <c r="M76" s="38">
        <f>_xlfn.XLOOKUP(I76,'3. Input (des)investeringen '!$B$11:$B$89,'3. Input (des)investeringen '!$D$11:$D$89,0)</f>
        <v>30</v>
      </c>
      <c r="N76" s="3"/>
      <c r="O76" s="43">
        <f t="shared" si="0"/>
        <v>0</v>
      </c>
      <c r="P76" s="43">
        <f t="shared" si="1"/>
        <v>0</v>
      </c>
      <c r="Q76" s="3"/>
      <c r="R76" s="43">
        <f t="shared" si="22"/>
        <v>0</v>
      </c>
      <c r="S76" s="43">
        <f t="shared" si="2"/>
        <v>0</v>
      </c>
      <c r="T76" s="3"/>
      <c r="U76" s="43">
        <f t="shared" si="47"/>
        <v>1837695.4875736441</v>
      </c>
      <c r="V76" s="38">
        <f t="shared" si="48"/>
        <v>30</v>
      </c>
      <c r="W76" s="3"/>
      <c r="X76" s="43">
        <f t="shared" si="68"/>
        <v>0</v>
      </c>
      <c r="Y76" s="43">
        <f t="shared" si="68"/>
        <v>35835.062007686065</v>
      </c>
      <c r="Z76" s="43">
        <f t="shared" si="68"/>
        <v>70117.271328372386</v>
      </c>
      <c r="AA76" s="43">
        <f t="shared" si="68"/>
        <v>67078.856237476255</v>
      </c>
      <c r="AB76" s="43">
        <f t="shared" si="68"/>
        <v>64172.105800518955</v>
      </c>
      <c r="AC76" s="3"/>
      <c r="AD76" s="43">
        <f t="shared" si="69"/>
        <v>0</v>
      </c>
      <c r="AE76" s="43">
        <f t="shared" si="69"/>
        <v>3062.8258126227406</v>
      </c>
      <c r="AF76" s="43">
        <f t="shared" si="69"/>
        <v>6125.6516252454812</v>
      </c>
      <c r="AG76" s="43">
        <f t="shared" si="69"/>
        <v>6125.6516252454812</v>
      </c>
      <c r="AH76" s="43">
        <f t="shared" si="69"/>
        <v>6125.6516252454812</v>
      </c>
      <c r="AI76" s="3"/>
      <c r="AJ76" s="43">
        <f t="shared" si="49"/>
        <v>0</v>
      </c>
      <c r="AK76" s="43">
        <f t="shared" si="50"/>
        <v>38897.887820308802</v>
      </c>
      <c r="AL76" s="43">
        <f t="shared" si="51"/>
        <v>76242.922953617861</v>
      </c>
      <c r="AM76" s="43">
        <f t="shared" si="52"/>
        <v>73204.50786272173</v>
      </c>
      <c r="AN76" s="43">
        <f t="shared" si="53"/>
        <v>70297.75742576443</v>
      </c>
      <c r="AO76" s="3"/>
      <c r="AP76" s="43">
        <f t="shared" si="30"/>
        <v>0</v>
      </c>
      <c r="AQ76" s="43">
        <f t="shared" si="31"/>
        <v>1798797.5997533354</v>
      </c>
      <c r="AR76" s="43">
        <f t="shared" ref="AR76:AR79" si="70">IF($M76=0, IF($H76 &gt; AR$58, 0, IF($H76=AR$58, $F76, AQ76)), IF(OR($H76&gt;AR$58,$H76+$M76&lt;=AR$58),0,
IF($H76=AR$58,$U76-AL76,
AQ76-AL76)))</f>
        <v>1722554.6767997176</v>
      </c>
      <c r="AS76" s="43">
        <f t="shared" ref="AS76:AS79" si="71">IF($M76=0, IF($H76 &gt; AS$58, 0, IF($H76=AS$58, $F76, AR76)), IF(OR($H76&gt;AS$58,$H76+$M76&lt;=AS$58),0,
IF($H76=AS$58,$U76-AM76,
AR76-AM76)))</f>
        <v>1649350.1689369958</v>
      </c>
      <c r="AT76" s="43">
        <f t="shared" ref="AT76:AT79" si="72">IF($M76=0, IF($H76 &gt; AT$58, 0, IF($H76=AT$58, $F76, AS76)), IF(OR($H76&gt;AT$58,$H76+$M76&lt;=AT$58),0,
IF($H76=AT$58,$U76-AN76,
AS76-AN76)))</f>
        <v>1579052.4115112314</v>
      </c>
      <c r="AU76" s="3"/>
      <c r="AV76" s="47">
        <f t="shared" si="66"/>
        <v>0</v>
      </c>
      <c r="AW76" s="47">
        <f t="shared" si="54"/>
        <v>0</v>
      </c>
      <c r="AX76" s="47">
        <f t="shared" si="67"/>
        <v>0</v>
      </c>
      <c r="AY76" s="47">
        <f t="shared" si="55"/>
        <v>98258.208612168877</v>
      </c>
      <c r="AZ76" s="47">
        <f t="shared" si="56"/>
        <v>141700.00067200713</v>
      </c>
      <c r="BA76" s="43">
        <f t="shared" si="57"/>
        <v>135879.81428232757</v>
      </c>
      <c r="BB76" s="43">
        <f t="shared" si="58"/>
        <v>130301.74906319122</v>
      </c>
      <c r="BC76" s="3"/>
      <c r="BD76" s="43">
        <f t="shared" si="7"/>
        <v>0</v>
      </c>
      <c r="BE76" s="43">
        <f t="shared" si="8"/>
        <v>0</v>
      </c>
      <c r="BF76" s="43">
        <f t="shared" si="9"/>
        <v>0</v>
      </c>
      <c r="BG76" s="43">
        <f t="shared" si="10"/>
        <v>9188.4774378682214</v>
      </c>
      <c r="BH76" s="43">
        <f t="shared" si="11"/>
        <v>19767.722820732179</v>
      </c>
      <c r="BI76" s="43">
        <f t="shared" si="12"/>
        <v>20239.934183473826</v>
      </c>
      <c r="BJ76" s="43">
        <f t="shared" si="13"/>
        <v>20925.015475716049</v>
      </c>
      <c r="BK76" s="3"/>
      <c r="BL76" s="43">
        <f t="shared" si="59"/>
        <v>0</v>
      </c>
      <c r="BM76" s="43">
        <f t="shared" si="60"/>
        <v>0</v>
      </c>
      <c r="BN76" s="43">
        <f t="shared" si="61"/>
        <v>0</v>
      </c>
      <c r="BO76" s="43">
        <f t="shared" si="62"/>
        <v>107446.6860500371</v>
      </c>
      <c r="BP76" s="43">
        <f t="shared" si="63"/>
        <v>161467.72349273931</v>
      </c>
      <c r="BQ76" s="43">
        <f t="shared" si="64"/>
        <v>156119.74846580139</v>
      </c>
      <c r="BR76" s="43">
        <f t="shared" si="65"/>
        <v>151226.76453890727</v>
      </c>
      <c r="BS76" s="3"/>
      <c r="BT76" s="10"/>
      <c r="BU76" s="10"/>
      <c r="BV76" s="51">
        <f t="shared" si="15"/>
        <v>0</v>
      </c>
      <c r="BW76" s="51">
        <f t="shared" si="16"/>
        <v>0</v>
      </c>
      <c r="BX76" s="51">
        <f t="shared" si="17"/>
        <v>0</v>
      </c>
      <c r="BY76" s="51">
        <f t="shared" si="18"/>
        <v>448456.8848395138</v>
      </c>
      <c r="BZ76" s="51">
        <f t="shared" si="19"/>
        <v>151226.76453890727</v>
      </c>
      <c r="CA76" s="337">
        <f t="shared" si="20"/>
        <v>0</v>
      </c>
    </row>
    <row r="77" spans="1:79" s="227" customFormat="1">
      <c r="A77" s="48"/>
      <c r="B77" s="37">
        <f>'11. Investeringen (WUI+ombouw)'!B37</f>
        <v>18</v>
      </c>
      <c r="C77" s="48"/>
      <c r="D77" s="48"/>
      <c r="E77" s="48"/>
      <c r="F77" s="42">
        <f>'11. Investeringen (WUI+ombouw)'!C37</f>
        <v>12952.219318794072</v>
      </c>
      <c r="G77" s="48"/>
      <c r="H77" s="37">
        <f>'11. Investeringen (WUI+ombouw)'!D37</f>
        <v>2023</v>
      </c>
      <c r="I77" s="37" t="str">
        <f>'11. Investeringen (WUI+ombouw)'!E37</f>
        <v>06 Utiliteitsgebouwen</v>
      </c>
      <c r="J77" s="37" t="str">
        <f>'11. Investeringen (WUI+ombouw)'!F37</f>
        <v>VVI</v>
      </c>
      <c r="K77" s="37" t="str">
        <f>'11. Investeringen (WUI+ombouw)'!G37</f>
        <v>Ja</v>
      </c>
      <c r="L77" s="38">
        <f t="shared" si="46"/>
        <v>2025</v>
      </c>
      <c r="M77" s="38">
        <f>_xlfn.XLOOKUP(I77,'3. Input (des)investeringen '!$B$11:$B$89,'3. Input (des)investeringen '!$D$11:$D$89,0)</f>
        <v>30</v>
      </c>
      <c r="N77" s="3"/>
      <c r="O77" s="43">
        <f t="shared" si="0"/>
        <v>0</v>
      </c>
      <c r="P77" s="43">
        <f t="shared" si="1"/>
        <v>0</v>
      </c>
      <c r="Q77" s="3"/>
      <c r="R77" s="43">
        <f t="shared" si="22"/>
        <v>0</v>
      </c>
      <c r="S77" s="43">
        <f t="shared" si="2"/>
        <v>0</v>
      </c>
      <c r="T77" s="3"/>
      <c r="U77" s="43">
        <f t="shared" si="47"/>
        <v>12952.219318794072</v>
      </c>
      <c r="V77" s="38">
        <f t="shared" si="48"/>
        <v>30</v>
      </c>
      <c r="W77" s="3"/>
      <c r="X77" s="43">
        <f t="shared" si="68"/>
        <v>0</v>
      </c>
      <c r="Y77" s="43">
        <f t="shared" si="68"/>
        <v>252.56827671648441</v>
      </c>
      <c r="Z77" s="43">
        <f t="shared" si="68"/>
        <v>494.19192810858783</v>
      </c>
      <c r="AA77" s="43">
        <f t="shared" si="68"/>
        <v>472.77694455721564</v>
      </c>
      <c r="AB77" s="43">
        <f t="shared" si="68"/>
        <v>452.28994362640299</v>
      </c>
      <c r="AC77" s="3"/>
      <c r="AD77" s="43">
        <f t="shared" si="69"/>
        <v>0</v>
      </c>
      <c r="AE77" s="43">
        <f t="shared" si="69"/>
        <v>21.587032197990123</v>
      </c>
      <c r="AF77" s="43">
        <f t="shared" si="69"/>
        <v>43.174064395980245</v>
      </c>
      <c r="AG77" s="43">
        <f t="shared" si="69"/>
        <v>43.174064395980245</v>
      </c>
      <c r="AH77" s="43">
        <f t="shared" si="69"/>
        <v>43.174064395980245</v>
      </c>
      <c r="AI77" s="3"/>
      <c r="AJ77" s="43">
        <f t="shared" si="49"/>
        <v>0</v>
      </c>
      <c r="AK77" s="43">
        <f t="shared" si="50"/>
        <v>274.15530891447452</v>
      </c>
      <c r="AL77" s="43">
        <f t="shared" si="51"/>
        <v>537.36599250456811</v>
      </c>
      <c r="AM77" s="43">
        <f t="shared" si="52"/>
        <v>515.95100895319592</v>
      </c>
      <c r="AN77" s="43">
        <f t="shared" si="53"/>
        <v>495.46400802238321</v>
      </c>
      <c r="AO77" s="3"/>
      <c r="AP77" s="43">
        <f t="shared" si="30"/>
        <v>0</v>
      </c>
      <c r="AQ77" s="43">
        <f t="shared" si="31"/>
        <v>12678.064009879598</v>
      </c>
      <c r="AR77" s="43">
        <f t="shared" si="70"/>
        <v>12140.698017375029</v>
      </c>
      <c r="AS77" s="43">
        <f t="shared" si="71"/>
        <v>11624.747008421833</v>
      </c>
      <c r="AT77" s="43">
        <f t="shared" si="72"/>
        <v>11129.28300039945</v>
      </c>
      <c r="AU77" s="3"/>
      <c r="AV77" s="47">
        <f t="shared" si="66"/>
        <v>0</v>
      </c>
      <c r="AW77" s="47">
        <f t="shared" si="54"/>
        <v>0</v>
      </c>
      <c r="AX77" s="47">
        <f t="shared" si="67"/>
        <v>0</v>
      </c>
      <c r="AY77" s="47">
        <f t="shared" si="55"/>
        <v>692.53142124050123</v>
      </c>
      <c r="AZ77" s="47">
        <f t="shared" si="56"/>
        <v>998.71251716481925</v>
      </c>
      <c r="BA77" s="43">
        <f t="shared" si="57"/>
        <v>957.69139527322557</v>
      </c>
      <c r="BB77" s="43">
        <f t="shared" si="58"/>
        <v>918.37676203756223</v>
      </c>
      <c r="BC77" s="3"/>
      <c r="BD77" s="43">
        <f t="shared" si="7"/>
        <v>0</v>
      </c>
      <c r="BE77" s="43">
        <f t="shared" si="8"/>
        <v>0</v>
      </c>
      <c r="BF77" s="43">
        <f t="shared" si="9"/>
        <v>0</v>
      </c>
      <c r="BG77" s="43">
        <f t="shared" si="10"/>
        <v>64.761096593970365</v>
      </c>
      <c r="BH77" s="43">
        <f t="shared" si="11"/>
        <v>139.32443276840408</v>
      </c>
      <c r="BI77" s="43">
        <f t="shared" si="12"/>
        <v>142.65261481837575</v>
      </c>
      <c r="BJ77" s="43">
        <f t="shared" si="13"/>
        <v>147.48112052474812</v>
      </c>
      <c r="BK77" s="3"/>
      <c r="BL77" s="43">
        <f t="shared" si="59"/>
        <v>0</v>
      </c>
      <c r="BM77" s="43">
        <f t="shared" si="60"/>
        <v>0</v>
      </c>
      <c r="BN77" s="43">
        <f t="shared" si="61"/>
        <v>0</v>
      </c>
      <c r="BO77" s="43">
        <f t="shared" si="62"/>
        <v>757.2925178344716</v>
      </c>
      <c r="BP77" s="43">
        <f t="shared" si="63"/>
        <v>1138.0369499332232</v>
      </c>
      <c r="BQ77" s="43">
        <f t="shared" si="64"/>
        <v>1100.3440100916014</v>
      </c>
      <c r="BR77" s="43">
        <f t="shared" si="65"/>
        <v>1065.8578825623104</v>
      </c>
      <c r="BS77" s="3"/>
      <c r="BT77" s="10"/>
      <c r="BU77" s="10"/>
      <c r="BV77" s="51">
        <f t="shared" si="15"/>
        <v>0</v>
      </c>
      <c r="BW77" s="51">
        <f t="shared" si="16"/>
        <v>0</v>
      </c>
      <c r="BX77" s="51">
        <f t="shared" si="17"/>
        <v>0</v>
      </c>
      <c r="BY77" s="51">
        <f t="shared" si="18"/>
        <v>3160.7586603663503</v>
      </c>
      <c r="BZ77" s="51">
        <f t="shared" si="19"/>
        <v>1065.8578825623104</v>
      </c>
      <c r="CA77" s="337">
        <f t="shared" si="20"/>
        <v>0</v>
      </c>
    </row>
    <row r="78" spans="1:79" s="227" customFormat="1">
      <c r="A78" s="48"/>
      <c r="B78" s="37">
        <f>'11. Investeringen (WUI+ombouw)'!B38</f>
        <v>19</v>
      </c>
      <c r="C78" s="48"/>
      <c r="D78" s="48"/>
      <c r="E78" s="48"/>
      <c r="F78" s="42">
        <f>'11. Investeringen (WUI+ombouw)'!C38</f>
        <v>4401460.9803481428</v>
      </c>
      <c r="G78" s="48"/>
      <c r="H78" s="37">
        <f>'11. Investeringen (WUI+ombouw)'!D38</f>
        <v>2023</v>
      </c>
      <c r="I78" s="37" t="str">
        <f>'11. Investeringen (WUI+ombouw)'!E38</f>
        <v>21 Hoofdtransportleiding</v>
      </c>
      <c r="J78" s="37" t="str">
        <f>'11. Investeringen (WUI+ombouw)'!F38</f>
        <v>VVI</v>
      </c>
      <c r="K78" s="37" t="str">
        <f>'11. Investeringen (WUI+ombouw)'!G38</f>
        <v>Ja</v>
      </c>
      <c r="L78" s="38">
        <f t="shared" si="46"/>
        <v>2025</v>
      </c>
      <c r="M78" s="38">
        <f>_xlfn.XLOOKUP(I78,'3. Input (des)investeringen '!$B$11:$B$89,'3. Input (des)investeringen '!$D$11:$D$89,0)</f>
        <v>55</v>
      </c>
      <c r="N78" s="3"/>
      <c r="O78" s="43">
        <f t="shared" si="0"/>
        <v>0</v>
      </c>
      <c r="P78" s="43">
        <f t="shared" si="1"/>
        <v>0</v>
      </c>
      <c r="Q78" s="3"/>
      <c r="R78" s="43">
        <f t="shared" si="22"/>
        <v>0</v>
      </c>
      <c r="S78" s="43">
        <f t="shared" si="2"/>
        <v>0</v>
      </c>
      <c r="T78" s="3"/>
      <c r="U78" s="43">
        <f t="shared" si="47"/>
        <v>4401460.9803481428</v>
      </c>
      <c r="V78" s="38">
        <f t="shared" si="48"/>
        <v>55</v>
      </c>
      <c r="W78" s="3"/>
      <c r="X78" s="43">
        <f t="shared" si="68"/>
        <v>0</v>
      </c>
      <c r="Y78" s="43">
        <f t="shared" si="68"/>
        <v>46815.539518248428</v>
      </c>
      <c r="Z78" s="43">
        <f t="shared" si="68"/>
        <v>92524.529920610978</v>
      </c>
      <c r="AA78" s="43">
        <f t="shared" si="68"/>
        <v>90337.586486123822</v>
      </c>
      <c r="AB78" s="43">
        <f t="shared" si="68"/>
        <v>88202.334441906351</v>
      </c>
      <c r="AC78" s="3"/>
      <c r="AD78" s="43">
        <f t="shared" si="69"/>
        <v>0</v>
      </c>
      <c r="AE78" s="43">
        <f t="shared" si="69"/>
        <v>4001.3281639528573</v>
      </c>
      <c r="AF78" s="43">
        <f t="shared" si="69"/>
        <v>8002.6563279057145</v>
      </c>
      <c r="AG78" s="43">
        <f t="shared" si="69"/>
        <v>8002.6563279057145</v>
      </c>
      <c r="AH78" s="43">
        <f t="shared" si="69"/>
        <v>8002.6563279057145</v>
      </c>
      <c r="AI78" s="3"/>
      <c r="AJ78" s="43">
        <f t="shared" si="49"/>
        <v>0</v>
      </c>
      <c r="AK78" s="43">
        <f t="shared" si="50"/>
        <v>50816.867682201286</v>
      </c>
      <c r="AL78" s="43">
        <f t="shared" si="51"/>
        <v>100527.18624851669</v>
      </c>
      <c r="AM78" s="43">
        <f t="shared" si="52"/>
        <v>98340.242814029538</v>
      </c>
      <c r="AN78" s="43">
        <f t="shared" si="53"/>
        <v>96204.990769812066</v>
      </c>
      <c r="AO78" s="3"/>
      <c r="AP78" s="43">
        <f t="shared" si="30"/>
        <v>0</v>
      </c>
      <c r="AQ78" s="43">
        <f t="shared" si="31"/>
        <v>4350644.1126659419</v>
      </c>
      <c r="AR78" s="43">
        <f t="shared" si="70"/>
        <v>4250116.9264174253</v>
      </c>
      <c r="AS78" s="43">
        <f t="shared" si="71"/>
        <v>4151776.6836033957</v>
      </c>
      <c r="AT78" s="43">
        <f t="shared" si="72"/>
        <v>4055571.6928335838</v>
      </c>
      <c r="AU78" s="3"/>
      <c r="AV78" s="47">
        <f t="shared" si="66"/>
        <v>0</v>
      </c>
      <c r="AW78" s="47">
        <f t="shared" si="54"/>
        <v>0</v>
      </c>
      <c r="AX78" s="47">
        <f t="shared" si="67"/>
        <v>0</v>
      </c>
      <c r="AY78" s="47">
        <f t="shared" si="55"/>
        <v>194388.12340017737</v>
      </c>
      <c r="AZ78" s="47">
        <f t="shared" si="56"/>
        <v>262031.62945237884</v>
      </c>
      <c r="BA78" s="43">
        <f t="shared" si="57"/>
        <v>256107.75679095858</v>
      </c>
      <c r="BB78" s="43">
        <f t="shared" si="58"/>
        <v>250316.71509748825</v>
      </c>
      <c r="BC78" s="3"/>
      <c r="BD78" s="43">
        <f t="shared" si="7"/>
        <v>0</v>
      </c>
      <c r="BE78" s="43">
        <f t="shared" si="8"/>
        <v>0</v>
      </c>
      <c r="BF78" s="43">
        <f t="shared" si="9"/>
        <v>0</v>
      </c>
      <c r="BG78" s="43">
        <f t="shared" si="10"/>
        <v>22007.304901740714</v>
      </c>
      <c r="BH78" s="43">
        <f t="shared" si="11"/>
        <v>47345.635473408904</v>
      </c>
      <c r="BI78" s="43">
        <f t="shared" si="12"/>
        <v>48476.628013597699</v>
      </c>
      <c r="BJ78" s="43">
        <f t="shared" si="13"/>
        <v>50117.464918601952</v>
      </c>
      <c r="BK78" s="3"/>
      <c r="BL78" s="43">
        <f t="shared" si="59"/>
        <v>0</v>
      </c>
      <c r="BM78" s="43">
        <f t="shared" si="60"/>
        <v>0</v>
      </c>
      <c r="BN78" s="43">
        <f t="shared" si="61"/>
        <v>0</v>
      </c>
      <c r="BO78" s="43">
        <f t="shared" si="62"/>
        <v>216395.42830191809</v>
      </c>
      <c r="BP78" s="43">
        <f t="shared" si="63"/>
        <v>309377.26492578775</v>
      </c>
      <c r="BQ78" s="43">
        <f t="shared" si="64"/>
        <v>304584.38480455626</v>
      </c>
      <c r="BR78" s="43">
        <f t="shared" si="65"/>
        <v>300434.18001609022</v>
      </c>
      <c r="BS78" s="3"/>
      <c r="BT78" s="10"/>
      <c r="BU78" s="10"/>
      <c r="BV78" s="51">
        <f t="shared" si="15"/>
        <v>0</v>
      </c>
      <c r="BW78" s="51">
        <f t="shared" si="16"/>
        <v>0</v>
      </c>
      <c r="BX78" s="51">
        <f t="shared" si="17"/>
        <v>0</v>
      </c>
      <c r="BY78" s="51">
        <f t="shared" si="18"/>
        <v>876422.89088952367</v>
      </c>
      <c r="BZ78" s="51">
        <f t="shared" si="19"/>
        <v>300434.18001609022</v>
      </c>
      <c r="CA78" s="337">
        <f t="shared" si="20"/>
        <v>0</v>
      </c>
    </row>
    <row r="79" spans="1:79" s="227" customFormat="1">
      <c r="A79" s="48"/>
      <c r="B79" s="37">
        <f>'11. Investeringen (WUI+ombouw)'!B39</f>
        <v>20</v>
      </c>
      <c r="C79" s="48"/>
      <c r="D79" s="48"/>
      <c r="E79" s="48"/>
      <c r="F79" s="42">
        <f>'11. Investeringen (WUI+ombouw)'!C39</f>
        <v>179930.39320672158</v>
      </c>
      <c r="G79" s="48"/>
      <c r="H79" s="37">
        <f>'11. Investeringen (WUI+ombouw)'!D39</f>
        <v>2023</v>
      </c>
      <c r="I79" s="37" t="str">
        <f>'11. Investeringen (WUI+ombouw)'!E39</f>
        <v>32 M&amp;R stations</v>
      </c>
      <c r="J79" s="37" t="str">
        <f>'11. Investeringen (WUI+ombouw)'!F39</f>
        <v>VVI</v>
      </c>
      <c r="K79" s="37" t="str">
        <f>'11. Investeringen (WUI+ombouw)'!G39</f>
        <v>Ja</v>
      </c>
      <c r="L79" s="38">
        <f t="shared" si="46"/>
        <v>2025</v>
      </c>
      <c r="M79" s="38">
        <f>_xlfn.XLOOKUP(I79,'3. Input (des)investeringen '!$B$11:$B$89,'3. Input (des)investeringen '!$D$11:$D$89,0)</f>
        <v>30</v>
      </c>
      <c r="N79" s="3"/>
      <c r="O79" s="43">
        <f t="shared" si="0"/>
        <v>0</v>
      </c>
      <c r="P79" s="43">
        <f t="shared" si="1"/>
        <v>0</v>
      </c>
      <c r="Q79" s="3"/>
      <c r="R79" s="43">
        <f t="shared" ref="R79:R86" si="73">IF($O79=0,IF($H79=O$58,$F79,0),IF(OR($H79&gt;R$58,$H79+$M79&lt;=R$58),0,F79-O79))</f>
        <v>0</v>
      </c>
      <c r="S79" s="43">
        <f t="shared" si="2"/>
        <v>0</v>
      </c>
      <c r="T79" s="3"/>
      <c r="U79" s="43">
        <f t="shared" si="47"/>
        <v>179930.39320672158</v>
      </c>
      <c r="V79" s="38">
        <f t="shared" si="48"/>
        <v>30</v>
      </c>
      <c r="W79" s="3"/>
      <c r="X79" s="43">
        <f t="shared" si="68"/>
        <v>0</v>
      </c>
      <c r="Y79" s="43">
        <f t="shared" si="68"/>
        <v>3508.6426675310713</v>
      </c>
      <c r="Z79" s="43">
        <f t="shared" si="68"/>
        <v>6865.2441528024619</v>
      </c>
      <c r="AA79" s="43">
        <f t="shared" si="68"/>
        <v>6567.7502395143556</v>
      </c>
      <c r="AB79" s="43">
        <f t="shared" si="68"/>
        <v>6283.1477291354013</v>
      </c>
      <c r="AC79" s="3"/>
      <c r="AD79" s="43">
        <f t="shared" si="69"/>
        <v>0</v>
      </c>
      <c r="AE79" s="43">
        <f t="shared" si="69"/>
        <v>299.88398867786935</v>
      </c>
      <c r="AF79" s="43">
        <f t="shared" si="69"/>
        <v>599.76797735573871</v>
      </c>
      <c r="AG79" s="43">
        <f t="shared" si="69"/>
        <v>599.76797735573871</v>
      </c>
      <c r="AH79" s="43">
        <f t="shared" si="69"/>
        <v>599.76797735573871</v>
      </c>
      <c r="AI79" s="3"/>
      <c r="AJ79" s="43">
        <f t="shared" si="49"/>
        <v>0</v>
      </c>
      <c r="AK79" s="43">
        <f t="shared" si="50"/>
        <v>3808.5266562089405</v>
      </c>
      <c r="AL79" s="43">
        <f t="shared" si="51"/>
        <v>7465.0121301582003</v>
      </c>
      <c r="AM79" s="43">
        <f t="shared" si="52"/>
        <v>7167.518216870094</v>
      </c>
      <c r="AN79" s="43">
        <f t="shared" si="53"/>
        <v>6882.9157064911396</v>
      </c>
      <c r="AO79" s="3"/>
      <c r="AP79" s="43">
        <f>IF($M79=0, IF($H79&gt;AP$58,0, $U79), IF(OR($H79&gt;AP$58,$H79+$M79&lt;=AP$58),0,
IF($H79=AP$58,$U79-AJ79,
U79-AJ79)))</f>
        <v>0</v>
      </c>
      <c r="AQ79" s="43">
        <f t="shared" si="31"/>
        <v>176121.86655051264</v>
      </c>
      <c r="AR79" s="43">
        <f t="shared" si="70"/>
        <v>168656.85442035444</v>
      </c>
      <c r="AS79" s="43">
        <f t="shared" si="71"/>
        <v>161489.33620348436</v>
      </c>
      <c r="AT79" s="43">
        <f t="shared" si="72"/>
        <v>154606.42049699323</v>
      </c>
      <c r="AU79" s="3"/>
      <c r="AV79" s="47">
        <f t="shared" si="66"/>
        <v>0</v>
      </c>
      <c r="AW79" s="47">
        <f t="shared" si="54"/>
        <v>0</v>
      </c>
      <c r="AX79" s="47">
        <f t="shared" si="67"/>
        <v>0</v>
      </c>
      <c r="AY79" s="47">
        <f t="shared" si="55"/>
        <v>9620.5482523758583</v>
      </c>
      <c r="AZ79" s="47">
        <f t="shared" si="56"/>
        <v>13873.97259813167</v>
      </c>
      <c r="BA79" s="43">
        <f t="shared" si="57"/>
        <v>13304.112992602499</v>
      </c>
      <c r="BB79" s="43">
        <f t="shared" si="58"/>
        <v>12757.959685376882</v>
      </c>
      <c r="BC79" s="3"/>
      <c r="BD79" s="43">
        <f t="shared" si="7"/>
        <v>0</v>
      </c>
      <c r="BE79" s="43">
        <f t="shared" si="8"/>
        <v>0</v>
      </c>
      <c r="BF79" s="43">
        <f t="shared" si="9"/>
        <v>0</v>
      </c>
      <c r="BG79" s="43">
        <f t="shared" si="10"/>
        <v>899.65196603360789</v>
      </c>
      <c r="BH79" s="43">
        <f t="shared" si="11"/>
        <v>1935.4752536460628</v>
      </c>
      <c r="BI79" s="43">
        <f t="shared" si="12"/>
        <v>1981.7098865051601</v>
      </c>
      <c r="BJ79" s="43">
        <f t="shared" si="13"/>
        <v>2048.7868027435866</v>
      </c>
      <c r="BK79" s="3"/>
      <c r="BL79" s="43">
        <f t="shared" si="59"/>
        <v>0</v>
      </c>
      <c r="BM79" s="43">
        <f t="shared" si="60"/>
        <v>0</v>
      </c>
      <c r="BN79" s="43">
        <f t="shared" si="61"/>
        <v>0</v>
      </c>
      <c r="BO79" s="43">
        <f t="shared" si="62"/>
        <v>10520.200218409465</v>
      </c>
      <c r="BP79" s="43">
        <f t="shared" si="63"/>
        <v>15809.447851777732</v>
      </c>
      <c r="BQ79" s="43">
        <f t="shared" si="64"/>
        <v>15285.822879107658</v>
      </c>
      <c r="BR79" s="43">
        <f t="shared" si="65"/>
        <v>14806.746488120469</v>
      </c>
      <c r="BS79" s="3"/>
      <c r="BT79" s="10"/>
      <c r="BU79" s="10"/>
      <c r="BV79" s="51">
        <f t="shared" si="15"/>
        <v>0</v>
      </c>
      <c r="BW79" s="51">
        <f t="shared" si="16"/>
        <v>0</v>
      </c>
      <c r="BX79" s="51">
        <f t="shared" si="17"/>
        <v>0</v>
      </c>
      <c r="BY79" s="51">
        <f t="shared" si="18"/>
        <v>43908.810883555881</v>
      </c>
      <c r="BZ79" s="51">
        <f t="shared" si="19"/>
        <v>14806.746488120469</v>
      </c>
      <c r="CA79" s="337">
        <f t="shared" si="20"/>
        <v>0</v>
      </c>
    </row>
    <row r="80" spans="1:79" s="227" customFormat="1">
      <c r="A80" s="48"/>
      <c r="B80" s="37">
        <f>'11. Investeringen (WUI+ombouw)'!B40</f>
        <v>21</v>
      </c>
      <c r="C80" s="226"/>
      <c r="D80" s="226"/>
      <c r="E80" s="226"/>
      <c r="F80" s="42">
        <f>'11. Investeringen (WUI+ombouw)'!C40</f>
        <v>30711053.134938359</v>
      </c>
      <c r="G80" s="48"/>
      <c r="H80" s="37">
        <f>'11. Investeringen (WUI+ombouw)'!D40</f>
        <v>2024</v>
      </c>
      <c r="I80" s="37" t="str">
        <f>'11. Investeringen (WUI+ombouw)'!E40</f>
        <v>05 Wegen en terreinvoorzieningen (KC)</v>
      </c>
      <c r="J80" s="37" t="str">
        <f>'11. Investeringen (WUI+ombouw)'!F40</f>
        <v>WUI</v>
      </c>
      <c r="K80" s="37" t="str">
        <f>'11. Investeringen (WUI+ombouw)'!G40</f>
        <v>Nee</v>
      </c>
      <c r="L80" s="38">
        <f t="shared" ref="L80:L90" si="74">H80+2</f>
        <v>2026</v>
      </c>
      <c r="M80" s="38">
        <f>_xlfn.XLOOKUP(I80,'3. Input (des)investeringen '!$B$11:$B$89,'3. Input (des)investeringen '!$D$11:$D$89,0)</f>
        <v>10</v>
      </c>
      <c r="N80" s="3"/>
      <c r="O80" s="43">
        <f t="shared" si="0"/>
        <v>0</v>
      </c>
      <c r="P80" s="43">
        <f t="shared" si="1"/>
        <v>0</v>
      </c>
      <c r="Q80" s="3"/>
      <c r="R80" s="43">
        <f t="shared" si="73"/>
        <v>0</v>
      </c>
      <c r="S80" s="43">
        <f t="shared" si="2"/>
        <v>0</v>
      </c>
      <c r="T80" s="3"/>
      <c r="U80" s="43">
        <f t="shared" ref="U80:U90" si="75">IF(H80&lt;=2021,S80,F80)</f>
        <v>30711053.134938359</v>
      </c>
      <c r="V80" s="38">
        <f t="shared" ref="V80:V90" si="76">IF($M80&gt;0,IF(H80&lt;2022,M80-2021+H80-0.5,M80),0)</f>
        <v>10</v>
      </c>
      <c r="W80" s="3"/>
      <c r="X80" s="43">
        <f t="shared" ref="X80:AB89" si="77">IF($M80&gt;0, IF(OR($H80&gt;X$58,$H80+$M80&lt;X$58),0,IF(OR($H80=2020,$H80=2021),VDB($U80,0,$V80,X$58-2022,MIN($V80,X$58-2021),$F$23,FALSE),
VDB($U80,0,$V80,MAX(0,X$58-$H80-0.5),MIN($V80,X$58-$H80+0.5),$F$23,FALSE)))*(1-$F$26), 0)</f>
        <v>0</v>
      </c>
      <c r="Y80" s="43">
        <f t="shared" si="77"/>
        <v>0</v>
      </c>
      <c r="Z80" s="43">
        <f t="shared" si="77"/>
        <v>1796596.6083938943</v>
      </c>
      <c r="AA80" s="43">
        <f t="shared" si="77"/>
        <v>3359635.6576965814</v>
      </c>
      <c r="AB80" s="43">
        <f t="shared" si="77"/>
        <v>2922883.0221960261</v>
      </c>
      <c r="AC80" s="3"/>
      <c r="AD80" s="43">
        <f t="shared" ref="AD80:AH89" si="78">IF($M80&gt;0, IF(OR($H80&gt;AD$58,$H80+$M80&lt;AD$58),0,IF(OR($H80=2020,$H80=2021),VDB($U80,0,$V80,AD$58-2022,MIN($V80,AD$58-2021),1,FALSE),
VDB($U80,0,$V80,MAX(0,AD$58-$H80-0.5),MIN($V80,AD$58-$H80+0.5),1,FALSE)))*$F$26,0)</f>
        <v>0</v>
      </c>
      <c r="AE80" s="43">
        <f t="shared" si="78"/>
        <v>0</v>
      </c>
      <c r="AF80" s="43">
        <f t="shared" si="78"/>
        <v>153555.26567469182</v>
      </c>
      <c r="AG80" s="43">
        <f t="shared" si="78"/>
        <v>307110.53134938364</v>
      </c>
      <c r="AH80" s="43">
        <f t="shared" si="78"/>
        <v>307110.53134938364</v>
      </c>
      <c r="AI80" s="3"/>
      <c r="AJ80" s="43">
        <f t="shared" ref="AJ80:AJ90" si="79">X80+AD80</f>
        <v>0</v>
      </c>
      <c r="AK80" s="43">
        <f t="shared" ref="AK80:AK90" si="80">Y80+AE80</f>
        <v>0</v>
      </c>
      <c r="AL80" s="43">
        <f t="shared" ref="AL80:AL90" si="81">Z80+AF80</f>
        <v>1950151.8740685862</v>
      </c>
      <c r="AM80" s="43">
        <f t="shared" ref="AM80:AM90" si="82">AA80+AG80</f>
        <v>3666746.1890459652</v>
      </c>
      <c r="AN80" s="43">
        <f t="shared" ref="AN80:AN90" si="83">AB80+AH80</f>
        <v>3229993.5535454098</v>
      </c>
      <c r="AO80" s="3"/>
      <c r="AP80" s="43">
        <f t="shared" ref="AP80:AP90" si="84">IF($M80=0, IF($H80&gt;AP$58,0, $U80), IF(OR($H80&gt;AP$58,$H80+$M80&lt;=AP$58),0,
IF($H80=AP$58,$U80-AJ80,
U80-AJ80)))</f>
        <v>0</v>
      </c>
      <c r="AQ80" s="43">
        <f t="shared" ref="AQ80:AQ90" si="85">IF($M80=0, IF($H80 &gt; AQ$58, 0, IF($H80=AQ$58, $F80, AP80)), IF(OR($H80&gt;AQ$58,$H80+$M80&lt;=AQ$58),0,
IF($H80=AQ$58,$U80-AK80,
AP80-AK80)))</f>
        <v>0</v>
      </c>
      <c r="AR80" s="43">
        <f t="shared" ref="AR80:AR90" si="86">IF($M80=0, IF($H80 &gt; AR$58, 0, IF($H80=AR$58, $F80, AQ80)), IF(OR($H80&gt;AR$58,$H80+$M80&lt;=AR$58),0,
IF($H80=AR$58,$U80-AL80,
AQ80-AL80)))</f>
        <v>28760901.260869771</v>
      </c>
      <c r="AS80" s="43">
        <f t="shared" ref="AS80:AS90" si="87">IF($M80=0, IF($H80 &gt; AS$58, 0, IF($H80=AS$58, $F80, AR80)), IF(OR($H80&gt;AS$58,$H80+$M80&lt;=AS$58),0,
IF($H80=AS$58,$U80-AM80,
AR80-AM80)))</f>
        <v>25094155.071823806</v>
      </c>
      <c r="AT80" s="43">
        <f t="shared" ref="AT80:AT90" si="88">IF($M80=0, IF($H80 &gt; AT$58, 0, IF($H80=AT$58, $F80, AS80)), IF(OR($H80&gt;AT$58,$H80+$M80&lt;=AT$58),0,
IF($H80=AT$58,$U80-AN80,
AS80-AN80)))</f>
        <v>21864161.518278398</v>
      </c>
      <c r="AU80" s="3"/>
      <c r="AV80" s="47">
        <f t="shared" ref="AV80:AV90" si="89">O80+R80*H$16</f>
        <v>0</v>
      </c>
      <c r="AW80" s="47">
        <f t="shared" ref="AW80:AW90" si="90">P80+S80*I$16</f>
        <v>0</v>
      </c>
      <c r="AX80" s="47">
        <f t="shared" ref="AX80:AX90" si="91">AJ80+AP80*J$17</f>
        <v>0</v>
      </c>
      <c r="AY80" s="47">
        <f t="shared" ref="AY80:AY90" si="92">AK80+AQ80*K$17</f>
        <v>0</v>
      </c>
      <c r="AZ80" s="47">
        <f t="shared" ref="AZ80:AZ90" si="93">AL80+AR80*L$17</f>
        <v>3043066.1219816376</v>
      </c>
      <c r="BA80" s="43">
        <f t="shared" ref="BA80:BA90" si="94">AM80+AS80*M$17</f>
        <v>4620324.0817752695</v>
      </c>
      <c r="BB80" s="43">
        <f t="shared" ref="BB80:BB90" si="95">AN80+AT80*N$17</f>
        <v>4060831.6912399889</v>
      </c>
      <c r="BC80" s="3"/>
      <c r="BD80" s="43">
        <f t="shared" si="7"/>
        <v>0</v>
      </c>
      <c r="BE80" s="43">
        <f t="shared" si="8"/>
        <v>0</v>
      </c>
      <c r="BF80" s="43">
        <f t="shared" si="9"/>
        <v>0</v>
      </c>
      <c r="BG80" s="43">
        <f t="shared" si="10"/>
        <v>0</v>
      </c>
      <c r="BH80" s="43">
        <f t="shared" si="11"/>
        <v>153555.26567469179</v>
      </c>
      <c r="BI80" s="43">
        <f t="shared" si="12"/>
        <v>314446.78772225766</v>
      </c>
      <c r="BJ80" s="43">
        <f t="shared" si="13"/>
        <v>325090.18259308068</v>
      </c>
      <c r="BK80" s="3"/>
      <c r="BL80" s="43">
        <f t="shared" ref="BL80:BL90" si="96">AV80+BD80</f>
        <v>0</v>
      </c>
      <c r="BM80" s="43">
        <f t="shared" ref="BM80:BM90" si="97">AW80+BE80</f>
        <v>0</v>
      </c>
      <c r="BN80" s="43">
        <f t="shared" ref="BN80:BN90" si="98">AX80+BF80</f>
        <v>0</v>
      </c>
      <c r="BO80" s="43">
        <f t="shared" ref="BO80:BO90" si="99">AY80+BG80</f>
        <v>0</v>
      </c>
      <c r="BP80" s="43">
        <f t="shared" ref="BP80:BP90" si="100">AZ80+BH80</f>
        <v>3196621.3876563292</v>
      </c>
      <c r="BQ80" s="43">
        <f t="shared" ref="BQ80:BQ90" si="101">BA80+BI80</f>
        <v>4934770.8694975274</v>
      </c>
      <c r="BR80" s="43">
        <f t="shared" ref="BR80:BR90" si="102">BB80+BJ80</f>
        <v>4385921.8738330696</v>
      </c>
      <c r="BS80" s="3"/>
      <c r="BT80" s="10"/>
      <c r="BU80" s="10"/>
      <c r="BV80" s="51">
        <f t="shared" si="15"/>
        <v>0</v>
      </c>
      <c r="BW80" s="51">
        <f t="shared" si="16"/>
        <v>0</v>
      </c>
      <c r="BX80" s="51">
        <f t="shared" si="17"/>
        <v>0</v>
      </c>
      <c r="BY80" s="51">
        <f t="shared" si="18"/>
        <v>0</v>
      </c>
      <c r="BZ80" s="51">
        <f t="shared" si="19"/>
        <v>13158835.415837361</v>
      </c>
      <c r="CA80" s="337">
        <f t="shared" si="20"/>
        <v>0</v>
      </c>
    </row>
    <row r="81" spans="1:79" s="227" customFormat="1">
      <c r="A81" s="48"/>
      <c r="B81" s="37">
        <f>'11. Investeringen (WUI+ombouw)'!B41</f>
        <v>22</v>
      </c>
      <c r="C81" s="226"/>
      <c r="D81" s="226"/>
      <c r="E81" s="226"/>
      <c r="F81" s="42">
        <f>'11. Investeringen (WUI+ombouw)'!C41</f>
        <v>103280388.2346216</v>
      </c>
      <c r="G81" s="48"/>
      <c r="H81" s="37">
        <f>'11. Investeringen (WUI+ombouw)'!D41</f>
        <v>2024</v>
      </c>
      <c r="I81" s="37" t="str">
        <f>'11. Investeringen (WUI+ombouw)'!E41</f>
        <v>06 Utiliteitsgebouwen (KC)</v>
      </c>
      <c r="J81" s="37" t="str">
        <f>'11. Investeringen (WUI+ombouw)'!F41</f>
        <v>WUI</v>
      </c>
      <c r="K81" s="37" t="str">
        <f>'11. Investeringen (WUI+ombouw)'!G41</f>
        <v>Nee</v>
      </c>
      <c r="L81" s="38">
        <f t="shared" si="74"/>
        <v>2026</v>
      </c>
      <c r="M81" s="38">
        <f>_xlfn.XLOOKUP(I81,'3. Input (des)investeringen '!$B$11:$B$89,'3. Input (des)investeringen '!$D$11:$D$89,0)</f>
        <v>30</v>
      </c>
      <c r="N81" s="3"/>
      <c r="O81" s="43">
        <f t="shared" si="0"/>
        <v>0</v>
      </c>
      <c r="P81" s="43">
        <f t="shared" si="1"/>
        <v>0</v>
      </c>
      <c r="Q81" s="3"/>
      <c r="R81" s="43">
        <f t="shared" si="73"/>
        <v>0</v>
      </c>
      <c r="S81" s="43">
        <f t="shared" si="2"/>
        <v>0</v>
      </c>
      <c r="T81" s="3"/>
      <c r="U81" s="43">
        <f t="shared" si="75"/>
        <v>103280388.2346216</v>
      </c>
      <c r="V81" s="38">
        <f t="shared" si="76"/>
        <v>30</v>
      </c>
      <c r="W81" s="3"/>
      <c r="X81" s="43">
        <f t="shared" si="77"/>
        <v>0</v>
      </c>
      <c r="Y81" s="43">
        <f t="shared" si="77"/>
        <v>0</v>
      </c>
      <c r="Z81" s="43">
        <f t="shared" si="77"/>
        <v>2013967.5705751213</v>
      </c>
      <c r="AA81" s="43">
        <f t="shared" si="77"/>
        <v>3940663.2130919877</v>
      </c>
      <c r="AB81" s="43">
        <f t="shared" si="77"/>
        <v>3769901.1405246682</v>
      </c>
      <c r="AC81" s="3"/>
      <c r="AD81" s="43">
        <f t="shared" si="78"/>
        <v>0</v>
      </c>
      <c r="AE81" s="43">
        <f t="shared" si="78"/>
        <v>0</v>
      </c>
      <c r="AF81" s="43">
        <f t="shared" si="78"/>
        <v>172133.98039103602</v>
      </c>
      <c r="AG81" s="43">
        <f t="shared" si="78"/>
        <v>344267.96078207204</v>
      </c>
      <c r="AH81" s="43">
        <f t="shared" si="78"/>
        <v>344267.96078207204</v>
      </c>
      <c r="AI81" s="3"/>
      <c r="AJ81" s="43">
        <f t="shared" si="79"/>
        <v>0</v>
      </c>
      <c r="AK81" s="43">
        <f t="shared" si="80"/>
        <v>0</v>
      </c>
      <c r="AL81" s="43">
        <f t="shared" si="81"/>
        <v>2186101.5509661576</v>
      </c>
      <c r="AM81" s="43">
        <f t="shared" si="82"/>
        <v>4284931.1738740597</v>
      </c>
      <c r="AN81" s="43">
        <f t="shared" si="83"/>
        <v>4114169.1013067402</v>
      </c>
      <c r="AO81" s="3"/>
      <c r="AP81" s="43">
        <f t="shared" si="84"/>
        <v>0</v>
      </c>
      <c r="AQ81" s="43">
        <f t="shared" si="85"/>
        <v>0</v>
      </c>
      <c r="AR81" s="43">
        <f t="shared" si="86"/>
        <v>101094286.68365544</v>
      </c>
      <c r="AS81" s="43">
        <f t="shared" si="87"/>
        <v>96809355.509781376</v>
      </c>
      <c r="AT81" s="43">
        <f t="shared" si="88"/>
        <v>92695186.408474639</v>
      </c>
      <c r="AU81" s="3"/>
      <c r="AV81" s="47">
        <f t="shared" si="89"/>
        <v>0</v>
      </c>
      <c r="AW81" s="47">
        <f t="shared" si="90"/>
        <v>0</v>
      </c>
      <c r="AX81" s="47">
        <f t="shared" si="91"/>
        <v>0</v>
      </c>
      <c r="AY81" s="47">
        <f t="shared" si="92"/>
        <v>0</v>
      </c>
      <c r="AZ81" s="47">
        <f t="shared" si="93"/>
        <v>6027684.4449450644</v>
      </c>
      <c r="BA81" s="43">
        <f t="shared" si="94"/>
        <v>7963686.683245752</v>
      </c>
      <c r="BB81" s="43">
        <f t="shared" si="95"/>
        <v>7636586.1848287769</v>
      </c>
      <c r="BC81" s="3"/>
      <c r="BD81" s="43">
        <f t="shared" si="7"/>
        <v>0</v>
      </c>
      <c r="BE81" s="43">
        <f t="shared" si="8"/>
        <v>0</v>
      </c>
      <c r="BF81" s="43">
        <f t="shared" si="9"/>
        <v>0</v>
      </c>
      <c r="BG81" s="43">
        <f t="shared" si="10"/>
        <v>0</v>
      </c>
      <c r="BH81" s="43">
        <f t="shared" si="11"/>
        <v>516401.941173108</v>
      </c>
      <c r="BI81" s="43">
        <f t="shared" si="12"/>
        <v>1057475.5014877024</v>
      </c>
      <c r="BJ81" s="43">
        <f t="shared" si="13"/>
        <v>1093268.9322620581</v>
      </c>
      <c r="BK81" s="3"/>
      <c r="BL81" s="43">
        <f t="shared" si="96"/>
        <v>0</v>
      </c>
      <c r="BM81" s="43">
        <f t="shared" si="97"/>
        <v>0</v>
      </c>
      <c r="BN81" s="43">
        <f t="shared" si="98"/>
        <v>0</v>
      </c>
      <c r="BO81" s="43">
        <f t="shared" si="99"/>
        <v>0</v>
      </c>
      <c r="BP81" s="43">
        <f t="shared" si="100"/>
        <v>6544086.3861181727</v>
      </c>
      <c r="BQ81" s="43">
        <f t="shared" si="101"/>
        <v>9021162.1847334541</v>
      </c>
      <c r="BR81" s="43">
        <f t="shared" si="102"/>
        <v>8729855.1170908343</v>
      </c>
      <c r="BS81" s="3"/>
      <c r="BT81" s="10"/>
      <c r="BU81" s="10"/>
      <c r="BV81" s="51">
        <f t="shared" si="15"/>
        <v>0</v>
      </c>
      <c r="BW81" s="51">
        <f t="shared" si="16"/>
        <v>0</v>
      </c>
      <c r="BX81" s="51">
        <f t="shared" si="17"/>
        <v>0</v>
      </c>
      <c r="BY81" s="51">
        <f t="shared" si="18"/>
        <v>0</v>
      </c>
      <c r="BZ81" s="51">
        <f t="shared" si="19"/>
        <v>25554356.465864733</v>
      </c>
      <c r="CA81" s="337">
        <f t="shared" si="20"/>
        <v>0</v>
      </c>
    </row>
    <row r="82" spans="1:79" s="227" customFormat="1">
      <c r="A82" s="48"/>
      <c r="B82" s="37">
        <f>'11. Investeringen (WUI+ombouw)'!B42</f>
        <v>23</v>
      </c>
      <c r="C82" s="226"/>
      <c r="D82" s="226"/>
      <c r="E82" s="226"/>
      <c r="F82" s="42">
        <f>'11. Investeringen (WUI+ombouw)'!C42</f>
        <v>1964.4578009375275</v>
      </c>
      <c r="G82" s="48"/>
      <c r="H82" s="37">
        <f>'11. Investeringen (WUI+ombouw)'!D42</f>
        <v>2024</v>
      </c>
      <c r="I82" s="37" t="str">
        <f>'11. Investeringen (WUI+ombouw)'!E42</f>
        <v>08 Inrichting gebouwen (KC)</v>
      </c>
      <c r="J82" s="37" t="str">
        <f>'11. Investeringen (WUI+ombouw)'!F42</f>
        <v>WUI</v>
      </c>
      <c r="K82" s="37" t="str">
        <f>'11. Investeringen (WUI+ombouw)'!G42</f>
        <v>Nee</v>
      </c>
      <c r="L82" s="38">
        <f t="shared" si="74"/>
        <v>2026</v>
      </c>
      <c r="M82" s="38">
        <f>_xlfn.XLOOKUP(I82,'3. Input (des)investeringen '!$B$11:$B$89,'3. Input (des)investeringen '!$D$11:$D$89,0)</f>
        <v>10</v>
      </c>
      <c r="N82" s="3"/>
      <c r="O82" s="43">
        <f t="shared" si="0"/>
        <v>0</v>
      </c>
      <c r="P82" s="43">
        <f t="shared" si="1"/>
        <v>0</v>
      </c>
      <c r="Q82" s="3"/>
      <c r="R82" s="43">
        <f t="shared" si="73"/>
        <v>0</v>
      </c>
      <c r="S82" s="43">
        <f t="shared" si="2"/>
        <v>0</v>
      </c>
      <c r="T82" s="3"/>
      <c r="U82" s="43">
        <f t="shared" si="75"/>
        <v>1964.4578009375275</v>
      </c>
      <c r="V82" s="38">
        <f t="shared" si="76"/>
        <v>10</v>
      </c>
      <c r="W82" s="3"/>
      <c r="X82" s="43">
        <f t="shared" si="77"/>
        <v>0</v>
      </c>
      <c r="Y82" s="43">
        <f t="shared" si="77"/>
        <v>0</v>
      </c>
      <c r="Z82" s="43">
        <f t="shared" si="77"/>
        <v>114.92078135484536</v>
      </c>
      <c r="AA82" s="43">
        <f t="shared" si="77"/>
        <v>214.90186113356083</v>
      </c>
      <c r="AB82" s="43">
        <f t="shared" si="77"/>
        <v>186.96461918619795</v>
      </c>
      <c r="AC82" s="3"/>
      <c r="AD82" s="43">
        <f t="shared" si="78"/>
        <v>0</v>
      </c>
      <c r="AE82" s="43">
        <f t="shared" si="78"/>
        <v>0</v>
      </c>
      <c r="AF82" s="43">
        <f t="shared" si="78"/>
        <v>9.8222890046876401</v>
      </c>
      <c r="AG82" s="43">
        <f t="shared" si="78"/>
        <v>19.644578009375277</v>
      </c>
      <c r="AH82" s="43">
        <f t="shared" si="78"/>
        <v>19.644578009375277</v>
      </c>
      <c r="AI82" s="3"/>
      <c r="AJ82" s="43">
        <f t="shared" si="79"/>
        <v>0</v>
      </c>
      <c r="AK82" s="43">
        <f t="shared" si="80"/>
        <v>0</v>
      </c>
      <c r="AL82" s="43">
        <f t="shared" si="81"/>
        <v>124.74307035953299</v>
      </c>
      <c r="AM82" s="43">
        <f t="shared" si="82"/>
        <v>234.54643914293609</v>
      </c>
      <c r="AN82" s="43">
        <f t="shared" si="83"/>
        <v>206.60919719557322</v>
      </c>
      <c r="AO82" s="3"/>
      <c r="AP82" s="43">
        <f t="shared" si="84"/>
        <v>0</v>
      </c>
      <c r="AQ82" s="43">
        <f t="shared" si="85"/>
        <v>0</v>
      </c>
      <c r="AR82" s="43">
        <f t="shared" si="86"/>
        <v>1839.7147305779945</v>
      </c>
      <c r="AS82" s="43">
        <f t="shared" si="87"/>
        <v>1605.1682914350583</v>
      </c>
      <c r="AT82" s="43">
        <f t="shared" si="88"/>
        <v>1398.5590942394851</v>
      </c>
      <c r="AU82" s="3"/>
      <c r="AV82" s="47">
        <f t="shared" si="89"/>
        <v>0</v>
      </c>
      <c r="AW82" s="47">
        <f t="shared" si="90"/>
        <v>0</v>
      </c>
      <c r="AX82" s="47">
        <f t="shared" si="91"/>
        <v>0</v>
      </c>
      <c r="AY82" s="47">
        <f t="shared" si="92"/>
        <v>0</v>
      </c>
      <c r="AZ82" s="47">
        <f t="shared" si="93"/>
        <v>194.65223012149679</v>
      </c>
      <c r="BA82" s="43">
        <f t="shared" si="94"/>
        <v>295.54283421746834</v>
      </c>
      <c r="BB82" s="43">
        <f t="shared" si="95"/>
        <v>259.75444277667367</v>
      </c>
      <c r="BC82" s="3"/>
      <c r="BD82" s="43">
        <f t="shared" si="7"/>
        <v>0</v>
      </c>
      <c r="BE82" s="43">
        <f t="shared" si="8"/>
        <v>0</v>
      </c>
      <c r="BF82" s="43">
        <f t="shared" si="9"/>
        <v>0</v>
      </c>
      <c r="BG82" s="43">
        <f t="shared" si="10"/>
        <v>0</v>
      </c>
      <c r="BH82" s="43">
        <f t="shared" si="11"/>
        <v>9.8222890046876383</v>
      </c>
      <c r="BI82" s="43">
        <f t="shared" si="12"/>
        <v>20.113847688863235</v>
      </c>
      <c r="BJ82" s="43">
        <f t="shared" si="13"/>
        <v>20.794661205435876</v>
      </c>
      <c r="BK82" s="3"/>
      <c r="BL82" s="43">
        <f t="shared" si="96"/>
        <v>0</v>
      </c>
      <c r="BM82" s="43">
        <f t="shared" si="97"/>
        <v>0</v>
      </c>
      <c r="BN82" s="43">
        <f t="shared" si="98"/>
        <v>0</v>
      </c>
      <c r="BO82" s="43">
        <f t="shared" si="99"/>
        <v>0</v>
      </c>
      <c r="BP82" s="43">
        <f t="shared" si="100"/>
        <v>204.47451912618442</v>
      </c>
      <c r="BQ82" s="43">
        <f t="shared" si="101"/>
        <v>315.65668190633158</v>
      </c>
      <c r="BR82" s="43">
        <f t="shared" si="102"/>
        <v>280.54910398210956</v>
      </c>
      <c r="BS82" s="3"/>
      <c r="BT82" s="10"/>
      <c r="BU82" s="10"/>
      <c r="BV82" s="51">
        <f t="shared" si="15"/>
        <v>0</v>
      </c>
      <c r="BW82" s="51">
        <f t="shared" si="16"/>
        <v>0</v>
      </c>
      <c r="BX82" s="51">
        <f t="shared" si="17"/>
        <v>0</v>
      </c>
      <c r="BY82" s="51">
        <f t="shared" si="18"/>
        <v>0</v>
      </c>
      <c r="BZ82" s="51">
        <f t="shared" si="19"/>
        <v>841.71574222202594</v>
      </c>
      <c r="CA82" s="337">
        <f t="shared" si="20"/>
        <v>0</v>
      </c>
    </row>
    <row r="83" spans="1:79" s="227" customFormat="1">
      <c r="A83" s="48"/>
      <c r="B83" s="37">
        <f>'11. Investeringen (WUI+ombouw)'!B43</f>
        <v>24</v>
      </c>
      <c r="C83" s="226"/>
      <c r="D83" s="226"/>
      <c r="E83" s="226"/>
      <c r="F83" s="42">
        <f>'11. Investeringen (WUI+ombouw)'!C43</f>
        <v>224147.44705344315</v>
      </c>
      <c r="G83" s="48"/>
      <c r="H83" s="37">
        <f>'11. Investeringen (WUI+ombouw)'!D43</f>
        <v>2024</v>
      </c>
      <c r="I83" s="37" t="str">
        <f>'11. Investeringen (WUI+ombouw)'!E43</f>
        <v>17 Mengstations</v>
      </c>
      <c r="J83" s="37" t="str">
        <f>'11. Investeringen (WUI+ombouw)'!F43</f>
        <v>WUI</v>
      </c>
      <c r="K83" s="37" t="str">
        <f>'11. Investeringen (WUI+ombouw)'!G43</f>
        <v>Nee</v>
      </c>
      <c r="L83" s="38">
        <f t="shared" si="74"/>
        <v>2026</v>
      </c>
      <c r="M83" s="38">
        <f>_xlfn.XLOOKUP(I83,'3. Input (des)investeringen '!$B$11:$B$89,'3. Input (des)investeringen '!$D$11:$D$89,0)</f>
        <v>30</v>
      </c>
      <c r="N83" s="3"/>
      <c r="O83" s="43">
        <f t="shared" si="0"/>
        <v>0</v>
      </c>
      <c r="P83" s="43">
        <f t="shared" si="1"/>
        <v>0</v>
      </c>
      <c r="Q83" s="3"/>
      <c r="R83" s="43">
        <f t="shared" si="73"/>
        <v>0</v>
      </c>
      <c r="S83" s="43">
        <f t="shared" si="2"/>
        <v>0</v>
      </c>
      <c r="T83" s="3"/>
      <c r="U83" s="43">
        <f t="shared" si="75"/>
        <v>224147.44705344315</v>
      </c>
      <c r="V83" s="38">
        <f t="shared" si="76"/>
        <v>30</v>
      </c>
      <c r="W83" s="3"/>
      <c r="X83" s="43">
        <f t="shared" si="77"/>
        <v>0</v>
      </c>
      <c r="Y83" s="43">
        <f t="shared" si="77"/>
        <v>0</v>
      </c>
      <c r="Z83" s="43">
        <f t="shared" si="77"/>
        <v>4370.8752175421414</v>
      </c>
      <c r="AA83" s="43">
        <f t="shared" si="77"/>
        <v>8552.3458423241227</v>
      </c>
      <c r="AB83" s="43">
        <f t="shared" si="77"/>
        <v>8181.744189156746</v>
      </c>
      <c r="AC83" s="3"/>
      <c r="AD83" s="43">
        <f t="shared" si="78"/>
        <v>0</v>
      </c>
      <c r="AE83" s="43">
        <f t="shared" si="78"/>
        <v>0</v>
      </c>
      <c r="AF83" s="43">
        <f t="shared" si="78"/>
        <v>373.57907842240525</v>
      </c>
      <c r="AG83" s="43">
        <f t="shared" si="78"/>
        <v>747.15815684481049</v>
      </c>
      <c r="AH83" s="43">
        <f t="shared" si="78"/>
        <v>747.15815684481049</v>
      </c>
      <c r="AI83" s="3"/>
      <c r="AJ83" s="43">
        <f t="shared" si="79"/>
        <v>0</v>
      </c>
      <c r="AK83" s="43">
        <f t="shared" si="80"/>
        <v>0</v>
      </c>
      <c r="AL83" s="43">
        <f t="shared" si="81"/>
        <v>4744.4542959645469</v>
      </c>
      <c r="AM83" s="43">
        <f t="shared" si="82"/>
        <v>9299.5039991689337</v>
      </c>
      <c r="AN83" s="43">
        <f t="shared" si="83"/>
        <v>8928.902346001556</v>
      </c>
      <c r="AO83" s="3"/>
      <c r="AP83" s="43">
        <f t="shared" si="84"/>
        <v>0</v>
      </c>
      <c r="AQ83" s="43">
        <f t="shared" si="85"/>
        <v>0</v>
      </c>
      <c r="AR83" s="43">
        <f t="shared" si="86"/>
        <v>219402.99275747861</v>
      </c>
      <c r="AS83" s="43">
        <f t="shared" si="87"/>
        <v>210103.48875830969</v>
      </c>
      <c r="AT83" s="43">
        <f t="shared" si="88"/>
        <v>201174.58641230813</v>
      </c>
      <c r="AU83" s="3"/>
      <c r="AV83" s="47">
        <f t="shared" si="89"/>
        <v>0</v>
      </c>
      <c r="AW83" s="47">
        <f t="shared" si="90"/>
        <v>0</v>
      </c>
      <c r="AX83" s="47">
        <f t="shared" si="91"/>
        <v>0</v>
      </c>
      <c r="AY83" s="47">
        <f t="shared" si="92"/>
        <v>0</v>
      </c>
      <c r="AZ83" s="47">
        <f t="shared" si="93"/>
        <v>13081.768020748736</v>
      </c>
      <c r="BA83" s="43">
        <f t="shared" si="94"/>
        <v>17283.436571984701</v>
      </c>
      <c r="BB83" s="43">
        <f t="shared" si="95"/>
        <v>16573.536629669266</v>
      </c>
      <c r="BC83" s="3"/>
      <c r="BD83" s="43">
        <f t="shared" si="7"/>
        <v>0</v>
      </c>
      <c r="BE83" s="43">
        <f t="shared" si="8"/>
        <v>0</v>
      </c>
      <c r="BF83" s="43">
        <f t="shared" si="9"/>
        <v>0</v>
      </c>
      <c r="BG83" s="43">
        <f t="shared" si="10"/>
        <v>0</v>
      </c>
      <c r="BH83" s="43">
        <f t="shared" si="11"/>
        <v>1120.7372352672157</v>
      </c>
      <c r="BI83" s="43">
        <f t="shared" si="12"/>
        <v>2295.0188126865578</v>
      </c>
      <c r="BJ83" s="43">
        <f t="shared" si="13"/>
        <v>2372.7006094583726</v>
      </c>
      <c r="BK83" s="3"/>
      <c r="BL83" s="43">
        <f t="shared" si="96"/>
        <v>0</v>
      </c>
      <c r="BM83" s="43">
        <f t="shared" si="97"/>
        <v>0</v>
      </c>
      <c r="BN83" s="43">
        <f t="shared" si="98"/>
        <v>0</v>
      </c>
      <c r="BO83" s="43">
        <f t="shared" si="99"/>
        <v>0</v>
      </c>
      <c r="BP83" s="43">
        <f t="shared" si="100"/>
        <v>14202.505256015951</v>
      </c>
      <c r="BQ83" s="43">
        <f t="shared" si="101"/>
        <v>19578.455384671259</v>
      </c>
      <c r="BR83" s="43">
        <f t="shared" si="102"/>
        <v>18946.23723912764</v>
      </c>
      <c r="BS83" s="3"/>
      <c r="BT83" s="10"/>
      <c r="BU83" s="10"/>
      <c r="BV83" s="51">
        <f t="shared" si="15"/>
        <v>0</v>
      </c>
      <c r="BW83" s="51">
        <f t="shared" si="16"/>
        <v>0</v>
      </c>
      <c r="BX83" s="51">
        <f t="shared" si="17"/>
        <v>0</v>
      </c>
      <c r="BY83" s="51">
        <f t="shared" si="18"/>
        <v>0</v>
      </c>
      <c r="BZ83" s="51">
        <f t="shared" si="19"/>
        <v>55460.130048166393</v>
      </c>
      <c r="CA83" s="337">
        <f t="shared" si="20"/>
        <v>0</v>
      </c>
    </row>
    <row r="84" spans="1:79" s="227" customFormat="1">
      <c r="A84" s="48"/>
      <c r="B84" s="37">
        <f>'11. Investeringen (WUI+ombouw)'!B44</f>
        <v>25</v>
      </c>
      <c r="C84" s="226"/>
      <c r="D84" s="226"/>
      <c r="E84" s="226"/>
      <c r="F84" s="42">
        <f>'11. Investeringen (WUI+ombouw)'!C44</f>
        <v>60702.528782164503</v>
      </c>
      <c r="G84" s="48"/>
      <c r="H84" s="37">
        <f>'11. Investeringen (WUI+ombouw)'!D44</f>
        <v>2024</v>
      </c>
      <c r="I84" s="37" t="str">
        <f>'11. Investeringen (WUI+ombouw)'!E44</f>
        <v>21 Hoofdtransportleiding (KC)</v>
      </c>
      <c r="J84" s="37" t="str">
        <f>'11. Investeringen (WUI+ombouw)'!F44</f>
        <v>WUI</v>
      </c>
      <c r="K84" s="37" t="str">
        <f>'11. Investeringen (WUI+ombouw)'!G44</f>
        <v>Nee</v>
      </c>
      <c r="L84" s="38">
        <f t="shared" si="74"/>
        <v>2026</v>
      </c>
      <c r="M84" s="38">
        <f>_xlfn.XLOOKUP(I84,'3. Input (des)investeringen '!$B$11:$B$89,'3. Input (des)investeringen '!$D$11:$D$89,0)</f>
        <v>55</v>
      </c>
      <c r="N84" s="3"/>
      <c r="O84" s="43">
        <f t="shared" si="0"/>
        <v>0</v>
      </c>
      <c r="P84" s="43">
        <f t="shared" si="1"/>
        <v>0</v>
      </c>
      <c r="Q84" s="3"/>
      <c r="R84" s="43">
        <f t="shared" si="73"/>
        <v>0</v>
      </c>
      <c r="S84" s="43">
        <f t="shared" si="2"/>
        <v>0</v>
      </c>
      <c r="T84" s="3"/>
      <c r="U84" s="43">
        <f t="shared" si="75"/>
        <v>60702.528782164503</v>
      </c>
      <c r="V84" s="38">
        <f t="shared" si="76"/>
        <v>55</v>
      </c>
      <c r="W84" s="3"/>
      <c r="X84" s="43">
        <f t="shared" si="77"/>
        <v>0</v>
      </c>
      <c r="Y84" s="43">
        <f t="shared" si="77"/>
        <v>0</v>
      </c>
      <c r="Z84" s="43">
        <f t="shared" si="77"/>
        <v>645.65416977393159</v>
      </c>
      <c r="AA84" s="43">
        <f t="shared" si="77"/>
        <v>1276.0474228077521</v>
      </c>
      <c r="AB84" s="43">
        <f t="shared" si="77"/>
        <v>1245.8863019050234</v>
      </c>
      <c r="AC84" s="3"/>
      <c r="AD84" s="43">
        <f t="shared" si="78"/>
        <v>0</v>
      </c>
      <c r="AE84" s="43">
        <f t="shared" si="78"/>
        <v>0</v>
      </c>
      <c r="AF84" s="43">
        <f t="shared" si="78"/>
        <v>55.18411707469501</v>
      </c>
      <c r="AG84" s="43">
        <f t="shared" si="78"/>
        <v>110.36823414939002</v>
      </c>
      <c r="AH84" s="43">
        <f t="shared" si="78"/>
        <v>110.36823414939002</v>
      </c>
      <c r="AI84" s="3"/>
      <c r="AJ84" s="43">
        <f t="shared" si="79"/>
        <v>0</v>
      </c>
      <c r="AK84" s="43">
        <f t="shared" si="80"/>
        <v>0</v>
      </c>
      <c r="AL84" s="43">
        <f t="shared" si="81"/>
        <v>700.83828684862658</v>
      </c>
      <c r="AM84" s="43">
        <f t="shared" si="82"/>
        <v>1386.4156569571421</v>
      </c>
      <c r="AN84" s="43">
        <f t="shared" si="83"/>
        <v>1356.2545360544134</v>
      </c>
      <c r="AO84" s="3"/>
      <c r="AP84" s="43">
        <f t="shared" si="84"/>
        <v>0</v>
      </c>
      <c r="AQ84" s="43">
        <f t="shared" si="85"/>
        <v>0</v>
      </c>
      <c r="AR84" s="43">
        <f t="shared" si="86"/>
        <v>60001.690495315874</v>
      </c>
      <c r="AS84" s="43">
        <f t="shared" si="87"/>
        <v>58615.274838358731</v>
      </c>
      <c r="AT84" s="43">
        <f t="shared" si="88"/>
        <v>57259.020302304321</v>
      </c>
      <c r="AU84" s="3"/>
      <c r="AV84" s="47">
        <f t="shared" si="89"/>
        <v>0</v>
      </c>
      <c r="AW84" s="47">
        <f t="shared" si="90"/>
        <v>0</v>
      </c>
      <c r="AX84" s="47">
        <f t="shared" si="91"/>
        <v>0</v>
      </c>
      <c r="AY84" s="47">
        <f t="shared" si="92"/>
        <v>0</v>
      </c>
      <c r="AZ84" s="47">
        <f t="shared" si="93"/>
        <v>2980.9025256706295</v>
      </c>
      <c r="BA84" s="43">
        <f t="shared" si="94"/>
        <v>3613.796100814774</v>
      </c>
      <c r="BB84" s="43">
        <f t="shared" si="95"/>
        <v>3532.0973075419779</v>
      </c>
      <c r="BC84" s="3"/>
      <c r="BD84" s="43">
        <f t="shared" si="7"/>
        <v>0</v>
      </c>
      <c r="BE84" s="43">
        <f t="shared" si="8"/>
        <v>0</v>
      </c>
      <c r="BF84" s="43">
        <f t="shared" si="9"/>
        <v>0</v>
      </c>
      <c r="BG84" s="43">
        <f t="shared" si="10"/>
        <v>0</v>
      </c>
      <c r="BH84" s="43">
        <f t="shared" si="11"/>
        <v>303.51264391082253</v>
      </c>
      <c r="BI84" s="43">
        <f t="shared" si="12"/>
        <v>621.5259078971286</v>
      </c>
      <c r="BJ84" s="43">
        <f t="shared" si="13"/>
        <v>642.56331682763062</v>
      </c>
      <c r="BK84" s="3"/>
      <c r="BL84" s="43">
        <f t="shared" si="96"/>
        <v>0</v>
      </c>
      <c r="BM84" s="43">
        <f t="shared" si="97"/>
        <v>0</v>
      </c>
      <c r="BN84" s="43">
        <f t="shared" si="98"/>
        <v>0</v>
      </c>
      <c r="BO84" s="43">
        <f t="shared" si="99"/>
        <v>0</v>
      </c>
      <c r="BP84" s="43">
        <f t="shared" si="100"/>
        <v>3284.4151695814521</v>
      </c>
      <c r="BQ84" s="43">
        <f t="shared" si="101"/>
        <v>4235.3220087119025</v>
      </c>
      <c r="BR84" s="43">
        <f t="shared" si="102"/>
        <v>4174.6606243696087</v>
      </c>
      <c r="BS84" s="3"/>
      <c r="BT84" s="10"/>
      <c r="BU84" s="10"/>
      <c r="BV84" s="51">
        <f t="shared" si="15"/>
        <v>0</v>
      </c>
      <c r="BW84" s="51">
        <f t="shared" si="16"/>
        <v>0</v>
      </c>
      <c r="BX84" s="51">
        <f t="shared" si="17"/>
        <v>0</v>
      </c>
      <c r="BY84" s="51">
        <f t="shared" si="18"/>
        <v>0</v>
      </c>
      <c r="BZ84" s="51">
        <f t="shared" si="19"/>
        <v>12311.789176541868</v>
      </c>
      <c r="CA84" s="337">
        <f t="shared" si="20"/>
        <v>0</v>
      </c>
    </row>
    <row r="85" spans="1:79" s="227" customFormat="1">
      <c r="A85" s="48"/>
      <c r="B85" s="37">
        <f>'11. Investeringen (WUI+ombouw)'!B45</f>
        <v>26</v>
      </c>
      <c r="C85" s="226"/>
      <c r="D85" s="226"/>
      <c r="E85" s="226"/>
      <c r="F85" s="42">
        <f>'11. Investeringen (WUI+ombouw)'!C45</f>
        <v>345979197.88378441</v>
      </c>
      <c r="G85" s="48"/>
      <c r="H85" s="37">
        <f>'11. Investeringen (WUI+ombouw)'!D45</f>
        <v>2024</v>
      </c>
      <c r="I85" s="37" t="str">
        <f>'11. Investeringen (WUI+ombouw)'!E45</f>
        <v>36 Luchtscheidingsunit</v>
      </c>
      <c r="J85" s="37" t="str">
        <f>'11. Investeringen (WUI+ombouw)'!F45</f>
        <v>WUI</v>
      </c>
      <c r="K85" s="37" t="str">
        <f>'11. Investeringen (WUI+ombouw)'!G45</f>
        <v>Nee</v>
      </c>
      <c r="L85" s="38">
        <f t="shared" si="74"/>
        <v>2026</v>
      </c>
      <c r="M85" s="38">
        <f>_xlfn.XLOOKUP(I85,'3. Input (des)investeringen '!$B$11:$B$89,'3. Input (des)investeringen '!$D$11:$D$89,0)</f>
        <v>30</v>
      </c>
      <c r="N85" s="3"/>
      <c r="O85" s="43">
        <f t="shared" si="0"/>
        <v>0</v>
      </c>
      <c r="P85" s="43">
        <f t="shared" si="1"/>
        <v>0</v>
      </c>
      <c r="Q85" s="3"/>
      <c r="R85" s="43">
        <f t="shared" si="73"/>
        <v>0</v>
      </c>
      <c r="S85" s="43">
        <f t="shared" si="2"/>
        <v>0</v>
      </c>
      <c r="T85" s="3"/>
      <c r="U85" s="43">
        <f t="shared" si="75"/>
        <v>345979197.88378441</v>
      </c>
      <c r="V85" s="38">
        <f t="shared" si="76"/>
        <v>30</v>
      </c>
      <c r="W85" s="3"/>
      <c r="X85" s="43">
        <f t="shared" si="77"/>
        <v>0</v>
      </c>
      <c r="Y85" s="43">
        <f t="shared" si="77"/>
        <v>0</v>
      </c>
      <c r="Z85" s="43">
        <f t="shared" si="77"/>
        <v>6746594.3587337965</v>
      </c>
      <c r="AA85" s="43">
        <f t="shared" si="77"/>
        <v>13200836.295255795</v>
      </c>
      <c r="AB85" s="43">
        <f t="shared" si="77"/>
        <v>12628800.055794712</v>
      </c>
      <c r="AC85" s="3"/>
      <c r="AD85" s="43">
        <f t="shared" si="78"/>
        <v>0</v>
      </c>
      <c r="AE85" s="43">
        <f t="shared" si="78"/>
        <v>0</v>
      </c>
      <c r="AF85" s="43">
        <f t="shared" si="78"/>
        <v>576631.99647297408</v>
      </c>
      <c r="AG85" s="43">
        <f t="shared" si="78"/>
        <v>1153263.9929459482</v>
      </c>
      <c r="AH85" s="43">
        <f t="shared" si="78"/>
        <v>1153263.9929459482</v>
      </c>
      <c r="AI85" s="3"/>
      <c r="AJ85" s="43">
        <f t="shared" si="79"/>
        <v>0</v>
      </c>
      <c r="AK85" s="43">
        <f t="shared" si="80"/>
        <v>0</v>
      </c>
      <c r="AL85" s="43">
        <f t="shared" si="81"/>
        <v>7323226.3552067708</v>
      </c>
      <c r="AM85" s="43">
        <f t="shared" si="82"/>
        <v>14354100.288201744</v>
      </c>
      <c r="AN85" s="43">
        <f t="shared" si="83"/>
        <v>13782064.048740661</v>
      </c>
      <c r="AO85" s="3"/>
      <c r="AP85" s="43">
        <f t="shared" si="84"/>
        <v>0</v>
      </c>
      <c r="AQ85" s="43">
        <f t="shared" si="85"/>
        <v>0</v>
      </c>
      <c r="AR85" s="43">
        <f t="shared" si="86"/>
        <v>338655971.52857763</v>
      </c>
      <c r="AS85" s="43">
        <f t="shared" si="87"/>
        <v>324301871.24037588</v>
      </c>
      <c r="AT85" s="43">
        <f t="shared" si="88"/>
        <v>310519807.19163519</v>
      </c>
      <c r="AU85" s="3"/>
      <c r="AV85" s="47">
        <f t="shared" si="89"/>
        <v>0</v>
      </c>
      <c r="AW85" s="47">
        <f t="shared" si="90"/>
        <v>0</v>
      </c>
      <c r="AX85" s="47">
        <f t="shared" si="91"/>
        <v>0</v>
      </c>
      <c r="AY85" s="47">
        <f t="shared" si="92"/>
        <v>0</v>
      </c>
      <c r="AZ85" s="47">
        <f t="shared" si="93"/>
        <v>20192153.27329272</v>
      </c>
      <c r="BA85" s="43">
        <f t="shared" si="94"/>
        <v>26677571.395336024</v>
      </c>
      <c r="BB85" s="43">
        <f t="shared" si="95"/>
        <v>25581816.722022798</v>
      </c>
      <c r="BC85" s="3"/>
      <c r="BD85" s="43">
        <f t="shared" si="7"/>
        <v>0</v>
      </c>
      <c r="BE85" s="43">
        <f t="shared" si="8"/>
        <v>0</v>
      </c>
      <c r="BF85" s="43">
        <f t="shared" si="9"/>
        <v>0</v>
      </c>
      <c r="BG85" s="43">
        <f t="shared" si="10"/>
        <v>0</v>
      </c>
      <c r="BH85" s="43">
        <f t="shared" si="11"/>
        <v>1729895.989418922</v>
      </c>
      <c r="BI85" s="43">
        <f t="shared" si="12"/>
        <v>3542439.4896283224</v>
      </c>
      <c r="BJ85" s="43">
        <f t="shared" si="13"/>
        <v>3662343.981473262</v>
      </c>
      <c r="BK85" s="3"/>
      <c r="BL85" s="43">
        <f t="shared" si="96"/>
        <v>0</v>
      </c>
      <c r="BM85" s="43">
        <f t="shared" si="97"/>
        <v>0</v>
      </c>
      <c r="BN85" s="43">
        <f t="shared" si="98"/>
        <v>0</v>
      </c>
      <c r="BO85" s="43">
        <f t="shared" si="99"/>
        <v>0</v>
      </c>
      <c r="BP85" s="43">
        <f t="shared" si="100"/>
        <v>21922049.262711644</v>
      </c>
      <c r="BQ85" s="43">
        <f t="shared" si="101"/>
        <v>30220010.884964347</v>
      </c>
      <c r="BR85" s="43">
        <f t="shared" si="102"/>
        <v>29244160.703496061</v>
      </c>
      <c r="BS85" s="3"/>
      <c r="BT85" s="10"/>
      <c r="BU85" s="10"/>
      <c r="BV85" s="51">
        <f t="shared" si="15"/>
        <v>0</v>
      </c>
      <c r="BW85" s="51">
        <f t="shared" si="16"/>
        <v>0</v>
      </c>
      <c r="BX85" s="51">
        <f t="shared" si="17"/>
        <v>0</v>
      </c>
      <c r="BY85" s="51">
        <f t="shared" si="18"/>
        <v>0</v>
      </c>
      <c r="BZ85" s="51">
        <f t="shared" si="19"/>
        <v>85604594.47936517</v>
      </c>
      <c r="CA85" s="337">
        <f t="shared" si="20"/>
        <v>0</v>
      </c>
    </row>
    <row r="86" spans="1:79" s="227" customFormat="1">
      <c r="A86" s="48"/>
      <c r="B86" s="37">
        <f>'11. Investeringen (WUI+ombouw)'!B46</f>
        <v>27</v>
      </c>
      <c r="C86" s="226"/>
      <c r="D86" s="226"/>
      <c r="E86" s="226"/>
      <c r="F86" s="42">
        <f>'11. Investeringen (WUI+ombouw)'!C46</f>
        <v>10411.73874262043</v>
      </c>
      <c r="G86" s="48"/>
      <c r="H86" s="37">
        <f>'11. Investeringen (WUI+ombouw)'!D46</f>
        <v>2024</v>
      </c>
      <c r="I86" s="37" t="str">
        <f>'11. Investeringen (WUI+ombouw)'!E46</f>
        <v>41 Stikstofbuffer</v>
      </c>
      <c r="J86" s="37" t="str">
        <f>'11. Investeringen (WUI+ombouw)'!F46</f>
        <v>WUI</v>
      </c>
      <c r="K86" s="37" t="str">
        <f>'11. Investeringen (WUI+ombouw)'!G46</f>
        <v>Nee</v>
      </c>
      <c r="L86" s="38">
        <f t="shared" si="74"/>
        <v>2026</v>
      </c>
      <c r="M86" s="38">
        <f>_xlfn.XLOOKUP(I86,'3. Input (des)investeringen '!$B$11:$B$89,'3. Input (des)investeringen '!$D$11:$D$89,0)</f>
        <v>30</v>
      </c>
      <c r="N86" s="3"/>
      <c r="O86" s="43">
        <f t="shared" si="0"/>
        <v>0</v>
      </c>
      <c r="P86" s="43">
        <f t="shared" si="1"/>
        <v>0</v>
      </c>
      <c r="Q86" s="3"/>
      <c r="R86" s="43">
        <f t="shared" si="73"/>
        <v>0</v>
      </c>
      <c r="S86" s="43">
        <f t="shared" si="2"/>
        <v>0</v>
      </c>
      <c r="T86" s="3"/>
      <c r="U86" s="43">
        <f t="shared" si="75"/>
        <v>10411.73874262043</v>
      </c>
      <c r="V86" s="38">
        <f t="shared" si="76"/>
        <v>30</v>
      </c>
      <c r="W86" s="3"/>
      <c r="X86" s="43">
        <f t="shared" si="77"/>
        <v>0</v>
      </c>
      <c r="Y86" s="43">
        <f t="shared" si="77"/>
        <v>0</v>
      </c>
      <c r="Z86" s="43">
        <f t="shared" si="77"/>
        <v>203.02890548109841</v>
      </c>
      <c r="AA86" s="43">
        <f t="shared" si="77"/>
        <v>397.25989172468252</v>
      </c>
      <c r="AB86" s="43">
        <f t="shared" si="77"/>
        <v>380.04529641661293</v>
      </c>
      <c r="AC86" s="3"/>
      <c r="AD86" s="43">
        <f t="shared" si="78"/>
        <v>0</v>
      </c>
      <c r="AE86" s="43">
        <f t="shared" si="78"/>
        <v>0</v>
      </c>
      <c r="AF86" s="43">
        <f t="shared" si="78"/>
        <v>17.352897904367381</v>
      </c>
      <c r="AG86" s="43">
        <f t="shared" si="78"/>
        <v>34.705795808734763</v>
      </c>
      <c r="AH86" s="43">
        <f t="shared" si="78"/>
        <v>34.705795808734763</v>
      </c>
      <c r="AI86" s="3"/>
      <c r="AJ86" s="43">
        <f t="shared" si="79"/>
        <v>0</v>
      </c>
      <c r="AK86" s="43">
        <f t="shared" si="80"/>
        <v>0</v>
      </c>
      <c r="AL86" s="43">
        <f t="shared" si="81"/>
        <v>220.38180338546579</v>
      </c>
      <c r="AM86" s="43">
        <f t="shared" si="82"/>
        <v>431.96568753341728</v>
      </c>
      <c r="AN86" s="43">
        <f t="shared" si="83"/>
        <v>414.75109222534769</v>
      </c>
      <c r="AO86" s="3"/>
      <c r="AP86" s="43">
        <f t="shared" si="84"/>
        <v>0</v>
      </c>
      <c r="AQ86" s="43">
        <f t="shared" si="85"/>
        <v>0</v>
      </c>
      <c r="AR86" s="43">
        <f t="shared" si="86"/>
        <v>10191.356939234964</v>
      </c>
      <c r="AS86" s="43">
        <f t="shared" si="87"/>
        <v>9759.3912517015469</v>
      </c>
      <c r="AT86" s="43">
        <f t="shared" si="88"/>
        <v>9344.6401594761992</v>
      </c>
      <c r="AU86" s="3"/>
      <c r="AV86" s="47">
        <f t="shared" si="89"/>
        <v>0</v>
      </c>
      <c r="AW86" s="47">
        <f t="shared" si="90"/>
        <v>0</v>
      </c>
      <c r="AX86" s="47">
        <f t="shared" si="91"/>
        <v>0</v>
      </c>
      <c r="AY86" s="47">
        <f t="shared" si="92"/>
        <v>0</v>
      </c>
      <c r="AZ86" s="47">
        <f t="shared" si="93"/>
        <v>607.65336707639437</v>
      </c>
      <c r="BA86" s="43">
        <f t="shared" si="94"/>
        <v>802.82255509807601</v>
      </c>
      <c r="BB86" s="43">
        <f t="shared" si="95"/>
        <v>769.84741828544327</v>
      </c>
      <c r="BC86" s="3"/>
      <c r="BD86" s="43">
        <f t="shared" si="7"/>
        <v>0</v>
      </c>
      <c r="BE86" s="43">
        <f t="shared" si="8"/>
        <v>0</v>
      </c>
      <c r="BF86" s="43">
        <f t="shared" si="9"/>
        <v>0</v>
      </c>
      <c r="BG86" s="43">
        <f t="shared" si="10"/>
        <v>0</v>
      </c>
      <c r="BH86" s="43">
        <f t="shared" si="11"/>
        <v>52.058693713102151</v>
      </c>
      <c r="BI86" s="43">
        <f t="shared" si="12"/>
        <v>106.60454357704148</v>
      </c>
      <c r="BJ86" s="43">
        <f t="shared" si="13"/>
        <v>110.21289416803718</v>
      </c>
      <c r="BK86" s="3"/>
      <c r="BL86" s="43">
        <f t="shared" si="96"/>
        <v>0</v>
      </c>
      <c r="BM86" s="43">
        <f t="shared" si="97"/>
        <v>0</v>
      </c>
      <c r="BN86" s="43">
        <f t="shared" si="98"/>
        <v>0</v>
      </c>
      <c r="BO86" s="43">
        <f t="shared" si="99"/>
        <v>0</v>
      </c>
      <c r="BP86" s="43">
        <f t="shared" si="100"/>
        <v>659.71206078949649</v>
      </c>
      <c r="BQ86" s="43">
        <f t="shared" si="101"/>
        <v>909.42709867511746</v>
      </c>
      <c r="BR86" s="43">
        <f t="shared" si="102"/>
        <v>880.06031245348049</v>
      </c>
      <c r="BS86" s="3"/>
      <c r="BT86" s="10"/>
      <c r="BU86" s="10"/>
      <c r="BV86" s="51">
        <f t="shared" si="15"/>
        <v>0</v>
      </c>
      <c r="BW86" s="51">
        <f t="shared" si="16"/>
        <v>0</v>
      </c>
      <c r="BX86" s="51">
        <f t="shared" si="17"/>
        <v>0</v>
      </c>
      <c r="BY86" s="51">
        <f t="shared" si="18"/>
        <v>0</v>
      </c>
      <c r="BZ86" s="51">
        <f t="shared" si="19"/>
        <v>2576.1452663593532</v>
      </c>
      <c r="CA86" s="337">
        <f t="shared" si="20"/>
        <v>0</v>
      </c>
    </row>
    <row r="87" spans="1:79" s="227" customFormat="1">
      <c r="A87" s="48"/>
      <c r="B87" s="37">
        <f>'11. Investeringen (WUI+ombouw)'!B47</f>
        <v>28</v>
      </c>
      <c r="C87" s="226"/>
      <c r="D87" s="226"/>
      <c r="E87" s="226"/>
      <c r="F87" s="42">
        <f>'11. Investeringen (WUI+ombouw)'!C47</f>
        <v>5531647.6298829895</v>
      </c>
      <c r="G87" s="48"/>
      <c r="H87" s="37">
        <f>'11. Investeringen (WUI+ombouw)'!D47</f>
        <v>2024</v>
      </c>
      <c r="I87" s="37" t="str">
        <f>'11. Investeringen (WUI+ombouw)'!E47</f>
        <v>01 Regionale leidingen</v>
      </c>
      <c r="J87" s="37" t="str">
        <f>'11. Investeringen (WUI+ombouw)'!F47</f>
        <v>VVI</v>
      </c>
      <c r="K87" s="37" t="str">
        <f>'11. Investeringen (WUI+ombouw)'!G47</f>
        <v>Ja</v>
      </c>
      <c r="L87" s="38">
        <f t="shared" si="74"/>
        <v>2026</v>
      </c>
      <c r="M87" s="38">
        <f>_xlfn.XLOOKUP(I87,'3. Input (des)investeringen '!$B$11:$B$89,'3. Input (des)investeringen '!$D$11:$D$89,0)</f>
        <v>55</v>
      </c>
      <c r="N87" s="3"/>
      <c r="O87" s="43">
        <f t="shared" si="0"/>
        <v>0</v>
      </c>
      <c r="P87" s="43">
        <f t="shared" si="1"/>
        <v>0</v>
      </c>
      <c r="Q87" s="3"/>
      <c r="R87" s="43">
        <f t="shared" ref="R87:R98" si="103">IF($O87=0,IF($H87=O$58,$F87,0),IF(OR($H87&gt;R$58,$H87+$M87&lt;=R$58),0,F87-O87))</f>
        <v>0</v>
      </c>
      <c r="S87" s="43">
        <f t="shared" si="2"/>
        <v>0</v>
      </c>
      <c r="T87" s="3"/>
      <c r="U87" s="43">
        <f t="shared" si="75"/>
        <v>5531647.6298829895</v>
      </c>
      <c r="V87" s="38">
        <f t="shared" si="76"/>
        <v>55</v>
      </c>
      <c r="W87" s="3"/>
      <c r="X87" s="43">
        <f t="shared" si="77"/>
        <v>0</v>
      </c>
      <c r="Y87" s="43">
        <f t="shared" si="77"/>
        <v>0</v>
      </c>
      <c r="Z87" s="43">
        <f t="shared" si="77"/>
        <v>58836.61569966453</v>
      </c>
      <c r="AA87" s="43">
        <f t="shared" si="77"/>
        <v>116282.5477555188</v>
      </c>
      <c r="AB87" s="43">
        <f t="shared" si="77"/>
        <v>113534.05117220654</v>
      </c>
      <c r="AC87" s="3"/>
      <c r="AD87" s="43">
        <f t="shared" si="78"/>
        <v>0</v>
      </c>
      <c r="AE87" s="43">
        <f t="shared" si="78"/>
        <v>0</v>
      </c>
      <c r="AF87" s="43">
        <f t="shared" si="78"/>
        <v>5028.7705726208997</v>
      </c>
      <c r="AG87" s="43">
        <f t="shared" si="78"/>
        <v>10057.541145241799</v>
      </c>
      <c r="AH87" s="43">
        <f t="shared" si="78"/>
        <v>10057.541145241799</v>
      </c>
      <c r="AI87" s="3"/>
      <c r="AJ87" s="43">
        <f t="shared" si="79"/>
        <v>0</v>
      </c>
      <c r="AK87" s="43">
        <f t="shared" si="80"/>
        <v>0</v>
      </c>
      <c r="AL87" s="43">
        <f t="shared" si="81"/>
        <v>63865.386272285432</v>
      </c>
      <c r="AM87" s="43">
        <f t="shared" si="82"/>
        <v>126340.0889007606</v>
      </c>
      <c r="AN87" s="43">
        <f t="shared" si="83"/>
        <v>123591.59231744835</v>
      </c>
      <c r="AO87" s="3"/>
      <c r="AP87" s="43">
        <f t="shared" si="84"/>
        <v>0</v>
      </c>
      <c r="AQ87" s="43">
        <f t="shared" si="85"/>
        <v>0</v>
      </c>
      <c r="AR87" s="43">
        <f t="shared" si="86"/>
        <v>5467782.2436107043</v>
      </c>
      <c r="AS87" s="43">
        <f t="shared" si="87"/>
        <v>5341442.1547099436</v>
      </c>
      <c r="AT87" s="43">
        <f t="shared" si="88"/>
        <v>5217850.5623924956</v>
      </c>
      <c r="AU87" s="3"/>
      <c r="AV87" s="47">
        <f t="shared" si="89"/>
        <v>0</v>
      </c>
      <c r="AW87" s="47">
        <f t="shared" si="90"/>
        <v>0</v>
      </c>
      <c r="AX87" s="47">
        <f t="shared" si="91"/>
        <v>0</v>
      </c>
      <c r="AY87" s="47">
        <f t="shared" si="92"/>
        <v>0</v>
      </c>
      <c r="AZ87" s="47">
        <f t="shared" si="93"/>
        <v>271641.11152949219</v>
      </c>
      <c r="BA87" s="43">
        <f t="shared" si="94"/>
        <v>329314.89077973843</v>
      </c>
      <c r="BB87" s="43">
        <f t="shared" si="95"/>
        <v>321869.91368836316</v>
      </c>
      <c r="BC87" s="3"/>
      <c r="BD87" s="43">
        <f t="shared" si="7"/>
        <v>0</v>
      </c>
      <c r="BE87" s="43">
        <f t="shared" si="8"/>
        <v>0</v>
      </c>
      <c r="BF87" s="43">
        <f t="shared" si="9"/>
        <v>0</v>
      </c>
      <c r="BG87" s="43">
        <f t="shared" si="10"/>
        <v>0</v>
      </c>
      <c r="BH87" s="43">
        <f t="shared" si="11"/>
        <v>27658.238149414949</v>
      </c>
      <c r="BI87" s="43">
        <f t="shared" si="12"/>
        <v>56637.876284656348</v>
      </c>
      <c r="BJ87" s="43">
        <f t="shared" si="13"/>
        <v>58554.955121139399</v>
      </c>
      <c r="BK87" s="3"/>
      <c r="BL87" s="43">
        <f t="shared" si="96"/>
        <v>0</v>
      </c>
      <c r="BM87" s="43">
        <f t="shared" si="97"/>
        <v>0</v>
      </c>
      <c r="BN87" s="43">
        <f t="shared" si="98"/>
        <v>0</v>
      </c>
      <c r="BO87" s="43">
        <f t="shared" si="99"/>
        <v>0</v>
      </c>
      <c r="BP87" s="43">
        <f t="shared" si="100"/>
        <v>299299.34967890714</v>
      </c>
      <c r="BQ87" s="43">
        <f t="shared" si="101"/>
        <v>385952.76706439478</v>
      </c>
      <c r="BR87" s="43">
        <f t="shared" si="102"/>
        <v>380424.86880950257</v>
      </c>
      <c r="BS87" s="3"/>
      <c r="BT87" s="10"/>
      <c r="BU87" s="10"/>
      <c r="BV87" s="51">
        <f t="shared" si="15"/>
        <v>0</v>
      </c>
      <c r="BW87" s="51">
        <f t="shared" si="16"/>
        <v>0</v>
      </c>
      <c r="BX87" s="51">
        <f t="shared" si="17"/>
        <v>0</v>
      </c>
      <c r="BY87" s="51">
        <f t="shared" si="18"/>
        <v>0</v>
      </c>
      <c r="BZ87" s="51">
        <f t="shared" si="19"/>
        <v>1121938.0935913692</v>
      </c>
      <c r="CA87" s="337">
        <f t="shared" si="20"/>
        <v>0</v>
      </c>
    </row>
    <row r="88" spans="1:79" s="227" customFormat="1">
      <c r="B88" s="37">
        <f>'11. Investeringen (WUI+ombouw)'!B48</f>
        <v>29</v>
      </c>
      <c r="C88" s="226"/>
      <c r="D88" s="226"/>
      <c r="E88" s="226"/>
      <c r="F88" s="42">
        <f>'11. Investeringen (WUI+ombouw)'!C48</f>
        <v>2027103.1807256674</v>
      </c>
      <c r="G88" s="48"/>
      <c r="H88" s="37">
        <f>'11. Investeringen (WUI+ombouw)'!D48</f>
        <v>2024</v>
      </c>
      <c r="I88" s="37" t="str">
        <f>'11. Investeringen (WUI+ombouw)'!E48</f>
        <v>02 Gasontvangststations</v>
      </c>
      <c r="J88" s="37" t="str">
        <f>'11. Investeringen (WUI+ombouw)'!F48</f>
        <v>VVI</v>
      </c>
      <c r="K88" s="37" t="str">
        <f>'11. Investeringen (WUI+ombouw)'!G48</f>
        <v>Ja</v>
      </c>
      <c r="L88" s="38">
        <f t="shared" si="74"/>
        <v>2026</v>
      </c>
      <c r="M88" s="38">
        <f>_xlfn.XLOOKUP(I88,'3. Input (des)investeringen '!$B$11:$B$89,'3. Input (des)investeringen '!$D$11:$D$89,0)</f>
        <v>30</v>
      </c>
      <c r="N88" s="3"/>
      <c r="O88" s="43">
        <f t="shared" si="0"/>
        <v>0</v>
      </c>
      <c r="P88" s="43">
        <f t="shared" si="1"/>
        <v>0</v>
      </c>
      <c r="Q88" s="3"/>
      <c r="R88" s="43">
        <f t="shared" si="103"/>
        <v>0</v>
      </c>
      <c r="S88" s="43">
        <f t="shared" si="2"/>
        <v>0</v>
      </c>
      <c r="T88" s="3"/>
      <c r="U88" s="43">
        <f t="shared" si="75"/>
        <v>2027103.1807256674</v>
      </c>
      <c r="V88" s="38">
        <f t="shared" si="76"/>
        <v>30</v>
      </c>
      <c r="W88" s="3"/>
      <c r="X88" s="43">
        <f t="shared" si="77"/>
        <v>0</v>
      </c>
      <c r="Y88" s="43">
        <f t="shared" si="77"/>
        <v>0</v>
      </c>
      <c r="Z88" s="43">
        <f t="shared" si="77"/>
        <v>39528.512024150521</v>
      </c>
      <c r="AA88" s="43">
        <f t="shared" si="77"/>
        <v>77344.121860587838</v>
      </c>
      <c r="AB88" s="43">
        <f t="shared" si="77"/>
        <v>73992.543246629037</v>
      </c>
      <c r="AC88" s="3"/>
      <c r="AD88" s="43">
        <f t="shared" si="78"/>
        <v>0</v>
      </c>
      <c r="AE88" s="43">
        <f t="shared" si="78"/>
        <v>0</v>
      </c>
      <c r="AF88" s="43">
        <f t="shared" si="78"/>
        <v>3378.5053012094454</v>
      </c>
      <c r="AG88" s="43">
        <f t="shared" si="78"/>
        <v>6757.0106024188908</v>
      </c>
      <c r="AH88" s="43">
        <f t="shared" si="78"/>
        <v>6757.0106024188908</v>
      </c>
      <c r="AI88" s="3"/>
      <c r="AJ88" s="43">
        <f t="shared" si="79"/>
        <v>0</v>
      </c>
      <c r="AK88" s="43">
        <f t="shared" si="80"/>
        <v>0</v>
      </c>
      <c r="AL88" s="43">
        <f t="shared" si="81"/>
        <v>42907.017325359964</v>
      </c>
      <c r="AM88" s="43">
        <f t="shared" si="82"/>
        <v>84101.132463006725</v>
      </c>
      <c r="AN88" s="43">
        <f t="shared" si="83"/>
        <v>80749.553849047923</v>
      </c>
      <c r="AO88" s="3"/>
      <c r="AP88" s="43">
        <f t="shared" si="84"/>
        <v>0</v>
      </c>
      <c r="AQ88" s="43">
        <f t="shared" si="85"/>
        <v>0</v>
      </c>
      <c r="AR88" s="43">
        <f t="shared" si="86"/>
        <v>1984196.1634003075</v>
      </c>
      <c r="AS88" s="43">
        <f t="shared" si="87"/>
        <v>1900095.0309373008</v>
      </c>
      <c r="AT88" s="43">
        <f t="shared" si="88"/>
        <v>1819345.4770882528</v>
      </c>
      <c r="AU88" s="3"/>
      <c r="AV88" s="47">
        <f t="shared" si="89"/>
        <v>0</v>
      </c>
      <c r="AW88" s="47">
        <f t="shared" si="90"/>
        <v>0</v>
      </c>
      <c r="AX88" s="47">
        <f t="shared" si="91"/>
        <v>0</v>
      </c>
      <c r="AY88" s="47">
        <f t="shared" si="92"/>
        <v>0</v>
      </c>
      <c r="AZ88" s="47">
        <f t="shared" si="93"/>
        <v>118306.47153457165</v>
      </c>
      <c r="BA88" s="43">
        <f t="shared" si="94"/>
        <v>156304.74363862415</v>
      </c>
      <c r="BB88" s="43">
        <f t="shared" si="95"/>
        <v>149884.68197840152</v>
      </c>
      <c r="BC88" s="3"/>
      <c r="BD88" s="43">
        <f t="shared" si="7"/>
        <v>0</v>
      </c>
      <c r="BE88" s="43">
        <f t="shared" si="8"/>
        <v>0</v>
      </c>
      <c r="BF88" s="43">
        <f t="shared" si="9"/>
        <v>0</v>
      </c>
      <c r="BG88" s="43">
        <f t="shared" si="10"/>
        <v>0</v>
      </c>
      <c r="BH88" s="43">
        <f t="shared" si="11"/>
        <v>10135.515903628337</v>
      </c>
      <c r="BI88" s="43">
        <f t="shared" si="12"/>
        <v>20755.266215068419</v>
      </c>
      <c r="BJ88" s="43">
        <f t="shared" si="13"/>
        <v>21457.790465916056</v>
      </c>
      <c r="BK88" s="3"/>
      <c r="BL88" s="43">
        <f t="shared" si="96"/>
        <v>0</v>
      </c>
      <c r="BM88" s="43">
        <f t="shared" si="97"/>
        <v>0</v>
      </c>
      <c r="BN88" s="43">
        <f t="shared" si="98"/>
        <v>0</v>
      </c>
      <c r="BO88" s="43">
        <f t="shared" si="99"/>
        <v>0</v>
      </c>
      <c r="BP88" s="43">
        <f t="shared" si="100"/>
        <v>128441.98743819998</v>
      </c>
      <c r="BQ88" s="43">
        <f t="shared" si="101"/>
        <v>177060.00985369255</v>
      </c>
      <c r="BR88" s="43">
        <f t="shared" si="102"/>
        <v>171342.47244431759</v>
      </c>
      <c r="BS88" s="3"/>
      <c r="BT88" s="10"/>
      <c r="BU88" s="10"/>
      <c r="BV88" s="51">
        <f t="shared" si="15"/>
        <v>0</v>
      </c>
      <c r="BW88" s="51">
        <f t="shared" si="16"/>
        <v>0</v>
      </c>
      <c r="BX88" s="51">
        <f t="shared" si="17"/>
        <v>0</v>
      </c>
      <c r="BY88" s="51">
        <f t="shared" si="18"/>
        <v>0</v>
      </c>
      <c r="BZ88" s="51">
        <f t="shared" si="19"/>
        <v>501560.05567751249</v>
      </c>
      <c r="CA88" s="337">
        <f t="shared" si="20"/>
        <v>0</v>
      </c>
    </row>
    <row r="89" spans="1:79" s="227" customFormat="1">
      <c r="B89" s="37">
        <f>'11. Investeringen (WUI+ombouw)'!B49</f>
        <v>30</v>
      </c>
      <c r="C89" s="226"/>
      <c r="D89" s="226"/>
      <c r="E89" s="226"/>
      <c r="F89" s="42">
        <f>'11. Investeringen (WUI+ombouw)'!C49</f>
        <v>33082111.823863443</v>
      </c>
      <c r="G89" s="48"/>
      <c r="H89" s="37">
        <f>'11. Investeringen (WUI+ombouw)'!D49</f>
        <v>2024</v>
      </c>
      <c r="I89" s="37" t="str">
        <f>'11. Investeringen (WUI+ombouw)'!E49</f>
        <v>21 Hoofdtransportleiding (TT-BT-AT)</v>
      </c>
      <c r="J89" s="37" t="str">
        <f>'11. Investeringen (WUI+ombouw)'!F49</f>
        <v>VVI</v>
      </c>
      <c r="K89" s="37" t="str">
        <f>'11. Investeringen (WUI+ombouw)'!G49</f>
        <v>Ja</v>
      </c>
      <c r="L89" s="38">
        <f t="shared" si="74"/>
        <v>2026</v>
      </c>
      <c r="M89" s="38">
        <f>_xlfn.XLOOKUP(I89,'3. Input (des)investeringen '!$B$11:$B$89,'3. Input (des)investeringen '!$D$11:$D$89,0)</f>
        <v>55</v>
      </c>
      <c r="N89" s="3"/>
      <c r="O89" s="43">
        <f t="shared" si="0"/>
        <v>0</v>
      </c>
      <c r="P89" s="43">
        <f t="shared" si="1"/>
        <v>0</v>
      </c>
      <c r="Q89" s="3"/>
      <c r="R89" s="43">
        <f t="shared" si="103"/>
        <v>0</v>
      </c>
      <c r="S89" s="43">
        <f t="shared" si="2"/>
        <v>0</v>
      </c>
      <c r="T89" s="3"/>
      <c r="U89" s="43">
        <f t="shared" si="75"/>
        <v>33082111.823863443</v>
      </c>
      <c r="V89" s="38">
        <f t="shared" si="76"/>
        <v>55</v>
      </c>
      <c r="W89" s="3"/>
      <c r="X89" s="43">
        <f t="shared" si="77"/>
        <v>0</v>
      </c>
      <c r="Y89" s="43">
        <f t="shared" si="77"/>
        <v>0</v>
      </c>
      <c r="Z89" s="43">
        <f t="shared" si="77"/>
        <v>351873.37121745665</v>
      </c>
      <c r="AA89" s="43">
        <f t="shared" si="77"/>
        <v>695429.73547886428</v>
      </c>
      <c r="AB89" s="43">
        <f t="shared" si="77"/>
        <v>678992.30536754569</v>
      </c>
      <c r="AC89" s="3"/>
      <c r="AD89" s="43">
        <f t="shared" si="78"/>
        <v>0</v>
      </c>
      <c r="AE89" s="43">
        <f t="shared" si="78"/>
        <v>0</v>
      </c>
      <c r="AF89" s="43">
        <f t="shared" si="78"/>
        <v>30074.647112603132</v>
      </c>
      <c r="AG89" s="43">
        <f t="shared" si="78"/>
        <v>60149.294225206264</v>
      </c>
      <c r="AH89" s="43">
        <f t="shared" si="78"/>
        <v>60149.294225206264</v>
      </c>
      <c r="AI89" s="3"/>
      <c r="AJ89" s="43">
        <f t="shared" si="79"/>
        <v>0</v>
      </c>
      <c r="AK89" s="43">
        <f t="shared" si="80"/>
        <v>0</v>
      </c>
      <c r="AL89" s="43">
        <f t="shared" si="81"/>
        <v>381948.01833005977</v>
      </c>
      <c r="AM89" s="43">
        <f t="shared" si="82"/>
        <v>755579.02970407053</v>
      </c>
      <c r="AN89" s="43">
        <f t="shared" si="83"/>
        <v>739141.59959275194</v>
      </c>
      <c r="AO89" s="3"/>
      <c r="AP89" s="43">
        <f t="shared" si="84"/>
        <v>0</v>
      </c>
      <c r="AQ89" s="43">
        <f t="shared" si="85"/>
        <v>0</v>
      </c>
      <c r="AR89" s="43">
        <f t="shared" si="86"/>
        <v>32700163.805533383</v>
      </c>
      <c r="AS89" s="43">
        <f t="shared" si="87"/>
        <v>31944584.775829311</v>
      </c>
      <c r="AT89" s="43">
        <f t="shared" si="88"/>
        <v>31205443.176236559</v>
      </c>
      <c r="AU89" s="3"/>
      <c r="AV89" s="47">
        <f t="shared" si="89"/>
        <v>0</v>
      </c>
      <c r="AW89" s="47">
        <f t="shared" si="90"/>
        <v>0</v>
      </c>
      <c r="AX89" s="47">
        <f t="shared" si="91"/>
        <v>0</v>
      </c>
      <c r="AY89" s="47">
        <f t="shared" si="92"/>
        <v>0</v>
      </c>
      <c r="AZ89" s="47">
        <f t="shared" si="93"/>
        <v>1624554.2429403283</v>
      </c>
      <c r="BA89" s="43">
        <f t="shared" si="94"/>
        <v>1969473.2511855843</v>
      </c>
      <c r="BB89" s="43">
        <f t="shared" si="95"/>
        <v>1924948.4402897409</v>
      </c>
      <c r="BC89" s="3"/>
      <c r="BD89" s="43">
        <f t="shared" si="7"/>
        <v>0</v>
      </c>
      <c r="BE89" s="43">
        <f t="shared" si="8"/>
        <v>0</v>
      </c>
      <c r="BF89" s="43">
        <f t="shared" si="9"/>
        <v>0</v>
      </c>
      <c r="BG89" s="43">
        <f t="shared" si="10"/>
        <v>0</v>
      </c>
      <c r="BH89" s="43">
        <f t="shared" si="11"/>
        <v>165410.55911931721</v>
      </c>
      <c r="BI89" s="43">
        <f t="shared" si="12"/>
        <v>338723.77311111894</v>
      </c>
      <c r="BJ89" s="43">
        <f t="shared" si="13"/>
        <v>350188.89538338408</v>
      </c>
      <c r="BK89" s="3"/>
      <c r="BL89" s="43">
        <f t="shared" si="96"/>
        <v>0</v>
      </c>
      <c r="BM89" s="43">
        <f t="shared" si="97"/>
        <v>0</v>
      </c>
      <c r="BN89" s="43">
        <f t="shared" si="98"/>
        <v>0</v>
      </c>
      <c r="BO89" s="43">
        <f t="shared" si="99"/>
        <v>0</v>
      </c>
      <c r="BP89" s="43">
        <f t="shared" si="100"/>
        <v>1789964.8020596455</v>
      </c>
      <c r="BQ89" s="43">
        <f t="shared" si="101"/>
        <v>2308197.0242967033</v>
      </c>
      <c r="BR89" s="43">
        <f t="shared" si="102"/>
        <v>2275137.335673125</v>
      </c>
      <c r="BS89" s="3"/>
      <c r="BT89" s="10"/>
      <c r="BU89" s="10"/>
      <c r="BV89" s="51">
        <f t="shared" si="15"/>
        <v>0</v>
      </c>
      <c r="BW89" s="51">
        <f t="shared" si="16"/>
        <v>0</v>
      </c>
      <c r="BX89" s="51">
        <f t="shared" si="17"/>
        <v>0</v>
      </c>
      <c r="BY89" s="51">
        <f t="shared" si="18"/>
        <v>0</v>
      </c>
      <c r="BZ89" s="51">
        <f t="shared" si="19"/>
        <v>6709769.6662986763</v>
      </c>
      <c r="CA89" s="337">
        <f t="shared" si="20"/>
        <v>0</v>
      </c>
    </row>
    <row r="90" spans="1:79" s="227" customFormat="1">
      <c r="A90" s="3"/>
      <c r="B90" s="37">
        <f>'11. Investeringen (WUI+ombouw)'!B50</f>
        <v>31</v>
      </c>
      <c r="C90" s="226"/>
      <c r="D90" s="226"/>
      <c r="E90" s="226"/>
      <c r="F90" s="42">
        <f>'11. Investeringen (WUI+ombouw)'!C50</f>
        <v>136024.0865766904</v>
      </c>
      <c r="G90" s="48"/>
      <c r="H90" s="37">
        <f>'11. Investeringen (WUI+ombouw)'!D50</f>
        <v>2024</v>
      </c>
      <c r="I90" s="37" t="str">
        <f>'11. Investeringen (WUI+ombouw)'!E50</f>
        <v>32 M&amp;R stations</v>
      </c>
      <c r="J90" s="37" t="str">
        <f>'11. Investeringen (WUI+ombouw)'!F50</f>
        <v>VVI</v>
      </c>
      <c r="K90" s="37" t="str">
        <f>'11. Investeringen (WUI+ombouw)'!G50</f>
        <v>Ja</v>
      </c>
      <c r="L90" s="38">
        <f t="shared" si="74"/>
        <v>2026</v>
      </c>
      <c r="M90" s="38">
        <f>_xlfn.XLOOKUP(I90,'3. Input (des)investeringen '!$B$11:$B$89,'3. Input (des)investeringen '!$D$11:$D$89,0)</f>
        <v>30</v>
      </c>
      <c r="N90" s="3"/>
      <c r="O90" s="43">
        <f t="shared" si="0"/>
        <v>0</v>
      </c>
      <c r="P90" s="43">
        <f t="shared" si="1"/>
        <v>0</v>
      </c>
      <c r="Q90" s="3"/>
      <c r="R90" s="43">
        <f t="shared" si="103"/>
        <v>0</v>
      </c>
      <c r="S90" s="43">
        <f t="shared" si="2"/>
        <v>0</v>
      </c>
      <c r="T90" s="3"/>
      <c r="U90" s="43">
        <f t="shared" si="75"/>
        <v>136024.0865766904</v>
      </c>
      <c r="V90" s="38">
        <f t="shared" si="76"/>
        <v>30</v>
      </c>
      <c r="W90" s="3"/>
      <c r="X90" s="43">
        <f t="shared" ref="X90:AB98" si="104">IF($M90&gt;0, IF(OR($H90&gt;X$58,$H90+$M90&lt;X$58),0,IF(OR($H90=2020,$H90=2021),VDB($U90,0,$V90,X$58-2022,MIN($V90,X$58-2021),$F$23,FALSE),
VDB($U90,0,$V90,MAX(0,X$58-$H90-0.5),MIN($V90,X$58-$H90+0.5),$F$23,FALSE)))*(1-$F$26), 0)</f>
        <v>0</v>
      </c>
      <c r="Y90" s="43">
        <f t="shared" si="104"/>
        <v>0</v>
      </c>
      <c r="Z90" s="43">
        <f t="shared" si="104"/>
        <v>2652.4696882454627</v>
      </c>
      <c r="AA90" s="43">
        <f t="shared" si="104"/>
        <v>5189.999023333623</v>
      </c>
      <c r="AB90" s="43">
        <f t="shared" si="104"/>
        <v>4965.0990656558324</v>
      </c>
      <c r="AC90" s="3"/>
      <c r="AD90" s="43">
        <f t="shared" ref="AD90:AH98" si="105">IF($M90&gt;0, IF(OR($H90&gt;AD$58,$H90+$M90&lt;AD$58),0,IF(OR($H90=2020,$H90=2021),VDB($U90,0,$V90,AD$58-2022,MIN($V90,AD$58-2021),1,FALSE),
VDB($U90,0,$V90,MAX(0,AD$58-$H90-0.5),MIN($V90,AD$58-$H90+0.5),1,FALSE)))*$F$26,0)</f>
        <v>0</v>
      </c>
      <c r="AE90" s="43">
        <f t="shared" si="105"/>
        <v>0</v>
      </c>
      <c r="AF90" s="43">
        <f t="shared" si="105"/>
        <v>226.70681096115069</v>
      </c>
      <c r="AG90" s="43">
        <f t="shared" si="105"/>
        <v>453.41362192230139</v>
      </c>
      <c r="AH90" s="43">
        <f t="shared" si="105"/>
        <v>453.41362192230139</v>
      </c>
      <c r="AI90" s="3"/>
      <c r="AJ90" s="43">
        <f t="shared" si="79"/>
        <v>0</v>
      </c>
      <c r="AK90" s="43">
        <f t="shared" si="80"/>
        <v>0</v>
      </c>
      <c r="AL90" s="43">
        <f t="shared" si="81"/>
        <v>2879.1764992066132</v>
      </c>
      <c r="AM90" s="43">
        <f t="shared" si="82"/>
        <v>5643.412645255924</v>
      </c>
      <c r="AN90" s="43">
        <f t="shared" si="83"/>
        <v>5418.5126875781334</v>
      </c>
      <c r="AO90" s="3"/>
      <c r="AP90" s="43">
        <f t="shared" si="84"/>
        <v>0</v>
      </c>
      <c r="AQ90" s="43">
        <f t="shared" si="85"/>
        <v>0</v>
      </c>
      <c r="AR90" s="43">
        <f t="shared" si="86"/>
        <v>133144.9100774838</v>
      </c>
      <c r="AS90" s="43">
        <f t="shared" si="87"/>
        <v>127501.49743222787</v>
      </c>
      <c r="AT90" s="43">
        <f t="shared" si="88"/>
        <v>122082.98474464974</v>
      </c>
      <c r="AU90" s="3"/>
      <c r="AV90" s="47">
        <f t="shared" si="89"/>
        <v>0</v>
      </c>
      <c r="AW90" s="47">
        <f t="shared" si="90"/>
        <v>0</v>
      </c>
      <c r="AX90" s="47">
        <f t="shared" si="91"/>
        <v>0</v>
      </c>
      <c r="AY90" s="47">
        <f t="shared" si="92"/>
        <v>0</v>
      </c>
      <c r="AZ90" s="47">
        <f t="shared" si="93"/>
        <v>7938.6830821509975</v>
      </c>
      <c r="BA90" s="43">
        <f t="shared" si="94"/>
        <v>10488.469547680583</v>
      </c>
      <c r="BB90" s="43">
        <f t="shared" si="95"/>
        <v>10057.666107874824</v>
      </c>
      <c r="BC90" s="3"/>
      <c r="BD90" s="43">
        <f t="shared" si="7"/>
        <v>0</v>
      </c>
      <c r="BE90" s="43">
        <f t="shared" si="8"/>
        <v>0</v>
      </c>
      <c r="BF90" s="43">
        <f t="shared" si="9"/>
        <v>0</v>
      </c>
      <c r="BG90" s="43">
        <f t="shared" si="10"/>
        <v>0</v>
      </c>
      <c r="BH90" s="43">
        <f t="shared" si="11"/>
        <v>680.12043288345205</v>
      </c>
      <c r="BI90" s="43">
        <f t="shared" si="12"/>
        <v>1392.7342995683439</v>
      </c>
      <c r="BJ90" s="43">
        <f t="shared" si="13"/>
        <v>1439.8755701401333</v>
      </c>
      <c r="BK90" s="3"/>
      <c r="BL90" s="43">
        <f t="shared" si="96"/>
        <v>0</v>
      </c>
      <c r="BM90" s="43">
        <f t="shared" si="97"/>
        <v>0</v>
      </c>
      <c r="BN90" s="43">
        <f t="shared" si="98"/>
        <v>0</v>
      </c>
      <c r="BO90" s="43">
        <f t="shared" si="99"/>
        <v>0</v>
      </c>
      <c r="BP90" s="43">
        <f t="shared" si="100"/>
        <v>8618.8035150344494</v>
      </c>
      <c r="BQ90" s="43">
        <f t="shared" si="101"/>
        <v>11881.203847248926</v>
      </c>
      <c r="BR90" s="43">
        <f t="shared" si="102"/>
        <v>11497.541678014957</v>
      </c>
      <c r="BS90" s="3"/>
      <c r="BT90" s="10"/>
      <c r="BU90" s="10"/>
      <c r="BV90" s="51">
        <f t="shared" si="15"/>
        <v>0</v>
      </c>
      <c r="BW90" s="51">
        <f t="shared" si="16"/>
        <v>0</v>
      </c>
      <c r="BX90" s="51">
        <f t="shared" si="17"/>
        <v>0</v>
      </c>
      <c r="BY90" s="51">
        <f t="shared" si="18"/>
        <v>0</v>
      </c>
      <c r="BZ90" s="51">
        <f t="shared" si="19"/>
        <v>33656.031466767541</v>
      </c>
      <c r="CA90" s="337">
        <f t="shared" si="20"/>
        <v>0</v>
      </c>
    </row>
    <row r="91" spans="1:79" s="227" customFormat="1">
      <c r="A91" s="3"/>
      <c r="B91" s="37">
        <f>'11. Investeringen (WUI+ombouw)'!B51</f>
        <v>32</v>
      </c>
      <c r="C91" s="226"/>
      <c r="D91" s="226"/>
      <c r="E91" s="226"/>
      <c r="F91" s="42">
        <f>'11. Investeringen (WUI+ombouw)'!C51</f>
        <v>2089506.58</v>
      </c>
      <c r="G91" s="48"/>
      <c r="H91" s="37">
        <f>'11. Investeringen (WUI+ombouw)'!D51</f>
        <v>2025</v>
      </c>
      <c r="I91" s="37" t="str">
        <f>'11. Investeringen (WUI+ombouw)'!E51</f>
        <v>06 Utiliteitsgebouwen (KC)</v>
      </c>
      <c r="J91" s="37" t="str">
        <f>'11. Investeringen (WUI+ombouw)'!F51</f>
        <v>WUI</v>
      </c>
      <c r="K91" s="37" t="str">
        <f>'11. Investeringen (WUI+ombouw)'!G51</f>
        <v>Nee</v>
      </c>
      <c r="L91" s="38">
        <f t="shared" ref="L91:L98" si="106">H91+2</f>
        <v>2027</v>
      </c>
      <c r="M91" s="38">
        <f>_xlfn.XLOOKUP(I91,'3. Input (des)investeringen '!$B$11:$B$89,'3. Input (des)investeringen '!$D$11:$D$89,0)</f>
        <v>30</v>
      </c>
      <c r="N91" s="3"/>
      <c r="O91" s="43">
        <f t="shared" si="0"/>
        <v>0</v>
      </c>
      <c r="P91" s="43">
        <f t="shared" si="1"/>
        <v>0</v>
      </c>
      <c r="Q91" s="3"/>
      <c r="R91" s="43">
        <f t="shared" si="103"/>
        <v>0</v>
      </c>
      <c r="S91" s="43">
        <f t="shared" si="2"/>
        <v>0</v>
      </c>
      <c r="T91" s="3"/>
      <c r="U91" s="43">
        <f t="shared" ref="U91:U98" si="107">IF(H91&lt;=2021,S91,F91)</f>
        <v>2089506.58</v>
      </c>
      <c r="V91" s="38">
        <f t="shared" ref="V91:V98" si="108">IF($M91&gt;0,IF(H91&lt;2022,M91-2021+H91-0.5,M91),0)</f>
        <v>30</v>
      </c>
      <c r="W91" s="3"/>
      <c r="X91" s="43">
        <f t="shared" si="104"/>
        <v>0</v>
      </c>
      <c r="Y91" s="43">
        <f t="shared" si="104"/>
        <v>0</v>
      </c>
      <c r="Z91" s="43">
        <f t="shared" si="104"/>
        <v>0</v>
      </c>
      <c r="AA91" s="43">
        <f t="shared" si="104"/>
        <v>40745.37831</v>
      </c>
      <c r="AB91" s="43">
        <f t="shared" si="104"/>
        <v>79725.123559900007</v>
      </c>
      <c r="AC91" s="3"/>
      <c r="AD91" s="43">
        <f t="shared" si="105"/>
        <v>0</v>
      </c>
      <c r="AE91" s="43">
        <f t="shared" si="105"/>
        <v>0</v>
      </c>
      <c r="AF91" s="43">
        <f t="shared" si="105"/>
        <v>0</v>
      </c>
      <c r="AG91" s="43">
        <f t="shared" si="105"/>
        <v>3482.5109666666672</v>
      </c>
      <c r="AH91" s="43">
        <f t="shared" si="105"/>
        <v>6965.0219333333334</v>
      </c>
      <c r="AI91" s="3"/>
      <c r="AJ91" s="43">
        <f t="shared" ref="AJ91:AJ98" si="109">X91+AD91</f>
        <v>0</v>
      </c>
      <c r="AK91" s="43">
        <f t="shared" ref="AK91:AK98" si="110">Y91+AE91</f>
        <v>0</v>
      </c>
      <c r="AL91" s="43">
        <f t="shared" ref="AL91:AL98" si="111">Z91+AF91</f>
        <v>0</v>
      </c>
      <c r="AM91" s="43">
        <f t="shared" ref="AM91:AM98" si="112">AA91+AG91</f>
        <v>44227.889276666669</v>
      </c>
      <c r="AN91" s="43">
        <f t="shared" ref="AN91:AN98" si="113">AB91+AH91</f>
        <v>86690.145493233344</v>
      </c>
      <c r="AO91" s="3"/>
      <c r="AP91" s="43">
        <f t="shared" ref="AP91:AP98" si="114">IF($M91=0, IF($H91&gt;AP$58,0, $U91), IF(OR($H91&gt;AP$58,$H91+$M91&lt;=AP$58),0,
IF($H91=AP$58,$U91-AJ91,
U91-AJ91)))</f>
        <v>0</v>
      </c>
      <c r="AQ91" s="43">
        <f t="shared" ref="AQ91:AQ98" si="115">IF($M91=0, IF($H91 &gt; AQ$58, 0, IF($H91=AQ$58, $F91, AP91)), IF(OR($H91&gt;AQ$58,$H91+$M91&lt;=AQ$58),0,
IF($H91=AQ$58,$U91-AK91,
AP91-AK91)))</f>
        <v>0</v>
      </c>
      <c r="AR91" s="43">
        <f t="shared" ref="AR91:AR98" si="116">IF($M91=0, IF($H91 &gt; AR$58, 0, IF($H91=AR$58, $F91, AQ91)), IF(OR($H91&gt;AR$58,$H91+$M91&lt;=AR$58),0,
IF($H91=AR$58,$U91-AL91,
AQ91-AL91)))</f>
        <v>0</v>
      </c>
      <c r="AS91" s="43">
        <f t="shared" ref="AS91:AS98" si="117">IF($M91=0, IF($H91 &gt; AS$58, 0, IF($H91=AS$58, $F91, AR91)), IF(OR($H91&gt;AS$58,$H91+$M91&lt;=AS$58),0,
IF($H91=AS$58,$U91-AM91,
AR91-AM91)))</f>
        <v>2045278.6907233335</v>
      </c>
      <c r="AT91" s="43">
        <f t="shared" ref="AT91:AT98" si="118">IF($M91=0, IF($H91 &gt; AT$58, 0, IF($H91=AT$58, $F91, AS91)), IF(OR($H91&gt;AT$58,$H91+$M91&lt;=AT$58),0,
IF($H91=AT$58,$U91-AN91,
AS91-AN91)))</f>
        <v>1958588.5452301002</v>
      </c>
      <c r="AU91" s="3"/>
      <c r="AV91" s="47">
        <f t="shared" ref="AV91:AV98" si="119">O91+R91*H$16</f>
        <v>0</v>
      </c>
      <c r="AW91" s="47">
        <f t="shared" ref="AW91:AW98" si="120">P91+S91*I$16</f>
        <v>0</v>
      </c>
      <c r="AX91" s="47">
        <f t="shared" ref="AX91:AX98" si="121">AJ91+AP91*J$17</f>
        <v>0</v>
      </c>
      <c r="AY91" s="47">
        <f t="shared" ref="AY91:AY98" si="122">AK91+AQ91*K$17</f>
        <v>0</v>
      </c>
      <c r="AZ91" s="47">
        <f t="shared" ref="AZ91:AZ98" si="123">AL91+AR91*L$17</f>
        <v>0</v>
      </c>
      <c r="BA91" s="43">
        <f t="shared" ref="BA91:BA98" si="124">AM91+AS91*M$17</f>
        <v>121948.47952415334</v>
      </c>
      <c r="BB91" s="43">
        <f t="shared" ref="BB91:BB98" si="125">AN91+AT91*N$17</f>
        <v>161116.51021197715</v>
      </c>
      <c r="BC91" s="3"/>
      <c r="BD91" s="43">
        <f t="shared" si="7"/>
        <v>0</v>
      </c>
      <c r="BE91" s="43">
        <f t="shared" si="8"/>
        <v>0</v>
      </c>
      <c r="BF91" s="43">
        <f t="shared" si="9"/>
        <v>0</v>
      </c>
      <c r="BG91" s="43">
        <f t="shared" si="10"/>
        <v>0</v>
      </c>
      <c r="BH91" s="43">
        <f t="shared" si="11"/>
        <v>0</v>
      </c>
      <c r="BI91" s="43">
        <f t="shared" si="12"/>
        <v>10447.5329</v>
      </c>
      <c r="BJ91" s="43">
        <f t="shared" si="13"/>
        <v>21602.3219871984</v>
      </c>
      <c r="BK91" s="3"/>
      <c r="BL91" s="43">
        <f t="shared" ref="BL91:BL98" si="126">AV91+BD91</f>
        <v>0</v>
      </c>
      <c r="BM91" s="43">
        <f t="shared" ref="BM91:BM98" si="127">AW91+BE91</f>
        <v>0</v>
      </c>
      <c r="BN91" s="43">
        <f t="shared" ref="BN91:BN98" si="128">AX91+BF91</f>
        <v>0</v>
      </c>
      <c r="BO91" s="43">
        <f t="shared" ref="BO91:BO98" si="129">AY91+BG91</f>
        <v>0</v>
      </c>
      <c r="BP91" s="43">
        <f t="shared" ref="BP91:BP98" si="130">AZ91+BH91</f>
        <v>0</v>
      </c>
      <c r="BQ91" s="43">
        <f t="shared" ref="BQ91:BQ98" si="131">BA91+BI91</f>
        <v>132396.01242415333</v>
      </c>
      <c r="BR91" s="43">
        <f t="shared" ref="BR91:BR98" si="132">BB91+BJ91</f>
        <v>182718.83219917555</v>
      </c>
      <c r="BS91" s="3"/>
      <c r="BT91" s="10"/>
      <c r="BU91" s="10"/>
      <c r="BV91" s="51">
        <f t="shared" si="15"/>
        <v>0</v>
      </c>
      <c r="BW91" s="51">
        <f t="shared" si="16"/>
        <v>0</v>
      </c>
      <c r="BX91" s="51">
        <f t="shared" si="17"/>
        <v>0</v>
      </c>
      <c r="BY91" s="51">
        <f t="shared" si="18"/>
        <v>0</v>
      </c>
      <c r="BZ91" s="51">
        <f t="shared" si="19"/>
        <v>0</v>
      </c>
      <c r="CA91" s="337">
        <f t="shared" si="20"/>
        <v>334604.03105431807</v>
      </c>
    </row>
    <row r="92" spans="1:79" s="227" customFormat="1">
      <c r="A92" s="3"/>
      <c r="B92" s="37">
        <f>'11. Investeringen (WUI+ombouw)'!B52</f>
        <v>33</v>
      </c>
      <c r="C92" s="226"/>
      <c r="D92" s="226"/>
      <c r="E92" s="226"/>
      <c r="F92" s="42">
        <f>'11. Investeringen (WUI+ombouw)'!C52</f>
        <v>6969217.2999999998</v>
      </c>
      <c r="G92" s="48"/>
      <c r="H92" s="37">
        <f>'11. Investeringen (WUI+ombouw)'!D52</f>
        <v>2025</v>
      </c>
      <c r="I92" s="37" t="str">
        <f>'11. Investeringen (WUI+ombouw)'!E52</f>
        <v>36 Luchtscheidingsunit</v>
      </c>
      <c r="J92" s="37" t="str">
        <f>'11. Investeringen (WUI+ombouw)'!F52</f>
        <v>WUI</v>
      </c>
      <c r="K92" s="37" t="str">
        <f>'11. Investeringen (WUI+ombouw)'!G52</f>
        <v>Nee</v>
      </c>
      <c r="L92" s="38">
        <f t="shared" si="106"/>
        <v>2027</v>
      </c>
      <c r="M92" s="38">
        <f>_xlfn.XLOOKUP(I92,'3. Input (des)investeringen '!$B$11:$B$89,'3. Input (des)investeringen '!$D$11:$D$89,0)</f>
        <v>30</v>
      </c>
      <c r="N92" s="3"/>
      <c r="O92" s="43">
        <f t="shared" si="0"/>
        <v>0</v>
      </c>
      <c r="P92" s="43">
        <f t="shared" si="1"/>
        <v>0</v>
      </c>
      <c r="Q92" s="3"/>
      <c r="R92" s="43">
        <f t="shared" si="103"/>
        <v>0</v>
      </c>
      <c r="S92" s="43">
        <f t="shared" si="2"/>
        <v>0</v>
      </c>
      <c r="T92" s="3"/>
      <c r="U92" s="43">
        <f t="shared" si="107"/>
        <v>6969217.2999999998</v>
      </c>
      <c r="V92" s="38">
        <f t="shared" si="108"/>
        <v>30</v>
      </c>
      <c r="W92" s="3"/>
      <c r="X92" s="43">
        <f t="shared" si="104"/>
        <v>0</v>
      </c>
      <c r="Y92" s="43">
        <f t="shared" si="104"/>
        <v>0</v>
      </c>
      <c r="Z92" s="43">
        <f t="shared" si="104"/>
        <v>0</v>
      </c>
      <c r="AA92" s="43">
        <f t="shared" si="104"/>
        <v>135899.73735000001</v>
      </c>
      <c r="AB92" s="43">
        <f t="shared" si="104"/>
        <v>265910.48608150001</v>
      </c>
      <c r="AC92" s="3"/>
      <c r="AD92" s="43">
        <f t="shared" si="105"/>
        <v>0</v>
      </c>
      <c r="AE92" s="43">
        <f t="shared" si="105"/>
        <v>0</v>
      </c>
      <c r="AF92" s="43">
        <f t="shared" si="105"/>
        <v>0</v>
      </c>
      <c r="AG92" s="43">
        <f t="shared" si="105"/>
        <v>11615.362166666666</v>
      </c>
      <c r="AH92" s="43">
        <f t="shared" si="105"/>
        <v>23230.724333333332</v>
      </c>
      <c r="AI92" s="3"/>
      <c r="AJ92" s="43">
        <f t="shared" si="109"/>
        <v>0</v>
      </c>
      <c r="AK92" s="43">
        <f t="shared" si="110"/>
        <v>0</v>
      </c>
      <c r="AL92" s="43">
        <f t="shared" si="111"/>
        <v>0</v>
      </c>
      <c r="AM92" s="43">
        <f t="shared" si="112"/>
        <v>147515.09951666667</v>
      </c>
      <c r="AN92" s="43">
        <f t="shared" si="113"/>
        <v>289141.21041483333</v>
      </c>
      <c r="AO92" s="3"/>
      <c r="AP92" s="43">
        <f t="shared" si="114"/>
        <v>0</v>
      </c>
      <c r="AQ92" s="43">
        <f t="shared" si="115"/>
        <v>0</v>
      </c>
      <c r="AR92" s="43">
        <f t="shared" si="116"/>
        <v>0</v>
      </c>
      <c r="AS92" s="43">
        <f t="shared" si="117"/>
        <v>6821702.2004833333</v>
      </c>
      <c r="AT92" s="43">
        <f t="shared" si="118"/>
        <v>6532560.9900684999</v>
      </c>
      <c r="AU92" s="3"/>
      <c r="AV92" s="47">
        <f t="shared" si="119"/>
        <v>0</v>
      </c>
      <c r="AW92" s="47">
        <f t="shared" si="120"/>
        <v>0</v>
      </c>
      <c r="AX92" s="47">
        <f t="shared" si="121"/>
        <v>0</v>
      </c>
      <c r="AY92" s="47">
        <f t="shared" si="122"/>
        <v>0</v>
      </c>
      <c r="AZ92" s="47">
        <f t="shared" si="123"/>
        <v>0</v>
      </c>
      <c r="BA92" s="43">
        <f t="shared" si="124"/>
        <v>406739.78313503333</v>
      </c>
      <c r="BB92" s="43">
        <f t="shared" si="125"/>
        <v>537378.52803743631</v>
      </c>
      <c r="BC92" s="3"/>
      <c r="BD92" s="43">
        <f t="shared" si="7"/>
        <v>0</v>
      </c>
      <c r="BE92" s="43">
        <f t="shared" si="8"/>
        <v>0</v>
      </c>
      <c r="BF92" s="43">
        <f t="shared" si="9"/>
        <v>0</v>
      </c>
      <c r="BG92" s="43">
        <f t="shared" si="10"/>
        <v>0</v>
      </c>
      <c r="BH92" s="43">
        <f t="shared" si="11"/>
        <v>0</v>
      </c>
      <c r="BI92" s="43">
        <f t="shared" si="12"/>
        <v>34846.086499999998</v>
      </c>
      <c r="BJ92" s="43">
        <f t="shared" si="13"/>
        <v>72051.113671703992</v>
      </c>
      <c r="BK92" s="3"/>
      <c r="BL92" s="43">
        <f t="shared" si="126"/>
        <v>0</v>
      </c>
      <c r="BM92" s="43">
        <f t="shared" si="127"/>
        <v>0</v>
      </c>
      <c r="BN92" s="43">
        <f t="shared" si="128"/>
        <v>0</v>
      </c>
      <c r="BO92" s="43">
        <f t="shared" si="129"/>
        <v>0</v>
      </c>
      <c r="BP92" s="43">
        <f t="shared" si="130"/>
        <v>0</v>
      </c>
      <c r="BQ92" s="43">
        <f t="shared" si="131"/>
        <v>441585.8696350333</v>
      </c>
      <c r="BR92" s="43">
        <f t="shared" si="132"/>
        <v>609429.64170914027</v>
      </c>
      <c r="BS92" s="3"/>
      <c r="BT92" s="10"/>
      <c r="BU92" s="10"/>
      <c r="BV92" s="51">
        <f t="shared" si="15"/>
        <v>0</v>
      </c>
      <c r="BW92" s="51">
        <f t="shared" si="16"/>
        <v>0</v>
      </c>
      <c r="BX92" s="51">
        <f t="shared" si="17"/>
        <v>0</v>
      </c>
      <c r="BY92" s="51">
        <f t="shared" si="18"/>
        <v>0</v>
      </c>
      <c r="BZ92" s="51">
        <f t="shared" si="19"/>
        <v>0</v>
      </c>
      <c r="CA92" s="337">
        <f t="shared" si="20"/>
        <v>1116018.5970189623</v>
      </c>
    </row>
    <row r="93" spans="1:79" s="227" customFormat="1">
      <c r="A93" s="3"/>
      <c r="B93" s="37">
        <f>'11. Investeringen (WUI+ombouw)'!B53</f>
        <v>34</v>
      </c>
      <c r="C93" s="226"/>
      <c r="D93" s="226"/>
      <c r="E93" s="226"/>
      <c r="F93" s="42">
        <f>'11. Investeringen (WUI+ombouw)'!C53</f>
        <v>619400.06999999995</v>
      </c>
      <c r="G93" s="48"/>
      <c r="H93" s="37">
        <f>'11. Investeringen (WUI+ombouw)'!D53</f>
        <v>2025</v>
      </c>
      <c r="I93" s="37" t="str">
        <f>'11. Investeringen (WUI+ombouw)'!E53</f>
        <v>05 Wegen en terreinvoorzieningen (KC)</v>
      </c>
      <c r="J93" s="37" t="str">
        <f>'11. Investeringen (WUI+ombouw)'!F53</f>
        <v>WUI</v>
      </c>
      <c r="K93" s="37" t="str">
        <f>'11. Investeringen (WUI+ombouw)'!G53</f>
        <v>Nee</v>
      </c>
      <c r="L93" s="38">
        <f t="shared" si="106"/>
        <v>2027</v>
      </c>
      <c r="M93" s="38">
        <f>_xlfn.XLOOKUP(I93,'3. Input (des)investeringen '!$B$11:$B$89,'3. Input (des)investeringen '!$D$11:$D$89,0)</f>
        <v>10</v>
      </c>
      <c r="N93" s="3"/>
      <c r="O93" s="43">
        <f t="shared" si="0"/>
        <v>0</v>
      </c>
      <c r="P93" s="43">
        <f t="shared" si="1"/>
        <v>0</v>
      </c>
      <c r="Q93" s="3"/>
      <c r="R93" s="43">
        <f t="shared" si="103"/>
        <v>0</v>
      </c>
      <c r="S93" s="43">
        <f t="shared" si="2"/>
        <v>0</v>
      </c>
      <c r="T93" s="3"/>
      <c r="U93" s="43">
        <f t="shared" si="107"/>
        <v>619400.06999999995</v>
      </c>
      <c r="V93" s="38">
        <f t="shared" si="108"/>
        <v>10</v>
      </c>
      <c r="W93" s="3"/>
      <c r="X93" s="43">
        <f t="shared" si="104"/>
        <v>0</v>
      </c>
      <c r="Y93" s="43">
        <f t="shared" si="104"/>
        <v>0</v>
      </c>
      <c r="Z93" s="43">
        <f t="shared" si="104"/>
        <v>0</v>
      </c>
      <c r="AA93" s="43">
        <f t="shared" si="104"/>
        <v>36234.904094999998</v>
      </c>
      <c r="AB93" s="43">
        <f t="shared" si="104"/>
        <v>67759.270657649991</v>
      </c>
      <c r="AC93" s="3"/>
      <c r="AD93" s="43">
        <f t="shared" si="105"/>
        <v>0</v>
      </c>
      <c r="AE93" s="43">
        <f t="shared" si="105"/>
        <v>0</v>
      </c>
      <c r="AF93" s="43">
        <f t="shared" si="105"/>
        <v>0</v>
      </c>
      <c r="AG93" s="43">
        <f t="shared" si="105"/>
        <v>3097.0003500000003</v>
      </c>
      <c r="AH93" s="43">
        <f t="shared" si="105"/>
        <v>6194.0007000000005</v>
      </c>
      <c r="AI93" s="3"/>
      <c r="AJ93" s="43">
        <f t="shared" si="109"/>
        <v>0</v>
      </c>
      <c r="AK93" s="43">
        <f t="shared" si="110"/>
        <v>0</v>
      </c>
      <c r="AL93" s="43">
        <f t="shared" si="111"/>
        <v>0</v>
      </c>
      <c r="AM93" s="43">
        <f t="shared" si="112"/>
        <v>39331.904445</v>
      </c>
      <c r="AN93" s="43">
        <f t="shared" si="113"/>
        <v>73953.271357649995</v>
      </c>
      <c r="AO93" s="3"/>
      <c r="AP93" s="43">
        <f t="shared" si="114"/>
        <v>0</v>
      </c>
      <c r="AQ93" s="43">
        <f t="shared" si="115"/>
        <v>0</v>
      </c>
      <c r="AR93" s="43">
        <f t="shared" si="116"/>
        <v>0</v>
      </c>
      <c r="AS93" s="43">
        <f t="shared" si="117"/>
        <v>580068.16555499996</v>
      </c>
      <c r="AT93" s="43">
        <f t="shared" si="118"/>
        <v>506114.89419734996</v>
      </c>
      <c r="AU93" s="3"/>
      <c r="AV93" s="47">
        <f t="shared" si="119"/>
        <v>0</v>
      </c>
      <c r="AW93" s="47">
        <f t="shared" si="120"/>
        <v>0</v>
      </c>
      <c r="AX93" s="47">
        <f t="shared" si="121"/>
        <v>0</v>
      </c>
      <c r="AY93" s="47">
        <f t="shared" si="122"/>
        <v>0</v>
      </c>
      <c r="AZ93" s="47">
        <f t="shared" si="123"/>
        <v>0</v>
      </c>
      <c r="BA93" s="43">
        <f t="shared" si="124"/>
        <v>61374.494736089997</v>
      </c>
      <c r="BB93" s="43">
        <f t="shared" si="125"/>
        <v>93185.637337149295</v>
      </c>
      <c r="BC93" s="3"/>
      <c r="BD93" s="43">
        <f t="shared" si="7"/>
        <v>0</v>
      </c>
      <c r="BE93" s="43">
        <f t="shared" si="8"/>
        <v>0</v>
      </c>
      <c r="BF93" s="43">
        <f t="shared" si="9"/>
        <v>0</v>
      </c>
      <c r="BG93" s="43">
        <f t="shared" si="10"/>
        <v>0</v>
      </c>
      <c r="BH93" s="43">
        <f t="shared" si="11"/>
        <v>0</v>
      </c>
      <c r="BI93" s="43">
        <f t="shared" si="12"/>
        <v>3097.0003499999998</v>
      </c>
      <c r="BJ93" s="43">
        <f t="shared" si="13"/>
        <v>6403.6552356935999</v>
      </c>
      <c r="BK93" s="3"/>
      <c r="BL93" s="43">
        <f t="shared" si="126"/>
        <v>0</v>
      </c>
      <c r="BM93" s="43">
        <f t="shared" si="127"/>
        <v>0</v>
      </c>
      <c r="BN93" s="43">
        <f t="shared" si="128"/>
        <v>0</v>
      </c>
      <c r="BO93" s="43">
        <f t="shared" si="129"/>
        <v>0</v>
      </c>
      <c r="BP93" s="43">
        <f t="shared" si="130"/>
        <v>0</v>
      </c>
      <c r="BQ93" s="43">
        <f t="shared" si="131"/>
        <v>64471.495086089999</v>
      </c>
      <c r="BR93" s="43">
        <f t="shared" si="132"/>
        <v>99589.292572842896</v>
      </c>
      <c r="BS93" s="3"/>
      <c r="BT93" s="10"/>
      <c r="BU93" s="10"/>
      <c r="BV93" s="51">
        <f t="shared" si="15"/>
        <v>0</v>
      </c>
      <c r="BW93" s="51">
        <f t="shared" si="16"/>
        <v>0</v>
      </c>
      <c r="BX93" s="51">
        <f t="shared" si="17"/>
        <v>0</v>
      </c>
      <c r="BY93" s="51">
        <f t="shared" si="18"/>
        <v>0</v>
      </c>
      <c r="BZ93" s="51">
        <f t="shared" si="19"/>
        <v>0</v>
      </c>
      <c r="CA93" s="337">
        <f t="shared" si="20"/>
        <v>173975.73690976691</v>
      </c>
    </row>
    <row r="94" spans="1:79" s="227" customFormat="1">
      <c r="A94" s="3"/>
      <c r="B94" s="37">
        <f>'11. Investeringen (WUI+ombouw)'!B54</f>
        <v>35</v>
      </c>
      <c r="C94" s="226"/>
      <c r="D94" s="226"/>
      <c r="E94" s="226"/>
      <c r="F94" s="42">
        <f>'11. Investeringen (WUI+ombouw)'!C54</f>
        <v>90220.94</v>
      </c>
      <c r="G94" s="48"/>
      <c r="H94" s="37">
        <f>'11. Investeringen (WUI+ombouw)'!D54</f>
        <v>2025</v>
      </c>
      <c r="I94" s="37" t="str">
        <f>'11. Investeringen (WUI+ombouw)'!E54</f>
        <v>02 Gasontvangststations</v>
      </c>
      <c r="J94" s="37" t="str">
        <f>'11. Investeringen (WUI+ombouw)'!F54</f>
        <v>VVI</v>
      </c>
      <c r="K94" s="37" t="str">
        <f>'11. Investeringen (WUI+ombouw)'!G54</f>
        <v>Ja</v>
      </c>
      <c r="L94" s="38">
        <f t="shared" si="106"/>
        <v>2027</v>
      </c>
      <c r="M94" s="38">
        <f>_xlfn.XLOOKUP(I94,'3. Input (des)investeringen '!$B$11:$B$89,'3. Input (des)investeringen '!$D$11:$D$89,0)</f>
        <v>30</v>
      </c>
      <c r="N94" s="3"/>
      <c r="O94" s="43">
        <f t="shared" si="0"/>
        <v>0</v>
      </c>
      <c r="P94" s="43">
        <f t="shared" si="1"/>
        <v>0</v>
      </c>
      <c r="Q94" s="3"/>
      <c r="R94" s="43">
        <f t="shared" si="103"/>
        <v>0</v>
      </c>
      <c r="S94" s="43">
        <f t="shared" si="2"/>
        <v>0</v>
      </c>
      <c r="T94" s="3"/>
      <c r="U94" s="43">
        <f t="shared" si="107"/>
        <v>90220.94</v>
      </c>
      <c r="V94" s="38">
        <f t="shared" si="108"/>
        <v>30</v>
      </c>
      <c r="W94" s="3"/>
      <c r="X94" s="43">
        <f t="shared" si="104"/>
        <v>0</v>
      </c>
      <c r="Y94" s="43">
        <f t="shared" si="104"/>
        <v>0</v>
      </c>
      <c r="Z94" s="43">
        <f t="shared" si="104"/>
        <v>0</v>
      </c>
      <c r="AA94" s="43">
        <f t="shared" si="104"/>
        <v>1759.3083300000003</v>
      </c>
      <c r="AB94" s="43">
        <f t="shared" si="104"/>
        <v>3442.3799657000004</v>
      </c>
      <c r="AC94" s="3"/>
      <c r="AD94" s="43">
        <f t="shared" si="105"/>
        <v>0</v>
      </c>
      <c r="AE94" s="43">
        <f t="shared" si="105"/>
        <v>0</v>
      </c>
      <c r="AF94" s="43">
        <f t="shared" si="105"/>
        <v>0</v>
      </c>
      <c r="AG94" s="43">
        <f t="shared" si="105"/>
        <v>150.36823333333334</v>
      </c>
      <c r="AH94" s="43">
        <f t="shared" si="105"/>
        <v>300.73646666666667</v>
      </c>
      <c r="AI94" s="3"/>
      <c r="AJ94" s="43">
        <f t="shared" si="109"/>
        <v>0</v>
      </c>
      <c r="AK94" s="43">
        <f t="shared" si="110"/>
        <v>0</v>
      </c>
      <c r="AL94" s="43">
        <f t="shared" si="111"/>
        <v>0</v>
      </c>
      <c r="AM94" s="43">
        <f t="shared" si="112"/>
        <v>1909.6765633333337</v>
      </c>
      <c r="AN94" s="43">
        <f t="shared" si="113"/>
        <v>3743.1164323666671</v>
      </c>
      <c r="AO94" s="3"/>
      <c r="AP94" s="43">
        <f t="shared" si="114"/>
        <v>0</v>
      </c>
      <c r="AQ94" s="43">
        <f t="shared" si="115"/>
        <v>0</v>
      </c>
      <c r="AR94" s="43">
        <f t="shared" si="116"/>
        <v>0</v>
      </c>
      <c r="AS94" s="43">
        <f t="shared" si="117"/>
        <v>88311.263436666675</v>
      </c>
      <c r="AT94" s="43">
        <f t="shared" si="118"/>
        <v>84568.147004300001</v>
      </c>
      <c r="AU94" s="3"/>
      <c r="AV94" s="47">
        <f t="shared" si="119"/>
        <v>0</v>
      </c>
      <c r="AW94" s="47">
        <f t="shared" si="120"/>
        <v>0</v>
      </c>
      <c r="AX94" s="47">
        <f t="shared" si="121"/>
        <v>0</v>
      </c>
      <c r="AY94" s="47">
        <f t="shared" si="122"/>
        <v>0</v>
      </c>
      <c r="AZ94" s="47">
        <f t="shared" si="123"/>
        <v>0</v>
      </c>
      <c r="BA94" s="43">
        <f t="shared" si="124"/>
        <v>5265.504573926667</v>
      </c>
      <c r="BB94" s="43">
        <f t="shared" si="125"/>
        <v>6956.706018530067</v>
      </c>
      <c r="BC94" s="3"/>
      <c r="BD94" s="43">
        <f t="shared" si="7"/>
        <v>0</v>
      </c>
      <c r="BE94" s="43">
        <f t="shared" si="8"/>
        <v>0</v>
      </c>
      <c r="BF94" s="43">
        <f t="shared" si="9"/>
        <v>0</v>
      </c>
      <c r="BG94" s="43">
        <f t="shared" si="10"/>
        <v>0</v>
      </c>
      <c r="BH94" s="43">
        <f t="shared" si="11"/>
        <v>0</v>
      </c>
      <c r="BI94" s="43">
        <f t="shared" si="12"/>
        <v>451.10470000000004</v>
      </c>
      <c r="BJ94" s="43">
        <f t="shared" si="13"/>
        <v>932.74738377120013</v>
      </c>
      <c r="BK94" s="3"/>
      <c r="BL94" s="43">
        <f t="shared" si="126"/>
        <v>0</v>
      </c>
      <c r="BM94" s="43">
        <f t="shared" si="127"/>
        <v>0</v>
      </c>
      <c r="BN94" s="43">
        <f t="shared" si="128"/>
        <v>0</v>
      </c>
      <c r="BO94" s="43">
        <f t="shared" si="129"/>
        <v>0</v>
      </c>
      <c r="BP94" s="43">
        <f t="shared" si="130"/>
        <v>0</v>
      </c>
      <c r="BQ94" s="43">
        <f t="shared" si="131"/>
        <v>5716.6092739266669</v>
      </c>
      <c r="BR94" s="43">
        <f t="shared" si="132"/>
        <v>7889.4534023012675</v>
      </c>
      <c r="BS94" s="3"/>
      <c r="BT94" s="10"/>
      <c r="BU94" s="10"/>
      <c r="BV94" s="51">
        <f t="shared" si="15"/>
        <v>0</v>
      </c>
      <c r="BW94" s="51">
        <f t="shared" si="16"/>
        <v>0</v>
      </c>
      <c r="BX94" s="51">
        <f t="shared" si="17"/>
        <v>0</v>
      </c>
      <c r="BY94" s="51">
        <f t="shared" si="18"/>
        <v>0</v>
      </c>
      <c r="BZ94" s="51">
        <f t="shared" si="19"/>
        <v>0</v>
      </c>
      <c r="CA94" s="337">
        <f t="shared" si="20"/>
        <v>14447.56886552124</v>
      </c>
    </row>
    <row r="95" spans="1:79" s="227" customFormat="1">
      <c r="A95" s="3"/>
      <c r="B95" s="37">
        <f>'11. Investeringen (WUI+ombouw)'!B55</f>
        <v>36</v>
      </c>
      <c r="C95" s="226"/>
      <c r="D95" s="226"/>
      <c r="E95" s="226"/>
      <c r="F95" s="42">
        <f>'11. Investeringen (WUI+ombouw)'!C55</f>
        <v>217.98</v>
      </c>
      <c r="G95" s="48"/>
      <c r="H95" s="37">
        <f>'11. Investeringen (WUI+ombouw)'!D55</f>
        <v>2025</v>
      </c>
      <c r="I95" s="37" t="str">
        <f>'11. Investeringen (WUI+ombouw)'!E55</f>
        <v xml:space="preserve">06 Utiliteitsgebouwen </v>
      </c>
      <c r="J95" s="37" t="str">
        <f>'11. Investeringen (WUI+ombouw)'!F55</f>
        <v>VVI</v>
      </c>
      <c r="K95" s="37" t="str">
        <f>'11. Investeringen (WUI+ombouw)'!G55</f>
        <v>Ja</v>
      </c>
      <c r="L95" s="38">
        <f t="shared" si="106"/>
        <v>2027</v>
      </c>
      <c r="M95" s="38">
        <f>_xlfn.XLOOKUP(I95,'3. Input (des)investeringen '!$B$11:$B$89,'3. Input (des)investeringen '!$D$11:$D$89,0)</f>
        <v>0</v>
      </c>
      <c r="N95" s="3"/>
      <c r="O95" s="43">
        <f t="shared" si="0"/>
        <v>0</v>
      </c>
      <c r="P95" s="43">
        <f t="shared" si="1"/>
        <v>0</v>
      </c>
      <c r="Q95" s="3"/>
      <c r="R95" s="43">
        <f t="shared" si="103"/>
        <v>0</v>
      </c>
      <c r="S95" s="43">
        <f t="shared" si="2"/>
        <v>0</v>
      </c>
      <c r="T95" s="3"/>
      <c r="U95" s="43">
        <f t="shared" si="107"/>
        <v>217.98</v>
      </c>
      <c r="V95" s="38">
        <f t="shared" si="108"/>
        <v>0</v>
      </c>
      <c r="W95" s="3"/>
      <c r="X95" s="43">
        <f t="shared" si="104"/>
        <v>0</v>
      </c>
      <c r="Y95" s="43">
        <f t="shared" si="104"/>
        <v>0</v>
      </c>
      <c r="Z95" s="43">
        <f t="shared" si="104"/>
        <v>0</v>
      </c>
      <c r="AA95" s="43">
        <f t="shared" si="104"/>
        <v>0</v>
      </c>
      <c r="AB95" s="43">
        <f t="shared" si="104"/>
        <v>0</v>
      </c>
      <c r="AC95" s="3"/>
      <c r="AD95" s="43">
        <f t="shared" si="105"/>
        <v>0</v>
      </c>
      <c r="AE95" s="43">
        <f t="shared" si="105"/>
        <v>0</v>
      </c>
      <c r="AF95" s="43">
        <f t="shared" si="105"/>
        <v>0</v>
      </c>
      <c r="AG95" s="43">
        <f t="shared" si="105"/>
        <v>0</v>
      </c>
      <c r="AH95" s="43">
        <f t="shared" si="105"/>
        <v>0</v>
      </c>
      <c r="AI95" s="3"/>
      <c r="AJ95" s="43">
        <f t="shared" si="109"/>
        <v>0</v>
      </c>
      <c r="AK95" s="43">
        <f t="shared" si="110"/>
        <v>0</v>
      </c>
      <c r="AL95" s="43">
        <f t="shared" si="111"/>
        <v>0</v>
      </c>
      <c r="AM95" s="43">
        <f t="shared" si="112"/>
        <v>0</v>
      </c>
      <c r="AN95" s="43">
        <f t="shared" si="113"/>
        <v>0</v>
      </c>
      <c r="AO95" s="3"/>
      <c r="AP95" s="43">
        <f t="shared" si="114"/>
        <v>0</v>
      </c>
      <c r="AQ95" s="43">
        <f t="shared" si="115"/>
        <v>0</v>
      </c>
      <c r="AR95" s="43">
        <f t="shared" si="116"/>
        <v>0</v>
      </c>
      <c r="AS95" s="43">
        <f t="shared" si="117"/>
        <v>217.98</v>
      </c>
      <c r="AT95" s="43">
        <f t="shared" si="118"/>
        <v>217.98</v>
      </c>
      <c r="AU95" s="3"/>
      <c r="AV95" s="47">
        <f t="shared" si="119"/>
        <v>0</v>
      </c>
      <c r="AW95" s="47">
        <f t="shared" si="120"/>
        <v>0</v>
      </c>
      <c r="AX95" s="47">
        <f t="shared" si="121"/>
        <v>0</v>
      </c>
      <c r="AY95" s="47">
        <f t="shared" si="122"/>
        <v>0</v>
      </c>
      <c r="AZ95" s="47">
        <f t="shared" si="123"/>
        <v>0</v>
      </c>
      <c r="BA95" s="43">
        <f t="shared" si="124"/>
        <v>8.2832399999999993</v>
      </c>
      <c r="BB95" s="43">
        <f t="shared" si="125"/>
        <v>8.2832399999999993</v>
      </c>
      <c r="BC95" s="3"/>
      <c r="BD95" s="43">
        <f t="shared" si="7"/>
        <v>0</v>
      </c>
      <c r="BE95" s="43">
        <f t="shared" si="8"/>
        <v>0</v>
      </c>
      <c r="BF95" s="43">
        <f t="shared" si="9"/>
        <v>0</v>
      </c>
      <c r="BG95" s="43">
        <f t="shared" si="10"/>
        <v>0</v>
      </c>
      <c r="BH95" s="43">
        <f t="shared" si="11"/>
        <v>0</v>
      </c>
      <c r="BI95" s="43">
        <f t="shared" si="12"/>
        <v>0</v>
      </c>
      <c r="BJ95" s="43">
        <f t="shared" si="13"/>
        <v>0</v>
      </c>
      <c r="BK95" s="3"/>
      <c r="BL95" s="43">
        <f t="shared" si="126"/>
        <v>0</v>
      </c>
      <c r="BM95" s="43">
        <f t="shared" si="127"/>
        <v>0</v>
      </c>
      <c r="BN95" s="43">
        <f t="shared" si="128"/>
        <v>0</v>
      </c>
      <c r="BO95" s="43">
        <f t="shared" si="129"/>
        <v>0</v>
      </c>
      <c r="BP95" s="43">
        <f t="shared" si="130"/>
        <v>0</v>
      </c>
      <c r="BQ95" s="43">
        <f t="shared" si="131"/>
        <v>8.2832399999999993</v>
      </c>
      <c r="BR95" s="43">
        <f t="shared" si="132"/>
        <v>8.2832399999999993</v>
      </c>
      <c r="BS95" s="3"/>
      <c r="BT95" s="10"/>
      <c r="BU95" s="10"/>
      <c r="BV95" s="51">
        <f t="shared" si="15"/>
        <v>0</v>
      </c>
      <c r="BW95" s="51">
        <f t="shared" si="16"/>
        <v>0</v>
      </c>
      <c r="BX95" s="51">
        <f t="shared" si="17"/>
        <v>0</v>
      </c>
      <c r="BY95" s="51">
        <f t="shared" si="18"/>
        <v>0</v>
      </c>
      <c r="BZ95" s="51">
        <f t="shared" si="19"/>
        <v>0</v>
      </c>
      <c r="CA95" s="337">
        <f t="shared" si="20"/>
        <v>17.659867679999998</v>
      </c>
    </row>
    <row r="96" spans="1:79" s="227" customFormat="1">
      <c r="A96" s="3"/>
      <c r="B96" s="37">
        <f>'11. Investeringen (WUI+ombouw)'!B56</f>
        <v>37</v>
      </c>
      <c r="C96" s="226"/>
      <c r="D96" s="226"/>
      <c r="E96" s="226"/>
      <c r="F96" s="42">
        <f>'11. Investeringen (WUI+ombouw)'!C56</f>
        <v>10202291.790000001</v>
      </c>
      <c r="G96" s="48"/>
      <c r="H96" s="37">
        <f>'11. Investeringen (WUI+ombouw)'!D56</f>
        <v>2025</v>
      </c>
      <c r="I96" s="37" t="str">
        <f>'11. Investeringen (WUI+ombouw)'!E56</f>
        <v>32 M&amp;R stations</v>
      </c>
      <c r="J96" s="37" t="str">
        <f>'11. Investeringen (WUI+ombouw)'!F56</f>
        <v>VVI</v>
      </c>
      <c r="K96" s="37" t="str">
        <f>'11. Investeringen (WUI+ombouw)'!G56</f>
        <v>Ja</v>
      </c>
      <c r="L96" s="38">
        <f t="shared" si="106"/>
        <v>2027</v>
      </c>
      <c r="M96" s="38">
        <f>_xlfn.XLOOKUP(I96,'3. Input (des)investeringen '!$B$11:$B$89,'3. Input (des)investeringen '!$D$11:$D$89,0)</f>
        <v>30</v>
      </c>
      <c r="N96" s="3"/>
      <c r="O96" s="43">
        <f t="shared" si="0"/>
        <v>0</v>
      </c>
      <c r="P96" s="43">
        <f t="shared" si="1"/>
        <v>0</v>
      </c>
      <c r="Q96" s="3"/>
      <c r="R96" s="43">
        <f t="shared" si="103"/>
        <v>0</v>
      </c>
      <c r="S96" s="43">
        <f t="shared" si="2"/>
        <v>0</v>
      </c>
      <c r="T96" s="3"/>
      <c r="U96" s="43">
        <f t="shared" si="107"/>
        <v>10202291.790000001</v>
      </c>
      <c r="V96" s="38">
        <f t="shared" si="108"/>
        <v>30</v>
      </c>
      <c r="W96" s="3"/>
      <c r="X96" s="43">
        <f t="shared" si="104"/>
        <v>0</v>
      </c>
      <c r="Y96" s="43">
        <f t="shared" si="104"/>
        <v>0</v>
      </c>
      <c r="Z96" s="43">
        <f t="shared" si="104"/>
        <v>0</v>
      </c>
      <c r="AA96" s="43">
        <f t="shared" si="104"/>
        <v>198944.68990500004</v>
      </c>
      <c r="AB96" s="43">
        <f t="shared" si="104"/>
        <v>389268.44324745005</v>
      </c>
      <c r="AC96" s="3"/>
      <c r="AD96" s="43">
        <f t="shared" si="105"/>
        <v>0</v>
      </c>
      <c r="AE96" s="43">
        <f t="shared" si="105"/>
        <v>0</v>
      </c>
      <c r="AF96" s="43">
        <f t="shared" si="105"/>
        <v>0</v>
      </c>
      <c r="AG96" s="43">
        <f t="shared" si="105"/>
        <v>17003.819650000001</v>
      </c>
      <c r="AH96" s="43">
        <f t="shared" si="105"/>
        <v>34007.639300000003</v>
      </c>
      <c r="AI96" s="3"/>
      <c r="AJ96" s="43">
        <f t="shared" si="109"/>
        <v>0</v>
      </c>
      <c r="AK96" s="43">
        <f t="shared" si="110"/>
        <v>0</v>
      </c>
      <c r="AL96" s="43">
        <f t="shared" si="111"/>
        <v>0</v>
      </c>
      <c r="AM96" s="43">
        <f t="shared" si="112"/>
        <v>215948.50955500003</v>
      </c>
      <c r="AN96" s="43">
        <f t="shared" si="113"/>
        <v>423276.08254745003</v>
      </c>
      <c r="AO96" s="3"/>
      <c r="AP96" s="43">
        <f t="shared" si="114"/>
        <v>0</v>
      </c>
      <c r="AQ96" s="43">
        <f t="shared" si="115"/>
        <v>0</v>
      </c>
      <c r="AR96" s="43">
        <f t="shared" si="116"/>
        <v>0</v>
      </c>
      <c r="AS96" s="43">
        <f t="shared" si="117"/>
        <v>9986343.2804450002</v>
      </c>
      <c r="AT96" s="43">
        <f t="shared" si="118"/>
        <v>9563067.1978975497</v>
      </c>
      <c r="AU96" s="3"/>
      <c r="AV96" s="47">
        <f t="shared" si="119"/>
        <v>0</v>
      </c>
      <c r="AW96" s="47">
        <f t="shared" si="120"/>
        <v>0</v>
      </c>
      <c r="AX96" s="47">
        <f t="shared" si="121"/>
        <v>0</v>
      </c>
      <c r="AY96" s="47">
        <f t="shared" si="122"/>
        <v>0</v>
      </c>
      <c r="AZ96" s="47">
        <f t="shared" si="123"/>
        <v>0</v>
      </c>
      <c r="BA96" s="43">
        <f t="shared" si="124"/>
        <v>595429.55421191</v>
      </c>
      <c r="BB96" s="43">
        <f t="shared" si="125"/>
        <v>786672.63606755692</v>
      </c>
      <c r="BC96" s="3"/>
      <c r="BD96" s="43">
        <f t="shared" si="7"/>
        <v>0</v>
      </c>
      <c r="BE96" s="43">
        <f t="shared" si="8"/>
        <v>0</v>
      </c>
      <c r="BF96" s="43">
        <f t="shared" si="9"/>
        <v>0</v>
      </c>
      <c r="BG96" s="43">
        <f t="shared" si="10"/>
        <v>0</v>
      </c>
      <c r="BH96" s="43">
        <f t="shared" si="11"/>
        <v>0</v>
      </c>
      <c r="BI96" s="43">
        <f t="shared" si="12"/>
        <v>51011.458950000007</v>
      </c>
      <c r="BJ96" s="43">
        <f t="shared" si="13"/>
        <v>105476.18962507922</v>
      </c>
      <c r="BK96" s="3"/>
      <c r="BL96" s="43">
        <f t="shared" si="126"/>
        <v>0</v>
      </c>
      <c r="BM96" s="43">
        <f t="shared" si="127"/>
        <v>0</v>
      </c>
      <c r="BN96" s="43">
        <f t="shared" si="128"/>
        <v>0</v>
      </c>
      <c r="BO96" s="43">
        <f t="shared" si="129"/>
        <v>0</v>
      </c>
      <c r="BP96" s="43">
        <f t="shared" si="130"/>
        <v>0</v>
      </c>
      <c r="BQ96" s="43">
        <f t="shared" si="131"/>
        <v>646441.01316191</v>
      </c>
      <c r="BR96" s="43">
        <f t="shared" si="132"/>
        <v>892148.82569263619</v>
      </c>
      <c r="BS96" s="3"/>
      <c r="BT96" s="10"/>
      <c r="BU96" s="10"/>
      <c r="BV96" s="51">
        <f t="shared" si="15"/>
        <v>0</v>
      </c>
      <c r="BW96" s="51">
        <f t="shared" si="16"/>
        <v>0</v>
      </c>
      <c r="BX96" s="51">
        <f t="shared" si="17"/>
        <v>0</v>
      </c>
      <c r="BY96" s="51">
        <f t="shared" si="18"/>
        <v>0</v>
      </c>
      <c r="BZ96" s="51">
        <f t="shared" si="19"/>
        <v>0</v>
      </c>
      <c r="CA96" s="337">
        <f t="shared" si="20"/>
        <v>1633748.3650931474</v>
      </c>
    </row>
    <row r="97" spans="1:79" s="227" customFormat="1">
      <c r="A97" s="3"/>
      <c r="B97" s="37">
        <f>'11. Investeringen (WUI+ombouw)'!B57</f>
        <v>38</v>
      </c>
      <c r="C97" s="226"/>
      <c r="D97" s="226"/>
      <c r="E97" s="226"/>
      <c r="F97" s="42">
        <f>'11. Investeringen (WUI+ombouw)'!C57</f>
        <v>35645972.702093259</v>
      </c>
      <c r="G97" s="48"/>
      <c r="H97" s="37">
        <f>'11. Investeringen (WUI+ombouw)'!D57</f>
        <v>2025</v>
      </c>
      <c r="I97" s="37" t="str">
        <f>'11. Investeringen (WUI+ombouw)'!E57</f>
        <v>21 Hoofdtransportleiding</v>
      </c>
      <c r="J97" s="37" t="str">
        <f>'11. Investeringen (WUI+ombouw)'!F57</f>
        <v>VVI</v>
      </c>
      <c r="K97" s="37" t="str">
        <f>'11. Investeringen (WUI+ombouw)'!G57</f>
        <v>Ja</v>
      </c>
      <c r="L97" s="38">
        <f t="shared" si="106"/>
        <v>2027</v>
      </c>
      <c r="M97" s="38">
        <f>_xlfn.XLOOKUP(I97,'3. Input (des)investeringen '!$B$11:$B$89,'3. Input (des)investeringen '!$D$11:$D$89,0)</f>
        <v>55</v>
      </c>
      <c r="N97" s="3"/>
      <c r="O97" s="43">
        <f t="shared" si="0"/>
        <v>0</v>
      </c>
      <c r="P97" s="43">
        <f t="shared" si="1"/>
        <v>0</v>
      </c>
      <c r="Q97" s="3"/>
      <c r="R97" s="43">
        <f t="shared" si="103"/>
        <v>0</v>
      </c>
      <c r="S97" s="43">
        <f t="shared" si="2"/>
        <v>0</v>
      </c>
      <c r="T97" s="3"/>
      <c r="U97" s="43">
        <f t="shared" si="107"/>
        <v>35645972.702093259</v>
      </c>
      <c r="V97" s="38">
        <f t="shared" si="108"/>
        <v>55</v>
      </c>
      <c r="W97" s="3"/>
      <c r="X97" s="43">
        <f t="shared" si="104"/>
        <v>0</v>
      </c>
      <c r="Y97" s="43">
        <f t="shared" si="104"/>
        <v>0</v>
      </c>
      <c r="Z97" s="43">
        <f t="shared" si="104"/>
        <v>0</v>
      </c>
      <c r="AA97" s="43">
        <f t="shared" si="104"/>
        <v>379143.52783135552</v>
      </c>
      <c r="AB97" s="43">
        <f t="shared" si="104"/>
        <v>749325.48136851552</v>
      </c>
      <c r="AC97" s="3"/>
      <c r="AD97" s="43">
        <f t="shared" si="105"/>
        <v>0</v>
      </c>
      <c r="AE97" s="43">
        <f t="shared" si="105"/>
        <v>0</v>
      </c>
      <c r="AF97" s="43">
        <f t="shared" si="105"/>
        <v>0</v>
      </c>
      <c r="AG97" s="43">
        <f t="shared" si="105"/>
        <v>32405.429729175692</v>
      </c>
      <c r="AH97" s="43">
        <f t="shared" si="105"/>
        <v>64810.859458351384</v>
      </c>
      <c r="AI97" s="3"/>
      <c r="AJ97" s="43">
        <f t="shared" si="109"/>
        <v>0</v>
      </c>
      <c r="AK97" s="43">
        <f t="shared" si="110"/>
        <v>0</v>
      </c>
      <c r="AL97" s="43">
        <f t="shared" si="111"/>
        <v>0</v>
      </c>
      <c r="AM97" s="43">
        <f t="shared" si="112"/>
        <v>411548.95756053121</v>
      </c>
      <c r="AN97" s="43">
        <f t="shared" si="113"/>
        <v>814136.34082686692</v>
      </c>
      <c r="AO97" s="3"/>
      <c r="AP97" s="43">
        <f t="shared" si="114"/>
        <v>0</v>
      </c>
      <c r="AQ97" s="43">
        <f t="shared" si="115"/>
        <v>0</v>
      </c>
      <c r="AR97" s="43">
        <f t="shared" si="116"/>
        <v>0</v>
      </c>
      <c r="AS97" s="43">
        <f t="shared" si="117"/>
        <v>35234423.744532727</v>
      </c>
      <c r="AT97" s="43">
        <f t="shared" si="118"/>
        <v>34420287.403705858</v>
      </c>
      <c r="AU97" s="3"/>
      <c r="AV97" s="47">
        <f t="shared" si="119"/>
        <v>0</v>
      </c>
      <c r="AW97" s="47">
        <f t="shared" si="120"/>
        <v>0</v>
      </c>
      <c r="AX97" s="47">
        <f t="shared" si="121"/>
        <v>0</v>
      </c>
      <c r="AY97" s="47">
        <f t="shared" si="122"/>
        <v>0</v>
      </c>
      <c r="AZ97" s="47">
        <f t="shared" si="123"/>
        <v>0</v>
      </c>
      <c r="BA97" s="43">
        <f t="shared" si="124"/>
        <v>1750457.0598527747</v>
      </c>
      <c r="BB97" s="43">
        <f t="shared" si="125"/>
        <v>2122107.2621676894</v>
      </c>
      <c r="BC97" s="3"/>
      <c r="BD97" s="43">
        <f t="shared" si="7"/>
        <v>0</v>
      </c>
      <c r="BE97" s="43">
        <f t="shared" si="8"/>
        <v>0</v>
      </c>
      <c r="BF97" s="43">
        <f t="shared" si="9"/>
        <v>0</v>
      </c>
      <c r="BG97" s="43">
        <f t="shared" si="10"/>
        <v>0</v>
      </c>
      <c r="BH97" s="43">
        <f t="shared" si="11"/>
        <v>0</v>
      </c>
      <c r="BI97" s="43">
        <f t="shared" si="12"/>
        <v>178229.8635104663</v>
      </c>
      <c r="BJ97" s="43">
        <f t="shared" si="13"/>
        <v>368525.1758611371</v>
      </c>
      <c r="BK97" s="3"/>
      <c r="BL97" s="43">
        <f t="shared" si="126"/>
        <v>0</v>
      </c>
      <c r="BM97" s="43">
        <f t="shared" si="127"/>
        <v>0</v>
      </c>
      <c r="BN97" s="43">
        <f t="shared" si="128"/>
        <v>0</v>
      </c>
      <c r="BO97" s="43">
        <f t="shared" si="129"/>
        <v>0</v>
      </c>
      <c r="BP97" s="43">
        <f t="shared" si="130"/>
        <v>0</v>
      </c>
      <c r="BQ97" s="43">
        <f t="shared" si="131"/>
        <v>1928686.9233632409</v>
      </c>
      <c r="BR97" s="43">
        <f t="shared" si="132"/>
        <v>2490632.4380288264</v>
      </c>
      <c r="BS97" s="3"/>
      <c r="BT97" s="10"/>
      <c r="BU97" s="10"/>
      <c r="BV97" s="51">
        <f t="shared" si="15"/>
        <v>0</v>
      </c>
      <c r="BW97" s="51">
        <f t="shared" si="16"/>
        <v>0</v>
      </c>
      <c r="BX97" s="51">
        <f t="shared" si="17"/>
        <v>0</v>
      </c>
      <c r="BY97" s="51">
        <f t="shared" si="18"/>
        <v>0</v>
      </c>
      <c r="BZ97" s="51">
        <f t="shared" si="19"/>
        <v>0</v>
      </c>
      <c r="CA97" s="337">
        <f t="shared" si="20"/>
        <v>4696383.855862638</v>
      </c>
    </row>
    <row r="98" spans="1:79" s="227" customFormat="1">
      <c r="A98" s="3"/>
      <c r="B98" s="37">
        <f>'11. Investeringen (WUI+ombouw)'!B58</f>
        <v>39</v>
      </c>
      <c r="C98" s="226"/>
      <c r="D98" s="226"/>
      <c r="E98" s="226"/>
      <c r="F98" s="42">
        <f>'11. Investeringen (WUI+ombouw)'!C58</f>
        <v>11474792.139726024</v>
      </c>
      <c r="G98" s="48"/>
      <c r="H98" s="37">
        <f>'11. Investeringen (WUI+ombouw)'!D58</f>
        <v>2025</v>
      </c>
      <c r="I98" s="37" t="str">
        <f>'11. Investeringen (WUI+ombouw)'!E58</f>
        <v>01 Regionale leidingen</v>
      </c>
      <c r="J98" s="37" t="str">
        <f>'11. Investeringen (WUI+ombouw)'!F58</f>
        <v>VVI</v>
      </c>
      <c r="K98" s="37" t="str">
        <f>'11. Investeringen (WUI+ombouw)'!G58</f>
        <v>Ja</v>
      </c>
      <c r="L98" s="38">
        <f t="shared" si="106"/>
        <v>2027</v>
      </c>
      <c r="M98" s="38">
        <f>_xlfn.XLOOKUP(I98,'3. Input (des)investeringen '!$B$11:$B$89,'3. Input (des)investeringen '!$D$11:$D$89,0)</f>
        <v>55</v>
      </c>
      <c r="N98" s="3"/>
      <c r="O98" s="43">
        <f t="shared" si="0"/>
        <v>0</v>
      </c>
      <c r="P98" s="43">
        <f t="shared" si="1"/>
        <v>0</v>
      </c>
      <c r="Q98" s="3"/>
      <c r="R98" s="43">
        <f t="shared" si="103"/>
        <v>0</v>
      </c>
      <c r="S98" s="43">
        <f t="shared" si="2"/>
        <v>0</v>
      </c>
      <c r="T98" s="3"/>
      <c r="U98" s="43">
        <f t="shared" si="107"/>
        <v>11474792.139726024</v>
      </c>
      <c r="V98" s="38">
        <f t="shared" si="108"/>
        <v>55</v>
      </c>
      <c r="W98" s="3"/>
      <c r="X98" s="43">
        <f t="shared" si="104"/>
        <v>0</v>
      </c>
      <c r="Y98" s="43">
        <f t="shared" si="104"/>
        <v>0</v>
      </c>
      <c r="Z98" s="43">
        <f t="shared" si="104"/>
        <v>0</v>
      </c>
      <c r="AA98" s="43">
        <f t="shared" si="104"/>
        <v>122050.06184981317</v>
      </c>
      <c r="AB98" s="43">
        <f t="shared" si="104"/>
        <v>241215.30405590346</v>
      </c>
      <c r="AC98" s="3"/>
      <c r="AD98" s="43">
        <f t="shared" si="105"/>
        <v>0</v>
      </c>
      <c r="AE98" s="43">
        <f t="shared" si="105"/>
        <v>0</v>
      </c>
      <c r="AF98" s="43">
        <f t="shared" si="105"/>
        <v>0</v>
      </c>
      <c r="AG98" s="43">
        <f t="shared" si="105"/>
        <v>10431.62921793275</v>
      </c>
      <c r="AH98" s="43">
        <f t="shared" si="105"/>
        <v>20863.2584358655</v>
      </c>
      <c r="AI98" s="3"/>
      <c r="AJ98" s="43">
        <f t="shared" si="109"/>
        <v>0</v>
      </c>
      <c r="AK98" s="43">
        <f t="shared" si="110"/>
        <v>0</v>
      </c>
      <c r="AL98" s="43">
        <f t="shared" si="111"/>
        <v>0</v>
      </c>
      <c r="AM98" s="43">
        <f t="shared" si="112"/>
        <v>132481.69106774591</v>
      </c>
      <c r="AN98" s="43">
        <f t="shared" si="113"/>
        <v>262078.56249176897</v>
      </c>
      <c r="AO98" s="3"/>
      <c r="AP98" s="43">
        <f t="shared" si="114"/>
        <v>0</v>
      </c>
      <c r="AQ98" s="43">
        <f t="shared" si="115"/>
        <v>0</v>
      </c>
      <c r="AR98" s="43">
        <f t="shared" si="116"/>
        <v>0</v>
      </c>
      <c r="AS98" s="43">
        <f t="shared" si="117"/>
        <v>11342310.448658278</v>
      </c>
      <c r="AT98" s="43">
        <f t="shared" si="118"/>
        <v>11080231.886166509</v>
      </c>
      <c r="AU98" s="3"/>
      <c r="AV98" s="47">
        <f t="shared" si="119"/>
        <v>0</v>
      </c>
      <c r="AW98" s="47">
        <f t="shared" si="120"/>
        <v>0</v>
      </c>
      <c r="AX98" s="47">
        <f t="shared" si="121"/>
        <v>0</v>
      </c>
      <c r="AY98" s="47">
        <f t="shared" si="122"/>
        <v>0</v>
      </c>
      <c r="AZ98" s="47">
        <f t="shared" si="123"/>
        <v>0</v>
      </c>
      <c r="BA98" s="43">
        <f t="shared" si="124"/>
        <v>563489.48811676051</v>
      </c>
      <c r="BB98" s="43">
        <f t="shared" si="125"/>
        <v>683127.37416609633</v>
      </c>
      <c r="BC98" s="3"/>
      <c r="BD98" s="43">
        <f t="shared" si="7"/>
        <v>0</v>
      </c>
      <c r="BE98" s="43">
        <f t="shared" si="8"/>
        <v>0</v>
      </c>
      <c r="BF98" s="43">
        <f t="shared" si="9"/>
        <v>0</v>
      </c>
      <c r="BG98" s="43">
        <f t="shared" si="10"/>
        <v>0</v>
      </c>
      <c r="BH98" s="43">
        <f t="shared" si="11"/>
        <v>0</v>
      </c>
      <c r="BI98" s="43">
        <f t="shared" si="12"/>
        <v>57373.960698630122</v>
      </c>
      <c r="BJ98" s="43">
        <f t="shared" si="13"/>
        <v>118631.90904071472</v>
      </c>
      <c r="BK98" s="3"/>
      <c r="BL98" s="43">
        <f t="shared" si="126"/>
        <v>0</v>
      </c>
      <c r="BM98" s="43">
        <f t="shared" si="127"/>
        <v>0</v>
      </c>
      <c r="BN98" s="43">
        <f t="shared" si="128"/>
        <v>0</v>
      </c>
      <c r="BO98" s="43">
        <f t="shared" si="129"/>
        <v>0</v>
      </c>
      <c r="BP98" s="43">
        <f t="shared" si="130"/>
        <v>0</v>
      </c>
      <c r="BQ98" s="43">
        <f t="shared" si="131"/>
        <v>620863.44881539058</v>
      </c>
      <c r="BR98" s="43">
        <f t="shared" si="132"/>
        <v>801759.28320681106</v>
      </c>
      <c r="BS98" s="3"/>
      <c r="BT98" s="10"/>
      <c r="BU98" s="10"/>
      <c r="BV98" s="51">
        <f t="shared" si="15"/>
        <v>0</v>
      </c>
      <c r="BW98" s="51">
        <f t="shared" si="16"/>
        <v>0</v>
      </c>
      <c r="BX98" s="51">
        <f t="shared" si="17"/>
        <v>0</v>
      </c>
      <c r="BY98" s="51">
        <f t="shared" si="18"/>
        <v>0</v>
      </c>
      <c r="BZ98" s="51">
        <f t="shared" si="19"/>
        <v>0</v>
      </c>
      <c r="CA98" s="337">
        <f t="shared" si="20"/>
        <v>1511812.5406414901</v>
      </c>
    </row>
    <row r="99" spans="1:79">
      <c r="C99" s="48"/>
      <c r="E99" s="48"/>
      <c r="G99" s="48"/>
    </row>
    <row r="100" spans="1:79" s="33" customFormat="1">
      <c r="A100" s="97"/>
      <c r="B100" s="33" t="s">
        <v>925</v>
      </c>
    </row>
    <row r="101" spans="1:79" s="34" customFormat="1">
      <c r="A101" s="98"/>
      <c r="B101" s="34" t="s">
        <v>162</v>
      </c>
      <c r="D101" s="34" t="s">
        <v>204</v>
      </c>
      <c r="J101" s="100">
        <v>2022</v>
      </c>
      <c r="K101" s="100">
        <v>2023</v>
      </c>
      <c r="L101" s="100">
        <v>2024</v>
      </c>
      <c r="M101" s="100">
        <v>2025</v>
      </c>
      <c r="N101" s="100">
        <v>2026</v>
      </c>
      <c r="O101" s="100">
        <v>2027</v>
      </c>
    </row>
    <row r="103" spans="1:79">
      <c r="B103" s="3" t="s">
        <v>926</v>
      </c>
      <c r="D103" s="3" t="s">
        <v>482</v>
      </c>
      <c r="J103" s="47">
        <f t="shared" ref="J103:M103" si="133">SUMIF($J60:$J90,"WUI",BV60:BV90)</f>
        <v>0</v>
      </c>
      <c r="K103" s="47">
        <f t="shared" si="133"/>
        <v>0</v>
      </c>
      <c r="L103" s="47">
        <f t="shared" si="133"/>
        <v>0</v>
      </c>
      <c r="M103" s="47">
        <f t="shared" si="133"/>
        <v>53053730.542234212</v>
      </c>
      <c r="N103" s="47">
        <f>SUMIF($J60:$J90,"WUI",BZ60:BZ90)</f>
        <v>141713845.03448284</v>
      </c>
      <c r="O103" s="95">
        <f>SUMIF($J60:$J98,"WUI",CA60:CA98)</f>
        <v>1624598.3649830471</v>
      </c>
      <c r="R103" s="5"/>
    </row>
    <row r="104" spans="1:79">
      <c r="B104" s="3" t="s">
        <v>507</v>
      </c>
      <c r="D104" s="3" t="s">
        <v>482</v>
      </c>
      <c r="J104" s="47">
        <f t="shared" ref="J104:M104" si="134">SUMIF($K60:$K90,"Ja",BV60:BV90)</f>
        <v>120621.36223131276</v>
      </c>
      <c r="K104" s="47">
        <f t="shared" si="134"/>
        <v>45451.20410793968</v>
      </c>
      <c r="L104" s="47">
        <f t="shared" si="134"/>
        <v>2567791.5582221649</v>
      </c>
      <c r="M104" s="47">
        <f t="shared" si="134"/>
        <v>2407837.6116711642</v>
      </c>
      <c r="N104" s="47">
        <f>SUMIF($K60:$K90,"Ja",BZ60:BZ90)</f>
        <v>9785566.4517509788</v>
      </c>
      <c r="O104" s="95">
        <f>SUMIF($K60:$K98,"Ja",CA60:CA98)</f>
        <v>7856409.9903304772</v>
      </c>
      <c r="R104" s="5"/>
    </row>
    <row r="106" spans="1:79">
      <c r="M106" s="88"/>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BC5A-CDFC-4445-B9A5-B5948BFEA139}">
  <sheetPr>
    <tabColor rgb="FFFFFFCC"/>
  </sheetPr>
  <dimension ref="A2:BD362"/>
  <sheetViews>
    <sheetView showGridLines="0" zoomScale="85" zoomScaleNormal="85" workbookViewId="0">
      <pane xSplit="4" ySplit="13" topLeftCell="E15" activePane="bottomRight" state="frozen"/>
      <selection pane="bottomRight"/>
      <selection pane="bottomLeft" activeCell="A14" sqref="A14"/>
      <selection pane="topRight" activeCell="E1" sqref="E1"/>
    </sheetView>
  </sheetViews>
  <sheetFormatPr defaultColWidth="13.5703125" defaultRowHeight="12.75"/>
  <cols>
    <col min="1" max="1" width="2.5703125" style="3" customWidth="1"/>
    <col min="2" max="2" width="56.28515625" style="3" customWidth="1"/>
    <col min="3" max="3" width="2.5703125" style="3" customWidth="1"/>
    <col min="4" max="4" width="47.5703125" style="3" customWidth="1"/>
    <col min="5" max="5" width="2.5703125" style="3" customWidth="1"/>
    <col min="6" max="6" width="15.5703125" style="3" customWidth="1"/>
    <col min="7" max="7" width="2.5703125" style="3" customWidth="1"/>
    <col min="8" max="8" width="20" style="3" bestFit="1" customWidth="1"/>
    <col min="9" max="9" width="39" style="3" customWidth="1"/>
    <col min="10" max="10" width="20.28515625" style="3" bestFit="1" customWidth="1"/>
    <col min="11" max="11" width="27.28515625" style="3" bestFit="1" customWidth="1"/>
    <col min="12" max="14" width="15.5703125" style="3" customWidth="1"/>
    <col min="15" max="15" width="12" style="3" customWidth="1"/>
    <col min="16" max="16" width="15.5703125" style="3" customWidth="1"/>
    <col min="17" max="17" width="18" style="3" bestFit="1" customWidth="1"/>
    <col min="18" max="18" width="18.28515625" style="3" customWidth="1"/>
    <col min="19" max="19" width="29.5703125" style="3" customWidth="1"/>
    <col min="20" max="20" width="40" style="3" bestFit="1" customWidth="1"/>
    <col min="21" max="21" width="2.5703125" style="3" customWidth="1"/>
    <col min="22" max="22" width="25" style="3" bestFit="1" customWidth="1"/>
    <col min="23" max="26" width="15.5703125" style="3" customWidth="1"/>
    <col min="27" max="27" width="2.5703125" style="3" customWidth="1"/>
    <col min="28" max="28" width="25" style="3" bestFit="1" customWidth="1"/>
    <col min="29" max="32" width="15.5703125" style="3" customWidth="1"/>
    <col min="33" max="33" width="2.5703125" style="3" customWidth="1"/>
    <col min="34" max="34" width="25" style="3" bestFit="1" customWidth="1"/>
    <col min="35" max="38" width="15.5703125" style="3" customWidth="1"/>
    <col min="39" max="39" width="2.5703125" style="3" customWidth="1"/>
    <col min="40" max="40" width="22.28515625" style="3" bestFit="1" customWidth="1"/>
    <col min="41" max="44" width="15.5703125" style="3" customWidth="1"/>
    <col min="45" max="45" width="2.5703125" style="3" customWidth="1"/>
    <col min="46" max="50" width="15.5703125" style="3" customWidth="1"/>
    <col min="51" max="51" width="2.5703125" style="3" customWidth="1"/>
    <col min="52" max="57" width="13.5703125" style="3"/>
    <col min="58" max="58" width="2.5703125" style="3" customWidth="1"/>
    <col min="59" max="65" width="13.5703125" style="3"/>
    <col min="66" max="66" width="2.5703125" style="3" customWidth="1"/>
    <col min="67" max="73" width="13.5703125" style="3"/>
    <col min="74" max="74" width="2.5703125" style="3" customWidth="1"/>
    <col min="75" max="81" width="13.5703125" style="3"/>
    <col min="82" max="82" width="15.5703125" style="3" customWidth="1"/>
    <col min="83" max="16384" width="13.5703125" style="3"/>
  </cols>
  <sheetData>
    <row r="2" spans="1:39" s="12" customFormat="1" ht="18">
      <c r="B2" s="12" t="s">
        <v>927</v>
      </c>
    </row>
    <row r="4" spans="1:39">
      <c r="B4" s="16" t="s">
        <v>893</v>
      </c>
    </row>
    <row r="5" spans="1:39" ht="39.75" customHeight="1">
      <c r="B5" s="359" t="s">
        <v>928</v>
      </c>
      <c r="C5" s="359"/>
      <c r="D5" s="359"/>
      <c r="F5" s="13"/>
    </row>
    <row r="6" spans="1:39">
      <c r="B6" s="1"/>
      <c r="C6" s="1"/>
      <c r="D6" s="1"/>
      <c r="F6" s="13"/>
    </row>
    <row r="7" spans="1:39">
      <c r="B7" s="367" t="s">
        <v>895</v>
      </c>
      <c r="C7" s="369"/>
      <c r="D7" s="369"/>
      <c r="F7" s="13"/>
    </row>
    <row r="8" spans="1:39" ht="51.75" customHeight="1">
      <c r="B8" s="359" t="s">
        <v>929</v>
      </c>
      <c r="C8" s="359"/>
      <c r="D8" s="359"/>
      <c r="F8" s="13"/>
    </row>
    <row r="9" spans="1:39" ht="14.25" customHeight="1"/>
    <row r="10" spans="1:39" s="8" customFormat="1">
      <c r="B10" s="8" t="s">
        <v>162</v>
      </c>
      <c r="H10" s="53"/>
      <c r="I10" s="46"/>
      <c r="J10" s="53"/>
      <c r="K10" s="46"/>
      <c r="L10" s="53"/>
      <c r="M10" s="46"/>
      <c r="N10" s="46"/>
      <c r="O10" s="46"/>
      <c r="P10" s="46"/>
      <c r="Q10" s="46"/>
      <c r="R10" s="46"/>
      <c r="U10" s="46"/>
      <c r="AA10" s="46"/>
      <c r="AG10" s="46"/>
      <c r="AM10" s="46"/>
    </row>
    <row r="12" spans="1:39" s="33" customFormat="1">
      <c r="A12" s="97"/>
      <c r="B12" s="33" t="s">
        <v>897</v>
      </c>
    </row>
    <row r="13" spans="1:39" s="34" customFormat="1">
      <c r="A13" s="98"/>
      <c r="B13" s="34" t="s">
        <v>162</v>
      </c>
      <c r="D13" s="34" t="s">
        <v>204</v>
      </c>
      <c r="F13" s="34" t="s">
        <v>205</v>
      </c>
      <c r="H13" s="99">
        <v>2020</v>
      </c>
      <c r="I13" s="100">
        <v>2021</v>
      </c>
      <c r="J13" s="100">
        <v>2022</v>
      </c>
      <c r="K13" s="100">
        <v>2023</v>
      </c>
      <c r="L13" s="100">
        <v>2024</v>
      </c>
      <c r="M13" s="100">
        <v>2025</v>
      </c>
      <c r="N13" s="100">
        <v>2026</v>
      </c>
      <c r="O13" s="100">
        <v>2027</v>
      </c>
    </row>
    <row r="14" spans="1:39" s="101" customFormat="1">
      <c r="H14" s="102"/>
      <c r="I14" s="103"/>
      <c r="J14" s="102"/>
      <c r="K14" s="103"/>
      <c r="L14" s="102"/>
      <c r="M14" s="103"/>
      <c r="N14" s="103"/>
      <c r="Q14" s="103"/>
      <c r="S14" s="103"/>
      <c r="T14" s="103"/>
      <c r="V14" s="103"/>
      <c r="W14" s="103"/>
      <c r="AB14" s="103"/>
      <c r="AC14" s="103"/>
      <c r="AH14" s="103"/>
      <c r="AI14" s="103"/>
    </row>
    <row r="15" spans="1:39">
      <c r="B15" s="16" t="s">
        <v>211</v>
      </c>
    </row>
    <row r="16" spans="1:39">
      <c r="B16" s="145" t="s">
        <v>898</v>
      </c>
      <c r="D16" s="3" t="s">
        <v>214</v>
      </c>
      <c r="H16" s="10"/>
      <c r="I16" s="10"/>
      <c r="J16" s="150">
        <f>'2. Parameters'!M19</f>
        <v>3.4000000000000002E-2</v>
      </c>
      <c r="K16" s="150">
        <f>'2. Parameters'!N19</f>
        <v>3.3000000000000002E-2</v>
      </c>
      <c r="L16" s="150">
        <f>'2. Parameters'!O19</f>
        <v>3.7999999999999999E-2</v>
      </c>
      <c r="M16" s="150">
        <f>'2. Parameters'!P19</f>
        <v>3.7999999999999999E-2</v>
      </c>
      <c r="N16" s="150">
        <f>'2. Parameters'!Q19</f>
        <v>3.7999999999999999E-2</v>
      </c>
      <c r="O16" s="10"/>
    </row>
    <row r="18" spans="2:15">
      <c r="B18" s="16" t="s">
        <v>223</v>
      </c>
    </row>
    <row r="19" spans="2:15">
      <c r="B19" s="3" t="s">
        <v>223</v>
      </c>
      <c r="D19" s="3" t="s">
        <v>214</v>
      </c>
      <c r="F19" s="77">
        <f>'2. Parameters'!F27</f>
        <v>0.01</v>
      </c>
    </row>
    <row r="20" spans="2:15" s="89" customFormat="1">
      <c r="F20" s="105"/>
    </row>
    <row r="21" spans="2:15" s="89" customFormat="1">
      <c r="B21" s="106" t="s">
        <v>249</v>
      </c>
      <c r="F21" s="105"/>
    </row>
    <row r="22" spans="2:15">
      <c r="B22" s="3" t="s">
        <v>249</v>
      </c>
      <c r="F22" s="107">
        <f>'2. Parameters'!F83</f>
        <v>1.3</v>
      </c>
    </row>
    <row r="24" spans="2:15">
      <c r="B24" s="2" t="s">
        <v>248</v>
      </c>
    </row>
    <row r="25" spans="2:15">
      <c r="B25" s="3" t="s">
        <v>248</v>
      </c>
      <c r="D25" s="3" t="s">
        <v>214</v>
      </c>
      <c r="F25" s="148">
        <f>'2. Parameters'!F79</f>
        <v>1</v>
      </c>
    </row>
    <row r="27" spans="2:15">
      <c r="B27" s="2" t="s">
        <v>250</v>
      </c>
    </row>
    <row r="28" spans="2:15">
      <c r="B28" s="3" t="s">
        <v>250</v>
      </c>
      <c r="D28" s="3" t="s">
        <v>214</v>
      </c>
      <c r="F28" s="78">
        <f>'2. Parameters'!F87</f>
        <v>0.1</v>
      </c>
    </row>
    <row r="30" spans="2:15">
      <c r="B30" s="16" t="s">
        <v>243</v>
      </c>
    </row>
    <row r="31" spans="2:15">
      <c r="B31" s="28" t="s">
        <v>231</v>
      </c>
      <c r="D31" s="3" t="s">
        <v>899</v>
      </c>
      <c r="H31" s="32">
        <f>'2. Parameters'!K69</f>
        <v>1</v>
      </c>
      <c r="I31" s="32">
        <f>'2. Parameters'!L69</f>
        <v>1.02</v>
      </c>
      <c r="J31" s="32">
        <f>'2. Parameters'!M69</f>
        <v>1.0404</v>
      </c>
      <c r="K31" s="32">
        <f>'2. Parameters'!N69</f>
        <v>1.0612079999999999</v>
      </c>
      <c r="L31" s="32">
        <f>'2. Parameters'!O69</f>
        <v>1.10365632</v>
      </c>
      <c r="M31" s="32">
        <f>'2. Parameters'!P69</f>
        <v>1.1809122624000001</v>
      </c>
      <c r="N31" s="32">
        <f>'2. Parameters'!Q69</f>
        <v>1.2399578755200003</v>
      </c>
      <c r="O31" s="32">
        <f>'2. Parameters'!R69</f>
        <v>1.2895561905408004</v>
      </c>
    </row>
    <row r="32" spans="2:15">
      <c r="B32" s="28" t="s">
        <v>232</v>
      </c>
      <c r="D32" s="3" t="s">
        <v>899</v>
      </c>
      <c r="H32" s="10"/>
      <c r="I32" s="32">
        <f>'2. Parameters'!L70</f>
        <v>1</v>
      </c>
      <c r="J32" s="32">
        <f>'2. Parameters'!M70</f>
        <v>1.02</v>
      </c>
      <c r="K32" s="32">
        <f>'2. Parameters'!N70</f>
        <v>1.0404</v>
      </c>
      <c r="L32" s="32">
        <f>'2. Parameters'!O70</f>
        <v>1.0820160000000001</v>
      </c>
      <c r="M32" s="32">
        <f>'2. Parameters'!P70</f>
        <v>1.1577571200000001</v>
      </c>
      <c r="N32" s="32">
        <f>'2. Parameters'!Q70</f>
        <v>1.2156449760000001</v>
      </c>
      <c r="O32" s="32">
        <f>'2. Parameters'!R70</f>
        <v>1.2642707750400002</v>
      </c>
    </row>
    <row r="33" spans="2:15">
      <c r="B33" s="28" t="s">
        <v>233</v>
      </c>
      <c r="D33" s="3" t="s">
        <v>899</v>
      </c>
      <c r="H33" s="10"/>
      <c r="I33" s="10"/>
      <c r="J33" s="32">
        <f>'2. Parameters'!M71</f>
        <v>1</v>
      </c>
      <c r="K33" s="32">
        <f>'2. Parameters'!N71</f>
        <v>1.02</v>
      </c>
      <c r="L33" s="32">
        <f>'2. Parameters'!O71</f>
        <v>1.0608</v>
      </c>
      <c r="M33" s="32">
        <f>'2. Parameters'!P71</f>
        <v>1.1350560000000001</v>
      </c>
      <c r="N33" s="32">
        <f>'2. Parameters'!Q71</f>
        <v>1.1918088000000002</v>
      </c>
      <c r="O33" s="32">
        <f>'2. Parameters'!R71</f>
        <v>1.2394811520000002</v>
      </c>
    </row>
    <row r="34" spans="2:15">
      <c r="B34" s="28" t="s">
        <v>234</v>
      </c>
      <c r="D34" s="3" t="s">
        <v>899</v>
      </c>
      <c r="H34" s="10"/>
      <c r="I34" s="10"/>
      <c r="J34" s="10"/>
      <c r="K34" s="32">
        <f>'2. Parameters'!N72</f>
        <v>1</v>
      </c>
      <c r="L34" s="32">
        <f>'2. Parameters'!O72</f>
        <v>1.04</v>
      </c>
      <c r="M34" s="32">
        <f>'2. Parameters'!P72</f>
        <v>1.1128</v>
      </c>
      <c r="N34" s="32">
        <f>'2. Parameters'!Q72</f>
        <v>1.1684400000000001</v>
      </c>
      <c r="O34" s="32">
        <f>'2. Parameters'!R72</f>
        <v>1.2151776000000003</v>
      </c>
    </row>
    <row r="35" spans="2:15">
      <c r="B35" s="28" t="s">
        <v>235</v>
      </c>
      <c r="D35" s="3" t="s">
        <v>899</v>
      </c>
      <c r="H35" s="10"/>
      <c r="I35" s="10"/>
      <c r="J35" s="10"/>
      <c r="K35" s="10"/>
      <c r="L35" s="32">
        <f>'2. Parameters'!O73</f>
        <v>1</v>
      </c>
      <c r="M35" s="32">
        <f>'2. Parameters'!P73</f>
        <v>1.07</v>
      </c>
      <c r="N35" s="32">
        <f>'2. Parameters'!Q73</f>
        <v>1.1235000000000002</v>
      </c>
      <c r="O35" s="32">
        <f>'2. Parameters'!R73</f>
        <v>1.1684400000000001</v>
      </c>
    </row>
    <row r="36" spans="2:15">
      <c r="B36" s="28" t="s">
        <v>236</v>
      </c>
      <c r="D36" s="3" t="s">
        <v>899</v>
      </c>
      <c r="H36" s="10"/>
      <c r="I36" s="10"/>
      <c r="J36" s="10"/>
      <c r="K36" s="10"/>
      <c r="L36" s="10"/>
      <c r="M36" s="32">
        <f>'2. Parameters'!P74</f>
        <v>1</v>
      </c>
      <c r="N36" s="32">
        <f>'2. Parameters'!Q74</f>
        <v>1.05</v>
      </c>
      <c r="O36" s="32">
        <f>'2. Parameters'!R74</f>
        <v>1.0920000000000001</v>
      </c>
    </row>
    <row r="37" spans="2:15">
      <c r="B37" s="28" t="s">
        <v>237</v>
      </c>
      <c r="D37" s="3" t="s">
        <v>899</v>
      </c>
      <c r="H37" s="10"/>
      <c r="I37" s="10"/>
      <c r="J37" s="10"/>
      <c r="K37" s="10"/>
      <c r="L37" s="10"/>
      <c r="M37" s="10"/>
      <c r="N37" s="32">
        <f>'2. Parameters'!Q75</f>
        <v>1</v>
      </c>
      <c r="O37" s="32">
        <f>'2. Parameters'!R75</f>
        <v>1.04</v>
      </c>
    </row>
    <row r="39" spans="2:15">
      <c r="B39" s="2" t="s">
        <v>224</v>
      </c>
    </row>
    <row r="40" spans="2:15">
      <c r="B40" s="3" t="s">
        <v>900</v>
      </c>
      <c r="D40" s="3" t="s">
        <v>228</v>
      </c>
      <c r="H40" s="32">
        <f>'2. Parameters'!K38</f>
        <v>1</v>
      </c>
      <c r="I40" s="32">
        <f>'2. Parameters'!L38</f>
        <v>1.016</v>
      </c>
      <c r="J40" s="32">
        <f>'2. Parameters'!M38</f>
        <v>1.0342880000000001</v>
      </c>
      <c r="K40" s="32">
        <f>'2. Parameters'!N38</f>
        <v>1.0984138560000001</v>
      </c>
      <c r="L40" s="32">
        <f>'2. Parameters'!O38</f>
        <v>1.1862869644800003</v>
      </c>
      <c r="M40" s="32">
        <f>'2. Parameters'!P38</f>
        <v>1.2195029994854403</v>
      </c>
      <c r="N40" s="32">
        <f>'2. Parameters'!Q38</f>
        <v>1.2658441134658871</v>
      </c>
      <c r="O40" s="10"/>
    </row>
    <row r="41" spans="2:15">
      <c r="B41" s="3" t="s">
        <v>901</v>
      </c>
      <c r="D41" s="3" t="s">
        <v>228</v>
      </c>
      <c r="H41" s="10"/>
      <c r="I41" s="32">
        <f>'2. Parameters'!L39</f>
        <v>1</v>
      </c>
      <c r="J41" s="32">
        <f>'2. Parameters'!M39</f>
        <v>1.018</v>
      </c>
      <c r="K41" s="32">
        <f>'2. Parameters'!N39</f>
        <v>1.081116</v>
      </c>
      <c r="L41" s="32">
        <f>'2. Parameters'!O39</f>
        <v>1.1676052800000001</v>
      </c>
      <c r="M41" s="32">
        <f>'2. Parameters'!P39</f>
        <v>1.2002982278400001</v>
      </c>
      <c r="N41" s="32">
        <f>'2. Parameters'!Q39</f>
        <v>1.24590956049792</v>
      </c>
      <c r="O41" s="10"/>
    </row>
    <row r="42" spans="2:15">
      <c r="B42" s="3" t="s">
        <v>902</v>
      </c>
      <c r="D42" s="3" t="s">
        <v>228</v>
      </c>
      <c r="H42" s="10"/>
      <c r="I42" s="10"/>
      <c r="J42" s="32">
        <f>'2. Parameters'!M40</f>
        <v>1</v>
      </c>
      <c r="K42" s="32">
        <f>'2. Parameters'!N40</f>
        <v>1.0620000000000001</v>
      </c>
      <c r="L42" s="32">
        <f>'2. Parameters'!O40</f>
        <v>1.1469600000000002</v>
      </c>
      <c r="M42" s="32">
        <f>'2. Parameters'!P40</f>
        <v>1.1790748800000002</v>
      </c>
      <c r="N42" s="32">
        <f>'2. Parameters'!Q40</f>
        <v>1.2238797254400002</v>
      </c>
      <c r="O42" s="10"/>
    </row>
    <row r="43" spans="2:15">
      <c r="B43" s="3" t="s">
        <v>903</v>
      </c>
      <c r="D43" s="3" t="s">
        <v>228</v>
      </c>
      <c r="H43" s="10"/>
      <c r="I43" s="10"/>
      <c r="J43" s="10"/>
      <c r="K43" s="32">
        <f>'2. Parameters'!N41</f>
        <v>1</v>
      </c>
      <c r="L43" s="32">
        <f>'2. Parameters'!O41</f>
        <v>1.08</v>
      </c>
      <c r="M43" s="32">
        <f>'2. Parameters'!P41</f>
        <v>1.1102400000000001</v>
      </c>
      <c r="N43" s="32">
        <f>'2. Parameters'!Q41</f>
        <v>1.1524291200000001</v>
      </c>
      <c r="O43" s="10"/>
    </row>
    <row r="44" spans="2:15">
      <c r="B44" s="3" t="s">
        <v>904</v>
      </c>
      <c r="D44" s="3" t="s">
        <v>228</v>
      </c>
      <c r="H44" s="10"/>
      <c r="I44" s="10"/>
      <c r="J44" s="10"/>
      <c r="K44" s="10"/>
      <c r="L44" s="32">
        <f>'2. Parameters'!O42</f>
        <v>1</v>
      </c>
      <c r="M44" s="32">
        <f>'2. Parameters'!P42</f>
        <v>1.028</v>
      </c>
      <c r="N44" s="32">
        <f>'2. Parameters'!Q42</f>
        <v>1.067064</v>
      </c>
      <c r="O44" s="10"/>
    </row>
    <row r="45" spans="2:15">
      <c r="B45" s="3" t="s">
        <v>905</v>
      </c>
      <c r="D45" s="3" t="s">
        <v>228</v>
      </c>
      <c r="H45" s="10"/>
      <c r="I45" s="10"/>
      <c r="J45" s="10"/>
      <c r="K45" s="10"/>
      <c r="L45" s="10"/>
      <c r="M45" s="32">
        <f>'2. Parameters'!P43</f>
        <v>1</v>
      </c>
      <c r="N45" s="32">
        <f>'2. Parameters'!Q43</f>
        <v>1.038</v>
      </c>
      <c r="O45" s="10"/>
    </row>
    <row r="46" spans="2:15">
      <c r="B46" s="3" t="s">
        <v>906</v>
      </c>
      <c r="D46" s="3" t="s">
        <v>228</v>
      </c>
      <c r="H46" s="10"/>
      <c r="I46" s="10"/>
      <c r="J46" s="10"/>
      <c r="K46" s="10"/>
      <c r="L46" s="10"/>
      <c r="M46" s="10"/>
      <c r="N46" s="32">
        <f>'2. Parameters'!Q44</f>
        <v>1</v>
      </c>
      <c r="O46" s="10"/>
    </row>
    <row r="47" spans="2:15" ht="13.5" customHeight="1"/>
    <row r="48" spans="2:15">
      <c r="B48" s="2" t="s">
        <v>238</v>
      </c>
    </row>
    <row r="49" spans="2:56">
      <c r="B49" s="28" t="s">
        <v>231</v>
      </c>
      <c r="D49" s="3" t="s">
        <v>242</v>
      </c>
      <c r="H49" s="32">
        <f>'2. Parameters'!K55</f>
        <v>1</v>
      </c>
      <c r="I49" s="32">
        <f>'2. Parameters'!L55</f>
        <v>0.999</v>
      </c>
      <c r="J49" s="32">
        <f>'2. Parameters'!M55</f>
        <v>0.995004</v>
      </c>
      <c r="K49" s="32">
        <f>'2. Parameters'!N55</f>
        <v>0.99102398400000002</v>
      </c>
      <c r="L49" s="32">
        <f>'2. Parameters'!O55</f>
        <v>0.98705988806400002</v>
      </c>
      <c r="M49" s="32">
        <f>'2. Parameters'!P55</f>
        <v>0.98311164851174404</v>
      </c>
      <c r="N49" s="32">
        <f>'2. Parameters'!Q55</f>
        <v>0.97917920191769703</v>
      </c>
      <c r="O49" s="10"/>
    </row>
    <row r="50" spans="2:56">
      <c r="B50" s="28" t="s">
        <v>232</v>
      </c>
      <c r="D50" s="3" t="s">
        <v>242</v>
      </c>
      <c r="H50" s="10"/>
      <c r="I50" s="32">
        <f>'2. Parameters'!L56</f>
        <v>1</v>
      </c>
      <c r="J50" s="32">
        <f>'2. Parameters'!M56</f>
        <v>0.996</v>
      </c>
      <c r="K50" s="32">
        <f>'2. Parameters'!N56</f>
        <v>0.99201600000000001</v>
      </c>
      <c r="L50" s="32">
        <f>'2. Parameters'!O56</f>
        <v>0.98804793599999996</v>
      </c>
      <c r="M50" s="32">
        <f>'2. Parameters'!P56</f>
        <v>0.98409574425599999</v>
      </c>
      <c r="N50" s="32">
        <f>'2. Parameters'!Q56</f>
        <v>0.98015936127897596</v>
      </c>
      <c r="O50" s="10"/>
    </row>
    <row r="51" spans="2:56">
      <c r="B51" s="28" t="s">
        <v>233</v>
      </c>
      <c r="D51" s="3" t="s">
        <v>242</v>
      </c>
      <c r="H51" s="10"/>
      <c r="I51" s="10"/>
      <c r="J51" s="32">
        <f>'2. Parameters'!M57</f>
        <v>1</v>
      </c>
      <c r="K51" s="32">
        <f>'2. Parameters'!N57</f>
        <v>0.996</v>
      </c>
      <c r="L51" s="32">
        <f>'2. Parameters'!O57</f>
        <v>0.99201600000000001</v>
      </c>
      <c r="M51" s="32">
        <f>'2. Parameters'!P57</f>
        <v>0.98804793599999996</v>
      </c>
      <c r="N51" s="32">
        <f>'2. Parameters'!Q57</f>
        <v>0.98409574425599999</v>
      </c>
      <c r="O51" s="10"/>
    </row>
    <row r="52" spans="2:56">
      <c r="B52" s="28" t="s">
        <v>234</v>
      </c>
      <c r="D52" s="3" t="s">
        <v>242</v>
      </c>
      <c r="H52" s="10"/>
      <c r="I52" s="10"/>
      <c r="J52" s="10"/>
      <c r="K52" s="32">
        <f>'2. Parameters'!N58</f>
        <v>1</v>
      </c>
      <c r="L52" s="32">
        <f>'2. Parameters'!O58</f>
        <v>0.996</v>
      </c>
      <c r="M52" s="32">
        <f>'2. Parameters'!P58</f>
        <v>0.99201600000000001</v>
      </c>
      <c r="N52" s="32">
        <f>'2. Parameters'!Q58</f>
        <v>0.98804793599999996</v>
      </c>
      <c r="O52" s="10"/>
    </row>
    <row r="53" spans="2:56">
      <c r="B53" s="28" t="s">
        <v>235</v>
      </c>
      <c r="D53" s="3" t="s">
        <v>242</v>
      </c>
      <c r="H53" s="10"/>
      <c r="I53" s="10"/>
      <c r="J53" s="10"/>
      <c r="K53" s="10"/>
      <c r="L53" s="32">
        <f>'2. Parameters'!O59</f>
        <v>1</v>
      </c>
      <c r="M53" s="32">
        <f>'2. Parameters'!P59</f>
        <v>0.996</v>
      </c>
      <c r="N53" s="32">
        <f>'2. Parameters'!Q59</f>
        <v>0.99201600000000001</v>
      </c>
      <c r="O53" s="10"/>
    </row>
    <row r="54" spans="2:56">
      <c r="B54" s="28" t="s">
        <v>236</v>
      </c>
      <c r="D54" s="3" t="s">
        <v>242</v>
      </c>
      <c r="H54" s="10"/>
      <c r="I54" s="10"/>
      <c r="J54" s="10"/>
      <c r="K54" s="10"/>
      <c r="L54" s="10"/>
      <c r="M54" s="32">
        <f>'2. Parameters'!P60</f>
        <v>1</v>
      </c>
      <c r="N54" s="32">
        <f>'2. Parameters'!Q60</f>
        <v>0.996</v>
      </c>
      <c r="O54" s="10"/>
    </row>
    <row r="55" spans="2:56">
      <c r="B55" s="28" t="s">
        <v>237</v>
      </c>
      <c r="D55" s="3" t="s">
        <v>242</v>
      </c>
      <c r="H55" s="10"/>
      <c r="I55" s="10"/>
      <c r="J55" s="10"/>
      <c r="K55" s="10"/>
      <c r="L55" s="10"/>
      <c r="M55" s="10"/>
      <c r="N55" s="32">
        <f>'2. Parameters'!Q61</f>
        <v>1</v>
      </c>
      <c r="O55" s="10"/>
    </row>
    <row r="56" spans="2:56" ht="13.5" customHeight="1"/>
    <row r="57" spans="2:56" s="33" customFormat="1">
      <c r="B57" s="33" t="s">
        <v>930</v>
      </c>
    </row>
    <row r="58" spans="2:56" s="36" customFormat="1">
      <c r="M58" s="36" t="s">
        <v>908</v>
      </c>
      <c r="P58" s="36" t="s">
        <v>909</v>
      </c>
      <c r="S58" s="36" t="s">
        <v>910</v>
      </c>
      <c r="V58" s="36" t="s">
        <v>911</v>
      </c>
      <c r="AB58" s="36" t="s">
        <v>912</v>
      </c>
      <c r="AH58" s="36" t="s">
        <v>913</v>
      </c>
      <c r="AN58" s="36" t="s">
        <v>914</v>
      </c>
      <c r="AT58" s="36" t="s">
        <v>931</v>
      </c>
      <c r="AZ58" s="36" t="s">
        <v>932</v>
      </c>
    </row>
    <row r="59" spans="2:56" s="39" customFormat="1">
      <c r="B59" s="39" t="s">
        <v>388</v>
      </c>
      <c r="F59" s="39" t="s">
        <v>389</v>
      </c>
      <c r="H59" s="40" t="s">
        <v>390</v>
      </c>
      <c r="I59" s="39" t="s">
        <v>302</v>
      </c>
      <c r="J59" s="40" t="s">
        <v>303</v>
      </c>
      <c r="K59" s="41" t="s">
        <v>391</v>
      </c>
      <c r="M59" s="45">
        <v>2020</v>
      </c>
      <c r="N59" s="45">
        <v>2021</v>
      </c>
      <c r="P59" s="45">
        <v>2020</v>
      </c>
      <c r="Q59" s="45">
        <v>2021</v>
      </c>
      <c r="S59" s="39" t="s">
        <v>923</v>
      </c>
      <c r="T59" s="39" t="s">
        <v>924</v>
      </c>
      <c r="V59" s="45">
        <v>2022</v>
      </c>
      <c r="W59" s="45">
        <v>2023</v>
      </c>
      <c r="X59" s="45">
        <v>2024</v>
      </c>
      <c r="Y59" s="45">
        <v>2025</v>
      </c>
      <c r="Z59" s="45">
        <v>2026</v>
      </c>
      <c r="AB59" s="45">
        <v>2022</v>
      </c>
      <c r="AC59" s="45">
        <v>2023</v>
      </c>
      <c r="AD59" s="45">
        <v>2024</v>
      </c>
      <c r="AE59" s="45">
        <v>2025</v>
      </c>
      <c r="AF59" s="45">
        <v>2026</v>
      </c>
      <c r="AH59" s="45">
        <v>2022</v>
      </c>
      <c r="AI59" s="45">
        <v>2023</v>
      </c>
      <c r="AJ59" s="45">
        <v>2024</v>
      </c>
      <c r="AK59" s="45">
        <v>2025</v>
      </c>
      <c r="AL59" s="45">
        <v>2026</v>
      </c>
      <c r="AN59" s="45">
        <v>2022</v>
      </c>
      <c r="AO59" s="45">
        <v>2023</v>
      </c>
      <c r="AP59" s="45">
        <v>2024</v>
      </c>
      <c r="AQ59" s="45">
        <v>2025</v>
      </c>
      <c r="AR59" s="45">
        <v>2026</v>
      </c>
      <c r="AT59" s="45">
        <v>2022</v>
      </c>
      <c r="AU59" s="45">
        <v>2023</v>
      </c>
      <c r="AV59" s="45">
        <v>2024</v>
      </c>
      <c r="AW59" s="45">
        <v>2025</v>
      </c>
      <c r="AX59" s="45">
        <v>2026</v>
      </c>
      <c r="AZ59" s="45">
        <v>2022</v>
      </c>
      <c r="BA59" s="45">
        <v>2023</v>
      </c>
      <c r="BB59" s="45">
        <v>2024</v>
      </c>
      <c r="BC59" s="45">
        <v>2025</v>
      </c>
      <c r="BD59" s="45">
        <v>2026</v>
      </c>
    </row>
    <row r="60" spans="2:56" s="48" customFormat="1">
      <c r="H60" s="49"/>
      <c r="I60" s="49"/>
      <c r="J60" s="50"/>
    </row>
    <row r="61" spans="2:56">
      <c r="B61" s="37">
        <f>'3. Input (des)investeringen '!B94</f>
        <v>1529</v>
      </c>
      <c r="C61" s="48"/>
      <c r="D61" s="48"/>
      <c r="E61" s="48"/>
      <c r="F61" s="42">
        <f>'3. Input (des)investeringen '!D94</f>
        <v>0</v>
      </c>
      <c r="G61" s="48"/>
      <c r="H61" s="37">
        <f>'3. Input (des)investeringen '!F94</f>
        <v>2020</v>
      </c>
      <c r="I61" s="42" t="str">
        <f>'3. Input (des)investeringen '!G94</f>
        <v>nvt</v>
      </c>
      <c r="J61" s="42">
        <f>'3. Input (des)investeringen '!H94</f>
        <v>0</v>
      </c>
      <c r="K61" s="42">
        <f>'3. Input (des)investeringen '!I94</f>
        <v>1</v>
      </c>
      <c r="M61" s="43">
        <f t="shared" ref="M61:M92" si="0">IF($J61=0, 0, IF($H61&lt;=M$59,
VDB($F61,0,$J61,MAX(0,M$59-$H61-0.5),MIN($J61,M$59-$H61+0.5),1)*INDEX(H$40:H$46,$H61-2019,1),
0))</f>
        <v>0</v>
      </c>
      <c r="N61" s="43">
        <f t="shared" ref="N61:N92" si="1">IF($J61=0, 0, IF($H61&lt;=N$59,
VDB($F61,0,$J61,MAX(0,N$59-$H61-0.5),MIN($J61,N$59-$H61+0.5),1)*INDEX(I$40:I$46,$H61-2019,1),
0))</f>
        <v>0</v>
      </c>
      <c r="P61" s="137">
        <f>IF($J61=0,IF($H61=M$59,$F61,0),IF(OR($H61&gt;P$59,$H61+$J61&lt;=P$59),0,
F61-M61))</f>
        <v>0</v>
      </c>
      <c r="Q61" s="137">
        <f t="shared" ref="Q61:Q92" si="2">IF($J61=0,IF($H61=N$59,$F61,$P61*I$40),IF(OR($H61&gt;Q$59,$H61+$J61&lt;=Q$59),0,
IF($H61=Q$59,F61-N61,P61*I$40-N61)))</f>
        <v>0</v>
      </c>
      <c r="S61" s="43">
        <f>IF($P61=0, IF(H61&lt;=2021, $Q61, IF(H61&gt;=2022, $F61,0)), IF(H61&lt;=2021,Q61,F61))</f>
        <v>0</v>
      </c>
      <c r="T61" s="38">
        <f>IF($J61=0, 0, IF(H61&lt;2022,J61-2021+H61-0.5,J61))</f>
        <v>0</v>
      </c>
      <c r="V61" s="43">
        <f t="shared" ref="V61:Z70" si="3">IF($J61=0, 0, IF(OR($H61&gt;V$59,$H61+$J61&lt;V$59),0,
IF(OR($H61=2020,$H61=2021),VDB($S61*(1-$F$28),0,$T61,V$59-2022,MIN($T61,V$59-2021),$F$22,FALSE),
VDB($S61*(1-$F$28),0,$T61,MAX(0,V$59-$H61-0.5),MIN($T61,V$59-$H61+0.5),$F$22,FALSE))))</f>
        <v>0</v>
      </c>
      <c r="W61" s="43">
        <f t="shared" si="3"/>
        <v>0</v>
      </c>
      <c r="X61" s="43">
        <f t="shared" si="3"/>
        <v>0</v>
      </c>
      <c r="Y61" s="43">
        <f t="shared" si="3"/>
        <v>0</v>
      </c>
      <c r="Z61" s="43">
        <f t="shared" si="3"/>
        <v>0</v>
      </c>
      <c r="AB61" s="43">
        <f t="shared" ref="AB61:AF70" si="4">IF($J61=0, 0, IF(OR($H61&gt;AB$59,$H61+$J61&lt;AB$59),0,
IF(OR($H61=2020,$H61=2021),VDB($S61*$F$28,0,$T61,AB$59-2022,MIN($T61,AB$59-2021),1),
VDB($S61*$F$28,0,$T61,MAX(0,AB$59-$H61-0.5),MIN($T61,AB$59-$H61+0.5),1))))</f>
        <v>0</v>
      </c>
      <c r="AC61" s="43">
        <f t="shared" si="4"/>
        <v>0</v>
      </c>
      <c r="AD61" s="43">
        <f t="shared" si="4"/>
        <v>0</v>
      </c>
      <c r="AE61" s="43">
        <f t="shared" si="4"/>
        <v>0</v>
      </c>
      <c r="AF61" s="43">
        <f t="shared" si="4"/>
        <v>0</v>
      </c>
      <c r="AH61" s="43">
        <f t="shared" ref="AH61:AL61" si="5">V61+AB61</f>
        <v>0</v>
      </c>
      <c r="AI61" s="43">
        <f t="shared" si="5"/>
        <v>0</v>
      </c>
      <c r="AJ61" s="43">
        <f t="shared" si="5"/>
        <v>0</v>
      </c>
      <c r="AK61" s="43">
        <f t="shared" si="5"/>
        <v>0</v>
      </c>
      <c r="AL61" s="43">
        <f t="shared" si="5"/>
        <v>0</v>
      </c>
      <c r="AN61" s="43">
        <f>IF($J61=0, IF($H61&gt;AN$59,0, $S61), IF(OR($H61&gt;AN$59,$H61+$J61&lt;=AN$59),0,
IF($H61=AN$59,$S61-AH61,
S61-AH61)))</f>
        <v>0</v>
      </c>
      <c r="AO61" s="43">
        <f>IF($J61=0, IF($H61 &gt; AO$59, 0, IF($H61=AO$59, $F61, AN61)), IF(OR($H61&gt;AO$59,$H61+$J61&lt;=AO$59),0,
IF($H61=AO$59,$S61-AI61,
AN61-AI61)))</f>
        <v>0</v>
      </c>
      <c r="AP61" s="43">
        <f t="shared" ref="AP61" si="6">IF($J61=0, IF($H61 &gt; AP$59, 0, IF($H61=AP$59, $F61, AO61)), IF(OR($H61&gt;AP$59,$H61+$J61&lt;=AP$59),0,
IF($H61=AP$59,$S61-AJ61,
AO61-AJ61)))</f>
        <v>0</v>
      </c>
      <c r="AQ61" s="43">
        <f t="shared" ref="AQ61" si="7">IF($J61=0, IF($H61 &gt; AQ$59, 0, IF($H61=AQ$59, $F61, AP61)), IF(OR($H61&gt;AQ$59,$H61+$J61&lt;=AQ$59),0,
IF($H61=AQ$59,$S61-AK61,
AP61-AK61)))</f>
        <v>0</v>
      </c>
      <c r="AR61" s="43">
        <f>IF($J61=0, IF($H61 &gt; AR$59, 0, IF($H61=AR$59, $F61, AQ61)), IF(OR($H61&gt;AR$59,$H61+$J61&lt;=AR$59),0,
IF($H61=AR$59,$S61-AL61,
AQ61-AL61)))</f>
        <v>0</v>
      </c>
      <c r="AT61" s="43">
        <f t="shared" ref="AT61:AX70" si="8">IF($H61&lt;=AT$59,$F61*INDEX($H$40:$N$46,$H61-2019,AT$59-2019)*INDEX($H$49:$N$55,$H61-2019,AT$59-2019)*$F$19,0)</f>
        <v>0</v>
      </c>
      <c r="AU61" s="43">
        <f t="shared" si="8"/>
        <v>0</v>
      </c>
      <c r="AV61" s="43">
        <f t="shared" si="8"/>
        <v>0</v>
      </c>
      <c r="AW61" s="43">
        <f t="shared" si="8"/>
        <v>0</v>
      </c>
      <c r="AX61" s="43">
        <f t="shared" si="8"/>
        <v>0</v>
      </c>
      <c r="AZ61" s="47">
        <f>(AH61+AN61*J$16+AT61)*IF($K61=1,$F$25,1)</f>
        <v>0</v>
      </c>
      <c r="BA61" s="47">
        <f>(AI61+AO61*K$16+AU61)*IF($K61=1,$F$25,1)</f>
        <v>0</v>
      </c>
      <c r="BB61" s="47">
        <f t="shared" ref="BB61:BD61" si="9">(AJ61+AP61*L$16+AV61)*IF($K61=1,$F$25,1)</f>
        <v>0</v>
      </c>
      <c r="BC61" s="47">
        <f t="shared" si="9"/>
        <v>0</v>
      </c>
      <c r="BD61" s="47">
        <f t="shared" si="9"/>
        <v>0</v>
      </c>
    </row>
    <row r="62" spans="2:56">
      <c r="B62" s="37">
        <f>'3. Input (des)investeringen '!B95</f>
        <v>1530</v>
      </c>
      <c r="C62" s="48"/>
      <c r="D62" s="48"/>
      <c r="E62" s="48"/>
      <c r="F62" s="42">
        <f>'3. Input (des)investeringen '!D95</f>
        <v>16428371.587765666</v>
      </c>
      <c r="G62" s="48"/>
      <c r="H62" s="37">
        <f>'3. Input (des)investeringen '!F95</f>
        <v>2020</v>
      </c>
      <c r="I62" s="42" t="str">
        <f>'3. Input (des)investeringen '!G95</f>
        <v>nvt</v>
      </c>
      <c r="J62" s="42">
        <f>'3. Input (des)investeringen '!H95</f>
        <v>5</v>
      </c>
      <c r="K62" s="42">
        <f>'3. Input (des)investeringen '!I95</f>
        <v>1</v>
      </c>
      <c r="M62" s="43">
        <f t="shared" si="0"/>
        <v>1642837.1587765666</v>
      </c>
      <c r="N62" s="43">
        <f t="shared" si="1"/>
        <v>3338245.1066339836</v>
      </c>
      <c r="P62" s="137">
        <f>IF($J62=0,IF($H62=M$59,$F62,0),IF(OR($H62&gt;P$59,$H62+$J62&lt;=P$59),0,
F62-M62))</f>
        <v>14785534.428989099</v>
      </c>
      <c r="Q62" s="137">
        <f t="shared" si="2"/>
        <v>11683857.873218942</v>
      </c>
      <c r="S62" s="43">
        <f t="shared" ref="S62:S125" si="10">IF($P62=0, IF(H62&lt;=2021, $Q62, IF(H62&gt;=2022, $F62,0)), IF(H62&lt;=2021,Q62,F62))</f>
        <v>11683857.873218942</v>
      </c>
      <c r="T62" s="38">
        <f t="shared" ref="T62:T125" si="11">IF($J62=0, 0, IF(H62&lt;2022,J62-2021+H62-0.5,J62))</f>
        <v>3.5</v>
      </c>
      <c r="V62" s="43">
        <f t="shared" si="3"/>
        <v>3905746.7747617611</v>
      </c>
      <c r="W62" s="43">
        <f t="shared" si="3"/>
        <v>2643890.1244541155</v>
      </c>
      <c r="X62" s="43">
        <f t="shared" si="3"/>
        <v>2643890.1244541155</v>
      </c>
      <c r="Y62" s="43">
        <f t="shared" si="3"/>
        <v>1321945.0622270578</v>
      </c>
      <c r="Z62" s="43">
        <f t="shared" si="3"/>
        <v>0</v>
      </c>
      <c r="AB62" s="43">
        <f t="shared" si="4"/>
        <v>333824.51066339837</v>
      </c>
      <c r="AC62" s="43">
        <f t="shared" si="4"/>
        <v>333824.51066339837</v>
      </c>
      <c r="AD62" s="43">
        <f t="shared" si="4"/>
        <v>333824.51066339837</v>
      </c>
      <c r="AE62" s="43">
        <f t="shared" si="4"/>
        <v>166912.25533169918</v>
      </c>
      <c r="AF62" s="43">
        <f t="shared" si="4"/>
        <v>0</v>
      </c>
      <c r="AH62" s="43">
        <f t="shared" ref="AH62:AH125" si="12">V62+AB62</f>
        <v>4239571.2854251591</v>
      </c>
      <c r="AI62" s="43">
        <f t="shared" ref="AI62:AI125" si="13">W62+AC62</f>
        <v>2977714.6351175141</v>
      </c>
      <c r="AJ62" s="43">
        <f t="shared" ref="AJ62:AJ125" si="14">X62+AD62</f>
        <v>2977714.6351175141</v>
      </c>
      <c r="AK62" s="43">
        <f t="shared" ref="AK62:AK125" si="15">Y62+AE62</f>
        <v>1488857.317558757</v>
      </c>
      <c r="AL62" s="43">
        <f t="shared" ref="AL62:AL125" si="16">Z62+AF62</f>
        <v>0</v>
      </c>
      <c r="AN62" s="43">
        <f t="shared" ref="AN62:AN125" si="17">IF($J62=0, IF($H62&gt;AN$59,0, $S62), IF(OR($H62&gt;AN$59,$H62+$J62&lt;=AN$59),0,
IF($H62=AN$59,$S62-AH62,
S62-AH62)))</f>
        <v>7444286.5877937833</v>
      </c>
      <c r="AO62" s="43">
        <f t="shared" ref="AO62:AO125" si="18">IF($J62=0, IF($H62 &gt; AO$59, 0, IF($H62=AO$59, $F62, AN62)), IF(OR($H62&gt;AO$59,$H62+$J62&lt;=AO$59),0,
IF($H62=AO$59,$S62-AI62,
AN62-AI62)))</f>
        <v>4466571.9526762692</v>
      </c>
      <c r="AP62" s="43">
        <f t="shared" ref="AP62:AP125" si="19">IF($J62=0, IF($H62 &gt; AP$59, 0, IF($H62=AP$59, $F62, AO62)), IF(OR($H62&gt;AP$59,$H62+$J62&lt;=AP$59),0,
IF($H62=AP$59,$S62-AJ62,
AO62-AJ62)))</f>
        <v>1488857.3175587552</v>
      </c>
      <c r="AQ62" s="43">
        <f t="shared" ref="AQ62:AQ125" si="20">IF($J62=0, IF($H62 &gt; AQ$59, 0, IF($H62=AQ$59, $F62, AP62)), IF(OR($H62&gt;AQ$59,$H62+$J62&lt;=AQ$59),0,
IF($H62=AQ$59,$S62-AK62,
AP62-AK62)))</f>
        <v>0</v>
      </c>
      <c r="AR62" s="43">
        <f t="shared" ref="AR62:AR125" si="21">IF($J62=0, IF($H62 &gt; AR$59, 0, IF($H62=AR$59, $F62, AQ62)), IF(OR($H62&gt;AR$59,$H62+$J62&lt;=AR$59),0,
IF($H62=AR$59,$S62-AL62,
AQ62-AL62)))</f>
        <v>0</v>
      </c>
      <c r="AT62" s="43">
        <f t="shared" si="8"/>
        <v>169067.77221473516</v>
      </c>
      <c r="AU62" s="43">
        <f t="shared" si="8"/>
        <v>178831.77419568051</v>
      </c>
      <c r="AV62" s="43">
        <f t="shared" si="8"/>
        <v>192365.76286680964</v>
      </c>
      <c r="AW62" s="43">
        <f t="shared" si="8"/>
        <v>196960.99621017199</v>
      </c>
      <c r="AX62" s="43">
        <f t="shared" si="8"/>
        <v>203627.73200989389</v>
      </c>
      <c r="AZ62" s="47">
        <f t="shared" ref="AZ62:AZ125" si="22">(AH62+AN62*J$16+AT62)*IF($K62=1,$F$25,1)</f>
        <v>4661744.801624883</v>
      </c>
      <c r="BA62" s="47">
        <f t="shared" ref="BA62:BA125" si="23">(AI62+AO62*K$16+AU62)*IF($K62=1,$F$25,1)</f>
        <v>3303943.2837515115</v>
      </c>
      <c r="BB62" s="47">
        <f t="shared" ref="BB62:BB125" si="24">(AJ62+AP62*L$16+AV62)*IF($K62=1,$F$25,1)</f>
        <v>3226656.9760515564</v>
      </c>
      <c r="BC62" s="47">
        <f t="shared" ref="BC62:BC125" si="25">(AK62+AQ62*M$16+AW62)*IF($K62=1,$F$25,1)</f>
        <v>1685818.3137689291</v>
      </c>
      <c r="BD62" s="47">
        <f t="shared" ref="BD62:BD125" si="26">(AL62+AR62*N$16+AX62)*IF($K62=1,$F$25,1)</f>
        <v>203627.73200989389</v>
      </c>
    </row>
    <row r="63" spans="2:56">
      <c r="B63" s="37">
        <f>'3. Input (des)investeringen '!B96</f>
        <v>1531</v>
      </c>
      <c r="C63" s="48"/>
      <c r="D63" s="48"/>
      <c r="E63" s="48"/>
      <c r="F63" s="42">
        <f>'3. Input (des)investeringen '!D96</f>
        <v>4983079.8391110003</v>
      </c>
      <c r="G63" s="48"/>
      <c r="H63" s="37">
        <f>'3. Input (des)investeringen '!F96</f>
        <v>2020</v>
      </c>
      <c r="I63" s="42" t="str">
        <f>'3. Input (des)investeringen '!G96</f>
        <v>nvt</v>
      </c>
      <c r="J63" s="42">
        <f>'3. Input (des)investeringen '!H96</f>
        <v>10</v>
      </c>
      <c r="K63" s="42">
        <f>'3. Input (des)investeringen '!I96</f>
        <v>1</v>
      </c>
      <c r="M63" s="43">
        <f t="shared" si="0"/>
        <v>249153.99195555004</v>
      </c>
      <c r="N63" s="43">
        <f t="shared" si="1"/>
        <v>506280.91165367764</v>
      </c>
      <c r="P63" s="137">
        <f t="shared" ref="P63:P125" si="27">IF($J63=0,IF($H63=M$59,$F63,0),IF(OR($H63&gt;P$59,$H63+$J63&lt;=P$59),0,
F63-M63))</f>
        <v>4733925.8471554499</v>
      </c>
      <c r="Q63" s="137">
        <f t="shared" si="2"/>
        <v>4303387.7490562592</v>
      </c>
      <c r="S63" s="43">
        <f t="shared" si="10"/>
        <v>4303387.7490562592</v>
      </c>
      <c r="T63" s="38">
        <f t="shared" si="11"/>
        <v>8.5</v>
      </c>
      <c r="V63" s="43">
        <f t="shared" si="3"/>
        <v>592348.66663480282</v>
      </c>
      <c r="W63" s="43">
        <f t="shared" si="3"/>
        <v>501754.16467889177</v>
      </c>
      <c r="X63" s="43">
        <f t="shared" si="3"/>
        <v>427530.17582106753</v>
      </c>
      <c r="Y63" s="43">
        <f t="shared" si="3"/>
        <v>427530.17582106753</v>
      </c>
      <c r="Z63" s="43">
        <f t="shared" si="3"/>
        <v>427530.17582106753</v>
      </c>
      <c r="AB63" s="43">
        <f t="shared" si="4"/>
        <v>50628.091165367761</v>
      </c>
      <c r="AC63" s="43">
        <f t="shared" si="4"/>
        <v>50628.091165367761</v>
      </c>
      <c r="AD63" s="43">
        <f t="shared" si="4"/>
        <v>50628.091165367761</v>
      </c>
      <c r="AE63" s="43">
        <f t="shared" si="4"/>
        <v>50628.091165367761</v>
      </c>
      <c r="AF63" s="43">
        <f t="shared" si="4"/>
        <v>50628.091165367761</v>
      </c>
      <c r="AH63" s="43">
        <f t="shared" si="12"/>
        <v>642976.75780017057</v>
      </c>
      <c r="AI63" s="43">
        <f t="shared" si="13"/>
        <v>552382.25584425952</v>
      </c>
      <c r="AJ63" s="43">
        <f t="shared" si="14"/>
        <v>478158.26698643528</v>
      </c>
      <c r="AK63" s="43">
        <f t="shared" si="15"/>
        <v>478158.26698643528</v>
      </c>
      <c r="AL63" s="43">
        <f t="shared" si="16"/>
        <v>478158.26698643528</v>
      </c>
      <c r="AN63" s="43">
        <f>IF($J63=0, IF($H63&gt;AN$59,0, $S63), IF(OR($H63&gt;AN$59,$H63+$J63&lt;=AN$59),0,
IF($H63=AN$59,$S63-AH63,
S63-AH63)))</f>
        <v>3660410.9912560885</v>
      </c>
      <c r="AO63" s="43">
        <f t="shared" si="18"/>
        <v>3108028.7354118288</v>
      </c>
      <c r="AP63" s="43">
        <f t="shared" si="19"/>
        <v>2629870.4684253936</v>
      </c>
      <c r="AQ63" s="43">
        <f t="shared" si="20"/>
        <v>2151712.2014389583</v>
      </c>
      <c r="AR63" s="43">
        <f t="shared" si="21"/>
        <v>1673553.934452523</v>
      </c>
      <c r="AT63" s="43">
        <f t="shared" si="8"/>
        <v>51281.905979899893</v>
      </c>
      <c r="AU63" s="43">
        <f t="shared" si="8"/>
        <v>54243.538614051067</v>
      </c>
      <c r="AV63" s="43">
        <f t="shared" si="8"/>
        <v>58348.68961636247</v>
      </c>
      <c r="AW63" s="43">
        <f t="shared" si="8"/>
        <v>59742.523113918127</v>
      </c>
      <c r="AX63" s="43">
        <f t="shared" si="8"/>
        <v>61764.688036278028</v>
      </c>
      <c r="AZ63" s="47">
        <f t="shared" si="22"/>
        <v>818712.63748277747</v>
      </c>
      <c r="BA63" s="47">
        <f t="shared" si="23"/>
        <v>709190.74272690096</v>
      </c>
      <c r="BB63" s="47">
        <f t="shared" si="24"/>
        <v>636442.03440296266</v>
      </c>
      <c r="BC63" s="47">
        <f t="shared" si="25"/>
        <v>619665.85375503381</v>
      </c>
      <c r="BD63" s="47">
        <f t="shared" si="26"/>
        <v>603518.00453190913</v>
      </c>
    </row>
    <row r="64" spans="2:56">
      <c r="B64" s="37">
        <f>'3. Input (des)investeringen '!B97</f>
        <v>1532</v>
      </c>
      <c r="C64" s="48"/>
      <c r="D64" s="48"/>
      <c r="E64" s="48"/>
      <c r="F64" s="42">
        <f>'3. Input (des)investeringen '!D97</f>
        <v>23504856.52408703</v>
      </c>
      <c r="G64" s="48"/>
      <c r="H64" s="37">
        <f>'3. Input (des)investeringen '!F97</f>
        <v>2020</v>
      </c>
      <c r="I64" s="42" t="str">
        <f>'3. Input (des)investeringen '!G97</f>
        <v>nvt</v>
      </c>
      <c r="J64" s="42">
        <f>'3. Input (des)investeringen '!H97</f>
        <v>15</v>
      </c>
      <c r="K64" s="42">
        <f>'3. Input (des)investeringen '!I97</f>
        <v>1</v>
      </c>
      <c r="M64" s="43">
        <f t="shared" si="0"/>
        <v>783495.21746956767</v>
      </c>
      <c r="N64" s="43">
        <f t="shared" si="1"/>
        <v>1592062.2818981616</v>
      </c>
      <c r="P64" s="137">
        <f t="shared" si="27"/>
        <v>22721361.306617461</v>
      </c>
      <c r="Q64" s="137">
        <f t="shared" si="2"/>
        <v>21492840.805625178</v>
      </c>
      <c r="S64" s="43">
        <f t="shared" si="10"/>
        <v>21492840.805625178</v>
      </c>
      <c r="T64" s="38">
        <f t="shared" si="11"/>
        <v>13.5</v>
      </c>
      <c r="V64" s="43">
        <f t="shared" si="3"/>
        <v>1862712.8698208488</v>
      </c>
      <c r="W64" s="43">
        <f t="shared" si="3"/>
        <v>1683340.5193936559</v>
      </c>
      <c r="X64" s="43">
        <f t="shared" si="3"/>
        <v>1521241.0619705631</v>
      </c>
      <c r="Y64" s="43">
        <f t="shared" si="3"/>
        <v>1374751.1819289534</v>
      </c>
      <c r="Z64" s="43">
        <f t="shared" si="3"/>
        <v>1358053.7991524884</v>
      </c>
      <c r="AB64" s="43">
        <f t="shared" si="4"/>
        <v>159206.22818981615</v>
      </c>
      <c r="AC64" s="43">
        <f t="shared" si="4"/>
        <v>159206.22818981615</v>
      </c>
      <c r="AD64" s="43">
        <f t="shared" si="4"/>
        <v>159206.22818981615</v>
      </c>
      <c r="AE64" s="43">
        <f t="shared" si="4"/>
        <v>159206.22818981615</v>
      </c>
      <c r="AF64" s="43">
        <f t="shared" si="4"/>
        <v>159206.22818981615</v>
      </c>
      <c r="AH64" s="43">
        <f t="shared" si="12"/>
        <v>2021919.098010665</v>
      </c>
      <c r="AI64" s="43">
        <f t="shared" si="13"/>
        <v>1842546.7475834722</v>
      </c>
      <c r="AJ64" s="43">
        <f t="shared" si="14"/>
        <v>1680447.2901603794</v>
      </c>
      <c r="AK64" s="43">
        <f t="shared" si="15"/>
        <v>1533957.4101187696</v>
      </c>
      <c r="AL64" s="43">
        <f t="shared" si="16"/>
        <v>1517260.0273423046</v>
      </c>
      <c r="AN64" s="43">
        <f t="shared" si="17"/>
        <v>19470921.707614511</v>
      </c>
      <c r="AO64" s="43">
        <f t="shared" si="18"/>
        <v>17628374.96003104</v>
      </c>
      <c r="AP64" s="43">
        <f t="shared" si="19"/>
        <v>15947927.66987066</v>
      </c>
      <c r="AQ64" s="43">
        <f t="shared" si="20"/>
        <v>14413970.25975189</v>
      </c>
      <c r="AR64" s="43">
        <f t="shared" si="21"/>
        <v>12896710.232409585</v>
      </c>
      <c r="AT64" s="43">
        <f t="shared" si="8"/>
        <v>241893.34332526184</v>
      </c>
      <c r="AU64" s="43">
        <f t="shared" si="8"/>
        <v>255863.16768898239</v>
      </c>
      <c r="AV64" s="43">
        <f t="shared" si="8"/>
        <v>275226.89221968455</v>
      </c>
      <c r="AW64" s="43">
        <f t="shared" si="8"/>
        <v>281801.51222102839</v>
      </c>
      <c r="AX64" s="43">
        <f t="shared" si="8"/>
        <v>291339.92980668577</v>
      </c>
      <c r="AZ64" s="47">
        <f t="shared" si="22"/>
        <v>2925823.7793948203</v>
      </c>
      <c r="BA64" s="47">
        <f t="shared" si="23"/>
        <v>2680146.2889534789</v>
      </c>
      <c r="BB64" s="47">
        <f t="shared" si="24"/>
        <v>2561695.4338351488</v>
      </c>
      <c r="BC64" s="47">
        <f t="shared" si="25"/>
        <v>2363489.7922103698</v>
      </c>
      <c r="BD64" s="47">
        <f t="shared" si="26"/>
        <v>2298674.9459805544</v>
      </c>
    </row>
    <row r="65" spans="2:56">
      <c r="B65" s="37">
        <f>'3. Input (des)investeringen '!B98</f>
        <v>1533</v>
      </c>
      <c r="C65" s="48"/>
      <c r="D65" s="48"/>
      <c r="E65" s="48"/>
      <c r="F65" s="42">
        <f>'3. Input (des)investeringen '!D98</f>
        <v>28868891.250722278</v>
      </c>
      <c r="G65" s="48"/>
      <c r="H65" s="37">
        <f>'3. Input (des)investeringen '!F98</f>
        <v>2020</v>
      </c>
      <c r="I65" s="42" t="str">
        <f>'3. Input (des)investeringen '!G98</f>
        <v>nvt</v>
      </c>
      <c r="J65" s="42">
        <f>'3. Input (des)investeringen '!H98</f>
        <v>30</v>
      </c>
      <c r="K65" s="42">
        <f>'3. Input (des)investeringen '!I98</f>
        <v>1</v>
      </c>
      <c r="M65" s="43">
        <f t="shared" si="0"/>
        <v>481148.18751203798</v>
      </c>
      <c r="N65" s="43">
        <f t="shared" si="1"/>
        <v>977693.11702446116</v>
      </c>
      <c r="P65" s="137">
        <f t="shared" si="27"/>
        <v>28387743.063210241</v>
      </c>
      <c r="Q65" s="137">
        <f t="shared" si="2"/>
        <v>27864253.835197143</v>
      </c>
      <c r="S65" s="43">
        <f t="shared" si="10"/>
        <v>27864253.835197143</v>
      </c>
      <c r="T65" s="38">
        <f t="shared" si="11"/>
        <v>28.5</v>
      </c>
      <c r="V65" s="43">
        <f t="shared" si="3"/>
        <v>1143900.9469186198</v>
      </c>
      <c r="W65" s="43">
        <f t="shared" si="3"/>
        <v>1091723.0089889986</v>
      </c>
      <c r="X65" s="43">
        <f t="shared" si="3"/>
        <v>1041925.1173509038</v>
      </c>
      <c r="Y65" s="43">
        <f t="shared" si="3"/>
        <v>994398.70848928369</v>
      </c>
      <c r="Z65" s="43">
        <f t="shared" si="3"/>
        <v>949040.17090907076</v>
      </c>
      <c r="AB65" s="43">
        <f t="shared" si="4"/>
        <v>97769.311702446124</v>
      </c>
      <c r="AC65" s="43">
        <f t="shared" si="4"/>
        <v>97769.311702446124</v>
      </c>
      <c r="AD65" s="43">
        <f t="shared" si="4"/>
        <v>97769.311702446124</v>
      </c>
      <c r="AE65" s="43">
        <f t="shared" si="4"/>
        <v>97769.311702446124</v>
      </c>
      <c r="AF65" s="43">
        <f t="shared" si="4"/>
        <v>97769.311702446124</v>
      </c>
      <c r="AH65" s="43">
        <f t="shared" si="12"/>
        <v>1241670.2586210659</v>
      </c>
      <c r="AI65" s="43">
        <f t="shared" si="13"/>
        <v>1189492.3206914447</v>
      </c>
      <c r="AJ65" s="43">
        <f t="shared" si="14"/>
        <v>1139694.4290533499</v>
      </c>
      <c r="AK65" s="43">
        <f t="shared" si="15"/>
        <v>1092168.0201917298</v>
      </c>
      <c r="AL65" s="43">
        <f t="shared" si="16"/>
        <v>1046809.4826115168</v>
      </c>
      <c r="AN65" s="43">
        <f t="shared" si="17"/>
        <v>26622583.576576076</v>
      </c>
      <c r="AO65" s="43">
        <f t="shared" si="18"/>
        <v>25433091.255884632</v>
      </c>
      <c r="AP65" s="43">
        <f t="shared" si="19"/>
        <v>24293396.826831281</v>
      </c>
      <c r="AQ65" s="43">
        <f t="shared" si="20"/>
        <v>23201228.806639552</v>
      </c>
      <c r="AR65" s="43">
        <f t="shared" si="21"/>
        <v>22154419.324028034</v>
      </c>
      <c r="AT65" s="43">
        <f t="shared" si="8"/>
        <v>297095.73489948589</v>
      </c>
      <c r="AU65" s="43">
        <f t="shared" si="8"/>
        <v>314253.60778140096</v>
      </c>
      <c r="AV65" s="43">
        <f t="shared" si="8"/>
        <v>338036.32081829745</v>
      </c>
      <c r="AW65" s="43">
        <f t="shared" si="8"/>
        <v>346111.33245000488</v>
      </c>
      <c r="AX65" s="43">
        <f t="shared" si="8"/>
        <v>357826.50883077271</v>
      </c>
      <c r="AZ65" s="47">
        <f t="shared" si="22"/>
        <v>2443933.8351241383</v>
      </c>
      <c r="BA65" s="47">
        <f t="shared" si="23"/>
        <v>2343037.9399170387</v>
      </c>
      <c r="BB65" s="47">
        <f t="shared" si="24"/>
        <v>2400879.8292912361</v>
      </c>
      <c r="BC65" s="47">
        <f t="shared" si="25"/>
        <v>2319926.0472940374</v>
      </c>
      <c r="BD65" s="47">
        <f t="shared" si="26"/>
        <v>2246503.9257553546</v>
      </c>
    </row>
    <row r="66" spans="2:56">
      <c r="B66" s="37">
        <f>'3. Input (des)investeringen '!B99</f>
        <v>1534</v>
      </c>
      <c r="C66" s="48"/>
      <c r="D66" s="48"/>
      <c r="E66" s="48"/>
      <c r="F66" s="42">
        <f>'3. Input (des)investeringen '!D99</f>
        <v>79913166.073822603</v>
      </c>
      <c r="G66" s="48"/>
      <c r="H66" s="37">
        <f>'3. Input (des)investeringen '!F99</f>
        <v>2020</v>
      </c>
      <c r="I66" s="42" t="str">
        <f>'3. Input (des)investeringen '!G99</f>
        <v>nvt</v>
      </c>
      <c r="J66" s="42">
        <f>'3. Input (des)investeringen '!H99</f>
        <v>55</v>
      </c>
      <c r="K66" s="42">
        <f>'3. Input (des)investeringen '!I99</f>
        <v>1</v>
      </c>
      <c r="M66" s="43">
        <f t="shared" si="0"/>
        <v>726483.32794384181</v>
      </c>
      <c r="N66" s="43">
        <f t="shared" si="1"/>
        <v>1476214.1223818865</v>
      </c>
      <c r="P66" s="137">
        <f t="shared" si="27"/>
        <v>79186682.745878756</v>
      </c>
      <c r="Q66" s="137">
        <f t="shared" si="2"/>
        <v>78977455.547430933</v>
      </c>
      <c r="S66" s="43">
        <f t="shared" si="10"/>
        <v>78977455.547430933</v>
      </c>
      <c r="T66" s="38">
        <f t="shared" si="11"/>
        <v>53.5</v>
      </c>
      <c r="V66" s="43">
        <f t="shared" si="3"/>
        <v>1727170.5231868073</v>
      </c>
      <c r="W66" s="43">
        <f t="shared" si="3"/>
        <v>1685201.893651427</v>
      </c>
      <c r="X66" s="43">
        <f t="shared" si="3"/>
        <v>1644253.0625907381</v>
      </c>
      <c r="Y66" s="43">
        <f t="shared" si="3"/>
        <v>1604299.2498548883</v>
      </c>
      <c r="Z66" s="43">
        <f t="shared" si="3"/>
        <v>1565316.277428508</v>
      </c>
      <c r="AB66" s="43">
        <f t="shared" si="4"/>
        <v>147621.41223818867</v>
      </c>
      <c r="AC66" s="43">
        <f t="shared" si="4"/>
        <v>147621.41223818867</v>
      </c>
      <c r="AD66" s="43">
        <f t="shared" si="4"/>
        <v>147621.41223818867</v>
      </c>
      <c r="AE66" s="43">
        <f t="shared" si="4"/>
        <v>147621.41223818867</v>
      </c>
      <c r="AF66" s="43">
        <f t="shared" si="4"/>
        <v>147621.41223818867</v>
      </c>
      <c r="AH66" s="43">
        <f t="shared" si="12"/>
        <v>1874791.9354249961</v>
      </c>
      <c r="AI66" s="43">
        <f t="shared" si="13"/>
        <v>1832823.3058896158</v>
      </c>
      <c r="AJ66" s="43">
        <f t="shared" si="14"/>
        <v>1791874.4748289268</v>
      </c>
      <c r="AK66" s="43">
        <f t="shared" si="15"/>
        <v>1751920.6620930769</v>
      </c>
      <c r="AL66" s="43">
        <f t="shared" si="16"/>
        <v>1712937.6896666968</v>
      </c>
      <c r="AN66" s="43">
        <f t="shared" si="17"/>
        <v>77102663.612005934</v>
      </c>
      <c r="AO66" s="43">
        <f t="shared" si="18"/>
        <v>75269840.306116313</v>
      </c>
      <c r="AP66" s="43">
        <f t="shared" si="19"/>
        <v>73477965.831287384</v>
      </c>
      <c r="AQ66" s="43">
        <f t="shared" si="20"/>
        <v>71726045.169194311</v>
      </c>
      <c r="AR66" s="43">
        <f t="shared" si="21"/>
        <v>70013107.479527608</v>
      </c>
      <c r="AT66" s="43">
        <f t="shared" si="8"/>
        <v>822402.93181515869</v>
      </c>
      <c r="AU66" s="43">
        <f t="shared" si="8"/>
        <v>869898.34593334782</v>
      </c>
      <c r="AV66" s="43">
        <f t="shared" si="8"/>
        <v>935732.25275358383</v>
      </c>
      <c r="AW66" s="43">
        <f t="shared" si="8"/>
        <v>958085.02480736142</v>
      </c>
      <c r="AX66" s="43">
        <f t="shared" si="8"/>
        <v>990514.28672704101</v>
      </c>
      <c r="AZ66" s="47">
        <f t="shared" si="22"/>
        <v>5318685.4300483568</v>
      </c>
      <c r="BA66" s="47">
        <f t="shared" si="23"/>
        <v>5186626.3819248024</v>
      </c>
      <c r="BB66" s="47">
        <f t="shared" si="24"/>
        <v>5519769.4291714309</v>
      </c>
      <c r="BC66" s="47">
        <f t="shared" si="25"/>
        <v>5435595.4033298232</v>
      </c>
      <c r="BD66" s="47">
        <f t="shared" si="26"/>
        <v>5363950.0606157873</v>
      </c>
    </row>
    <row r="67" spans="2:56">
      <c r="B67" s="37">
        <f>'3. Input (des)investeringen '!B100</f>
        <v>1535</v>
      </c>
      <c r="C67" s="48"/>
      <c r="D67" s="48"/>
      <c r="E67" s="48"/>
      <c r="F67" s="42">
        <f>'3. Input (des)investeringen '!D100</f>
        <v>-30502.390165910823</v>
      </c>
      <c r="G67" s="48"/>
      <c r="H67" s="37">
        <f>'3. Input (des)investeringen '!F100</f>
        <v>2020</v>
      </c>
      <c r="I67" s="42" t="str">
        <f>'3. Input (des)investeringen '!G100</f>
        <v>nvt</v>
      </c>
      <c r="J67" s="42">
        <f>'3. Input (des)investeringen '!H100</f>
        <v>0</v>
      </c>
      <c r="K67" s="42">
        <f>'3. Input (des)investeringen '!I100</f>
        <v>0</v>
      </c>
      <c r="M67" s="43">
        <f t="shared" si="0"/>
        <v>0</v>
      </c>
      <c r="N67" s="43">
        <f t="shared" si="1"/>
        <v>0</v>
      </c>
      <c r="P67" s="137">
        <f>IF($J67=0,IF($H67=M$59,$F67,0),IF(OR($H67&gt;P$59,$H67+$J67&lt;=P$59),0,
F67-M67))</f>
        <v>-30502.390165910823</v>
      </c>
      <c r="Q67" s="137">
        <f t="shared" si="2"/>
        <v>-30990.428408565396</v>
      </c>
      <c r="S67" s="43">
        <f t="shared" si="10"/>
        <v>-30990.428408565396</v>
      </c>
      <c r="T67" s="38">
        <f t="shared" si="11"/>
        <v>0</v>
      </c>
      <c r="V67" s="43">
        <f t="shared" si="3"/>
        <v>0</v>
      </c>
      <c r="W67" s="43">
        <f t="shared" si="3"/>
        <v>0</v>
      </c>
      <c r="X67" s="43">
        <f t="shared" si="3"/>
        <v>0</v>
      </c>
      <c r="Y67" s="43">
        <f t="shared" si="3"/>
        <v>0</v>
      </c>
      <c r="Z67" s="43">
        <f t="shared" si="3"/>
        <v>0</v>
      </c>
      <c r="AB67" s="43">
        <f t="shared" si="4"/>
        <v>0</v>
      </c>
      <c r="AC67" s="43">
        <f t="shared" si="4"/>
        <v>0</v>
      </c>
      <c r="AD67" s="43">
        <f t="shared" si="4"/>
        <v>0</v>
      </c>
      <c r="AE67" s="43">
        <f t="shared" si="4"/>
        <v>0</v>
      </c>
      <c r="AF67" s="43">
        <f t="shared" si="4"/>
        <v>0</v>
      </c>
      <c r="AH67" s="43">
        <f t="shared" si="12"/>
        <v>0</v>
      </c>
      <c r="AI67" s="43">
        <f t="shared" si="13"/>
        <v>0</v>
      </c>
      <c r="AJ67" s="43">
        <f t="shared" si="14"/>
        <v>0</v>
      </c>
      <c r="AK67" s="43">
        <f t="shared" si="15"/>
        <v>0</v>
      </c>
      <c r="AL67" s="43">
        <f t="shared" si="16"/>
        <v>0</v>
      </c>
      <c r="AN67" s="43">
        <f t="shared" si="17"/>
        <v>-30990.428408565396</v>
      </c>
      <c r="AO67" s="43">
        <f t="shared" si="18"/>
        <v>-30990.428408565396</v>
      </c>
      <c r="AP67" s="43">
        <f t="shared" si="19"/>
        <v>-30990.428408565396</v>
      </c>
      <c r="AQ67" s="43">
        <f t="shared" si="20"/>
        <v>-30990.428408565396</v>
      </c>
      <c r="AR67" s="43">
        <f t="shared" si="21"/>
        <v>-30990.428408565396</v>
      </c>
      <c r="AT67" s="43">
        <f t="shared" si="8"/>
        <v>-313.90641032344456</v>
      </c>
      <c r="AU67" s="43">
        <f t="shared" si="8"/>
        <v>-332.03513333244416</v>
      </c>
      <c r="AV67" s="43">
        <f t="shared" si="8"/>
        <v>-357.16355222304361</v>
      </c>
      <c r="AW67" s="43">
        <f t="shared" si="8"/>
        <v>-365.69547515854771</v>
      </c>
      <c r="AX67" s="43">
        <f t="shared" si="8"/>
        <v>-378.07353560171424</v>
      </c>
      <c r="AZ67" s="47">
        <f t="shared" si="22"/>
        <v>-1367.580976214668</v>
      </c>
      <c r="BA67" s="47">
        <f>(AI67+AO67*K$16+AU67)*IF($K67=1,$F$25,1)</f>
        <v>-1354.7192708151024</v>
      </c>
      <c r="BB67" s="47">
        <f t="shared" si="24"/>
        <v>-1534.7998317485285</v>
      </c>
      <c r="BC67" s="47">
        <f t="shared" si="25"/>
        <v>-1543.3317546840326</v>
      </c>
      <c r="BD67" s="47">
        <f t="shared" si="26"/>
        <v>-1555.7098151271991</v>
      </c>
    </row>
    <row r="68" spans="2:56">
      <c r="B68" s="37">
        <f>'3. Input (des)investeringen '!B101</f>
        <v>1536</v>
      </c>
      <c r="C68" s="48"/>
      <c r="D68" s="48"/>
      <c r="E68" s="48"/>
      <c r="F68" s="42">
        <f>'3. Input (des)investeringen '!D101</f>
        <v>429610.71824132768</v>
      </c>
      <c r="G68" s="48"/>
      <c r="H68" s="37">
        <f>'3. Input (des)investeringen '!F101</f>
        <v>2020</v>
      </c>
      <c r="I68" s="42" t="str">
        <f>'3. Input (des)investeringen '!G101</f>
        <v>nvt</v>
      </c>
      <c r="J68" s="42">
        <f>'3. Input (des)investeringen '!H101</f>
        <v>5</v>
      </c>
      <c r="K68" s="42">
        <f>'3. Input (des)investeringen '!I101</f>
        <v>0</v>
      </c>
      <c r="M68" s="43">
        <f t="shared" si="0"/>
        <v>42961.07182413277</v>
      </c>
      <c r="N68" s="43">
        <f t="shared" si="1"/>
        <v>87296.897946637793</v>
      </c>
      <c r="P68" s="137">
        <f t="shared" si="27"/>
        <v>386649.64641719492</v>
      </c>
      <c r="Q68" s="137">
        <f t="shared" si="2"/>
        <v>305539.14281323226</v>
      </c>
      <c r="S68" s="43">
        <f t="shared" si="10"/>
        <v>305539.14281323226</v>
      </c>
      <c r="T68" s="38">
        <f t="shared" si="11"/>
        <v>3.5</v>
      </c>
      <c r="V68" s="43">
        <f t="shared" si="3"/>
        <v>102137.37059756623</v>
      </c>
      <c r="W68" s="43">
        <f t="shared" si="3"/>
        <v>69139.143173737131</v>
      </c>
      <c r="X68" s="43">
        <f t="shared" si="3"/>
        <v>69139.143173737131</v>
      </c>
      <c r="Y68" s="43">
        <f t="shared" si="3"/>
        <v>34569.571586868566</v>
      </c>
      <c r="Z68" s="43">
        <f t="shared" si="3"/>
        <v>0</v>
      </c>
      <c r="AB68" s="43">
        <f t="shared" si="4"/>
        <v>8729.68979466378</v>
      </c>
      <c r="AC68" s="43">
        <f t="shared" si="4"/>
        <v>8729.68979466378</v>
      </c>
      <c r="AD68" s="43">
        <f t="shared" si="4"/>
        <v>8729.68979466378</v>
      </c>
      <c r="AE68" s="43">
        <f t="shared" si="4"/>
        <v>4364.84489733189</v>
      </c>
      <c r="AF68" s="43">
        <f t="shared" si="4"/>
        <v>0</v>
      </c>
      <c r="AH68" s="43">
        <f t="shared" si="12"/>
        <v>110867.06039223001</v>
      </c>
      <c r="AI68" s="43">
        <f t="shared" si="13"/>
        <v>77868.832968400908</v>
      </c>
      <c r="AJ68" s="43">
        <f t="shared" si="14"/>
        <v>77868.832968400908</v>
      </c>
      <c r="AK68" s="43">
        <f t="shared" si="15"/>
        <v>38934.416484200454</v>
      </c>
      <c r="AL68" s="43">
        <f t="shared" si="16"/>
        <v>0</v>
      </c>
      <c r="AN68" s="43">
        <f t="shared" si="17"/>
        <v>194672.08242100227</v>
      </c>
      <c r="AO68" s="43">
        <f t="shared" si="18"/>
        <v>116803.24945260136</v>
      </c>
      <c r="AP68" s="43">
        <f t="shared" si="19"/>
        <v>38934.416484200454</v>
      </c>
      <c r="AQ68" s="43">
        <f t="shared" si="20"/>
        <v>0</v>
      </c>
      <c r="AR68" s="43">
        <f t="shared" si="21"/>
        <v>0</v>
      </c>
      <c r="AT68" s="43">
        <f t="shared" si="8"/>
        <v>4421.2128186048667</v>
      </c>
      <c r="AU68" s="43">
        <f t="shared" si="8"/>
        <v>4676.5467013049347</v>
      </c>
      <c r="AV68" s="43">
        <f t="shared" si="8"/>
        <v>5030.4677556596935</v>
      </c>
      <c r="AW68" s="43">
        <f t="shared" si="8"/>
        <v>5150.6355694068916</v>
      </c>
      <c r="AX68" s="43">
        <f t="shared" si="8"/>
        <v>5324.9742821601767</v>
      </c>
      <c r="AZ68" s="47">
        <f t="shared" si="22"/>
        <v>121907.12401314895</v>
      </c>
      <c r="BA68" s="47">
        <f t="shared" si="23"/>
        <v>86399.886901641687</v>
      </c>
      <c r="BB68" s="47">
        <f t="shared" si="24"/>
        <v>84378.808550460206</v>
      </c>
      <c r="BC68" s="47">
        <f t="shared" si="25"/>
        <v>44085.052053607345</v>
      </c>
      <c r="BD68" s="47">
        <f t="shared" si="26"/>
        <v>5324.9742821601767</v>
      </c>
    </row>
    <row r="69" spans="2:56">
      <c r="B69" s="37">
        <f>'3. Input (des)investeringen '!B102</f>
        <v>1537</v>
      </c>
      <c r="C69" s="48"/>
      <c r="D69" s="48"/>
      <c r="E69" s="48"/>
      <c r="F69" s="42">
        <f>'3. Input (des)investeringen '!D102</f>
        <v>1540614.7503467209</v>
      </c>
      <c r="G69" s="48"/>
      <c r="H69" s="37">
        <f>'3. Input (des)investeringen '!F102</f>
        <v>2020</v>
      </c>
      <c r="I69" s="42" t="str">
        <f>'3. Input (des)investeringen '!G102</f>
        <v>nvt</v>
      </c>
      <c r="J69" s="42">
        <f>'3. Input (des)investeringen '!H102</f>
        <v>10</v>
      </c>
      <c r="K69" s="42">
        <f>'3. Input (des)investeringen '!I102</f>
        <v>0</v>
      </c>
      <c r="M69" s="43">
        <f t="shared" si="0"/>
        <v>77030.737517336049</v>
      </c>
      <c r="N69" s="43">
        <f t="shared" si="1"/>
        <v>156526.45863522682</v>
      </c>
      <c r="P69" s="137">
        <f t="shared" si="27"/>
        <v>1463584.0128293848</v>
      </c>
      <c r="Q69" s="137">
        <f t="shared" si="2"/>
        <v>1330474.8983994282</v>
      </c>
      <c r="S69" s="43">
        <f t="shared" si="10"/>
        <v>1330474.8983994282</v>
      </c>
      <c r="T69" s="38">
        <f t="shared" si="11"/>
        <v>8.5</v>
      </c>
      <c r="V69" s="43">
        <f t="shared" si="3"/>
        <v>183135.95660321543</v>
      </c>
      <c r="W69" s="43">
        <f t="shared" si="3"/>
        <v>155126.92794625307</v>
      </c>
      <c r="X69" s="43">
        <f t="shared" si="3"/>
        <v>132179.15754000258</v>
      </c>
      <c r="Y69" s="43">
        <f t="shared" si="3"/>
        <v>132179.15754000258</v>
      </c>
      <c r="Z69" s="43">
        <f t="shared" si="3"/>
        <v>132179.15754000258</v>
      </c>
      <c r="AB69" s="43">
        <f t="shared" si="4"/>
        <v>15652.645863522686</v>
      </c>
      <c r="AC69" s="43">
        <f t="shared" si="4"/>
        <v>15652.645863522686</v>
      </c>
      <c r="AD69" s="43">
        <f t="shared" si="4"/>
        <v>15652.645863522686</v>
      </c>
      <c r="AE69" s="43">
        <f t="shared" si="4"/>
        <v>15652.645863522686</v>
      </c>
      <c r="AF69" s="43">
        <f t="shared" si="4"/>
        <v>15652.645863522686</v>
      </c>
      <c r="AH69" s="43">
        <f t="shared" si="12"/>
        <v>198788.60246673811</v>
      </c>
      <c r="AI69" s="43">
        <f t="shared" si="13"/>
        <v>170779.57380977576</v>
      </c>
      <c r="AJ69" s="43">
        <f t="shared" si="14"/>
        <v>147831.80340352526</v>
      </c>
      <c r="AK69" s="43">
        <f t="shared" si="15"/>
        <v>147831.80340352526</v>
      </c>
      <c r="AL69" s="43">
        <f t="shared" si="16"/>
        <v>147831.80340352526</v>
      </c>
      <c r="AN69" s="43">
        <f t="shared" si="17"/>
        <v>1131686.2959326901</v>
      </c>
      <c r="AO69" s="43">
        <f t="shared" si="18"/>
        <v>960906.72212291439</v>
      </c>
      <c r="AP69" s="43">
        <f t="shared" si="19"/>
        <v>813074.91871938913</v>
      </c>
      <c r="AQ69" s="43">
        <f t="shared" si="20"/>
        <v>665243.11531586386</v>
      </c>
      <c r="AR69" s="43">
        <f t="shared" si="21"/>
        <v>517411.3119123386</v>
      </c>
      <c r="AT69" s="43">
        <f t="shared" si="8"/>
        <v>15854.785259194721</v>
      </c>
      <c r="AU69" s="43">
        <f t="shared" si="8"/>
        <v>16770.430817483735</v>
      </c>
      <c r="AV69" s="43">
        <f t="shared" si="8"/>
        <v>18039.617021750906</v>
      </c>
      <c r="AW69" s="43">
        <f t="shared" si="8"/>
        <v>18470.547393166493</v>
      </c>
      <c r="AX69" s="43">
        <f t="shared" si="8"/>
        <v>19095.738481330391</v>
      </c>
      <c r="AZ69" s="47">
        <f t="shared" si="22"/>
        <v>253120.72178764432</v>
      </c>
      <c r="BA69" s="47">
        <f t="shared" si="23"/>
        <v>219259.92645731568</v>
      </c>
      <c r="BB69" s="47">
        <f t="shared" si="24"/>
        <v>196768.26733661297</v>
      </c>
      <c r="BC69" s="47">
        <f t="shared" si="25"/>
        <v>191581.58917869459</v>
      </c>
      <c r="BD69" s="47">
        <f t="shared" si="26"/>
        <v>186589.17173752454</v>
      </c>
    </row>
    <row r="70" spans="2:56">
      <c r="B70" s="37">
        <f>'3. Input (des)investeringen '!B103</f>
        <v>1538</v>
      </c>
      <c r="C70" s="48"/>
      <c r="D70" s="48"/>
      <c r="E70" s="48"/>
      <c r="F70" s="42">
        <f>'3. Input (des)investeringen '!D103</f>
        <v>4629744.6502016177</v>
      </c>
      <c r="G70" s="48"/>
      <c r="H70" s="37">
        <f>'3. Input (des)investeringen '!F103</f>
        <v>2020</v>
      </c>
      <c r="I70" s="42" t="str">
        <f>'3. Input (des)investeringen '!G103</f>
        <v>nvt</v>
      </c>
      <c r="J70" s="42">
        <f>'3. Input (des)investeringen '!H103</f>
        <v>15</v>
      </c>
      <c r="K70" s="42">
        <f>'3. Input (des)investeringen '!I103</f>
        <v>0</v>
      </c>
      <c r="M70" s="43">
        <f t="shared" si="0"/>
        <v>154324.82167338725</v>
      </c>
      <c r="N70" s="43">
        <f t="shared" si="1"/>
        <v>313588.03764032293</v>
      </c>
      <c r="P70" s="137">
        <f t="shared" si="27"/>
        <v>4475419.8285282301</v>
      </c>
      <c r="Q70" s="137">
        <f t="shared" si="2"/>
        <v>4233438.5081443591</v>
      </c>
      <c r="S70" s="43">
        <f t="shared" si="10"/>
        <v>4233438.5081443591</v>
      </c>
      <c r="T70" s="38">
        <f t="shared" si="11"/>
        <v>13.5</v>
      </c>
      <c r="V70" s="43">
        <f t="shared" si="3"/>
        <v>366898.00403917785</v>
      </c>
      <c r="W70" s="43">
        <f t="shared" si="3"/>
        <v>331567.08513170143</v>
      </c>
      <c r="X70" s="43">
        <f t="shared" si="3"/>
        <v>299638.40285975981</v>
      </c>
      <c r="Y70" s="43">
        <f t="shared" si="3"/>
        <v>270784.33443622739</v>
      </c>
      <c r="Z70" s="43">
        <f t="shared" si="3"/>
        <v>267495.45588032174</v>
      </c>
      <c r="AB70" s="43">
        <f t="shared" si="4"/>
        <v>31358.803764032291</v>
      </c>
      <c r="AC70" s="43">
        <f t="shared" si="4"/>
        <v>31358.803764032291</v>
      </c>
      <c r="AD70" s="43">
        <f t="shared" si="4"/>
        <v>31358.803764032291</v>
      </c>
      <c r="AE70" s="43">
        <f t="shared" si="4"/>
        <v>31358.803764032291</v>
      </c>
      <c r="AF70" s="43">
        <f t="shared" si="4"/>
        <v>31358.803764032291</v>
      </c>
      <c r="AH70" s="43">
        <f t="shared" si="12"/>
        <v>398256.80780321016</v>
      </c>
      <c r="AI70" s="43">
        <f t="shared" si="13"/>
        <v>362925.88889573375</v>
      </c>
      <c r="AJ70" s="43">
        <f t="shared" si="14"/>
        <v>330997.20662379212</v>
      </c>
      <c r="AK70" s="43">
        <f t="shared" si="15"/>
        <v>302143.13820025971</v>
      </c>
      <c r="AL70" s="43">
        <f t="shared" si="16"/>
        <v>298854.25964435405</v>
      </c>
      <c r="AN70" s="43">
        <f t="shared" si="17"/>
        <v>3835181.7003411488</v>
      </c>
      <c r="AO70" s="43">
        <f t="shared" si="18"/>
        <v>3472255.811445415</v>
      </c>
      <c r="AP70" s="43">
        <f t="shared" si="19"/>
        <v>3141258.6048216228</v>
      </c>
      <c r="AQ70" s="43">
        <f t="shared" si="20"/>
        <v>2839115.4666213631</v>
      </c>
      <c r="AR70" s="43">
        <f t="shared" si="21"/>
        <v>2540261.2069770088</v>
      </c>
      <c r="AT70" s="43">
        <f t="shared" si="8"/>
        <v>47645.660420512315</v>
      </c>
      <c r="AU70" s="43">
        <f t="shared" si="8"/>
        <v>50397.292601117748</v>
      </c>
      <c r="AV70" s="43">
        <f t="shared" si="8"/>
        <v>54211.359705170347</v>
      </c>
      <c r="AW70" s="43">
        <f t="shared" si="8"/>
        <v>55506.360665807457</v>
      </c>
      <c r="AX70" s="43">
        <f t="shared" si="8"/>
        <v>57385.139961623703</v>
      </c>
      <c r="AZ70" s="47">
        <f t="shared" si="22"/>
        <v>576298.64603532152</v>
      </c>
      <c r="BA70" s="47">
        <f t="shared" si="23"/>
        <v>527907.62327455019</v>
      </c>
      <c r="BB70" s="47">
        <f t="shared" si="24"/>
        <v>504576.39331218408</v>
      </c>
      <c r="BC70" s="47">
        <f t="shared" si="25"/>
        <v>465535.88659767894</v>
      </c>
      <c r="BD70" s="47">
        <f t="shared" si="26"/>
        <v>452769.32547110412</v>
      </c>
    </row>
    <row r="71" spans="2:56">
      <c r="B71" s="37">
        <f>'3. Input (des)investeringen '!B104</f>
        <v>1539</v>
      </c>
      <c r="C71" s="48"/>
      <c r="D71" s="48"/>
      <c r="E71" s="48"/>
      <c r="F71" s="42">
        <f>'3. Input (des)investeringen '!D104</f>
        <v>26259145.971940324</v>
      </c>
      <c r="G71" s="48"/>
      <c r="H71" s="37">
        <f>'3. Input (des)investeringen '!F104</f>
        <v>2020</v>
      </c>
      <c r="I71" s="42" t="str">
        <f>'3. Input (des)investeringen '!G104</f>
        <v>nvt</v>
      </c>
      <c r="J71" s="42">
        <f>'3. Input (des)investeringen '!H104</f>
        <v>30</v>
      </c>
      <c r="K71" s="42">
        <f>'3. Input (des)investeringen '!I104</f>
        <v>0</v>
      </c>
      <c r="M71" s="43">
        <f t="shared" si="0"/>
        <v>437652.43286567205</v>
      </c>
      <c r="N71" s="43">
        <f t="shared" si="1"/>
        <v>889309.74358304567</v>
      </c>
      <c r="P71" s="137">
        <f t="shared" si="27"/>
        <v>25821493.539074652</v>
      </c>
      <c r="Q71" s="137">
        <f t="shared" si="2"/>
        <v>25345327.692116801</v>
      </c>
      <c r="S71" s="43">
        <f t="shared" si="10"/>
        <v>25345327.692116801</v>
      </c>
      <c r="T71" s="38">
        <f t="shared" si="11"/>
        <v>28.5</v>
      </c>
      <c r="V71" s="43">
        <f t="shared" ref="V71:Z80" si="28">IF($J71=0, 0, IF(OR($H71&gt;V$59,$H71+$J71&lt;V$59),0,
IF(OR($H71=2020,$H71=2021),VDB($S71*(1-$F$28),0,$T71,V$59-2022,MIN($T71,V$59-2021),$F$22,FALSE),
VDB($S71*(1-$F$28),0,$T71,MAX(0,V$59-$H71-0.5),MIN($T71,V$59-$H71+0.5),$F$22,FALSE))))</f>
        <v>1040492.3999921635</v>
      </c>
      <c r="W71" s="43">
        <f t="shared" si="28"/>
        <v>993031.34315041569</v>
      </c>
      <c r="X71" s="43">
        <f t="shared" si="28"/>
        <v>947735.17662074766</v>
      </c>
      <c r="Y71" s="43">
        <f t="shared" si="28"/>
        <v>904505.1510205029</v>
      </c>
      <c r="Z71" s="43">
        <f t="shared" si="28"/>
        <v>863247.02132483083</v>
      </c>
      <c r="AB71" s="43">
        <f t="shared" ref="AB71:AF80" si="29">IF($J71=0, 0, IF(OR($H71&gt;AB$59,$H71+$J71&lt;AB$59),0,
IF(OR($H71=2020,$H71=2021),VDB($S71*$F$28,0,$T71,AB$59-2022,MIN($T71,AB$59-2021),1),
VDB($S71*$F$28,0,$T71,MAX(0,AB$59-$H71-0.5),MIN($T71,AB$59-$H71+0.5),1))))</f>
        <v>88930.974358304564</v>
      </c>
      <c r="AC71" s="43">
        <f t="shared" si="29"/>
        <v>88930.974358304578</v>
      </c>
      <c r="AD71" s="43">
        <f t="shared" si="29"/>
        <v>88930.974358304578</v>
      </c>
      <c r="AE71" s="43">
        <f t="shared" si="29"/>
        <v>88930.974358304578</v>
      </c>
      <c r="AF71" s="43">
        <f t="shared" si="29"/>
        <v>88930.974358304578</v>
      </c>
      <c r="AH71" s="43">
        <f t="shared" si="12"/>
        <v>1129423.3743504682</v>
      </c>
      <c r="AI71" s="43">
        <f t="shared" si="13"/>
        <v>1081962.3175087203</v>
      </c>
      <c r="AJ71" s="43">
        <f t="shared" si="14"/>
        <v>1036666.1509790523</v>
      </c>
      <c r="AK71" s="43">
        <f t="shared" si="15"/>
        <v>993436.12537880754</v>
      </c>
      <c r="AL71" s="43">
        <f t="shared" si="16"/>
        <v>952177.99568313546</v>
      </c>
      <c r="AN71" s="43">
        <f t="shared" si="17"/>
        <v>24215904.317766331</v>
      </c>
      <c r="AO71" s="43">
        <f t="shared" si="18"/>
        <v>23133942.000257611</v>
      </c>
      <c r="AP71" s="43">
        <f t="shared" si="19"/>
        <v>22097275.849278558</v>
      </c>
      <c r="AQ71" s="43">
        <f t="shared" si="20"/>
        <v>21103839.723899752</v>
      </c>
      <c r="AR71" s="43">
        <f t="shared" si="21"/>
        <v>20151661.728216618</v>
      </c>
      <c r="AT71" s="43">
        <f t="shared" ref="AT71:AX80" si="30">IF($H71&lt;=AT$59,$F71*INDEX($H$40:$N$46,$H71-2019,AT$59-2019)*INDEX($H$49:$N$55,$H71-2019,AT$59-2019)*$F$19,0)</f>
        <v>270238.30609259364</v>
      </c>
      <c r="AU71" s="43">
        <f t="shared" si="30"/>
        <v>285845.10874605313</v>
      </c>
      <c r="AV71" s="43">
        <f t="shared" si="30"/>
        <v>307477.86657595442</v>
      </c>
      <c r="AW71" s="43">
        <f t="shared" si="30"/>
        <v>314822.89785272087</v>
      </c>
      <c r="AX71" s="43">
        <f t="shared" si="30"/>
        <v>325479.02329923975</v>
      </c>
      <c r="AZ71" s="47">
        <f t="shared" si="22"/>
        <v>2223002.4272471173</v>
      </c>
      <c r="BA71" s="47">
        <f t="shared" si="23"/>
        <v>2131227.5122632748</v>
      </c>
      <c r="BB71" s="47">
        <f t="shared" si="24"/>
        <v>2183840.4998275917</v>
      </c>
      <c r="BC71" s="47">
        <f t="shared" si="25"/>
        <v>2110204.9327397188</v>
      </c>
      <c r="BD71" s="47">
        <f t="shared" si="26"/>
        <v>2043420.1646546067</v>
      </c>
    </row>
    <row r="72" spans="2:56">
      <c r="B72" s="37">
        <f>'3. Input (des)investeringen '!B105</f>
        <v>1540</v>
      </c>
      <c r="C72" s="48"/>
      <c r="D72" s="48"/>
      <c r="E72" s="48"/>
      <c r="F72" s="42">
        <f>'3. Input (des)investeringen '!D105</f>
        <v>37094.77163904941</v>
      </c>
      <c r="G72" s="48"/>
      <c r="H72" s="37">
        <f>'3. Input (des)investeringen '!F105</f>
        <v>2020</v>
      </c>
      <c r="I72" s="42" t="str">
        <f>'3. Input (des)investeringen '!G105</f>
        <v>nvt</v>
      </c>
      <c r="J72" s="42">
        <f>'3. Input (des)investeringen '!H105</f>
        <v>55</v>
      </c>
      <c r="K72" s="42">
        <f>'3. Input (des)investeringen '!I105</f>
        <v>0</v>
      </c>
      <c r="M72" s="43">
        <f t="shared" si="0"/>
        <v>337.22519671863103</v>
      </c>
      <c r="N72" s="43">
        <f t="shared" si="1"/>
        <v>685.24159973225824</v>
      </c>
      <c r="P72" s="137">
        <f t="shared" si="27"/>
        <v>36757.546442330779</v>
      </c>
      <c r="Q72" s="137">
        <f t="shared" si="2"/>
        <v>36660.42558567581</v>
      </c>
      <c r="S72" s="43">
        <f t="shared" si="10"/>
        <v>36660.42558567581</v>
      </c>
      <c r="T72" s="38">
        <f t="shared" si="11"/>
        <v>53.5</v>
      </c>
      <c r="V72" s="43">
        <f t="shared" si="28"/>
        <v>801.73267168674215</v>
      </c>
      <c r="W72" s="43">
        <f t="shared" si="28"/>
        <v>782.25131704762498</v>
      </c>
      <c r="X72" s="43">
        <f t="shared" si="28"/>
        <v>763.24334111936491</v>
      </c>
      <c r="Y72" s="43">
        <f t="shared" si="28"/>
        <v>744.69724124169818</v>
      </c>
      <c r="Z72" s="43">
        <f t="shared" si="28"/>
        <v>726.60179425825504</v>
      </c>
      <c r="AB72" s="43">
        <f t="shared" si="29"/>
        <v>68.524159973225821</v>
      </c>
      <c r="AC72" s="43">
        <f t="shared" si="29"/>
        <v>68.524159973225821</v>
      </c>
      <c r="AD72" s="43">
        <f t="shared" si="29"/>
        <v>68.524159973225821</v>
      </c>
      <c r="AE72" s="43">
        <f t="shared" si="29"/>
        <v>68.524159973225821</v>
      </c>
      <c r="AF72" s="43">
        <f t="shared" si="29"/>
        <v>68.524159973225821</v>
      </c>
      <c r="AH72" s="43">
        <f t="shared" si="12"/>
        <v>870.25683165996793</v>
      </c>
      <c r="AI72" s="43">
        <f t="shared" si="13"/>
        <v>850.77547702085076</v>
      </c>
      <c r="AJ72" s="43">
        <f t="shared" si="14"/>
        <v>831.76750109259069</v>
      </c>
      <c r="AK72" s="43">
        <f t="shared" si="15"/>
        <v>813.22140121492396</v>
      </c>
      <c r="AL72" s="43">
        <f t="shared" si="16"/>
        <v>795.12595423148082</v>
      </c>
      <c r="AN72" s="43">
        <f t="shared" si="17"/>
        <v>35790.168754015845</v>
      </c>
      <c r="AO72" s="43">
        <f t="shared" si="18"/>
        <v>34939.393276994997</v>
      </c>
      <c r="AP72" s="43">
        <f t="shared" si="19"/>
        <v>34107.625775902408</v>
      </c>
      <c r="AQ72" s="43">
        <f t="shared" si="20"/>
        <v>33294.404374687481</v>
      </c>
      <c r="AR72" s="43">
        <f t="shared" si="21"/>
        <v>32499.278420456001</v>
      </c>
      <c r="AT72" s="43">
        <f t="shared" si="30"/>
        <v>381.74997249872774</v>
      </c>
      <c r="AU72" s="43">
        <f t="shared" si="30"/>
        <v>403.79679691047426</v>
      </c>
      <c r="AV72" s="43">
        <f t="shared" si="30"/>
        <v>434.35613850065903</v>
      </c>
      <c r="AW72" s="43">
        <f t="shared" si="30"/>
        <v>444.73203793716266</v>
      </c>
      <c r="AX72" s="43">
        <f t="shared" si="30"/>
        <v>459.78532795725982</v>
      </c>
      <c r="AZ72" s="47">
        <f t="shared" si="22"/>
        <v>2468.8725417952346</v>
      </c>
      <c r="BA72" s="47">
        <f t="shared" si="23"/>
        <v>2407.5722520721597</v>
      </c>
      <c r="BB72" s="47">
        <f t="shared" si="24"/>
        <v>2562.2134190775414</v>
      </c>
      <c r="BC72" s="47">
        <f t="shared" si="25"/>
        <v>2523.140805390211</v>
      </c>
      <c r="BD72" s="47">
        <f t="shared" si="26"/>
        <v>2489.8838621660689</v>
      </c>
    </row>
    <row r="73" spans="2:56">
      <c r="B73" s="37">
        <f>'3. Input (des)investeringen '!B106</f>
        <v>1541</v>
      </c>
      <c r="C73" s="48"/>
      <c r="D73" s="48"/>
      <c r="E73" s="48"/>
      <c r="F73" s="42">
        <f>'3. Input (des)investeringen '!D106</f>
        <v>0</v>
      </c>
      <c r="G73" s="48"/>
      <c r="H73" s="37">
        <f>'3. Input (des)investeringen '!F106</f>
        <v>2020</v>
      </c>
      <c r="I73" s="42" t="str">
        <f>'3. Input (des)investeringen '!G106</f>
        <v>nvt</v>
      </c>
      <c r="J73" s="42">
        <f>'3. Input (des)investeringen '!H106</f>
        <v>0</v>
      </c>
      <c r="K73" s="42">
        <f>'3. Input (des)investeringen '!I106</f>
        <v>0</v>
      </c>
      <c r="M73" s="43">
        <f t="shared" si="0"/>
        <v>0</v>
      </c>
      <c r="N73" s="43">
        <f t="shared" si="1"/>
        <v>0</v>
      </c>
      <c r="P73" s="137">
        <f t="shared" si="27"/>
        <v>0</v>
      </c>
      <c r="Q73" s="137">
        <f t="shared" si="2"/>
        <v>0</v>
      </c>
      <c r="S73" s="43">
        <f t="shared" si="10"/>
        <v>0</v>
      </c>
      <c r="T73" s="38">
        <f t="shared" si="11"/>
        <v>0</v>
      </c>
      <c r="V73" s="43">
        <f t="shared" si="28"/>
        <v>0</v>
      </c>
      <c r="W73" s="43">
        <f t="shared" si="28"/>
        <v>0</v>
      </c>
      <c r="X73" s="43">
        <f t="shared" si="28"/>
        <v>0</v>
      </c>
      <c r="Y73" s="43">
        <f t="shared" si="28"/>
        <v>0</v>
      </c>
      <c r="Z73" s="43">
        <f t="shared" si="28"/>
        <v>0</v>
      </c>
      <c r="AB73" s="43">
        <f t="shared" si="29"/>
        <v>0</v>
      </c>
      <c r="AC73" s="43">
        <f t="shared" si="29"/>
        <v>0</v>
      </c>
      <c r="AD73" s="43">
        <f t="shared" si="29"/>
        <v>0</v>
      </c>
      <c r="AE73" s="43">
        <f t="shared" si="29"/>
        <v>0</v>
      </c>
      <c r="AF73" s="43">
        <f t="shared" si="29"/>
        <v>0</v>
      </c>
      <c r="AH73" s="43">
        <f t="shared" si="12"/>
        <v>0</v>
      </c>
      <c r="AI73" s="43">
        <f t="shared" si="13"/>
        <v>0</v>
      </c>
      <c r="AJ73" s="43">
        <f t="shared" si="14"/>
        <v>0</v>
      </c>
      <c r="AK73" s="43">
        <f t="shared" si="15"/>
        <v>0</v>
      </c>
      <c r="AL73" s="43">
        <f t="shared" si="16"/>
        <v>0</v>
      </c>
      <c r="AN73" s="43">
        <f t="shared" si="17"/>
        <v>0</v>
      </c>
      <c r="AO73" s="43">
        <f t="shared" si="18"/>
        <v>0</v>
      </c>
      <c r="AP73" s="43">
        <f t="shared" si="19"/>
        <v>0</v>
      </c>
      <c r="AQ73" s="43">
        <f t="shared" si="20"/>
        <v>0</v>
      </c>
      <c r="AR73" s="43">
        <f t="shared" si="21"/>
        <v>0</v>
      </c>
      <c r="AT73" s="43">
        <f t="shared" si="30"/>
        <v>0</v>
      </c>
      <c r="AU73" s="43">
        <f t="shared" si="30"/>
        <v>0</v>
      </c>
      <c r="AV73" s="43">
        <f t="shared" si="30"/>
        <v>0</v>
      </c>
      <c r="AW73" s="43">
        <f t="shared" si="30"/>
        <v>0</v>
      </c>
      <c r="AX73" s="43">
        <f t="shared" si="30"/>
        <v>0</v>
      </c>
      <c r="AZ73" s="47">
        <f t="shared" si="22"/>
        <v>0</v>
      </c>
      <c r="BA73" s="47">
        <f t="shared" si="23"/>
        <v>0</v>
      </c>
      <c r="BB73" s="47">
        <f t="shared" si="24"/>
        <v>0</v>
      </c>
      <c r="BC73" s="47">
        <f t="shared" si="25"/>
        <v>0</v>
      </c>
      <c r="BD73" s="47">
        <f t="shared" si="26"/>
        <v>0</v>
      </c>
    </row>
    <row r="74" spans="2:56">
      <c r="B74" s="37">
        <f>'3. Input (des)investeringen '!B107</f>
        <v>1542</v>
      </c>
      <c r="C74" s="48"/>
      <c r="D74" s="48"/>
      <c r="E74" s="48"/>
      <c r="F74" s="42">
        <f>'3. Input (des)investeringen '!D107</f>
        <v>617395.17786534363</v>
      </c>
      <c r="G74" s="48"/>
      <c r="H74" s="37">
        <f>'3. Input (des)investeringen '!F107</f>
        <v>2020</v>
      </c>
      <c r="I74" s="42" t="str">
        <f>'3. Input (des)investeringen '!G107</f>
        <v>nvt</v>
      </c>
      <c r="J74" s="42">
        <f>'3. Input (des)investeringen '!H107</f>
        <v>5</v>
      </c>
      <c r="K74" s="42">
        <f>'3. Input (des)investeringen '!I107</f>
        <v>0</v>
      </c>
      <c r="M74" s="43">
        <f t="shared" si="0"/>
        <v>61739.517786534365</v>
      </c>
      <c r="N74" s="43">
        <f t="shared" si="1"/>
        <v>125454.70014223782</v>
      </c>
      <c r="P74" s="137">
        <f t="shared" si="27"/>
        <v>555655.66007880925</v>
      </c>
      <c r="Q74" s="137">
        <f t="shared" si="2"/>
        <v>439091.45049783238</v>
      </c>
      <c r="S74" s="43">
        <f t="shared" si="10"/>
        <v>439091.45049783238</v>
      </c>
      <c r="T74" s="38">
        <f t="shared" si="11"/>
        <v>3.5</v>
      </c>
      <c r="V74" s="43">
        <f t="shared" si="28"/>
        <v>146781.99916641827</v>
      </c>
      <c r="W74" s="43">
        <f t="shared" si="28"/>
        <v>99360.12251265235</v>
      </c>
      <c r="X74" s="43">
        <f t="shared" si="28"/>
        <v>99360.12251265235</v>
      </c>
      <c r="Y74" s="43">
        <f t="shared" si="28"/>
        <v>49680.061256326175</v>
      </c>
      <c r="Z74" s="43">
        <f t="shared" si="28"/>
        <v>0</v>
      </c>
      <c r="AB74" s="43">
        <f t="shared" si="29"/>
        <v>12545.470014223783</v>
      </c>
      <c r="AC74" s="43">
        <f t="shared" si="29"/>
        <v>12545.470014223783</v>
      </c>
      <c r="AD74" s="43">
        <f t="shared" si="29"/>
        <v>12545.470014223783</v>
      </c>
      <c r="AE74" s="43">
        <f t="shared" si="29"/>
        <v>6272.7350071118917</v>
      </c>
      <c r="AF74" s="43">
        <f t="shared" si="29"/>
        <v>0</v>
      </c>
      <c r="AH74" s="43">
        <f t="shared" si="12"/>
        <v>159327.46918064205</v>
      </c>
      <c r="AI74" s="43">
        <f t="shared" si="13"/>
        <v>111905.59252687613</v>
      </c>
      <c r="AJ74" s="43">
        <f t="shared" si="14"/>
        <v>111905.59252687613</v>
      </c>
      <c r="AK74" s="43">
        <f t="shared" si="15"/>
        <v>55952.796263438067</v>
      </c>
      <c r="AL74" s="43">
        <f t="shared" si="16"/>
        <v>0</v>
      </c>
      <c r="AN74" s="43">
        <f t="shared" si="17"/>
        <v>279763.98131719034</v>
      </c>
      <c r="AO74" s="43">
        <f t="shared" si="18"/>
        <v>167858.3887903142</v>
      </c>
      <c r="AP74" s="43">
        <f t="shared" si="19"/>
        <v>55952.796263438067</v>
      </c>
      <c r="AQ74" s="43">
        <f t="shared" si="20"/>
        <v>0</v>
      </c>
      <c r="AR74" s="43">
        <f t="shared" si="21"/>
        <v>0</v>
      </c>
      <c r="AT74" s="43">
        <f t="shared" si="30"/>
        <v>6353.7415586306552</v>
      </c>
      <c r="AU74" s="43">
        <f t="shared" si="30"/>
        <v>6720.6828411246934</v>
      </c>
      <c r="AV74" s="43">
        <f t="shared" si="30"/>
        <v>7229.3041185410102</v>
      </c>
      <c r="AW74" s="43">
        <f t="shared" si="30"/>
        <v>7401.9977353247186</v>
      </c>
      <c r="AX74" s="43">
        <f t="shared" si="30"/>
        <v>7652.5405546699913</v>
      </c>
      <c r="AZ74" s="47">
        <f t="shared" si="22"/>
        <v>175193.18610405718</v>
      </c>
      <c r="BA74" s="47">
        <f t="shared" si="23"/>
        <v>124165.60219808121</v>
      </c>
      <c r="BB74" s="47">
        <f t="shared" si="24"/>
        <v>121261.10290342779</v>
      </c>
      <c r="BC74" s="47">
        <f t="shared" si="25"/>
        <v>63354.793998762783</v>
      </c>
      <c r="BD74" s="47">
        <f t="shared" si="26"/>
        <v>7652.5405546699913</v>
      </c>
    </row>
    <row r="75" spans="2:56">
      <c r="B75" s="37">
        <f>'3. Input (des)investeringen '!B108</f>
        <v>1543</v>
      </c>
      <c r="C75" s="48"/>
      <c r="D75" s="48"/>
      <c r="E75" s="48"/>
      <c r="F75" s="42">
        <f>'3. Input (des)investeringen '!D108</f>
        <v>4570297.1729062358</v>
      </c>
      <c r="G75" s="48"/>
      <c r="H75" s="37">
        <f>'3. Input (des)investeringen '!F108</f>
        <v>2020</v>
      </c>
      <c r="I75" s="42" t="str">
        <f>'3. Input (des)investeringen '!G108</f>
        <v>nvt</v>
      </c>
      <c r="J75" s="42">
        <f>'3. Input (des)investeringen '!H108</f>
        <v>10</v>
      </c>
      <c r="K75" s="42">
        <f>'3. Input (des)investeringen '!I108</f>
        <v>0</v>
      </c>
      <c r="M75" s="43">
        <f t="shared" si="0"/>
        <v>228514.85864531179</v>
      </c>
      <c r="N75" s="43">
        <f t="shared" si="1"/>
        <v>464342.19276727358</v>
      </c>
      <c r="P75" s="137">
        <f t="shared" si="27"/>
        <v>4341782.3142609242</v>
      </c>
      <c r="Q75" s="137">
        <f t="shared" si="2"/>
        <v>3946908.6385218259</v>
      </c>
      <c r="S75" s="43">
        <f t="shared" si="10"/>
        <v>3946908.6385218259</v>
      </c>
      <c r="T75" s="38">
        <f t="shared" si="11"/>
        <v>8.5</v>
      </c>
      <c r="V75" s="43">
        <f t="shared" si="28"/>
        <v>543280.36553771026</v>
      </c>
      <c r="W75" s="43">
        <f t="shared" si="28"/>
        <v>460190.42727900157</v>
      </c>
      <c r="X75" s="43">
        <f t="shared" si="28"/>
        <v>392114.92028506636</v>
      </c>
      <c r="Y75" s="43">
        <f t="shared" si="28"/>
        <v>392114.92028506636</v>
      </c>
      <c r="Z75" s="43">
        <f t="shared" si="28"/>
        <v>392114.92028506636</v>
      </c>
      <c r="AB75" s="43">
        <f t="shared" si="29"/>
        <v>46434.219276727366</v>
      </c>
      <c r="AC75" s="43">
        <f t="shared" si="29"/>
        <v>46434.219276727374</v>
      </c>
      <c r="AD75" s="43">
        <f t="shared" si="29"/>
        <v>46434.219276727374</v>
      </c>
      <c r="AE75" s="43">
        <f t="shared" si="29"/>
        <v>46434.219276727374</v>
      </c>
      <c r="AF75" s="43">
        <f t="shared" si="29"/>
        <v>46434.219276727374</v>
      </c>
      <c r="AH75" s="43">
        <f t="shared" si="12"/>
        <v>589714.58481443767</v>
      </c>
      <c r="AI75" s="43">
        <f t="shared" si="13"/>
        <v>506624.64655572892</v>
      </c>
      <c r="AJ75" s="43">
        <f t="shared" si="14"/>
        <v>438549.13956179371</v>
      </c>
      <c r="AK75" s="43">
        <f t="shared" si="15"/>
        <v>438549.13956179371</v>
      </c>
      <c r="AL75" s="43">
        <f t="shared" si="16"/>
        <v>438549.13956179371</v>
      </c>
      <c r="AN75" s="43">
        <f t="shared" si="17"/>
        <v>3357194.0537073882</v>
      </c>
      <c r="AO75" s="43">
        <f t="shared" si="18"/>
        <v>2850569.4071516595</v>
      </c>
      <c r="AP75" s="43">
        <f t="shared" si="19"/>
        <v>2412020.2675898657</v>
      </c>
      <c r="AQ75" s="43">
        <f t="shared" si="20"/>
        <v>1973471.128028072</v>
      </c>
      <c r="AR75" s="43">
        <f t="shared" si="21"/>
        <v>1534921.9884662782</v>
      </c>
      <c r="AT75" s="43">
        <f t="shared" si="30"/>
        <v>47033.8741277308</v>
      </c>
      <c r="AU75" s="43">
        <f t="shared" si="30"/>
        <v>49750.174426355523</v>
      </c>
      <c r="AV75" s="43">
        <f t="shared" si="30"/>
        <v>53515.267626942106</v>
      </c>
      <c r="AW75" s="43">
        <f t="shared" si="30"/>
        <v>54793.640340014514</v>
      </c>
      <c r="AX75" s="43">
        <f t="shared" si="30"/>
        <v>56648.295478243315</v>
      </c>
      <c r="AZ75" s="47">
        <f t="shared" si="22"/>
        <v>750893.05676821969</v>
      </c>
      <c r="BA75" s="47">
        <f t="shared" si="23"/>
        <v>650443.61141808925</v>
      </c>
      <c r="BB75" s="47">
        <f t="shared" si="24"/>
        <v>583721.17735715071</v>
      </c>
      <c r="BC75" s="47">
        <f t="shared" si="25"/>
        <v>568334.6827668749</v>
      </c>
      <c r="BD75" s="47">
        <f t="shared" si="26"/>
        <v>553524.47060175554</v>
      </c>
    </row>
    <row r="76" spans="2:56">
      <c r="B76" s="37">
        <f>'3. Input (des)investeringen '!B109</f>
        <v>1544</v>
      </c>
      <c r="C76" s="48"/>
      <c r="D76" s="48"/>
      <c r="E76" s="48"/>
      <c r="F76" s="42">
        <f>'3. Input (des)investeringen '!D109</f>
        <v>7478818.3856429011</v>
      </c>
      <c r="G76" s="48"/>
      <c r="H76" s="37">
        <f>'3. Input (des)investeringen '!F109</f>
        <v>2020</v>
      </c>
      <c r="I76" s="42" t="str">
        <f>'3. Input (des)investeringen '!G109</f>
        <v>nvt</v>
      </c>
      <c r="J76" s="42">
        <f>'3. Input (des)investeringen '!H109</f>
        <v>15</v>
      </c>
      <c r="K76" s="42">
        <f>'3. Input (des)investeringen '!I109</f>
        <v>0</v>
      </c>
      <c r="M76" s="43">
        <f t="shared" si="0"/>
        <v>249293.94618809671</v>
      </c>
      <c r="N76" s="43">
        <f t="shared" si="1"/>
        <v>506565.29865421256</v>
      </c>
      <c r="P76" s="137">
        <f t="shared" si="27"/>
        <v>7229524.4394548042</v>
      </c>
      <c r="Q76" s="137">
        <f t="shared" si="2"/>
        <v>6838631.5318318689</v>
      </c>
      <c r="S76" s="43">
        <f t="shared" si="10"/>
        <v>6838631.5318318689</v>
      </c>
      <c r="T76" s="38">
        <f t="shared" si="11"/>
        <v>13.5</v>
      </c>
      <c r="V76" s="43">
        <f t="shared" si="28"/>
        <v>592681.39942542871</v>
      </c>
      <c r="W76" s="43">
        <f t="shared" si="28"/>
        <v>535608.37577705411</v>
      </c>
      <c r="X76" s="43">
        <f t="shared" si="28"/>
        <v>484031.27292444895</v>
      </c>
      <c r="Y76" s="43">
        <f t="shared" si="28"/>
        <v>437420.85405024269</v>
      </c>
      <c r="Z76" s="43">
        <f t="shared" si="28"/>
        <v>432108.05015489564</v>
      </c>
      <c r="AB76" s="43">
        <f t="shared" si="29"/>
        <v>50656.529865421253</v>
      </c>
      <c r="AC76" s="43">
        <f t="shared" si="29"/>
        <v>50656.529865421253</v>
      </c>
      <c r="AD76" s="43">
        <f t="shared" si="29"/>
        <v>50656.529865421253</v>
      </c>
      <c r="AE76" s="43">
        <f t="shared" si="29"/>
        <v>50656.529865421253</v>
      </c>
      <c r="AF76" s="43">
        <f t="shared" si="29"/>
        <v>50656.529865421253</v>
      </c>
      <c r="AH76" s="43">
        <f t="shared" si="12"/>
        <v>643337.92929084995</v>
      </c>
      <c r="AI76" s="43">
        <f t="shared" si="13"/>
        <v>586264.90564247535</v>
      </c>
      <c r="AJ76" s="43">
        <f t="shared" si="14"/>
        <v>534687.80278987018</v>
      </c>
      <c r="AK76" s="43">
        <f t="shared" si="15"/>
        <v>488077.38391566393</v>
      </c>
      <c r="AL76" s="43">
        <f t="shared" si="16"/>
        <v>482764.58002031688</v>
      </c>
      <c r="AN76" s="43">
        <f t="shared" si="17"/>
        <v>6195293.6025410192</v>
      </c>
      <c r="AO76" s="43">
        <f t="shared" si="18"/>
        <v>5609028.6968985442</v>
      </c>
      <c r="AP76" s="43">
        <f t="shared" si="19"/>
        <v>5074340.8941086736</v>
      </c>
      <c r="AQ76" s="43">
        <f t="shared" si="20"/>
        <v>4586263.5101930099</v>
      </c>
      <c r="AR76" s="43">
        <f t="shared" si="21"/>
        <v>4103498.930172693</v>
      </c>
      <c r="AT76" s="43">
        <f t="shared" si="30"/>
        <v>76966.067909060177</v>
      </c>
      <c r="AU76" s="43">
        <f t="shared" si="30"/>
        <v>81411.012262944234</v>
      </c>
      <c r="AV76" s="43">
        <f t="shared" si="30"/>
        <v>87572.197671003858</v>
      </c>
      <c r="AW76" s="43">
        <f t="shared" si="30"/>
        <v>89664.122328968791</v>
      </c>
      <c r="AX76" s="43">
        <f t="shared" si="30"/>
        <v>92699.073541559745</v>
      </c>
      <c r="AZ76" s="47">
        <f t="shared" si="22"/>
        <v>930943.97968630481</v>
      </c>
      <c r="BA76" s="47">
        <f t="shared" si="23"/>
        <v>852773.86490307155</v>
      </c>
      <c r="BB76" s="47">
        <f t="shared" si="24"/>
        <v>815084.9544370037</v>
      </c>
      <c r="BC76" s="47">
        <f t="shared" si="25"/>
        <v>752019.51963196706</v>
      </c>
      <c r="BD76" s="47">
        <f t="shared" si="26"/>
        <v>731396.61290843901</v>
      </c>
    </row>
    <row r="77" spans="2:56">
      <c r="B77" s="37">
        <f>'3. Input (des)investeringen '!B110</f>
        <v>1545</v>
      </c>
      <c r="C77" s="48"/>
      <c r="D77" s="48"/>
      <c r="E77" s="48"/>
      <c r="F77" s="42">
        <f>'3. Input (des)investeringen '!D110</f>
        <v>7420552.1500870837</v>
      </c>
      <c r="G77" s="48"/>
      <c r="H77" s="37">
        <f>'3. Input (des)investeringen '!F110</f>
        <v>2020</v>
      </c>
      <c r="I77" s="42" t="str">
        <f>'3. Input (des)investeringen '!G110</f>
        <v>nvt</v>
      </c>
      <c r="J77" s="42">
        <f>'3. Input (des)investeringen '!H110</f>
        <v>30</v>
      </c>
      <c r="K77" s="42">
        <f>'3. Input (des)investeringen '!I110</f>
        <v>0</v>
      </c>
      <c r="M77" s="43">
        <f t="shared" si="0"/>
        <v>123675.86916811806</v>
      </c>
      <c r="N77" s="43">
        <f t="shared" si="1"/>
        <v>251309.3661496159</v>
      </c>
      <c r="P77" s="137">
        <f t="shared" si="27"/>
        <v>7296876.280918966</v>
      </c>
      <c r="Q77" s="137">
        <f t="shared" si="2"/>
        <v>7162316.9352640538</v>
      </c>
      <c r="S77" s="43">
        <f t="shared" si="10"/>
        <v>7162316.9352640538</v>
      </c>
      <c r="T77" s="38">
        <f t="shared" si="11"/>
        <v>28.5</v>
      </c>
      <c r="V77" s="43">
        <f t="shared" si="28"/>
        <v>294031.95839505066</v>
      </c>
      <c r="W77" s="43">
        <f t="shared" si="28"/>
        <v>280619.97432790801</v>
      </c>
      <c r="X77" s="43">
        <f t="shared" si="28"/>
        <v>267819.76497259992</v>
      </c>
      <c r="Y77" s="43">
        <f t="shared" si="28"/>
        <v>255603.42481595499</v>
      </c>
      <c r="Z77" s="43">
        <f t="shared" si="28"/>
        <v>243944.32122785883</v>
      </c>
      <c r="AB77" s="43">
        <f t="shared" si="29"/>
        <v>25130.936614961593</v>
      </c>
      <c r="AC77" s="43">
        <f t="shared" si="29"/>
        <v>25130.936614961593</v>
      </c>
      <c r="AD77" s="43">
        <f t="shared" si="29"/>
        <v>25130.936614961593</v>
      </c>
      <c r="AE77" s="43">
        <f t="shared" si="29"/>
        <v>25130.936614961593</v>
      </c>
      <c r="AF77" s="43">
        <f t="shared" si="29"/>
        <v>25130.936614961593</v>
      </c>
      <c r="AH77" s="43">
        <f t="shared" si="12"/>
        <v>319162.89501001226</v>
      </c>
      <c r="AI77" s="43">
        <f t="shared" si="13"/>
        <v>305750.91094286961</v>
      </c>
      <c r="AJ77" s="43">
        <f t="shared" si="14"/>
        <v>292950.70158756152</v>
      </c>
      <c r="AK77" s="43">
        <f t="shared" si="15"/>
        <v>280734.36143091659</v>
      </c>
      <c r="AL77" s="43">
        <f t="shared" si="16"/>
        <v>269075.25784282043</v>
      </c>
      <c r="AN77" s="43">
        <f t="shared" si="17"/>
        <v>6843154.0402540416</v>
      </c>
      <c r="AO77" s="43">
        <f t="shared" si="18"/>
        <v>6537403.1293111723</v>
      </c>
      <c r="AP77" s="43">
        <f t="shared" si="19"/>
        <v>6244452.4277236108</v>
      </c>
      <c r="AQ77" s="43">
        <f t="shared" si="20"/>
        <v>5963718.0662926938</v>
      </c>
      <c r="AR77" s="43">
        <f t="shared" si="21"/>
        <v>5694642.8084498737</v>
      </c>
      <c r="AT77" s="43">
        <f t="shared" si="30"/>
        <v>76366.438019503941</v>
      </c>
      <c r="AU77" s="43">
        <f t="shared" si="30"/>
        <v>80776.75254800632</v>
      </c>
      <c r="AV77" s="43">
        <f t="shared" si="30"/>
        <v>86889.937180839464</v>
      </c>
      <c r="AW77" s="43">
        <f t="shared" si="30"/>
        <v>88965.564000215352</v>
      </c>
      <c r="AX77" s="43">
        <f t="shared" si="30"/>
        <v>91976.870410494637</v>
      </c>
      <c r="AZ77" s="47">
        <f t="shared" si="22"/>
        <v>628196.57039815362</v>
      </c>
      <c r="BA77" s="47">
        <f t="shared" si="23"/>
        <v>602261.96675814467</v>
      </c>
      <c r="BB77" s="47">
        <f t="shared" si="24"/>
        <v>617129.83102189819</v>
      </c>
      <c r="BC77" s="47">
        <f t="shared" si="25"/>
        <v>596321.21195025428</v>
      </c>
      <c r="BD77" s="47">
        <f t="shared" si="26"/>
        <v>577448.55497441022</v>
      </c>
    </row>
    <row r="78" spans="2:56">
      <c r="B78" s="37">
        <f>'3. Input (des)investeringen '!B111</f>
        <v>1546</v>
      </c>
      <c r="C78" s="48"/>
      <c r="D78" s="48"/>
      <c r="E78" s="48"/>
      <c r="F78" s="42">
        <f>'3. Input (des)investeringen '!D111</f>
        <v>0</v>
      </c>
      <c r="G78" s="48"/>
      <c r="H78" s="37">
        <f>'3. Input (des)investeringen '!F111</f>
        <v>2020</v>
      </c>
      <c r="I78" s="42" t="str">
        <f>'3. Input (des)investeringen '!G111</f>
        <v>nvt</v>
      </c>
      <c r="J78" s="42">
        <f>'3. Input (des)investeringen '!H111</f>
        <v>55</v>
      </c>
      <c r="K78" s="42">
        <f>'3. Input (des)investeringen '!I111</f>
        <v>0</v>
      </c>
      <c r="M78" s="43">
        <f t="shared" si="0"/>
        <v>0</v>
      </c>
      <c r="N78" s="43">
        <f t="shared" si="1"/>
        <v>0</v>
      </c>
      <c r="P78" s="137">
        <f t="shared" si="27"/>
        <v>0</v>
      </c>
      <c r="Q78" s="137">
        <f t="shared" si="2"/>
        <v>0</v>
      </c>
      <c r="S78" s="43">
        <f t="shared" si="10"/>
        <v>0</v>
      </c>
      <c r="T78" s="38">
        <f t="shared" si="11"/>
        <v>53.5</v>
      </c>
      <c r="V78" s="43">
        <f t="shared" si="28"/>
        <v>0</v>
      </c>
      <c r="W78" s="43">
        <f t="shared" si="28"/>
        <v>0</v>
      </c>
      <c r="X78" s="43">
        <f t="shared" si="28"/>
        <v>0</v>
      </c>
      <c r="Y78" s="43">
        <f t="shared" si="28"/>
        <v>0</v>
      </c>
      <c r="Z78" s="43">
        <f t="shared" si="28"/>
        <v>0</v>
      </c>
      <c r="AB78" s="43">
        <f t="shared" si="29"/>
        <v>0</v>
      </c>
      <c r="AC78" s="43">
        <f t="shared" si="29"/>
        <v>0</v>
      </c>
      <c r="AD78" s="43">
        <f t="shared" si="29"/>
        <v>0</v>
      </c>
      <c r="AE78" s="43">
        <f t="shared" si="29"/>
        <v>0</v>
      </c>
      <c r="AF78" s="43">
        <f t="shared" si="29"/>
        <v>0</v>
      </c>
      <c r="AH78" s="43">
        <f t="shared" si="12"/>
        <v>0</v>
      </c>
      <c r="AI78" s="43">
        <f t="shared" si="13"/>
        <v>0</v>
      </c>
      <c r="AJ78" s="43">
        <f t="shared" si="14"/>
        <v>0</v>
      </c>
      <c r="AK78" s="43">
        <f t="shared" si="15"/>
        <v>0</v>
      </c>
      <c r="AL78" s="43">
        <f t="shared" si="16"/>
        <v>0</v>
      </c>
      <c r="AN78" s="43">
        <f t="shared" si="17"/>
        <v>0</v>
      </c>
      <c r="AO78" s="43">
        <f t="shared" si="18"/>
        <v>0</v>
      </c>
      <c r="AP78" s="43">
        <f t="shared" si="19"/>
        <v>0</v>
      </c>
      <c r="AQ78" s="43">
        <f t="shared" si="20"/>
        <v>0</v>
      </c>
      <c r="AR78" s="43">
        <f t="shared" si="21"/>
        <v>0</v>
      </c>
      <c r="AT78" s="43">
        <f t="shared" si="30"/>
        <v>0</v>
      </c>
      <c r="AU78" s="43">
        <f t="shared" si="30"/>
        <v>0</v>
      </c>
      <c r="AV78" s="43">
        <f t="shared" si="30"/>
        <v>0</v>
      </c>
      <c r="AW78" s="43">
        <f t="shared" si="30"/>
        <v>0</v>
      </c>
      <c r="AX78" s="43">
        <f t="shared" si="30"/>
        <v>0</v>
      </c>
      <c r="AZ78" s="47">
        <f t="shared" si="22"/>
        <v>0</v>
      </c>
      <c r="BA78" s="47">
        <f t="shared" si="23"/>
        <v>0</v>
      </c>
      <c r="BB78" s="47">
        <f t="shared" si="24"/>
        <v>0</v>
      </c>
      <c r="BC78" s="47">
        <f t="shared" si="25"/>
        <v>0</v>
      </c>
      <c r="BD78" s="47">
        <f t="shared" si="26"/>
        <v>0</v>
      </c>
    </row>
    <row r="79" spans="2:56">
      <c r="B79" s="37">
        <f>'3. Input (des)investeringen '!B112</f>
        <v>1547</v>
      </c>
      <c r="C79" s="48"/>
      <c r="D79" s="48"/>
      <c r="E79" s="48"/>
      <c r="F79" s="42">
        <f>'3. Input (des)investeringen '!D112</f>
        <v>0</v>
      </c>
      <c r="G79" s="48"/>
      <c r="H79" s="37">
        <f>'3. Input (des)investeringen '!F112</f>
        <v>2021</v>
      </c>
      <c r="I79" s="42" t="str">
        <f>'3. Input (des)investeringen '!G112</f>
        <v>nvt</v>
      </c>
      <c r="J79" s="42">
        <f>'3. Input (des)investeringen '!H112</f>
        <v>0</v>
      </c>
      <c r="K79" s="42">
        <f>'3. Input (des)investeringen '!I112</f>
        <v>1</v>
      </c>
      <c r="M79" s="43">
        <f t="shared" si="0"/>
        <v>0</v>
      </c>
      <c r="N79" s="43">
        <f t="shared" si="1"/>
        <v>0</v>
      </c>
      <c r="P79" s="137">
        <f t="shared" si="27"/>
        <v>0</v>
      </c>
      <c r="Q79" s="137">
        <f t="shared" si="2"/>
        <v>0</v>
      </c>
      <c r="S79" s="43">
        <f t="shared" si="10"/>
        <v>0</v>
      </c>
      <c r="T79" s="38">
        <f t="shared" si="11"/>
        <v>0</v>
      </c>
      <c r="V79" s="43">
        <f t="shared" si="28"/>
        <v>0</v>
      </c>
      <c r="W79" s="43">
        <f t="shared" si="28"/>
        <v>0</v>
      </c>
      <c r="X79" s="43">
        <f t="shared" si="28"/>
        <v>0</v>
      </c>
      <c r="Y79" s="43">
        <f t="shared" si="28"/>
        <v>0</v>
      </c>
      <c r="Z79" s="43">
        <f t="shared" si="28"/>
        <v>0</v>
      </c>
      <c r="AB79" s="43">
        <f t="shared" si="29"/>
        <v>0</v>
      </c>
      <c r="AC79" s="43">
        <f t="shared" si="29"/>
        <v>0</v>
      </c>
      <c r="AD79" s="43">
        <f t="shared" si="29"/>
        <v>0</v>
      </c>
      <c r="AE79" s="43">
        <f t="shared" si="29"/>
        <v>0</v>
      </c>
      <c r="AF79" s="43">
        <f t="shared" si="29"/>
        <v>0</v>
      </c>
      <c r="AH79" s="43">
        <f t="shared" si="12"/>
        <v>0</v>
      </c>
      <c r="AI79" s="43">
        <f t="shared" si="13"/>
        <v>0</v>
      </c>
      <c r="AJ79" s="43">
        <f t="shared" si="14"/>
        <v>0</v>
      </c>
      <c r="AK79" s="43">
        <f t="shared" si="15"/>
        <v>0</v>
      </c>
      <c r="AL79" s="43">
        <f t="shared" si="16"/>
        <v>0</v>
      </c>
      <c r="AN79" s="43">
        <f t="shared" si="17"/>
        <v>0</v>
      </c>
      <c r="AO79" s="43">
        <f t="shared" si="18"/>
        <v>0</v>
      </c>
      <c r="AP79" s="43">
        <f t="shared" si="19"/>
        <v>0</v>
      </c>
      <c r="AQ79" s="43">
        <f t="shared" si="20"/>
        <v>0</v>
      </c>
      <c r="AR79" s="43">
        <f t="shared" si="21"/>
        <v>0</v>
      </c>
      <c r="AT79" s="43">
        <f t="shared" si="30"/>
        <v>0</v>
      </c>
      <c r="AU79" s="43">
        <f t="shared" si="30"/>
        <v>0</v>
      </c>
      <c r="AV79" s="43">
        <f t="shared" si="30"/>
        <v>0</v>
      </c>
      <c r="AW79" s="43">
        <f t="shared" si="30"/>
        <v>0</v>
      </c>
      <c r="AX79" s="43">
        <f t="shared" si="30"/>
        <v>0</v>
      </c>
      <c r="AZ79" s="47">
        <f t="shared" si="22"/>
        <v>0</v>
      </c>
      <c r="BA79" s="47">
        <f t="shared" si="23"/>
        <v>0</v>
      </c>
      <c r="BB79" s="47">
        <f t="shared" si="24"/>
        <v>0</v>
      </c>
      <c r="BC79" s="47">
        <f t="shared" si="25"/>
        <v>0</v>
      </c>
      <c r="BD79" s="47">
        <f t="shared" si="26"/>
        <v>0</v>
      </c>
    </row>
    <row r="80" spans="2:56">
      <c r="B80" s="37">
        <f>'3. Input (des)investeringen '!B113</f>
        <v>1548</v>
      </c>
      <c r="C80" s="48"/>
      <c r="D80" s="48"/>
      <c r="E80" s="48"/>
      <c r="F80" s="42">
        <f>'3. Input (des)investeringen '!D113</f>
        <v>16674534.307636745</v>
      </c>
      <c r="G80" s="48"/>
      <c r="H80" s="37">
        <f>'3. Input (des)investeringen '!F113</f>
        <v>2021</v>
      </c>
      <c r="I80" s="42" t="str">
        <f>'3. Input (des)investeringen '!G113</f>
        <v>nvt</v>
      </c>
      <c r="J80" s="42">
        <f>'3. Input (des)investeringen '!H113</f>
        <v>5</v>
      </c>
      <c r="K80" s="42">
        <f>'3. Input (des)investeringen '!I113</f>
        <v>1</v>
      </c>
      <c r="M80" s="43">
        <f t="shared" si="0"/>
        <v>0</v>
      </c>
      <c r="N80" s="43">
        <f t="shared" si="1"/>
        <v>1667453.4307636747</v>
      </c>
      <c r="P80" s="137">
        <f t="shared" si="27"/>
        <v>0</v>
      </c>
      <c r="Q80" s="137">
        <f t="shared" si="2"/>
        <v>15007080.87687307</v>
      </c>
      <c r="S80" s="43">
        <f t="shared" si="10"/>
        <v>15007080.87687307</v>
      </c>
      <c r="T80" s="38">
        <f t="shared" si="11"/>
        <v>4.5</v>
      </c>
      <c r="V80" s="43">
        <f t="shared" si="28"/>
        <v>3901841.0279869991</v>
      </c>
      <c r="W80" s="43">
        <f t="shared" si="28"/>
        <v>2774642.5087907547</v>
      </c>
      <c r="X80" s="43">
        <f t="shared" si="28"/>
        <v>2731955.7009632038</v>
      </c>
      <c r="Y80" s="43">
        <f t="shared" si="28"/>
        <v>2731955.7009632038</v>
      </c>
      <c r="Z80" s="43">
        <f t="shared" si="28"/>
        <v>1365977.8504816019</v>
      </c>
      <c r="AB80" s="43">
        <f t="shared" si="29"/>
        <v>333490.68615273491</v>
      </c>
      <c r="AC80" s="43">
        <f t="shared" si="29"/>
        <v>333490.68615273491</v>
      </c>
      <c r="AD80" s="43">
        <f t="shared" si="29"/>
        <v>333490.68615273491</v>
      </c>
      <c r="AE80" s="43">
        <f t="shared" si="29"/>
        <v>333490.68615273491</v>
      </c>
      <c r="AF80" s="43">
        <f t="shared" si="29"/>
        <v>166745.34307636746</v>
      </c>
      <c r="AH80" s="43">
        <f t="shared" si="12"/>
        <v>4235331.7141397344</v>
      </c>
      <c r="AI80" s="43">
        <f t="shared" si="13"/>
        <v>3108133.1949434895</v>
      </c>
      <c r="AJ80" s="43">
        <f t="shared" si="14"/>
        <v>3065446.3871159386</v>
      </c>
      <c r="AK80" s="43">
        <f t="shared" si="15"/>
        <v>3065446.3871159386</v>
      </c>
      <c r="AL80" s="43">
        <f t="shared" si="16"/>
        <v>1532723.1935579693</v>
      </c>
      <c r="AN80" s="43">
        <f t="shared" si="17"/>
        <v>10771749.162733335</v>
      </c>
      <c r="AO80" s="43">
        <f t="shared" si="18"/>
        <v>7663615.9677898455</v>
      </c>
      <c r="AP80" s="43">
        <f t="shared" si="19"/>
        <v>4598169.580673907</v>
      </c>
      <c r="AQ80" s="43">
        <f t="shared" si="20"/>
        <v>1532723.1935579684</v>
      </c>
      <c r="AR80" s="43">
        <f t="shared" si="21"/>
        <v>0</v>
      </c>
      <c r="AT80" s="43">
        <f t="shared" si="30"/>
        <v>169067.77221473513</v>
      </c>
      <c r="AU80" s="43">
        <f t="shared" si="30"/>
        <v>178831.77419568048</v>
      </c>
      <c r="AV80" s="43">
        <f t="shared" si="30"/>
        <v>192365.76286680959</v>
      </c>
      <c r="AW80" s="43">
        <f t="shared" si="30"/>
        <v>196960.99621017193</v>
      </c>
      <c r="AX80" s="43">
        <f t="shared" si="30"/>
        <v>203627.73200989384</v>
      </c>
      <c r="AZ80" s="47">
        <f t="shared" si="22"/>
        <v>4770638.9578874027</v>
      </c>
      <c r="BA80" s="47">
        <f t="shared" si="23"/>
        <v>3539864.2960762349</v>
      </c>
      <c r="BB80" s="47">
        <f t="shared" si="24"/>
        <v>3432542.5940483566</v>
      </c>
      <c r="BC80" s="47">
        <f t="shared" si="25"/>
        <v>3320650.8646813133</v>
      </c>
      <c r="BD80" s="47">
        <f t="shared" si="26"/>
        <v>1736350.925567863</v>
      </c>
    </row>
    <row r="81" spans="2:56">
      <c r="B81" s="37">
        <f>'3. Input (des)investeringen '!B114</f>
        <v>1549</v>
      </c>
      <c r="C81" s="48"/>
      <c r="D81" s="48"/>
      <c r="E81" s="48"/>
      <c r="F81" s="42">
        <f>'3. Input (des)investeringen '!D114</f>
        <v>5057746.3074202398</v>
      </c>
      <c r="G81" s="48"/>
      <c r="H81" s="37">
        <f>'3. Input (des)investeringen '!F114</f>
        <v>2021</v>
      </c>
      <c r="I81" s="42" t="str">
        <f>'3. Input (des)investeringen '!G114</f>
        <v>nvt</v>
      </c>
      <c r="J81" s="42">
        <f>'3. Input (des)investeringen '!H114</f>
        <v>10</v>
      </c>
      <c r="K81" s="42">
        <f>'3. Input (des)investeringen '!I114</f>
        <v>1</v>
      </c>
      <c r="M81" s="43">
        <f t="shared" si="0"/>
        <v>0</v>
      </c>
      <c r="N81" s="43">
        <f t="shared" si="1"/>
        <v>252887.315371012</v>
      </c>
      <c r="P81" s="137">
        <f t="shared" si="27"/>
        <v>0</v>
      </c>
      <c r="Q81" s="137">
        <f t="shared" si="2"/>
        <v>4804858.9920492275</v>
      </c>
      <c r="S81" s="43">
        <f t="shared" si="10"/>
        <v>4804858.9920492275</v>
      </c>
      <c r="T81" s="38">
        <f t="shared" si="11"/>
        <v>9.5</v>
      </c>
      <c r="V81" s="43">
        <f t="shared" ref="V81:Z90" si="31">IF($J81=0, 0, IF(OR($H81&gt;V$59,$H81+$J81&lt;V$59),0,
IF(OR($H81=2020,$H81=2021),VDB($S81*(1-$F$28),0,$T81,V$59-2022,MIN($T81,V$59-2021),$F$22,FALSE),
VDB($S81*(1-$F$28),0,$T81,MAX(0,V$59-$H81-0.5),MIN($T81,V$59-$H81+0.5),$F$22,FALSE))))</f>
        <v>591756.31796816806</v>
      </c>
      <c r="W81" s="43">
        <f t="shared" si="31"/>
        <v>510779.13761462923</v>
      </c>
      <c r="X81" s="43">
        <f t="shared" si="31"/>
        <v>440883.04509894311</v>
      </c>
      <c r="Y81" s="43">
        <f t="shared" si="31"/>
        <v>427839.16802500986</v>
      </c>
      <c r="Z81" s="43">
        <f t="shared" si="31"/>
        <v>427839.16802500986</v>
      </c>
      <c r="AB81" s="43">
        <f t="shared" ref="AB81:AF90" si="32">IF($J81=0, 0, IF(OR($H81&gt;AB$59,$H81+$J81&lt;AB$59),0,
IF(OR($H81=2020,$H81=2021),VDB($S81*$F$28,0,$T81,AB$59-2022,MIN($T81,AB$59-2021),1),
VDB($S81*$F$28,0,$T81,MAX(0,AB$59-$H81-0.5),MIN($T81,AB$59-$H81+0.5),1))))</f>
        <v>50577.463074202395</v>
      </c>
      <c r="AC81" s="43">
        <f t="shared" si="32"/>
        <v>50577.463074202395</v>
      </c>
      <c r="AD81" s="43">
        <f t="shared" si="32"/>
        <v>50577.463074202395</v>
      </c>
      <c r="AE81" s="43">
        <f t="shared" si="32"/>
        <v>50577.463074202395</v>
      </c>
      <c r="AF81" s="43">
        <f t="shared" si="32"/>
        <v>50577.463074202395</v>
      </c>
      <c r="AH81" s="43">
        <f t="shared" si="12"/>
        <v>642333.78104237048</v>
      </c>
      <c r="AI81" s="43">
        <f t="shared" si="13"/>
        <v>561356.60068883165</v>
      </c>
      <c r="AJ81" s="43">
        <f t="shared" si="14"/>
        <v>491460.50817314553</v>
      </c>
      <c r="AK81" s="43">
        <f t="shared" si="15"/>
        <v>478416.63109921227</v>
      </c>
      <c r="AL81" s="43">
        <f t="shared" si="16"/>
        <v>478416.63109921227</v>
      </c>
      <c r="AN81" s="43">
        <f t="shared" si="17"/>
        <v>4162525.211006857</v>
      </c>
      <c r="AO81" s="43">
        <f t="shared" si="18"/>
        <v>3601168.6103180256</v>
      </c>
      <c r="AP81" s="43">
        <f t="shared" si="19"/>
        <v>3109708.1021448802</v>
      </c>
      <c r="AQ81" s="43">
        <f t="shared" si="20"/>
        <v>2631291.4710456678</v>
      </c>
      <c r="AR81" s="43">
        <f t="shared" si="21"/>
        <v>2152874.8399464553</v>
      </c>
      <c r="AT81" s="43">
        <f t="shared" ref="AT81:AX90" si="33">IF($H81&lt;=AT$59,$F81*INDEX($H$40:$N$46,$H81-2019,AT$59-2019)*INDEX($H$49:$N$55,$H81-2019,AT$59-2019)*$F$19,0)</f>
        <v>51281.905979899886</v>
      </c>
      <c r="AU81" s="43">
        <f t="shared" si="33"/>
        <v>54243.538614051075</v>
      </c>
      <c r="AV81" s="43">
        <f t="shared" si="33"/>
        <v>58348.689616362455</v>
      </c>
      <c r="AW81" s="43">
        <f t="shared" si="33"/>
        <v>59742.52311391812</v>
      </c>
      <c r="AX81" s="43">
        <f t="shared" si="33"/>
        <v>61764.688036278014</v>
      </c>
      <c r="AZ81" s="47">
        <f t="shared" si="22"/>
        <v>835141.54419650359</v>
      </c>
      <c r="BA81" s="47">
        <f t="shared" si="23"/>
        <v>734438.70344337763</v>
      </c>
      <c r="BB81" s="47">
        <f t="shared" si="24"/>
        <v>667978.10567101347</v>
      </c>
      <c r="BC81" s="47">
        <f t="shared" si="25"/>
        <v>638148.2301128658</v>
      </c>
      <c r="BD81" s="47">
        <f t="shared" si="26"/>
        <v>621990.56305345555</v>
      </c>
    </row>
    <row r="82" spans="2:56">
      <c r="B82" s="37">
        <f>'3. Input (des)investeringen '!B115</f>
        <v>1550</v>
      </c>
      <c r="C82" s="48"/>
      <c r="D82" s="48"/>
      <c r="E82" s="48"/>
      <c r="F82" s="42">
        <f>'3. Input (des)investeringen '!D115</f>
        <v>23857053.29424395</v>
      </c>
      <c r="G82" s="48"/>
      <c r="H82" s="37">
        <f>'3. Input (des)investeringen '!F115</f>
        <v>2021</v>
      </c>
      <c r="I82" s="42" t="str">
        <f>'3. Input (des)investeringen '!G115</f>
        <v>nvt</v>
      </c>
      <c r="J82" s="42">
        <f>'3. Input (des)investeringen '!H115</f>
        <v>15</v>
      </c>
      <c r="K82" s="42">
        <f>'3. Input (des)investeringen '!I115</f>
        <v>1</v>
      </c>
      <c r="M82" s="43">
        <f t="shared" si="0"/>
        <v>0</v>
      </c>
      <c r="N82" s="43">
        <f t="shared" si="1"/>
        <v>795235.1098081317</v>
      </c>
      <c r="P82" s="137">
        <f t="shared" si="27"/>
        <v>0</v>
      </c>
      <c r="Q82" s="137">
        <f t="shared" si="2"/>
        <v>23061818.184435818</v>
      </c>
      <c r="S82" s="43">
        <f t="shared" si="10"/>
        <v>23061818.184435818</v>
      </c>
      <c r="T82" s="38">
        <f t="shared" si="11"/>
        <v>14.5</v>
      </c>
      <c r="V82" s="43">
        <f t="shared" si="31"/>
        <v>1860850.1569510282</v>
      </c>
      <c r="W82" s="43">
        <f t="shared" si="31"/>
        <v>1694015.3152933496</v>
      </c>
      <c r="X82" s="43">
        <f t="shared" si="31"/>
        <v>1542138.0801291184</v>
      </c>
      <c r="Y82" s="43">
        <f t="shared" si="31"/>
        <v>1403877.4246692664</v>
      </c>
      <c r="Z82" s="43">
        <f t="shared" si="31"/>
        <v>1357595.7513285214</v>
      </c>
      <c r="AB82" s="43">
        <f t="shared" si="32"/>
        <v>159047.02196162633</v>
      </c>
      <c r="AC82" s="43">
        <f t="shared" si="32"/>
        <v>159047.02196162636</v>
      </c>
      <c r="AD82" s="43">
        <f t="shared" si="32"/>
        <v>159047.02196162636</v>
      </c>
      <c r="AE82" s="43">
        <f t="shared" si="32"/>
        <v>159047.02196162636</v>
      </c>
      <c r="AF82" s="43">
        <f t="shared" si="32"/>
        <v>159047.02196162636</v>
      </c>
      <c r="AH82" s="43">
        <f t="shared" si="12"/>
        <v>2019897.1789126545</v>
      </c>
      <c r="AI82" s="43">
        <f t="shared" si="13"/>
        <v>1853062.3372549759</v>
      </c>
      <c r="AJ82" s="43">
        <f t="shared" si="14"/>
        <v>1701185.1020907448</v>
      </c>
      <c r="AK82" s="43">
        <f t="shared" si="15"/>
        <v>1562924.4466308928</v>
      </c>
      <c r="AL82" s="43">
        <f t="shared" si="16"/>
        <v>1516642.7732901478</v>
      </c>
      <c r="AN82" s="43">
        <f t="shared" si="17"/>
        <v>21041921.005523164</v>
      </c>
      <c r="AO82" s="43">
        <f t="shared" si="18"/>
        <v>19188858.668268189</v>
      </c>
      <c r="AP82" s="43">
        <f t="shared" si="19"/>
        <v>17487673.566177443</v>
      </c>
      <c r="AQ82" s="43">
        <f t="shared" si="20"/>
        <v>15924749.119546549</v>
      </c>
      <c r="AR82" s="43">
        <f t="shared" si="21"/>
        <v>14408106.346256401</v>
      </c>
      <c r="AT82" s="43">
        <f t="shared" si="33"/>
        <v>241893.34332526181</v>
      </c>
      <c r="AU82" s="43">
        <f t="shared" si="33"/>
        <v>255863.1676889823</v>
      </c>
      <c r="AV82" s="43">
        <f t="shared" si="33"/>
        <v>275226.89221968449</v>
      </c>
      <c r="AW82" s="43">
        <f t="shared" si="33"/>
        <v>281801.51222102839</v>
      </c>
      <c r="AX82" s="43">
        <f t="shared" si="33"/>
        <v>291339.92980668566</v>
      </c>
      <c r="AZ82" s="47">
        <f t="shared" si="22"/>
        <v>2977215.836425704</v>
      </c>
      <c r="BA82" s="47">
        <f t="shared" si="23"/>
        <v>2742157.8409968084</v>
      </c>
      <c r="BB82" s="47">
        <f t="shared" si="24"/>
        <v>2640943.589825172</v>
      </c>
      <c r="BC82" s="47">
        <f t="shared" si="25"/>
        <v>2449866.4253946901</v>
      </c>
      <c r="BD82" s="47">
        <f t="shared" si="26"/>
        <v>2355490.7442545765</v>
      </c>
    </row>
    <row r="83" spans="2:56">
      <c r="B83" s="37">
        <f>'3. Input (des)investeringen '!B116</f>
        <v>1551</v>
      </c>
      <c r="C83" s="48"/>
      <c r="D83" s="48"/>
      <c r="E83" s="48"/>
      <c r="F83" s="42">
        <f>'3. Input (des)investeringen '!D116</f>
        <v>29301462.7172231</v>
      </c>
      <c r="G83" s="48"/>
      <c r="H83" s="37">
        <f>'3. Input (des)investeringen '!F116</f>
        <v>2021</v>
      </c>
      <c r="I83" s="42" t="str">
        <f>'3. Input (des)investeringen '!G116</f>
        <v>nvt</v>
      </c>
      <c r="J83" s="42">
        <f>'3. Input (des)investeringen '!H116</f>
        <v>30</v>
      </c>
      <c r="K83" s="42">
        <f>'3. Input (des)investeringen '!I116</f>
        <v>1</v>
      </c>
      <c r="M83" s="43">
        <f t="shared" si="0"/>
        <v>0</v>
      </c>
      <c r="N83" s="43">
        <f t="shared" si="1"/>
        <v>488357.71195371833</v>
      </c>
      <c r="P83" s="137">
        <f t="shared" si="27"/>
        <v>0</v>
      </c>
      <c r="Q83" s="137">
        <f t="shared" si="2"/>
        <v>28813105.005269382</v>
      </c>
      <c r="S83" s="43">
        <f t="shared" si="10"/>
        <v>28813105.005269382</v>
      </c>
      <c r="T83" s="38">
        <f t="shared" si="11"/>
        <v>29.5</v>
      </c>
      <c r="V83" s="43">
        <f t="shared" si="31"/>
        <v>1142757.0459717009</v>
      </c>
      <c r="W83" s="43">
        <f t="shared" si="31"/>
        <v>1092398.2608949819</v>
      </c>
      <c r="X83" s="43">
        <f t="shared" si="31"/>
        <v>1044258.6765165591</v>
      </c>
      <c r="Y83" s="43">
        <f t="shared" si="31"/>
        <v>998240.49755142257</v>
      </c>
      <c r="Z83" s="43">
        <f t="shared" si="31"/>
        <v>954250.2383372921</v>
      </c>
      <c r="AB83" s="43">
        <f t="shared" si="32"/>
        <v>97671.542390743678</v>
      </c>
      <c r="AC83" s="43">
        <f t="shared" si="32"/>
        <v>97671.542390743678</v>
      </c>
      <c r="AD83" s="43">
        <f t="shared" si="32"/>
        <v>97671.542390743678</v>
      </c>
      <c r="AE83" s="43">
        <f t="shared" si="32"/>
        <v>97671.542390743678</v>
      </c>
      <c r="AF83" s="43">
        <f t="shared" si="32"/>
        <v>97671.542390743678</v>
      </c>
      <c r="AH83" s="43">
        <f t="shared" si="12"/>
        <v>1240428.5883624447</v>
      </c>
      <c r="AI83" s="43">
        <f t="shared" si="13"/>
        <v>1190069.8032857256</v>
      </c>
      <c r="AJ83" s="43">
        <f t="shared" si="14"/>
        <v>1141930.2189073027</v>
      </c>
      <c r="AK83" s="43">
        <f t="shared" si="15"/>
        <v>1095912.0399421663</v>
      </c>
      <c r="AL83" s="43">
        <f t="shared" si="16"/>
        <v>1051921.7807280358</v>
      </c>
      <c r="AN83" s="43">
        <f t="shared" si="17"/>
        <v>27572676.416906938</v>
      </c>
      <c r="AO83" s="43">
        <f t="shared" si="18"/>
        <v>26382606.613621213</v>
      </c>
      <c r="AP83" s="43">
        <f t="shared" si="19"/>
        <v>25240676.394713908</v>
      </c>
      <c r="AQ83" s="43">
        <f t="shared" si="20"/>
        <v>24144764.354771741</v>
      </c>
      <c r="AR83" s="43">
        <f t="shared" si="21"/>
        <v>23092842.574043706</v>
      </c>
      <c r="AT83" s="43">
        <f t="shared" si="33"/>
        <v>297095.73489948583</v>
      </c>
      <c r="AU83" s="43">
        <f t="shared" si="33"/>
        <v>314253.60778140096</v>
      </c>
      <c r="AV83" s="43">
        <f t="shared" si="33"/>
        <v>338036.32081829745</v>
      </c>
      <c r="AW83" s="43">
        <f t="shared" si="33"/>
        <v>346111.33245000488</v>
      </c>
      <c r="AX83" s="43">
        <f t="shared" si="33"/>
        <v>357826.5088307726</v>
      </c>
      <c r="AZ83" s="47">
        <f t="shared" si="22"/>
        <v>2474995.3214367665</v>
      </c>
      <c r="BA83" s="47">
        <f t="shared" si="23"/>
        <v>2374949.4293166269</v>
      </c>
      <c r="BB83" s="47">
        <f t="shared" si="24"/>
        <v>2439112.2427247288</v>
      </c>
      <c r="BC83" s="47">
        <f t="shared" si="25"/>
        <v>2359524.4178734971</v>
      </c>
      <c r="BD83" s="47">
        <f t="shared" si="26"/>
        <v>2287276.3073724695</v>
      </c>
    </row>
    <row r="84" spans="2:56">
      <c r="B84" s="37">
        <f>'3. Input (des)investeringen '!B117</f>
        <v>1552</v>
      </c>
      <c r="C84" s="48"/>
      <c r="D84" s="48"/>
      <c r="E84" s="48"/>
      <c r="F84" s="42">
        <f>'3. Input (des)investeringen '!D117</f>
        <v>81110584.954272762</v>
      </c>
      <c r="G84" s="48"/>
      <c r="H84" s="37">
        <f>'3. Input (des)investeringen '!F117</f>
        <v>2021</v>
      </c>
      <c r="I84" s="42" t="str">
        <f>'3. Input (des)investeringen '!G117</f>
        <v>nvt</v>
      </c>
      <c r="J84" s="42">
        <f>'3. Input (des)investeringen '!H117</f>
        <v>55</v>
      </c>
      <c r="K84" s="42">
        <f>'3. Input (des)investeringen '!I117</f>
        <v>1</v>
      </c>
      <c r="M84" s="43">
        <f t="shared" si="0"/>
        <v>0</v>
      </c>
      <c r="N84" s="43">
        <f t="shared" si="1"/>
        <v>737368.95412975235</v>
      </c>
      <c r="P84" s="137">
        <f t="shared" si="27"/>
        <v>0</v>
      </c>
      <c r="Q84" s="137">
        <f t="shared" si="2"/>
        <v>80373216.000143006</v>
      </c>
      <c r="S84" s="43">
        <f t="shared" si="10"/>
        <v>80373216.000143006</v>
      </c>
      <c r="T84" s="38">
        <f t="shared" si="11"/>
        <v>54.5</v>
      </c>
      <c r="V84" s="43">
        <f t="shared" si="31"/>
        <v>1725443.3526636206</v>
      </c>
      <c r="W84" s="43">
        <f t="shared" si="31"/>
        <v>1684285.9882881581</v>
      </c>
      <c r="X84" s="43">
        <f t="shared" si="31"/>
        <v>1644110.3592097249</v>
      </c>
      <c r="Y84" s="43">
        <f t="shared" si="31"/>
        <v>1604893.0478891258</v>
      </c>
      <c r="Z84" s="43">
        <f t="shared" si="31"/>
        <v>1566611.1953706695</v>
      </c>
      <c r="AB84" s="43">
        <f t="shared" si="32"/>
        <v>147473.79082595048</v>
      </c>
      <c r="AC84" s="43">
        <f t="shared" si="32"/>
        <v>147473.79082595048</v>
      </c>
      <c r="AD84" s="43">
        <f t="shared" si="32"/>
        <v>147473.79082595048</v>
      </c>
      <c r="AE84" s="43">
        <f t="shared" si="32"/>
        <v>147473.79082595048</v>
      </c>
      <c r="AF84" s="43">
        <f t="shared" si="32"/>
        <v>147473.79082595048</v>
      </c>
      <c r="AH84" s="43">
        <f t="shared" si="12"/>
        <v>1872917.1434895711</v>
      </c>
      <c r="AI84" s="43">
        <f t="shared" si="13"/>
        <v>1831759.7791141085</v>
      </c>
      <c r="AJ84" s="43">
        <f t="shared" si="14"/>
        <v>1791584.1500356754</v>
      </c>
      <c r="AK84" s="43">
        <f t="shared" si="15"/>
        <v>1752366.8387150762</v>
      </c>
      <c r="AL84" s="43">
        <f t="shared" si="16"/>
        <v>1714084.9861966199</v>
      </c>
      <c r="AN84" s="43">
        <f t="shared" si="17"/>
        <v>78500298.856653437</v>
      </c>
      <c r="AO84" s="43">
        <f t="shared" si="18"/>
        <v>76668539.077539325</v>
      </c>
      <c r="AP84" s="43">
        <f t="shared" si="19"/>
        <v>74876954.927503645</v>
      </c>
      <c r="AQ84" s="43">
        <f t="shared" si="20"/>
        <v>73124588.088788569</v>
      </c>
      <c r="AR84" s="43">
        <f t="shared" si="21"/>
        <v>71410503.102591947</v>
      </c>
      <c r="AT84" s="43">
        <f t="shared" si="33"/>
        <v>822402.93181515869</v>
      </c>
      <c r="AU84" s="43">
        <f t="shared" si="33"/>
        <v>869898.34593334782</v>
      </c>
      <c r="AV84" s="43">
        <f t="shared" si="33"/>
        <v>935732.25275358371</v>
      </c>
      <c r="AW84" s="43">
        <f t="shared" si="33"/>
        <v>958085.02480736119</v>
      </c>
      <c r="AX84" s="43">
        <f t="shared" si="33"/>
        <v>990514.28672704054</v>
      </c>
      <c r="AZ84" s="47">
        <f t="shared" si="22"/>
        <v>5364330.2364309467</v>
      </c>
      <c r="BA84" s="47">
        <f t="shared" si="23"/>
        <v>5231719.9146062545</v>
      </c>
      <c r="BB84" s="47">
        <f t="shared" si="24"/>
        <v>5572640.6900343979</v>
      </c>
      <c r="BC84" s="47">
        <f t="shared" si="25"/>
        <v>5489186.2108964026</v>
      </c>
      <c r="BD84" s="47">
        <f t="shared" si="26"/>
        <v>5418198.3908221554</v>
      </c>
    </row>
    <row r="85" spans="2:56">
      <c r="B85" s="37">
        <f>'3. Input (des)investeringen '!B118</f>
        <v>1553</v>
      </c>
      <c r="C85" s="48"/>
      <c r="D85" s="48"/>
      <c r="E85" s="48"/>
      <c r="F85" s="42">
        <f>'3. Input (des)investeringen '!D118</f>
        <v>-30959.437980156832</v>
      </c>
      <c r="G85" s="48"/>
      <c r="H85" s="37">
        <f>'3. Input (des)investeringen '!F118</f>
        <v>2021</v>
      </c>
      <c r="I85" s="42" t="str">
        <f>'3. Input (des)investeringen '!G118</f>
        <v>nvt</v>
      </c>
      <c r="J85" s="42">
        <f>'3. Input (des)investeringen '!H118</f>
        <v>0</v>
      </c>
      <c r="K85" s="42">
        <f>'3. Input (des)investeringen '!I118</f>
        <v>0</v>
      </c>
      <c r="M85" s="43">
        <f t="shared" si="0"/>
        <v>0</v>
      </c>
      <c r="N85" s="43">
        <f t="shared" si="1"/>
        <v>0</v>
      </c>
      <c r="P85" s="137">
        <f t="shared" si="27"/>
        <v>0</v>
      </c>
      <c r="Q85" s="137">
        <f t="shared" si="2"/>
        <v>-30959.437980156832</v>
      </c>
      <c r="S85" s="43">
        <f t="shared" si="10"/>
        <v>-30959.437980156832</v>
      </c>
      <c r="T85" s="38">
        <f t="shared" si="11"/>
        <v>0</v>
      </c>
      <c r="V85" s="43">
        <f t="shared" si="31"/>
        <v>0</v>
      </c>
      <c r="W85" s="43">
        <f t="shared" si="31"/>
        <v>0</v>
      </c>
      <c r="X85" s="43">
        <f t="shared" si="31"/>
        <v>0</v>
      </c>
      <c r="Y85" s="43">
        <f t="shared" si="31"/>
        <v>0</v>
      </c>
      <c r="Z85" s="43">
        <f t="shared" si="31"/>
        <v>0</v>
      </c>
      <c r="AB85" s="43">
        <f t="shared" si="32"/>
        <v>0</v>
      </c>
      <c r="AC85" s="43">
        <f t="shared" si="32"/>
        <v>0</v>
      </c>
      <c r="AD85" s="43">
        <f t="shared" si="32"/>
        <v>0</v>
      </c>
      <c r="AE85" s="43">
        <f t="shared" si="32"/>
        <v>0</v>
      </c>
      <c r="AF85" s="43">
        <f t="shared" si="32"/>
        <v>0</v>
      </c>
      <c r="AH85" s="43">
        <f t="shared" si="12"/>
        <v>0</v>
      </c>
      <c r="AI85" s="43">
        <f t="shared" si="13"/>
        <v>0</v>
      </c>
      <c r="AJ85" s="43">
        <f t="shared" si="14"/>
        <v>0</v>
      </c>
      <c r="AK85" s="43">
        <f t="shared" si="15"/>
        <v>0</v>
      </c>
      <c r="AL85" s="43">
        <f t="shared" si="16"/>
        <v>0</v>
      </c>
      <c r="AN85" s="43">
        <f t="shared" si="17"/>
        <v>-30959.437980156832</v>
      </c>
      <c r="AO85" s="43">
        <f t="shared" si="18"/>
        <v>-30959.437980156832</v>
      </c>
      <c r="AP85" s="43">
        <f t="shared" si="19"/>
        <v>-30959.437980156832</v>
      </c>
      <c r="AQ85" s="43">
        <f t="shared" si="20"/>
        <v>-30959.437980156832</v>
      </c>
      <c r="AR85" s="43">
        <f t="shared" si="21"/>
        <v>-30959.437980156832</v>
      </c>
      <c r="AT85" s="43">
        <f t="shared" si="33"/>
        <v>-313.90641032344456</v>
      </c>
      <c r="AU85" s="43">
        <f t="shared" si="33"/>
        <v>-332.03513333244416</v>
      </c>
      <c r="AV85" s="43">
        <f t="shared" si="33"/>
        <v>-357.1635522230435</v>
      </c>
      <c r="AW85" s="43">
        <f t="shared" si="33"/>
        <v>-365.69547515854759</v>
      </c>
      <c r="AX85" s="43">
        <f t="shared" si="33"/>
        <v>-378.07353560171413</v>
      </c>
      <c r="AZ85" s="47">
        <f t="shared" si="22"/>
        <v>-1366.527301648777</v>
      </c>
      <c r="BA85" s="47">
        <f t="shared" si="23"/>
        <v>-1353.6965866776195</v>
      </c>
      <c r="BB85" s="47">
        <f t="shared" si="24"/>
        <v>-1533.6221954690031</v>
      </c>
      <c r="BC85" s="47">
        <f t="shared" si="25"/>
        <v>-1542.1541184045072</v>
      </c>
      <c r="BD85" s="47">
        <f t="shared" si="26"/>
        <v>-1554.5321788476738</v>
      </c>
    </row>
    <row r="86" spans="2:56">
      <c r="B86" s="37">
        <f>'3. Input (des)investeringen '!B119</f>
        <v>1554</v>
      </c>
      <c r="C86" s="48"/>
      <c r="D86" s="48"/>
      <c r="E86" s="48"/>
      <c r="F86" s="42">
        <f>'3. Input (des)investeringen '!D119</f>
        <v>436048.00524345576</v>
      </c>
      <c r="G86" s="48"/>
      <c r="H86" s="37">
        <f>'3. Input (des)investeringen '!F119</f>
        <v>2021</v>
      </c>
      <c r="I86" s="42" t="str">
        <f>'3. Input (des)investeringen '!G119</f>
        <v>nvt</v>
      </c>
      <c r="J86" s="42">
        <f>'3. Input (des)investeringen '!H119</f>
        <v>5</v>
      </c>
      <c r="K86" s="42">
        <f>'3. Input (des)investeringen '!I119</f>
        <v>0</v>
      </c>
      <c r="M86" s="43">
        <f t="shared" si="0"/>
        <v>0</v>
      </c>
      <c r="N86" s="43">
        <f t="shared" si="1"/>
        <v>43604.800524345577</v>
      </c>
      <c r="P86" s="137">
        <f t="shared" si="27"/>
        <v>0</v>
      </c>
      <c r="Q86" s="137">
        <f t="shared" si="2"/>
        <v>392443.20471911016</v>
      </c>
      <c r="S86" s="43">
        <f t="shared" si="10"/>
        <v>392443.20471911016</v>
      </c>
      <c r="T86" s="38">
        <f t="shared" si="11"/>
        <v>4.5</v>
      </c>
      <c r="V86" s="43">
        <f t="shared" si="31"/>
        <v>102035.23322696866</v>
      </c>
      <c r="W86" s="43">
        <f t="shared" si="31"/>
        <v>72558.388072511036</v>
      </c>
      <c r="X86" s="43">
        <f t="shared" si="31"/>
        <v>71442.105179087783</v>
      </c>
      <c r="Y86" s="43">
        <f t="shared" si="31"/>
        <v>71442.105179087783</v>
      </c>
      <c r="Z86" s="43">
        <f t="shared" si="31"/>
        <v>35721.052589543891</v>
      </c>
      <c r="AB86" s="43">
        <f t="shared" si="32"/>
        <v>8720.9601048691147</v>
      </c>
      <c r="AC86" s="43">
        <f t="shared" si="32"/>
        <v>8720.9601048691147</v>
      </c>
      <c r="AD86" s="43">
        <f t="shared" si="32"/>
        <v>8720.9601048691147</v>
      </c>
      <c r="AE86" s="43">
        <f t="shared" si="32"/>
        <v>8720.9601048691147</v>
      </c>
      <c r="AF86" s="43">
        <f t="shared" si="32"/>
        <v>4360.4800524345574</v>
      </c>
      <c r="AH86" s="43">
        <f t="shared" si="12"/>
        <v>110756.19333183777</v>
      </c>
      <c r="AI86" s="43">
        <f t="shared" si="13"/>
        <v>81279.348177380147</v>
      </c>
      <c r="AJ86" s="43">
        <f t="shared" si="14"/>
        <v>80163.065283956894</v>
      </c>
      <c r="AK86" s="43">
        <f t="shared" si="15"/>
        <v>80163.065283956894</v>
      </c>
      <c r="AL86" s="43">
        <f t="shared" si="16"/>
        <v>40081.532641978447</v>
      </c>
      <c r="AN86" s="43">
        <f t="shared" si="17"/>
        <v>281687.01138727239</v>
      </c>
      <c r="AO86" s="43">
        <f t="shared" si="18"/>
        <v>200407.66320989223</v>
      </c>
      <c r="AP86" s="43">
        <f t="shared" si="19"/>
        <v>120244.59792593533</v>
      </c>
      <c r="AQ86" s="43">
        <f t="shared" si="20"/>
        <v>40081.53264197844</v>
      </c>
      <c r="AR86" s="43">
        <f t="shared" si="21"/>
        <v>0</v>
      </c>
      <c r="AT86" s="43">
        <f t="shared" si="33"/>
        <v>4421.2128186048658</v>
      </c>
      <c r="AU86" s="43">
        <f t="shared" si="33"/>
        <v>4676.5467013049338</v>
      </c>
      <c r="AV86" s="43">
        <f t="shared" si="33"/>
        <v>5030.4677556596916</v>
      </c>
      <c r="AW86" s="43">
        <f t="shared" si="33"/>
        <v>5150.6355694068907</v>
      </c>
      <c r="AX86" s="43">
        <f t="shared" si="33"/>
        <v>5324.9742821601758</v>
      </c>
      <c r="AZ86" s="47">
        <f t="shared" si="22"/>
        <v>124754.7645376099</v>
      </c>
      <c r="BA86" s="47">
        <f t="shared" si="23"/>
        <v>92569.347764611521</v>
      </c>
      <c r="BB86" s="47">
        <f t="shared" si="24"/>
        <v>89762.827760802116</v>
      </c>
      <c r="BC86" s="47">
        <f t="shared" si="25"/>
        <v>86836.799093758964</v>
      </c>
      <c r="BD86" s="47">
        <f t="shared" si="26"/>
        <v>45406.506924138623</v>
      </c>
    </row>
    <row r="87" spans="2:56">
      <c r="B87" s="37">
        <f>'3. Input (des)investeringen '!B120</f>
        <v>1555</v>
      </c>
      <c r="C87" s="48"/>
      <c r="D87" s="48"/>
      <c r="E87" s="48"/>
      <c r="F87" s="42">
        <f>'3. Input (des)investeringen '!D120</f>
        <v>1563699.3217659162</v>
      </c>
      <c r="G87" s="48"/>
      <c r="H87" s="37">
        <f>'3. Input (des)investeringen '!F120</f>
        <v>2021</v>
      </c>
      <c r="I87" s="42" t="str">
        <f>'3. Input (des)investeringen '!G120</f>
        <v>nvt</v>
      </c>
      <c r="J87" s="42">
        <f>'3. Input (des)investeringen '!H120</f>
        <v>10</v>
      </c>
      <c r="K87" s="42">
        <f>'3. Input (des)investeringen '!I120</f>
        <v>0</v>
      </c>
      <c r="M87" s="43">
        <f t="shared" si="0"/>
        <v>0</v>
      </c>
      <c r="N87" s="43">
        <f t="shared" si="1"/>
        <v>78184.966088295812</v>
      </c>
      <c r="P87" s="137">
        <f t="shared" si="27"/>
        <v>0</v>
      </c>
      <c r="Q87" s="137">
        <f t="shared" si="2"/>
        <v>1485514.3556776203</v>
      </c>
      <c r="S87" s="43">
        <f t="shared" si="10"/>
        <v>1485514.3556776203</v>
      </c>
      <c r="T87" s="38">
        <f t="shared" si="11"/>
        <v>9.5</v>
      </c>
      <c r="V87" s="43">
        <f t="shared" si="31"/>
        <v>182952.82064661221</v>
      </c>
      <c r="W87" s="43">
        <f t="shared" si="31"/>
        <v>157917.17150549684</v>
      </c>
      <c r="X87" s="43">
        <f t="shared" si="31"/>
        <v>136307.45329948148</v>
      </c>
      <c r="Y87" s="43">
        <f t="shared" si="31"/>
        <v>132274.68840896428</v>
      </c>
      <c r="Z87" s="43">
        <f t="shared" si="31"/>
        <v>132274.68840896428</v>
      </c>
      <c r="AB87" s="43">
        <f t="shared" si="32"/>
        <v>15636.993217659161</v>
      </c>
      <c r="AC87" s="43">
        <f t="shared" si="32"/>
        <v>15636.993217659163</v>
      </c>
      <c r="AD87" s="43">
        <f t="shared" si="32"/>
        <v>15636.993217659163</v>
      </c>
      <c r="AE87" s="43">
        <f t="shared" si="32"/>
        <v>15636.993217659163</v>
      </c>
      <c r="AF87" s="43">
        <f t="shared" si="32"/>
        <v>15636.993217659163</v>
      </c>
      <c r="AH87" s="43">
        <f t="shared" si="12"/>
        <v>198589.81386427136</v>
      </c>
      <c r="AI87" s="43">
        <f t="shared" si="13"/>
        <v>173554.16472315599</v>
      </c>
      <c r="AJ87" s="43">
        <f t="shared" si="14"/>
        <v>151944.44651714063</v>
      </c>
      <c r="AK87" s="43">
        <f t="shared" si="15"/>
        <v>147911.68162662344</v>
      </c>
      <c r="AL87" s="43">
        <f t="shared" si="16"/>
        <v>147911.68162662344</v>
      </c>
      <c r="AN87" s="43">
        <f t="shared" si="17"/>
        <v>1286924.5418133489</v>
      </c>
      <c r="AO87" s="43">
        <f t="shared" si="18"/>
        <v>1113370.3770901929</v>
      </c>
      <c r="AP87" s="43">
        <f t="shared" si="19"/>
        <v>961425.93057305226</v>
      </c>
      <c r="AQ87" s="43">
        <f t="shared" si="20"/>
        <v>813514.24894642876</v>
      </c>
      <c r="AR87" s="43">
        <f t="shared" si="21"/>
        <v>665602.56731980527</v>
      </c>
      <c r="AT87" s="43">
        <f t="shared" si="33"/>
        <v>15854.785259194719</v>
      </c>
      <c r="AU87" s="43">
        <f t="shared" si="33"/>
        <v>16770.430817483732</v>
      </c>
      <c r="AV87" s="43">
        <f t="shared" si="33"/>
        <v>18039.617021750902</v>
      </c>
      <c r="AW87" s="43">
        <f t="shared" si="33"/>
        <v>18470.547393166489</v>
      </c>
      <c r="AX87" s="43">
        <f t="shared" si="33"/>
        <v>19095.738481330387</v>
      </c>
      <c r="AZ87" s="47">
        <f t="shared" si="22"/>
        <v>258200.03354511995</v>
      </c>
      <c r="BA87" s="47">
        <f t="shared" si="23"/>
        <v>227065.81798461606</v>
      </c>
      <c r="BB87" s="47">
        <f t="shared" si="24"/>
        <v>206518.2489006675</v>
      </c>
      <c r="BC87" s="47">
        <f t="shared" si="25"/>
        <v>197295.77047975422</v>
      </c>
      <c r="BD87" s="47">
        <f t="shared" si="26"/>
        <v>192300.31766610642</v>
      </c>
    </row>
    <row r="88" spans="2:56">
      <c r="B88" s="37">
        <f>'3. Input (des)investeringen '!B121</f>
        <v>1556</v>
      </c>
      <c r="C88" s="48"/>
      <c r="D88" s="48"/>
      <c r="E88" s="48"/>
      <c r="F88" s="42">
        <f>'3. Input (des)investeringen '!D121</f>
        <v>4699116.7440402387</v>
      </c>
      <c r="G88" s="48"/>
      <c r="H88" s="37">
        <f>'3. Input (des)investeringen '!F121</f>
        <v>2021</v>
      </c>
      <c r="I88" s="42" t="str">
        <f>'3. Input (des)investeringen '!G121</f>
        <v>nvt</v>
      </c>
      <c r="J88" s="42">
        <f>'3. Input (des)investeringen '!H121</f>
        <v>15</v>
      </c>
      <c r="K88" s="42">
        <f>'3. Input (des)investeringen '!I121</f>
        <v>0</v>
      </c>
      <c r="M88" s="43">
        <f t="shared" si="0"/>
        <v>0</v>
      </c>
      <c r="N88" s="43">
        <f t="shared" si="1"/>
        <v>156637.22480134128</v>
      </c>
      <c r="P88" s="137">
        <f t="shared" si="27"/>
        <v>0</v>
      </c>
      <c r="Q88" s="137">
        <f t="shared" si="2"/>
        <v>4542479.5192388976</v>
      </c>
      <c r="S88" s="43">
        <f t="shared" si="10"/>
        <v>4542479.5192388976</v>
      </c>
      <c r="T88" s="38">
        <f t="shared" si="11"/>
        <v>14.5</v>
      </c>
      <c r="V88" s="43">
        <f t="shared" si="31"/>
        <v>366531.10603513865</v>
      </c>
      <c r="W88" s="43">
        <f t="shared" si="31"/>
        <v>333669.69652854005</v>
      </c>
      <c r="X88" s="43">
        <f t="shared" si="31"/>
        <v>303754.48235701578</v>
      </c>
      <c r="Y88" s="43">
        <f t="shared" si="31"/>
        <v>276521.32186983502</v>
      </c>
      <c r="Z88" s="43">
        <f t="shared" si="31"/>
        <v>267405.23433566466</v>
      </c>
      <c r="AB88" s="43">
        <f t="shared" si="32"/>
        <v>31327.444960268262</v>
      </c>
      <c r="AC88" s="43">
        <f t="shared" si="32"/>
        <v>31327.444960268262</v>
      </c>
      <c r="AD88" s="43">
        <f t="shared" si="32"/>
        <v>31327.444960268262</v>
      </c>
      <c r="AE88" s="43">
        <f t="shared" si="32"/>
        <v>31327.444960268262</v>
      </c>
      <c r="AF88" s="43">
        <f t="shared" si="32"/>
        <v>31327.444960268262</v>
      </c>
      <c r="AH88" s="43">
        <f t="shared" si="12"/>
        <v>397858.55099540693</v>
      </c>
      <c r="AI88" s="43">
        <f t="shared" si="13"/>
        <v>364997.14148880832</v>
      </c>
      <c r="AJ88" s="43">
        <f t="shared" si="14"/>
        <v>335081.92731728405</v>
      </c>
      <c r="AK88" s="43">
        <f t="shared" si="15"/>
        <v>307848.7668301033</v>
      </c>
      <c r="AL88" s="43">
        <f t="shared" si="16"/>
        <v>298732.67929593293</v>
      </c>
      <c r="AN88" s="43">
        <f t="shared" si="17"/>
        <v>4144620.9682434909</v>
      </c>
      <c r="AO88" s="43">
        <f t="shared" si="18"/>
        <v>3779623.8267546827</v>
      </c>
      <c r="AP88" s="43">
        <f t="shared" si="19"/>
        <v>3444541.8994373986</v>
      </c>
      <c r="AQ88" s="43">
        <f t="shared" si="20"/>
        <v>3136693.1326072952</v>
      </c>
      <c r="AR88" s="43">
        <f t="shared" si="21"/>
        <v>2837960.4533113623</v>
      </c>
      <c r="AT88" s="43">
        <f t="shared" si="33"/>
        <v>47645.660420512315</v>
      </c>
      <c r="AU88" s="43">
        <f t="shared" si="33"/>
        <v>50397.292601117748</v>
      </c>
      <c r="AV88" s="43">
        <f t="shared" si="33"/>
        <v>54211.359705170325</v>
      </c>
      <c r="AW88" s="43">
        <f t="shared" si="33"/>
        <v>55506.360665807435</v>
      </c>
      <c r="AX88" s="43">
        <f t="shared" si="33"/>
        <v>57385.139961623689</v>
      </c>
      <c r="AZ88" s="47">
        <f t="shared" si="22"/>
        <v>586421.32433619793</v>
      </c>
      <c r="BA88" s="47">
        <f t="shared" si="23"/>
        <v>540122.02037283056</v>
      </c>
      <c r="BB88" s="47">
        <f t="shared" si="24"/>
        <v>520185.87920107553</v>
      </c>
      <c r="BC88" s="47">
        <f t="shared" si="25"/>
        <v>482549.46653498797</v>
      </c>
      <c r="BD88" s="47">
        <f t="shared" si="26"/>
        <v>463960.31648338842</v>
      </c>
    </row>
    <row r="89" spans="2:56">
      <c r="B89" s="37">
        <f>'3. Input (des)investeringen '!B122</f>
        <v>1557</v>
      </c>
      <c r="C89" s="48"/>
      <c r="D89" s="48"/>
      <c r="E89" s="48"/>
      <c r="F89" s="42">
        <f>'3. Input (des)investeringen '!D122</f>
        <v>26652613.015183877</v>
      </c>
      <c r="G89" s="48"/>
      <c r="H89" s="37">
        <f>'3. Input (des)investeringen '!F122</f>
        <v>2021</v>
      </c>
      <c r="I89" s="42" t="str">
        <f>'3. Input (des)investeringen '!G122</f>
        <v>nvt</v>
      </c>
      <c r="J89" s="42">
        <f>'3. Input (des)investeringen '!H122</f>
        <v>30</v>
      </c>
      <c r="K89" s="42">
        <f>'3. Input (des)investeringen '!I122</f>
        <v>0</v>
      </c>
      <c r="M89" s="43">
        <f t="shared" si="0"/>
        <v>0</v>
      </c>
      <c r="N89" s="43">
        <f t="shared" si="1"/>
        <v>444210.21691973129</v>
      </c>
      <c r="P89" s="137">
        <f t="shared" si="27"/>
        <v>0</v>
      </c>
      <c r="Q89" s="137">
        <f t="shared" si="2"/>
        <v>26208402.798264146</v>
      </c>
      <c r="S89" s="43">
        <f t="shared" si="10"/>
        <v>26208402.798264146</v>
      </c>
      <c r="T89" s="38">
        <f t="shared" si="11"/>
        <v>29.5</v>
      </c>
      <c r="V89" s="43">
        <f t="shared" si="31"/>
        <v>1039451.9075921712</v>
      </c>
      <c r="W89" s="43">
        <f t="shared" si="31"/>
        <v>993645.55234234675</v>
      </c>
      <c r="X89" s="43">
        <f t="shared" si="31"/>
        <v>949857.78223912464</v>
      </c>
      <c r="Y89" s="43">
        <f t="shared" si="31"/>
        <v>907999.64268282428</v>
      </c>
      <c r="Z89" s="43">
        <f t="shared" si="31"/>
        <v>867986.09910697106</v>
      </c>
      <c r="AB89" s="43">
        <f t="shared" si="32"/>
        <v>88842.043383946264</v>
      </c>
      <c r="AC89" s="43">
        <f t="shared" si="32"/>
        <v>88842.043383946264</v>
      </c>
      <c r="AD89" s="43">
        <f t="shared" si="32"/>
        <v>88842.043383946264</v>
      </c>
      <c r="AE89" s="43">
        <f t="shared" si="32"/>
        <v>88842.043383946264</v>
      </c>
      <c r="AF89" s="43">
        <f t="shared" si="32"/>
        <v>88842.043383946264</v>
      </c>
      <c r="AH89" s="43">
        <f t="shared" si="12"/>
        <v>1128293.9509761175</v>
      </c>
      <c r="AI89" s="43">
        <f t="shared" si="13"/>
        <v>1082487.595726293</v>
      </c>
      <c r="AJ89" s="43">
        <f t="shared" si="14"/>
        <v>1038699.8256230709</v>
      </c>
      <c r="AK89" s="43">
        <f t="shared" si="15"/>
        <v>996841.68606677058</v>
      </c>
      <c r="AL89" s="43">
        <f t="shared" si="16"/>
        <v>956828.14249091735</v>
      </c>
      <c r="AN89" s="43">
        <f t="shared" si="17"/>
        <v>25080108.847288027</v>
      </c>
      <c r="AO89" s="43">
        <f t="shared" si="18"/>
        <v>23997621.251561735</v>
      </c>
      <c r="AP89" s="43">
        <f t="shared" si="19"/>
        <v>22958921.425938662</v>
      </c>
      <c r="AQ89" s="43">
        <f t="shared" si="20"/>
        <v>21962079.739871893</v>
      </c>
      <c r="AR89" s="43">
        <f t="shared" si="21"/>
        <v>21005251.597380977</v>
      </c>
      <c r="AT89" s="43">
        <f t="shared" si="33"/>
        <v>270238.30609259359</v>
      </c>
      <c r="AU89" s="43">
        <f t="shared" si="33"/>
        <v>285845.10874605307</v>
      </c>
      <c r="AV89" s="43">
        <f t="shared" si="33"/>
        <v>307477.86657595437</v>
      </c>
      <c r="AW89" s="43">
        <f t="shared" si="33"/>
        <v>314822.89785272075</v>
      </c>
      <c r="AX89" s="43">
        <f t="shared" si="33"/>
        <v>325479.02329923963</v>
      </c>
      <c r="AZ89" s="47">
        <f t="shared" si="22"/>
        <v>2251255.9578765044</v>
      </c>
      <c r="BA89" s="47">
        <f t="shared" si="23"/>
        <v>2160254.2057738835</v>
      </c>
      <c r="BB89" s="47">
        <f t="shared" si="24"/>
        <v>2218616.7063846947</v>
      </c>
      <c r="BC89" s="47">
        <f t="shared" si="25"/>
        <v>2146223.6140346234</v>
      </c>
      <c r="BD89" s="47">
        <f t="shared" si="26"/>
        <v>2080506.726490634</v>
      </c>
    </row>
    <row r="90" spans="2:56">
      <c r="B90" s="37">
        <f>'3. Input (des)investeringen '!B123</f>
        <v>1558</v>
      </c>
      <c r="C90" s="48"/>
      <c r="D90" s="48"/>
      <c r="E90" s="48"/>
      <c r="F90" s="42">
        <f>'3. Input (des)investeringen '!D123</f>
        <v>37650.599697288933</v>
      </c>
      <c r="G90" s="48"/>
      <c r="H90" s="37">
        <f>'3. Input (des)investeringen '!F123</f>
        <v>2021</v>
      </c>
      <c r="I90" s="42" t="str">
        <f>'3. Input (des)investeringen '!G123</f>
        <v>nvt</v>
      </c>
      <c r="J90" s="42">
        <f>'3. Input (des)investeringen '!H123</f>
        <v>55</v>
      </c>
      <c r="K90" s="42">
        <f>'3. Input (des)investeringen '!I123</f>
        <v>0</v>
      </c>
      <c r="M90" s="43">
        <f t="shared" si="0"/>
        <v>0</v>
      </c>
      <c r="N90" s="43">
        <f t="shared" si="1"/>
        <v>342.27817906626302</v>
      </c>
      <c r="P90" s="137">
        <f t="shared" si="27"/>
        <v>0</v>
      </c>
      <c r="Q90" s="137">
        <f t="shared" si="2"/>
        <v>37308.32151822267</v>
      </c>
      <c r="S90" s="43">
        <f t="shared" si="10"/>
        <v>37308.32151822267</v>
      </c>
      <c r="T90" s="38">
        <f t="shared" si="11"/>
        <v>54.5</v>
      </c>
      <c r="V90" s="43">
        <f t="shared" si="31"/>
        <v>800.93093901505563</v>
      </c>
      <c r="W90" s="43">
        <f t="shared" si="31"/>
        <v>781.82616432295322</v>
      </c>
      <c r="X90" s="43">
        <f t="shared" si="31"/>
        <v>763.17709985286444</v>
      </c>
      <c r="Y90" s="43">
        <f t="shared" si="31"/>
        <v>744.97287545270444</v>
      </c>
      <c r="Z90" s="43">
        <f t="shared" si="31"/>
        <v>727.20288025841967</v>
      </c>
      <c r="AB90" s="43">
        <f t="shared" si="32"/>
        <v>68.455635813252613</v>
      </c>
      <c r="AC90" s="43">
        <f t="shared" si="32"/>
        <v>68.455635813252613</v>
      </c>
      <c r="AD90" s="43">
        <f t="shared" si="32"/>
        <v>68.455635813252613</v>
      </c>
      <c r="AE90" s="43">
        <f t="shared" si="32"/>
        <v>68.455635813252613</v>
      </c>
      <c r="AF90" s="43">
        <f t="shared" si="32"/>
        <v>68.455635813252613</v>
      </c>
      <c r="AH90" s="43">
        <f t="shared" si="12"/>
        <v>869.3865748283082</v>
      </c>
      <c r="AI90" s="43">
        <f t="shared" si="13"/>
        <v>850.28180013620579</v>
      </c>
      <c r="AJ90" s="43">
        <f t="shared" si="14"/>
        <v>831.63273566611701</v>
      </c>
      <c r="AK90" s="43">
        <f t="shared" si="15"/>
        <v>813.42851126595701</v>
      </c>
      <c r="AL90" s="43">
        <f t="shared" si="16"/>
        <v>795.65851607167224</v>
      </c>
      <c r="AN90" s="43">
        <f t="shared" si="17"/>
        <v>36438.934943394364</v>
      </c>
      <c r="AO90" s="43">
        <f t="shared" si="18"/>
        <v>35588.653143258161</v>
      </c>
      <c r="AP90" s="43">
        <f t="shared" si="19"/>
        <v>34757.020407592041</v>
      </c>
      <c r="AQ90" s="43">
        <f t="shared" si="20"/>
        <v>33943.591896326085</v>
      </c>
      <c r="AR90" s="43">
        <f t="shared" si="21"/>
        <v>33147.933380254413</v>
      </c>
      <c r="AT90" s="43">
        <f t="shared" si="33"/>
        <v>381.74997249872774</v>
      </c>
      <c r="AU90" s="43">
        <f t="shared" si="33"/>
        <v>403.79679691047426</v>
      </c>
      <c r="AV90" s="43">
        <f t="shared" si="33"/>
        <v>434.35613850065903</v>
      </c>
      <c r="AW90" s="43">
        <f t="shared" si="33"/>
        <v>444.73203793716266</v>
      </c>
      <c r="AX90" s="43">
        <f t="shared" si="33"/>
        <v>459.78532795725982</v>
      </c>
      <c r="AZ90" s="47">
        <f t="shared" si="22"/>
        <v>2490.0603354024447</v>
      </c>
      <c r="BA90" s="47">
        <f t="shared" si="23"/>
        <v>2428.5041507741994</v>
      </c>
      <c r="BB90" s="47">
        <f t="shared" si="24"/>
        <v>2586.7556496552738</v>
      </c>
      <c r="BC90" s="47">
        <f t="shared" si="25"/>
        <v>2548.0170412635111</v>
      </c>
      <c r="BD90" s="47">
        <f t="shared" si="26"/>
        <v>2515.0653124785995</v>
      </c>
    </row>
    <row r="91" spans="2:56">
      <c r="B91" s="37">
        <f>'3. Input (des)investeringen '!B124</f>
        <v>1559</v>
      </c>
      <c r="C91" s="48"/>
      <c r="D91" s="48"/>
      <c r="E91" s="48"/>
      <c r="F91" s="42">
        <f>'3. Input (des)investeringen '!D124</f>
        <v>0</v>
      </c>
      <c r="G91" s="48"/>
      <c r="H91" s="37">
        <f>'3. Input (des)investeringen '!F124</f>
        <v>2021</v>
      </c>
      <c r="I91" s="42" t="str">
        <f>'3. Input (des)investeringen '!G124</f>
        <v>nvt</v>
      </c>
      <c r="J91" s="42">
        <f>'3. Input (des)investeringen '!H124</f>
        <v>0</v>
      </c>
      <c r="K91" s="42">
        <f>'3. Input (des)investeringen '!I124</f>
        <v>0</v>
      </c>
      <c r="M91" s="43">
        <f t="shared" si="0"/>
        <v>0</v>
      </c>
      <c r="N91" s="43">
        <f t="shared" si="1"/>
        <v>0</v>
      </c>
      <c r="P91" s="137">
        <f t="shared" si="27"/>
        <v>0</v>
      </c>
      <c r="Q91" s="137">
        <f t="shared" si="2"/>
        <v>0</v>
      </c>
      <c r="S91" s="43">
        <f t="shared" si="10"/>
        <v>0</v>
      </c>
      <c r="T91" s="38">
        <f t="shared" si="11"/>
        <v>0</v>
      </c>
      <c r="V91" s="43">
        <f t="shared" ref="V91:Z100" si="34">IF($J91=0, 0, IF(OR($H91&gt;V$59,$H91+$J91&lt;V$59),0,
IF(OR($H91=2020,$H91=2021),VDB($S91*(1-$F$28),0,$T91,V$59-2022,MIN($T91,V$59-2021),$F$22,FALSE),
VDB($S91*(1-$F$28),0,$T91,MAX(0,V$59-$H91-0.5),MIN($T91,V$59-$H91+0.5),$F$22,FALSE))))</f>
        <v>0</v>
      </c>
      <c r="W91" s="43">
        <f t="shared" si="34"/>
        <v>0</v>
      </c>
      <c r="X91" s="43">
        <f t="shared" si="34"/>
        <v>0</v>
      </c>
      <c r="Y91" s="43">
        <f t="shared" si="34"/>
        <v>0</v>
      </c>
      <c r="Z91" s="43">
        <f t="shared" si="34"/>
        <v>0</v>
      </c>
      <c r="AB91" s="43">
        <f t="shared" ref="AB91:AF100" si="35">IF($J91=0, 0, IF(OR($H91&gt;AB$59,$H91+$J91&lt;AB$59),0,
IF(OR($H91=2020,$H91=2021),VDB($S91*$F$28,0,$T91,AB$59-2022,MIN($T91,AB$59-2021),1),
VDB($S91*$F$28,0,$T91,MAX(0,AB$59-$H91-0.5),MIN($T91,AB$59-$H91+0.5),1))))</f>
        <v>0</v>
      </c>
      <c r="AC91" s="43">
        <f t="shared" si="35"/>
        <v>0</v>
      </c>
      <c r="AD91" s="43">
        <f t="shared" si="35"/>
        <v>0</v>
      </c>
      <c r="AE91" s="43">
        <f t="shared" si="35"/>
        <v>0</v>
      </c>
      <c r="AF91" s="43">
        <f t="shared" si="35"/>
        <v>0</v>
      </c>
      <c r="AH91" s="43">
        <f t="shared" si="12"/>
        <v>0</v>
      </c>
      <c r="AI91" s="43">
        <f t="shared" si="13"/>
        <v>0</v>
      </c>
      <c r="AJ91" s="43">
        <f t="shared" si="14"/>
        <v>0</v>
      </c>
      <c r="AK91" s="43">
        <f t="shared" si="15"/>
        <v>0</v>
      </c>
      <c r="AL91" s="43">
        <f t="shared" si="16"/>
        <v>0</v>
      </c>
      <c r="AN91" s="43">
        <f t="shared" si="17"/>
        <v>0</v>
      </c>
      <c r="AO91" s="43">
        <f t="shared" si="18"/>
        <v>0</v>
      </c>
      <c r="AP91" s="43">
        <f t="shared" si="19"/>
        <v>0</v>
      </c>
      <c r="AQ91" s="43">
        <f t="shared" si="20"/>
        <v>0</v>
      </c>
      <c r="AR91" s="43">
        <f t="shared" si="21"/>
        <v>0</v>
      </c>
      <c r="AT91" s="43">
        <f t="shared" ref="AT91:AX100" si="36">IF($H91&lt;=AT$59,$F91*INDEX($H$40:$N$46,$H91-2019,AT$59-2019)*INDEX($H$49:$N$55,$H91-2019,AT$59-2019)*$F$19,0)</f>
        <v>0</v>
      </c>
      <c r="AU91" s="43">
        <f t="shared" si="36"/>
        <v>0</v>
      </c>
      <c r="AV91" s="43">
        <f t="shared" si="36"/>
        <v>0</v>
      </c>
      <c r="AW91" s="43">
        <f t="shared" si="36"/>
        <v>0</v>
      </c>
      <c r="AX91" s="43">
        <f t="shared" si="36"/>
        <v>0</v>
      </c>
      <c r="AZ91" s="47">
        <f t="shared" si="22"/>
        <v>0</v>
      </c>
      <c r="BA91" s="47">
        <f t="shared" si="23"/>
        <v>0</v>
      </c>
      <c r="BB91" s="47">
        <f t="shared" si="24"/>
        <v>0</v>
      </c>
      <c r="BC91" s="47">
        <f t="shared" si="25"/>
        <v>0</v>
      </c>
      <c r="BD91" s="47">
        <f t="shared" si="26"/>
        <v>0</v>
      </c>
    </row>
    <row r="92" spans="2:56">
      <c r="B92" s="37">
        <f>'3. Input (des)investeringen '!B125</f>
        <v>1560</v>
      </c>
      <c r="C92" s="48"/>
      <c r="D92" s="48"/>
      <c r="E92" s="48"/>
      <c r="F92" s="42">
        <f>'3. Input (des)investeringen '!D125</f>
        <v>626646.22721047793</v>
      </c>
      <c r="G92" s="48"/>
      <c r="H92" s="37">
        <f>'3. Input (des)investeringen '!F125</f>
        <v>2021</v>
      </c>
      <c r="I92" s="42" t="str">
        <f>'3. Input (des)investeringen '!G125</f>
        <v>nvt</v>
      </c>
      <c r="J92" s="42">
        <f>'3. Input (des)investeringen '!H125</f>
        <v>5</v>
      </c>
      <c r="K92" s="42">
        <f>'3. Input (des)investeringen '!I125</f>
        <v>0</v>
      </c>
      <c r="M92" s="43">
        <f t="shared" si="0"/>
        <v>0</v>
      </c>
      <c r="N92" s="43">
        <f t="shared" si="1"/>
        <v>62664.622721047795</v>
      </c>
      <c r="P92" s="137">
        <f t="shared" si="27"/>
        <v>0</v>
      </c>
      <c r="Q92" s="137">
        <f t="shared" si="2"/>
        <v>563981.60448943009</v>
      </c>
      <c r="S92" s="43">
        <f t="shared" si="10"/>
        <v>563981.60448943009</v>
      </c>
      <c r="T92" s="38">
        <f t="shared" si="11"/>
        <v>4.5</v>
      </c>
      <c r="V92" s="43">
        <f t="shared" si="34"/>
        <v>146635.21716725186</v>
      </c>
      <c r="W92" s="43">
        <f t="shared" si="34"/>
        <v>104273.93220782353</v>
      </c>
      <c r="X92" s="43">
        <f t="shared" si="34"/>
        <v>102669.71786616469</v>
      </c>
      <c r="Y92" s="43">
        <f t="shared" si="34"/>
        <v>102669.71786616469</v>
      </c>
      <c r="Z92" s="43">
        <f t="shared" si="34"/>
        <v>51334.858933082345</v>
      </c>
      <c r="AB92" s="43">
        <f t="shared" si="35"/>
        <v>12532.924544209558</v>
      </c>
      <c r="AC92" s="43">
        <f t="shared" si="35"/>
        <v>12532.924544209558</v>
      </c>
      <c r="AD92" s="43">
        <f t="shared" si="35"/>
        <v>12532.924544209558</v>
      </c>
      <c r="AE92" s="43">
        <f t="shared" si="35"/>
        <v>12532.924544209558</v>
      </c>
      <c r="AF92" s="43">
        <f t="shared" si="35"/>
        <v>6266.462272104779</v>
      </c>
      <c r="AH92" s="43">
        <f t="shared" si="12"/>
        <v>159168.14171146142</v>
      </c>
      <c r="AI92" s="43">
        <f t="shared" si="13"/>
        <v>116806.85675203308</v>
      </c>
      <c r="AJ92" s="43">
        <f t="shared" si="14"/>
        <v>115202.64241037425</v>
      </c>
      <c r="AK92" s="43">
        <f t="shared" si="15"/>
        <v>115202.64241037425</v>
      </c>
      <c r="AL92" s="43">
        <f t="shared" si="16"/>
        <v>57601.321205187123</v>
      </c>
      <c r="AN92" s="43">
        <f t="shared" si="17"/>
        <v>404813.46277796867</v>
      </c>
      <c r="AO92" s="43">
        <f t="shared" si="18"/>
        <v>288006.60602593562</v>
      </c>
      <c r="AP92" s="43">
        <f t="shared" si="19"/>
        <v>172803.96361556137</v>
      </c>
      <c r="AQ92" s="43">
        <f t="shared" si="20"/>
        <v>57601.321205187123</v>
      </c>
      <c r="AR92" s="43">
        <f t="shared" si="21"/>
        <v>0</v>
      </c>
      <c r="AT92" s="43">
        <f t="shared" si="36"/>
        <v>6353.7415586306543</v>
      </c>
      <c r="AU92" s="43">
        <f t="shared" si="36"/>
        <v>6720.6828411246934</v>
      </c>
      <c r="AV92" s="43">
        <f t="shared" si="36"/>
        <v>7229.3041185410093</v>
      </c>
      <c r="AW92" s="43">
        <f t="shared" si="36"/>
        <v>7401.9977353247177</v>
      </c>
      <c r="AX92" s="43">
        <f t="shared" si="36"/>
        <v>7652.5405546699876</v>
      </c>
      <c r="AZ92" s="47">
        <f t="shared" si="22"/>
        <v>179285.54100454302</v>
      </c>
      <c r="BA92" s="47">
        <f t="shared" si="23"/>
        <v>133031.75759201366</v>
      </c>
      <c r="BB92" s="47">
        <f t="shared" si="24"/>
        <v>128998.49714630659</v>
      </c>
      <c r="BC92" s="47">
        <f t="shared" si="25"/>
        <v>124793.49035149608</v>
      </c>
      <c r="BD92" s="47">
        <f t="shared" si="26"/>
        <v>65253.861759857115</v>
      </c>
    </row>
    <row r="93" spans="2:56">
      <c r="B93" s="37">
        <f>'3. Input (des)investeringen '!B126</f>
        <v>1561</v>
      </c>
      <c r="C93" s="48"/>
      <c r="D93" s="48"/>
      <c r="E93" s="48"/>
      <c r="F93" s="42">
        <f>'3. Input (des)investeringen '!D126</f>
        <v>4638778.5057450626</v>
      </c>
      <c r="G93" s="48"/>
      <c r="H93" s="37">
        <f>'3. Input (des)investeringen '!F126</f>
        <v>2021</v>
      </c>
      <c r="I93" s="42" t="str">
        <f>'3. Input (des)investeringen '!G126</f>
        <v>nvt</v>
      </c>
      <c r="J93" s="42">
        <f>'3. Input (des)investeringen '!H126</f>
        <v>10</v>
      </c>
      <c r="K93" s="42">
        <f>'3. Input (des)investeringen '!I126</f>
        <v>0</v>
      </c>
      <c r="M93" s="43">
        <f t="shared" ref="M93:M124" si="37">IF($J93=0, 0, IF($H93&lt;=M$59,
VDB($F93,0,$J93,MAX(0,M$59-$H93-0.5),MIN($J93,M$59-$H93+0.5),1)*INDEX(H$40:H$46,$H93-2019,1),
0))</f>
        <v>0</v>
      </c>
      <c r="N93" s="43">
        <f t="shared" ref="N93:N124" si="38">IF($J93=0, 0, IF($H93&lt;=N$59,
VDB($F93,0,$J93,MAX(0,N$59-$H93-0.5),MIN($J93,N$59-$H93+0.5),1)*INDEX(I$40:I$46,$H93-2019,1),
0))</f>
        <v>231938.92528725314</v>
      </c>
      <c r="P93" s="137">
        <f t="shared" si="27"/>
        <v>0</v>
      </c>
      <c r="Q93" s="137">
        <f t="shared" ref="Q93:Q124" si="39">IF($J93=0,IF($H93=N$59,$F93,$P93*I$40),IF(OR($H93&gt;Q$59,$H93+$J93&lt;=Q$59),0,
IF($H93=Q$59,F93-N93,P93*I$40-N93)))</f>
        <v>4406839.5804578094</v>
      </c>
      <c r="S93" s="43">
        <f t="shared" si="10"/>
        <v>4406839.5804578094</v>
      </c>
      <c r="T93" s="38">
        <f t="shared" si="11"/>
        <v>9.5</v>
      </c>
      <c r="V93" s="43">
        <f t="shared" si="34"/>
        <v>542737.0851721724</v>
      </c>
      <c r="W93" s="43">
        <f t="shared" si="34"/>
        <v>468467.79983282246</v>
      </c>
      <c r="X93" s="43">
        <f t="shared" si="34"/>
        <v>404361.67985569936</v>
      </c>
      <c r="Y93" s="43">
        <f t="shared" si="34"/>
        <v>392398.31654635916</v>
      </c>
      <c r="Z93" s="43">
        <f t="shared" si="34"/>
        <v>392398.31654635916</v>
      </c>
      <c r="AB93" s="43">
        <f t="shared" si="35"/>
        <v>46387.785057450623</v>
      </c>
      <c r="AC93" s="43">
        <f t="shared" si="35"/>
        <v>46387.785057450623</v>
      </c>
      <c r="AD93" s="43">
        <f t="shared" si="35"/>
        <v>46387.785057450623</v>
      </c>
      <c r="AE93" s="43">
        <f t="shared" si="35"/>
        <v>46387.785057450623</v>
      </c>
      <c r="AF93" s="43">
        <f t="shared" si="35"/>
        <v>46387.785057450623</v>
      </c>
      <c r="AH93" s="43">
        <f t="shared" si="12"/>
        <v>589124.87022962305</v>
      </c>
      <c r="AI93" s="43">
        <f t="shared" si="13"/>
        <v>514855.58489027311</v>
      </c>
      <c r="AJ93" s="43">
        <f t="shared" si="14"/>
        <v>450749.46491315</v>
      </c>
      <c r="AK93" s="43">
        <f t="shared" si="15"/>
        <v>438786.1016038098</v>
      </c>
      <c r="AL93" s="43">
        <f t="shared" si="16"/>
        <v>438786.1016038098</v>
      </c>
      <c r="AN93" s="43">
        <f t="shared" si="17"/>
        <v>3817714.7102281861</v>
      </c>
      <c r="AO93" s="43">
        <f t="shared" si="18"/>
        <v>3302859.1253379132</v>
      </c>
      <c r="AP93" s="43">
        <f t="shared" si="19"/>
        <v>2852109.6604247633</v>
      </c>
      <c r="AQ93" s="43">
        <f t="shared" si="20"/>
        <v>2413323.5588209536</v>
      </c>
      <c r="AR93" s="43">
        <f t="shared" si="21"/>
        <v>1974537.4572171438</v>
      </c>
      <c r="AT93" s="43">
        <f t="shared" si="36"/>
        <v>47033.8741277308</v>
      </c>
      <c r="AU93" s="43">
        <f t="shared" si="36"/>
        <v>49750.174426355516</v>
      </c>
      <c r="AV93" s="43">
        <f t="shared" si="36"/>
        <v>53515.267626942092</v>
      </c>
      <c r="AW93" s="43">
        <f t="shared" si="36"/>
        <v>54793.640340014492</v>
      </c>
      <c r="AX93" s="43">
        <f t="shared" si="36"/>
        <v>56648.295478243286</v>
      </c>
      <c r="AZ93" s="47">
        <f t="shared" si="22"/>
        <v>765961.04450511222</v>
      </c>
      <c r="BA93" s="47">
        <f t="shared" si="23"/>
        <v>673600.1104527798</v>
      </c>
      <c r="BB93" s="47">
        <f t="shared" si="24"/>
        <v>612644.89963623311</v>
      </c>
      <c r="BC93" s="47">
        <f t="shared" si="25"/>
        <v>585286.03717902047</v>
      </c>
      <c r="BD93" s="47">
        <f t="shared" si="26"/>
        <v>570466.82045630459</v>
      </c>
    </row>
    <row r="94" spans="2:56">
      <c r="B94" s="37">
        <f>'3. Input (des)investeringen '!B127</f>
        <v>1562</v>
      </c>
      <c r="C94" s="48"/>
      <c r="D94" s="48"/>
      <c r="E94" s="48"/>
      <c r="F94" s="42">
        <f>'3. Input (des)investeringen '!D127</f>
        <v>7590881.0003333744</v>
      </c>
      <c r="G94" s="48"/>
      <c r="H94" s="37">
        <f>'3. Input (des)investeringen '!F127</f>
        <v>2021</v>
      </c>
      <c r="I94" s="42" t="str">
        <f>'3. Input (des)investeringen '!G127</f>
        <v>nvt</v>
      </c>
      <c r="J94" s="42">
        <f>'3. Input (des)investeringen '!H127</f>
        <v>15</v>
      </c>
      <c r="K94" s="42">
        <f>'3. Input (des)investeringen '!I127</f>
        <v>0</v>
      </c>
      <c r="M94" s="43">
        <f t="shared" si="37"/>
        <v>0</v>
      </c>
      <c r="N94" s="43">
        <f t="shared" si="38"/>
        <v>253029.36667777915</v>
      </c>
      <c r="P94" s="137">
        <f t="shared" si="27"/>
        <v>0</v>
      </c>
      <c r="Q94" s="137">
        <f t="shared" si="39"/>
        <v>7337851.6336555956</v>
      </c>
      <c r="S94" s="43">
        <f t="shared" si="10"/>
        <v>7337851.6336555956</v>
      </c>
      <c r="T94" s="38">
        <f t="shared" si="11"/>
        <v>14.5</v>
      </c>
      <c r="V94" s="43">
        <f t="shared" si="34"/>
        <v>592088.71802600322</v>
      </c>
      <c r="W94" s="43">
        <f t="shared" si="34"/>
        <v>539004.90192712017</v>
      </c>
      <c r="X94" s="43">
        <f t="shared" si="34"/>
        <v>490680.32451296458</v>
      </c>
      <c r="Y94" s="43">
        <f t="shared" si="34"/>
        <v>446688.29541869886</v>
      </c>
      <c r="Z94" s="43">
        <f t="shared" si="34"/>
        <v>431962.30765764281</v>
      </c>
      <c r="AB94" s="43">
        <f t="shared" si="35"/>
        <v>50605.873335555836</v>
      </c>
      <c r="AC94" s="43">
        <f t="shared" si="35"/>
        <v>50605.873335555836</v>
      </c>
      <c r="AD94" s="43">
        <f t="shared" si="35"/>
        <v>50605.873335555836</v>
      </c>
      <c r="AE94" s="43">
        <f t="shared" si="35"/>
        <v>50605.873335555836</v>
      </c>
      <c r="AF94" s="43">
        <f t="shared" si="35"/>
        <v>50605.873335555836</v>
      </c>
      <c r="AH94" s="43">
        <f t="shared" si="12"/>
        <v>642694.591361559</v>
      </c>
      <c r="AI94" s="43">
        <f t="shared" si="13"/>
        <v>589610.77526267595</v>
      </c>
      <c r="AJ94" s="43">
        <f t="shared" si="14"/>
        <v>541286.19784852047</v>
      </c>
      <c r="AK94" s="43">
        <f t="shared" si="15"/>
        <v>497294.1687542547</v>
      </c>
      <c r="AL94" s="43">
        <f t="shared" si="16"/>
        <v>482568.18099319865</v>
      </c>
      <c r="AN94" s="43">
        <f t="shared" si="17"/>
        <v>6695157.0422940366</v>
      </c>
      <c r="AO94" s="43">
        <f t="shared" si="18"/>
        <v>6105546.2670313604</v>
      </c>
      <c r="AP94" s="43">
        <f t="shared" si="19"/>
        <v>5564260.0691828402</v>
      </c>
      <c r="AQ94" s="43">
        <f t="shared" si="20"/>
        <v>5066965.9004285857</v>
      </c>
      <c r="AR94" s="43">
        <f t="shared" si="21"/>
        <v>4584397.7194353873</v>
      </c>
      <c r="AT94" s="43">
        <f t="shared" si="36"/>
        <v>76966.067909060177</v>
      </c>
      <c r="AU94" s="43">
        <f t="shared" si="36"/>
        <v>81411.012262944219</v>
      </c>
      <c r="AV94" s="43">
        <f t="shared" si="36"/>
        <v>87572.197671003829</v>
      </c>
      <c r="AW94" s="43">
        <f t="shared" si="36"/>
        <v>89664.122328968777</v>
      </c>
      <c r="AX94" s="43">
        <f t="shared" si="36"/>
        <v>92699.07354155973</v>
      </c>
      <c r="AZ94" s="47">
        <f t="shared" si="22"/>
        <v>947295.99870861636</v>
      </c>
      <c r="BA94" s="47">
        <f t="shared" si="23"/>
        <v>872504.81433765509</v>
      </c>
      <c r="BB94" s="47">
        <f t="shared" si="24"/>
        <v>840300.27814847231</v>
      </c>
      <c r="BC94" s="47">
        <f t="shared" si="25"/>
        <v>779502.99529950973</v>
      </c>
      <c r="BD94" s="47">
        <f t="shared" si="26"/>
        <v>749474.36787330313</v>
      </c>
    </row>
    <row r="95" spans="2:56">
      <c r="B95" s="37">
        <f>'3. Input (des)investeringen '!B128</f>
        <v>1563</v>
      </c>
      <c r="C95" s="48"/>
      <c r="D95" s="48"/>
      <c r="E95" s="48"/>
      <c r="F95" s="42">
        <f>'3. Input (des)investeringen '!D128</f>
        <v>7531741.7035039887</v>
      </c>
      <c r="G95" s="48"/>
      <c r="H95" s="37">
        <f>'3. Input (des)investeringen '!F128</f>
        <v>2021</v>
      </c>
      <c r="I95" s="42" t="str">
        <f>'3. Input (des)investeringen '!G128</f>
        <v>nvt</v>
      </c>
      <c r="J95" s="42">
        <f>'3. Input (des)investeringen '!H128</f>
        <v>30</v>
      </c>
      <c r="K95" s="42">
        <f>'3. Input (des)investeringen '!I128</f>
        <v>0</v>
      </c>
      <c r="M95" s="43">
        <f t="shared" si="37"/>
        <v>0</v>
      </c>
      <c r="N95" s="43">
        <f t="shared" si="38"/>
        <v>125529.02839173314</v>
      </c>
      <c r="P95" s="137">
        <f t="shared" si="27"/>
        <v>0</v>
      </c>
      <c r="Q95" s="137">
        <f t="shared" si="39"/>
        <v>7406212.6751122558</v>
      </c>
      <c r="S95" s="43">
        <f t="shared" si="10"/>
        <v>7406212.6751122558</v>
      </c>
      <c r="T95" s="38">
        <f t="shared" si="11"/>
        <v>29.5</v>
      </c>
      <c r="V95" s="43">
        <f t="shared" si="34"/>
        <v>293737.92643665557</v>
      </c>
      <c r="W95" s="43">
        <f t="shared" si="34"/>
        <v>280793.54323775211</v>
      </c>
      <c r="X95" s="43">
        <f t="shared" si="34"/>
        <v>268419.59048490203</v>
      </c>
      <c r="Y95" s="43">
        <f t="shared" si="34"/>
        <v>256590.93056522837</v>
      </c>
      <c r="Z95" s="43">
        <f t="shared" si="34"/>
        <v>245283.53362506576</v>
      </c>
      <c r="AB95" s="43">
        <f t="shared" si="35"/>
        <v>25105.805678346631</v>
      </c>
      <c r="AC95" s="43">
        <f t="shared" si="35"/>
        <v>25105.805678346631</v>
      </c>
      <c r="AD95" s="43">
        <f t="shared" si="35"/>
        <v>25105.805678346631</v>
      </c>
      <c r="AE95" s="43">
        <f t="shared" si="35"/>
        <v>25105.805678346631</v>
      </c>
      <c r="AF95" s="43">
        <f t="shared" si="35"/>
        <v>25105.805678346631</v>
      </c>
      <c r="AH95" s="43">
        <f t="shared" si="12"/>
        <v>318843.73211500223</v>
      </c>
      <c r="AI95" s="43">
        <f t="shared" si="13"/>
        <v>305899.34891609871</v>
      </c>
      <c r="AJ95" s="43">
        <f t="shared" si="14"/>
        <v>293525.39616324869</v>
      </c>
      <c r="AK95" s="43">
        <f t="shared" si="15"/>
        <v>281696.736243575</v>
      </c>
      <c r="AL95" s="43">
        <f t="shared" si="16"/>
        <v>270389.33930341236</v>
      </c>
      <c r="AN95" s="43">
        <f t="shared" si="17"/>
        <v>7087368.9429972535</v>
      </c>
      <c r="AO95" s="43">
        <f t="shared" si="18"/>
        <v>6781469.594081155</v>
      </c>
      <c r="AP95" s="43">
        <f t="shared" si="19"/>
        <v>6487944.1979179066</v>
      </c>
      <c r="AQ95" s="43">
        <f t="shared" si="20"/>
        <v>6206247.4616743317</v>
      </c>
      <c r="AR95" s="43">
        <f t="shared" si="21"/>
        <v>5935858.1223709192</v>
      </c>
      <c r="AT95" s="43">
        <f t="shared" si="36"/>
        <v>76366.438019503927</v>
      </c>
      <c r="AU95" s="43">
        <f t="shared" si="36"/>
        <v>80776.75254800632</v>
      </c>
      <c r="AV95" s="43">
        <f t="shared" si="36"/>
        <v>86889.93718083945</v>
      </c>
      <c r="AW95" s="43">
        <f t="shared" si="36"/>
        <v>88965.564000215323</v>
      </c>
      <c r="AX95" s="43">
        <f t="shared" si="36"/>
        <v>91976.870410494608</v>
      </c>
      <c r="AZ95" s="47">
        <f t="shared" si="22"/>
        <v>636180.71419641282</v>
      </c>
      <c r="BA95" s="47">
        <f t="shared" si="23"/>
        <v>610464.59806878318</v>
      </c>
      <c r="BB95" s="47">
        <f t="shared" si="24"/>
        <v>626957.21286496858</v>
      </c>
      <c r="BC95" s="47">
        <f t="shared" si="25"/>
        <v>606499.70378741482</v>
      </c>
      <c r="BD95" s="47">
        <f t="shared" si="26"/>
        <v>587928.81836400193</v>
      </c>
    </row>
    <row r="96" spans="2:56">
      <c r="B96" s="37">
        <f>'3. Input (des)investeringen '!B129</f>
        <v>1564</v>
      </c>
      <c r="C96" s="48"/>
      <c r="D96" s="48"/>
      <c r="E96" s="48"/>
      <c r="F96" s="42">
        <f>'3. Input (des)investeringen '!D129</f>
        <v>0</v>
      </c>
      <c r="G96" s="48"/>
      <c r="H96" s="37">
        <f>'3. Input (des)investeringen '!F129</f>
        <v>2021</v>
      </c>
      <c r="I96" s="42" t="str">
        <f>'3. Input (des)investeringen '!G129</f>
        <v>nvt</v>
      </c>
      <c r="J96" s="42">
        <f>'3. Input (des)investeringen '!H129</f>
        <v>55</v>
      </c>
      <c r="K96" s="42">
        <f>'3. Input (des)investeringen '!I129</f>
        <v>0</v>
      </c>
      <c r="M96" s="43">
        <f t="shared" si="37"/>
        <v>0</v>
      </c>
      <c r="N96" s="43">
        <f t="shared" si="38"/>
        <v>0</v>
      </c>
      <c r="P96" s="137">
        <f t="shared" si="27"/>
        <v>0</v>
      </c>
      <c r="Q96" s="137">
        <f t="shared" si="39"/>
        <v>0</v>
      </c>
      <c r="S96" s="43">
        <f t="shared" si="10"/>
        <v>0</v>
      </c>
      <c r="T96" s="38">
        <f t="shared" si="11"/>
        <v>54.5</v>
      </c>
      <c r="V96" s="43">
        <f t="shared" si="34"/>
        <v>0</v>
      </c>
      <c r="W96" s="43">
        <f t="shared" si="34"/>
        <v>0</v>
      </c>
      <c r="X96" s="43">
        <f t="shared" si="34"/>
        <v>0</v>
      </c>
      <c r="Y96" s="43">
        <f t="shared" si="34"/>
        <v>0</v>
      </c>
      <c r="Z96" s="43">
        <f t="shared" si="34"/>
        <v>0</v>
      </c>
      <c r="AB96" s="43">
        <f t="shared" si="35"/>
        <v>0</v>
      </c>
      <c r="AC96" s="43">
        <f t="shared" si="35"/>
        <v>0</v>
      </c>
      <c r="AD96" s="43">
        <f t="shared" si="35"/>
        <v>0</v>
      </c>
      <c r="AE96" s="43">
        <f t="shared" si="35"/>
        <v>0</v>
      </c>
      <c r="AF96" s="43">
        <f t="shared" si="35"/>
        <v>0</v>
      </c>
      <c r="AH96" s="43">
        <f t="shared" si="12"/>
        <v>0</v>
      </c>
      <c r="AI96" s="43">
        <f t="shared" si="13"/>
        <v>0</v>
      </c>
      <c r="AJ96" s="43">
        <f t="shared" si="14"/>
        <v>0</v>
      </c>
      <c r="AK96" s="43">
        <f t="shared" si="15"/>
        <v>0</v>
      </c>
      <c r="AL96" s="43">
        <f t="shared" si="16"/>
        <v>0</v>
      </c>
      <c r="AN96" s="43">
        <f t="shared" si="17"/>
        <v>0</v>
      </c>
      <c r="AO96" s="43">
        <f t="shared" si="18"/>
        <v>0</v>
      </c>
      <c r="AP96" s="43">
        <f t="shared" si="19"/>
        <v>0</v>
      </c>
      <c r="AQ96" s="43">
        <f t="shared" si="20"/>
        <v>0</v>
      </c>
      <c r="AR96" s="43">
        <f t="shared" si="21"/>
        <v>0</v>
      </c>
      <c r="AT96" s="43">
        <f t="shared" si="36"/>
        <v>0</v>
      </c>
      <c r="AU96" s="43">
        <f t="shared" si="36"/>
        <v>0</v>
      </c>
      <c r="AV96" s="43">
        <f t="shared" si="36"/>
        <v>0</v>
      </c>
      <c r="AW96" s="43">
        <f t="shared" si="36"/>
        <v>0</v>
      </c>
      <c r="AX96" s="43">
        <f t="shared" si="36"/>
        <v>0</v>
      </c>
      <c r="AZ96" s="47">
        <f t="shared" si="22"/>
        <v>0</v>
      </c>
      <c r="BA96" s="47">
        <f t="shared" si="23"/>
        <v>0</v>
      </c>
      <c r="BB96" s="47">
        <f t="shared" si="24"/>
        <v>0</v>
      </c>
      <c r="BC96" s="47">
        <f t="shared" si="25"/>
        <v>0</v>
      </c>
      <c r="BD96" s="47">
        <f t="shared" si="26"/>
        <v>0</v>
      </c>
    </row>
    <row r="97" spans="2:56">
      <c r="B97" s="37">
        <f>'3. Input (des)investeringen '!B130</f>
        <v>1565</v>
      </c>
      <c r="C97" s="48"/>
      <c r="D97" s="48"/>
      <c r="E97" s="48"/>
      <c r="F97" s="42">
        <f>'3. Input (des)investeringen '!D130</f>
        <v>0</v>
      </c>
      <c r="G97" s="48"/>
      <c r="H97" s="37">
        <f>'3. Input (des)investeringen '!F130</f>
        <v>2022</v>
      </c>
      <c r="I97" s="42" t="str">
        <f>'3. Input (des)investeringen '!G130</f>
        <v>nvt</v>
      </c>
      <c r="J97" s="42">
        <f>'3. Input (des)investeringen '!H130</f>
        <v>0</v>
      </c>
      <c r="K97" s="42">
        <f>'3. Input (des)investeringen '!I130</f>
        <v>1</v>
      </c>
      <c r="M97" s="43">
        <f t="shared" si="37"/>
        <v>0</v>
      </c>
      <c r="N97" s="43">
        <f t="shared" si="38"/>
        <v>0</v>
      </c>
      <c r="P97" s="137">
        <f t="shared" si="27"/>
        <v>0</v>
      </c>
      <c r="Q97" s="137">
        <f t="shared" si="39"/>
        <v>0</v>
      </c>
      <c r="S97" s="43">
        <f t="shared" si="10"/>
        <v>0</v>
      </c>
      <c r="T97" s="38">
        <f t="shared" si="11"/>
        <v>0</v>
      </c>
      <c r="V97" s="43">
        <f t="shared" si="34"/>
        <v>0</v>
      </c>
      <c r="W97" s="43">
        <f t="shared" si="34"/>
        <v>0</v>
      </c>
      <c r="X97" s="43">
        <f t="shared" si="34"/>
        <v>0</v>
      </c>
      <c r="Y97" s="43">
        <f t="shared" si="34"/>
        <v>0</v>
      </c>
      <c r="Z97" s="43">
        <f t="shared" si="34"/>
        <v>0</v>
      </c>
      <c r="AB97" s="43">
        <f t="shared" si="35"/>
        <v>0</v>
      </c>
      <c r="AC97" s="43">
        <f t="shared" si="35"/>
        <v>0</v>
      </c>
      <c r="AD97" s="43">
        <f t="shared" si="35"/>
        <v>0</v>
      </c>
      <c r="AE97" s="43">
        <f t="shared" si="35"/>
        <v>0</v>
      </c>
      <c r="AF97" s="43">
        <f t="shared" si="35"/>
        <v>0</v>
      </c>
      <c r="AH97" s="43">
        <f t="shared" si="12"/>
        <v>0</v>
      </c>
      <c r="AI97" s="43">
        <f t="shared" si="13"/>
        <v>0</v>
      </c>
      <c r="AJ97" s="43">
        <f t="shared" si="14"/>
        <v>0</v>
      </c>
      <c r="AK97" s="43">
        <f t="shared" si="15"/>
        <v>0</v>
      </c>
      <c r="AL97" s="43">
        <f t="shared" si="16"/>
        <v>0</v>
      </c>
      <c r="AN97" s="43">
        <f t="shared" si="17"/>
        <v>0</v>
      </c>
      <c r="AO97" s="43">
        <f t="shared" si="18"/>
        <v>0</v>
      </c>
      <c r="AP97" s="43">
        <f t="shared" si="19"/>
        <v>0</v>
      </c>
      <c r="AQ97" s="43">
        <f t="shared" si="20"/>
        <v>0</v>
      </c>
      <c r="AR97" s="43">
        <f t="shared" si="21"/>
        <v>0</v>
      </c>
      <c r="AT97" s="43">
        <f t="shared" si="36"/>
        <v>0</v>
      </c>
      <c r="AU97" s="43">
        <f t="shared" si="36"/>
        <v>0</v>
      </c>
      <c r="AV97" s="43">
        <f t="shared" si="36"/>
        <v>0</v>
      </c>
      <c r="AW97" s="43">
        <f t="shared" si="36"/>
        <v>0</v>
      </c>
      <c r="AX97" s="43">
        <f t="shared" si="36"/>
        <v>0</v>
      </c>
      <c r="AZ97" s="47">
        <f t="shared" si="22"/>
        <v>0</v>
      </c>
      <c r="BA97" s="47">
        <f t="shared" si="23"/>
        <v>0</v>
      </c>
      <c r="BB97" s="47">
        <f t="shared" si="24"/>
        <v>0</v>
      </c>
      <c r="BC97" s="47">
        <f t="shared" si="25"/>
        <v>0</v>
      </c>
      <c r="BD97" s="47">
        <f t="shared" si="26"/>
        <v>0</v>
      </c>
    </row>
    <row r="98" spans="2:56">
      <c r="B98" s="37">
        <f>'3. Input (des)investeringen '!B131</f>
        <v>1566</v>
      </c>
      <c r="C98" s="48"/>
      <c r="D98" s="48"/>
      <c r="E98" s="48"/>
      <c r="F98" s="42">
        <f>'3. Input (des)investeringen '!D131</f>
        <v>16890169.385303106</v>
      </c>
      <c r="G98" s="48"/>
      <c r="H98" s="37">
        <f>'3. Input (des)investeringen '!F131</f>
        <v>2022</v>
      </c>
      <c r="I98" s="42" t="str">
        <f>'3. Input (des)investeringen '!G131</f>
        <v>nvt</v>
      </c>
      <c r="J98" s="42">
        <f>'3. Input (des)investeringen '!H131</f>
        <v>5</v>
      </c>
      <c r="K98" s="42">
        <f>'3. Input (des)investeringen '!I131</f>
        <v>1</v>
      </c>
      <c r="M98" s="43">
        <f t="shared" si="37"/>
        <v>0</v>
      </c>
      <c r="N98" s="43">
        <f t="shared" si="38"/>
        <v>0</v>
      </c>
      <c r="P98" s="137">
        <f t="shared" si="27"/>
        <v>0</v>
      </c>
      <c r="Q98" s="137">
        <f t="shared" si="39"/>
        <v>0</v>
      </c>
      <c r="S98" s="43">
        <f t="shared" si="10"/>
        <v>16890169.385303106</v>
      </c>
      <c r="T98" s="38">
        <f t="shared" si="11"/>
        <v>5</v>
      </c>
      <c r="V98" s="43">
        <f t="shared" si="34"/>
        <v>1976149.8180804634</v>
      </c>
      <c r="W98" s="43">
        <f t="shared" si="34"/>
        <v>3438500.6834600065</v>
      </c>
      <c r="X98" s="43">
        <f t="shared" si="34"/>
        <v>2796143.4129235218</v>
      </c>
      <c r="Y98" s="43">
        <f t="shared" si="34"/>
        <v>2796143.4129235218</v>
      </c>
      <c r="Z98" s="43">
        <f t="shared" si="34"/>
        <v>2796143.4129235218</v>
      </c>
      <c r="AB98" s="43">
        <f t="shared" si="35"/>
        <v>168901.69385303109</v>
      </c>
      <c r="AC98" s="43">
        <f t="shared" si="35"/>
        <v>337803.38770606212</v>
      </c>
      <c r="AD98" s="43">
        <f t="shared" si="35"/>
        <v>337803.38770606212</v>
      </c>
      <c r="AE98" s="43">
        <f t="shared" si="35"/>
        <v>337803.38770606212</v>
      </c>
      <c r="AF98" s="43">
        <f t="shared" si="35"/>
        <v>337803.38770606212</v>
      </c>
      <c r="AH98" s="43">
        <f t="shared" si="12"/>
        <v>2145051.5119334944</v>
      </c>
      <c r="AI98" s="43">
        <f t="shared" si="13"/>
        <v>3776304.0711660688</v>
      </c>
      <c r="AJ98" s="43">
        <f t="shared" si="14"/>
        <v>3133946.8006295841</v>
      </c>
      <c r="AK98" s="43">
        <f t="shared" si="15"/>
        <v>3133946.8006295841</v>
      </c>
      <c r="AL98" s="43">
        <f t="shared" si="16"/>
        <v>3133946.8006295841</v>
      </c>
      <c r="AN98" s="43">
        <f t="shared" si="17"/>
        <v>14745117.873369612</v>
      </c>
      <c r="AO98" s="43">
        <f t="shared" si="18"/>
        <v>10968813.802203543</v>
      </c>
      <c r="AP98" s="43">
        <f t="shared" si="19"/>
        <v>7834867.0015739594</v>
      </c>
      <c r="AQ98" s="43">
        <f t="shared" si="20"/>
        <v>4700920.2009443752</v>
      </c>
      <c r="AR98" s="43">
        <f t="shared" si="21"/>
        <v>1566973.4003147911</v>
      </c>
      <c r="AT98" s="43">
        <f t="shared" si="36"/>
        <v>168901.69385303106</v>
      </c>
      <c r="AU98" s="43">
        <f t="shared" si="36"/>
        <v>178656.10447643133</v>
      </c>
      <c r="AV98" s="43">
        <f t="shared" si="36"/>
        <v>192176.79846320767</v>
      </c>
      <c r="AW98" s="43">
        <f t="shared" si="36"/>
        <v>196767.51782489676</v>
      </c>
      <c r="AX98" s="43">
        <f t="shared" si="36"/>
        <v>203427.70476823387</v>
      </c>
      <c r="AZ98" s="47">
        <f t="shared" si="22"/>
        <v>2815287.2134810919</v>
      </c>
      <c r="BA98" s="47">
        <f t="shared" si="23"/>
        <v>4316931.0311152171</v>
      </c>
      <c r="BB98" s="47">
        <f t="shared" si="24"/>
        <v>3623848.5451526023</v>
      </c>
      <c r="BC98" s="47">
        <f t="shared" si="25"/>
        <v>3509349.286090367</v>
      </c>
      <c r="BD98" s="47">
        <f t="shared" si="26"/>
        <v>3396919.4946097801</v>
      </c>
    </row>
    <row r="99" spans="2:56">
      <c r="B99" s="37">
        <f>'3. Input (des)investeringen '!B132</f>
        <v>1567</v>
      </c>
      <c r="C99" s="48"/>
      <c r="D99" s="48"/>
      <c r="E99" s="48"/>
      <c r="F99" s="42">
        <f>'3. Input (des)investeringen '!D132</f>
        <v>5123153.0826677978</v>
      </c>
      <c r="G99" s="48"/>
      <c r="H99" s="37">
        <f>'3. Input (des)investeringen '!F132</f>
        <v>2022</v>
      </c>
      <c r="I99" s="42" t="str">
        <f>'3. Input (des)investeringen '!G132</f>
        <v>nvt</v>
      </c>
      <c r="J99" s="42">
        <f>'3. Input (des)investeringen '!H132</f>
        <v>10</v>
      </c>
      <c r="K99" s="42">
        <f>'3. Input (des)investeringen '!I132</f>
        <v>1</v>
      </c>
      <c r="M99" s="43">
        <f t="shared" si="37"/>
        <v>0</v>
      </c>
      <c r="N99" s="43">
        <f t="shared" si="38"/>
        <v>0</v>
      </c>
      <c r="P99" s="137">
        <f t="shared" si="27"/>
        <v>0</v>
      </c>
      <c r="Q99" s="137">
        <f t="shared" si="39"/>
        <v>0</v>
      </c>
      <c r="S99" s="43">
        <f t="shared" si="10"/>
        <v>5123153.0826677978</v>
      </c>
      <c r="T99" s="38">
        <f t="shared" si="11"/>
        <v>10</v>
      </c>
      <c r="V99" s="43">
        <f t="shared" si="34"/>
        <v>299704.4553360662</v>
      </c>
      <c r="W99" s="43">
        <f t="shared" si="34"/>
        <v>560447.33147844381</v>
      </c>
      <c r="X99" s="43">
        <f t="shared" si="34"/>
        <v>487589.17838624615</v>
      </c>
      <c r="Y99" s="43">
        <f t="shared" si="34"/>
        <v>435079.57456003496</v>
      </c>
      <c r="Z99" s="43">
        <f t="shared" si="34"/>
        <v>435079.57456003496</v>
      </c>
      <c r="AB99" s="43">
        <f t="shared" si="35"/>
        <v>25615.765413338991</v>
      </c>
      <c r="AC99" s="43">
        <f t="shared" si="35"/>
        <v>51231.530826677976</v>
      </c>
      <c r="AD99" s="43">
        <f t="shared" si="35"/>
        <v>51231.530826677976</v>
      </c>
      <c r="AE99" s="43">
        <f t="shared" si="35"/>
        <v>51231.530826677976</v>
      </c>
      <c r="AF99" s="43">
        <f t="shared" si="35"/>
        <v>51231.530826677976</v>
      </c>
      <c r="AH99" s="43">
        <f t="shared" si="12"/>
        <v>325320.22074940521</v>
      </c>
      <c r="AI99" s="43">
        <f t="shared" si="13"/>
        <v>611678.86230512173</v>
      </c>
      <c r="AJ99" s="43">
        <f t="shared" si="14"/>
        <v>538820.70921292412</v>
      </c>
      <c r="AK99" s="43">
        <f t="shared" si="15"/>
        <v>486311.10538671294</v>
      </c>
      <c r="AL99" s="43">
        <f t="shared" si="16"/>
        <v>486311.10538671294</v>
      </c>
      <c r="AN99" s="43">
        <f t="shared" si="17"/>
        <v>4797832.8619183926</v>
      </c>
      <c r="AO99" s="43">
        <f t="shared" si="18"/>
        <v>4186153.9996132711</v>
      </c>
      <c r="AP99" s="43">
        <f t="shared" si="19"/>
        <v>3647333.2904003467</v>
      </c>
      <c r="AQ99" s="43">
        <f t="shared" si="20"/>
        <v>3161022.1850136337</v>
      </c>
      <c r="AR99" s="43">
        <f t="shared" si="21"/>
        <v>2674711.0796269206</v>
      </c>
      <c r="AT99" s="43">
        <f t="shared" si="36"/>
        <v>51231.530826677976</v>
      </c>
      <c r="AU99" s="43">
        <f t="shared" si="36"/>
        <v>54190.254194980291</v>
      </c>
      <c r="AV99" s="43">
        <f t="shared" si="36"/>
        <v>58291.372632456405</v>
      </c>
      <c r="AW99" s="43">
        <f t="shared" si="36"/>
        <v>59683.836941900525</v>
      </c>
      <c r="AX99" s="43">
        <f t="shared" si="36"/>
        <v>61704.015454709966</v>
      </c>
      <c r="AZ99" s="47">
        <f t="shared" si="22"/>
        <v>539678.06888130854</v>
      </c>
      <c r="BA99" s="47">
        <f t="shared" si="23"/>
        <v>804012.19848734001</v>
      </c>
      <c r="BB99" s="47">
        <f t="shared" si="24"/>
        <v>735710.74688059359</v>
      </c>
      <c r="BC99" s="47">
        <f t="shared" si="25"/>
        <v>666113.78535913152</v>
      </c>
      <c r="BD99" s="47">
        <f t="shared" si="26"/>
        <v>649654.1418672459</v>
      </c>
    </row>
    <row r="100" spans="2:56">
      <c r="B100" s="37">
        <f>'3. Input (des)investeringen '!B133</f>
        <v>1568</v>
      </c>
      <c r="C100" s="48"/>
      <c r="D100" s="48"/>
      <c r="E100" s="48"/>
      <c r="F100" s="42">
        <f>'3. Input (des)investeringen '!D133</f>
        <v>24165572.707445111</v>
      </c>
      <c r="G100" s="48"/>
      <c r="H100" s="37">
        <f>'3. Input (des)investeringen '!F133</f>
        <v>2022</v>
      </c>
      <c r="I100" s="42" t="str">
        <f>'3. Input (des)investeringen '!G133</f>
        <v>nvt</v>
      </c>
      <c r="J100" s="42">
        <f>'3. Input (des)investeringen '!H133</f>
        <v>15</v>
      </c>
      <c r="K100" s="42">
        <f>'3. Input (des)investeringen '!I133</f>
        <v>1</v>
      </c>
      <c r="M100" s="43">
        <f t="shared" si="37"/>
        <v>0</v>
      </c>
      <c r="N100" s="43">
        <f t="shared" si="38"/>
        <v>0</v>
      </c>
      <c r="P100" s="137">
        <f t="shared" si="27"/>
        <v>0</v>
      </c>
      <c r="Q100" s="137">
        <f t="shared" si="39"/>
        <v>0</v>
      </c>
      <c r="S100" s="43">
        <f t="shared" si="10"/>
        <v>24165572.707445111</v>
      </c>
      <c r="T100" s="38">
        <f t="shared" si="11"/>
        <v>15</v>
      </c>
      <c r="V100" s="43">
        <f t="shared" si="34"/>
        <v>942457.33559035941</v>
      </c>
      <c r="W100" s="43">
        <f t="shared" si="34"/>
        <v>1803235.0354295543</v>
      </c>
      <c r="X100" s="43">
        <f t="shared" si="34"/>
        <v>1646954.6656923261</v>
      </c>
      <c r="Y100" s="43">
        <f t="shared" si="34"/>
        <v>1504218.594665658</v>
      </c>
      <c r="Z100" s="43">
        <f t="shared" si="34"/>
        <v>1378447.8091584959</v>
      </c>
      <c r="AB100" s="43">
        <f t="shared" si="35"/>
        <v>80551.90902481704</v>
      </c>
      <c r="AC100" s="43">
        <f t="shared" si="35"/>
        <v>161103.81804963411</v>
      </c>
      <c r="AD100" s="43">
        <f t="shared" si="35"/>
        <v>161103.81804963411</v>
      </c>
      <c r="AE100" s="43">
        <f t="shared" si="35"/>
        <v>161103.81804963411</v>
      </c>
      <c r="AF100" s="43">
        <f t="shared" si="35"/>
        <v>161103.81804963411</v>
      </c>
      <c r="AH100" s="43">
        <f t="shared" si="12"/>
        <v>1023009.2446151765</v>
      </c>
      <c r="AI100" s="43">
        <f t="shared" si="13"/>
        <v>1964338.8534791884</v>
      </c>
      <c r="AJ100" s="43">
        <f t="shared" si="14"/>
        <v>1808058.4837419603</v>
      </c>
      <c r="AK100" s="43">
        <f t="shared" si="15"/>
        <v>1665322.4127152921</v>
      </c>
      <c r="AL100" s="43">
        <f t="shared" si="16"/>
        <v>1539551.62720813</v>
      </c>
      <c r="AN100" s="43">
        <f t="shared" si="17"/>
        <v>23142563.462829936</v>
      </c>
      <c r="AO100" s="43">
        <f t="shared" si="18"/>
        <v>21178224.609350748</v>
      </c>
      <c r="AP100" s="43">
        <f t="shared" si="19"/>
        <v>19370166.125608787</v>
      </c>
      <c r="AQ100" s="43">
        <f t="shared" si="20"/>
        <v>17704843.712893493</v>
      </c>
      <c r="AR100" s="43">
        <f t="shared" si="21"/>
        <v>16165292.085685363</v>
      </c>
      <c r="AT100" s="43">
        <f t="shared" si="36"/>
        <v>241655.7270744511</v>
      </c>
      <c r="AU100" s="43">
        <f t="shared" si="36"/>
        <v>255611.82862445485</v>
      </c>
      <c r="AV100" s="43">
        <f t="shared" si="36"/>
        <v>274956.5318147536</v>
      </c>
      <c r="AW100" s="43">
        <f t="shared" si="36"/>
        <v>281524.69344674441</v>
      </c>
      <c r="AX100" s="43">
        <f t="shared" si="36"/>
        <v>291053.74127052986</v>
      </c>
      <c r="AZ100" s="47">
        <f t="shared" si="22"/>
        <v>2051512.1294258453</v>
      </c>
      <c r="BA100" s="47">
        <f t="shared" si="23"/>
        <v>2918832.0942122177</v>
      </c>
      <c r="BB100" s="47">
        <f t="shared" si="24"/>
        <v>2819081.3283298477</v>
      </c>
      <c r="BC100" s="47">
        <f t="shared" si="25"/>
        <v>2619631.1672519892</v>
      </c>
      <c r="BD100" s="47">
        <f t="shared" si="26"/>
        <v>2444886.4677347038</v>
      </c>
    </row>
    <row r="101" spans="2:56">
      <c r="B101" s="37">
        <f>'3. Input (des)investeringen '!B134</f>
        <v>1569</v>
      </c>
      <c r="C101" s="48"/>
      <c r="D101" s="48"/>
      <c r="E101" s="48"/>
      <c r="F101" s="42">
        <f>'3. Input (des)investeringen '!D134</f>
        <v>29680389.233082227</v>
      </c>
      <c r="G101" s="48"/>
      <c r="H101" s="37">
        <f>'3. Input (des)investeringen '!F134</f>
        <v>2022</v>
      </c>
      <c r="I101" s="42" t="str">
        <f>'3. Input (des)investeringen '!G134</f>
        <v>nvt</v>
      </c>
      <c r="J101" s="42">
        <f>'3. Input (des)investeringen '!H134</f>
        <v>30</v>
      </c>
      <c r="K101" s="42">
        <f>'3. Input (des)investeringen '!I134</f>
        <v>1</v>
      </c>
      <c r="M101" s="43">
        <f t="shared" si="37"/>
        <v>0</v>
      </c>
      <c r="N101" s="43">
        <f t="shared" si="38"/>
        <v>0</v>
      </c>
      <c r="P101" s="137">
        <f t="shared" si="27"/>
        <v>0</v>
      </c>
      <c r="Q101" s="137">
        <f t="shared" si="39"/>
        <v>0</v>
      </c>
      <c r="S101" s="43">
        <f t="shared" si="10"/>
        <v>29680389.233082227</v>
      </c>
      <c r="T101" s="38">
        <f t="shared" si="11"/>
        <v>30</v>
      </c>
      <c r="V101" s="43">
        <f t="shared" ref="V101:Z110" si="40">IF($J101=0, 0, IF(OR($H101&gt;V$59,$H101+$J101&lt;V$59),0,
IF(OR($H101=2020,$H101=2021),VDB($S101*(1-$F$28),0,$T101,V$59-2022,MIN($T101,V$59-2021),$F$22,FALSE),
VDB($S101*(1-$F$28),0,$T101,MAX(0,V$59-$H101-0.5),MIN($T101,V$59-$H101+0.5),$F$22,FALSE))))</f>
        <v>578767.59004510345</v>
      </c>
      <c r="W101" s="43">
        <f t="shared" si="40"/>
        <v>1132455.2511882524</v>
      </c>
      <c r="X101" s="43">
        <f t="shared" si="40"/>
        <v>1083382.1903034281</v>
      </c>
      <c r="Y101" s="43">
        <f t="shared" si="40"/>
        <v>1036435.6287236131</v>
      </c>
      <c r="Z101" s="43">
        <f t="shared" si="40"/>
        <v>991523.41814558976</v>
      </c>
      <c r="AB101" s="43">
        <f t="shared" ref="AB101:AF110" si="41">IF($J101=0, 0, IF(OR($H101&gt;AB$59,$H101+$J101&lt;AB$59),0,
IF(OR($H101=2020,$H101=2021),VDB($S101*$F$28,0,$T101,AB$59-2022,MIN($T101,AB$59-2021),1),
VDB($S101*$F$28,0,$T101,MAX(0,AB$59-$H101-0.5),MIN($T101,AB$59-$H101+0.5),1))))</f>
        <v>49467.315388470386</v>
      </c>
      <c r="AC101" s="43">
        <f t="shared" si="41"/>
        <v>98934.630776940772</v>
      </c>
      <c r="AD101" s="43">
        <f t="shared" si="41"/>
        <v>98934.630776940772</v>
      </c>
      <c r="AE101" s="43">
        <f t="shared" si="41"/>
        <v>98934.630776940772</v>
      </c>
      <c r="AF101" s="43">
        <f t="shared" si="41"/>
        <v>98934.630776940772</v>
      </c>
      <c r="AH101" s="43">
        <f t="shared" si="12"/>
        <v>628234.90543357388</v>
      </c>
      <c r="AI101" s="43">
        <f t="shared" si="13"/>
        <v>1231389.8819651932</v>
      </c>
      <c r="AJ101" s="43">
        <f t="shared" si="14"/>
        <v>1182316.8210803689</v>
      </c>
      <c r="AK101" s="43">
        <f t="shared" si="15"/>
        <v>1135370.2595005538</v>
      </c>
      <c r="AL101" s="43">
        <f t="shared" si="16"/>
        <v>1090458.0489225306</v>
      </c>
      <c r="AN101" s="43">
        <f t="shared" si="17"/>
        <v>29052154.327648655</v>
      </c>
      <c r="AO101" s="43">
        <f t="shared" si="18"/>
        <v>27820764.445683461</v>
      </c>
      <c r="AP101" s="43">
        <f t="shared" si="19"/>
        <v>26638447.624603093</v>
      </c>
      <c r="AQ101" s="43">
        <f t="shared" si="20"/>
        <v>25503077.365102537</v>
      </c>
      <c r="AR101" s="43">
        <f t="shared" si="21"/>
        <v>24412619.316180006</v>
      </c>
      <c r="AT101" s="43">
        <f t="shared" ref="AT101:AX110" si="42">IF($H101&lt;=AT$59,$F101*INDEX($H$40:$N$46,$H101-2019,AT$59-2019)*INDEX($H$49:$N$55,$H101-2019,AT$59-2019)*$F$19,0)</f>
        <v>296803.8923308223</v>
      </c>
      <c r="AU101" s="43">
        <f t="shared" si="42"/>
        <v>313944.91072071192</v>
      </c>
      <c r="AV101" s="43">
        <f t="shared" si="42"/>
        <v>337704.26156405546</v>
      </c>
      <c r="AW101" s="43">
        <f t="shared" si="42"/>
        <v>345771.34096429759</v>
      </c>
      <c r="AX101" s="43">
        <f t="shared" si="42"/>
        <v>357475.00931325718</v>
      </c>
      <c r="AZ101" s="47">
        <f t="shared" si="22"/>
        <v>1912812.0449044507</v>
      </c>
      <c r="BA101" s="47">
        <f t="shared" si="23"/>
        <v>2463420.0193934594</v>
      </c>
      <c r="BB101" s="47">
        <f t="shared" si="24"/>
        <v>2532282.0923793418</v>
      </c>
      <c r="BC101" s="47">
        <f t="shared" si="25"/>
        <v>2450258.5403387481</v>
      </c>
      <c r="BD101" s="47">
        <f t="shared" si="26"/>
        <v>2375612.5922506279</v>
      </c>
    </row>
    <row r="102" spans="2:56">
      <c r="B102" s="37">
        <f>'3. Input (des)investeringen '!B135</f>
        <v>1570</v>
      </c>
      <c r="C102" s="48"/>
      <c r="D102" s="48"/>
      <c r="E102" s="48"/>
      <c r="F102" s="42">
        <f>'3. Input (des)investeringen '!D135</f>
        <v>82159507.038901418</v>
      </c>
      <c r="G102" s="48"/>
      <c r="H102" s="37">
        <f>'3. Input (des)investeringen '!F135</f>
        <v>2022</v>
      </c>
      <c r="I102" s="42" t="str">
        <f>'3. Input (des)investeringen '!G135</f>
        <v>nvt</v>
      </c>
      <c r="J102" s="42">
        <f>'3. Input (des)investeringen '!H135</f>
        <v>55</v>
      </c>
      <c r="K102" s="42">
        <f>'3. Input (des)investeringen '!I135</f>
        <v>1</v>
      </c>
      <c r="M102" s="43">
        <f t="shared" si="37"/>
        <v>0</v>
      </c>
      <c r="N102" s="43">
        <f t="shared" si="38"/>
        <v>0</v>
      </c>
      <c r="P102" s="137">
        <f t="shared" si="27"/>
        <v>0</v>
      </c>
      <c r="Q102" s="137">
        <f t="shared" si="39"/>
        <v>0</v>
      </c>
      <c r="S102" s="43">
        <f t="shared" si="10"/>
        <v>82159507.038901418</v>
      </c>
      <c r="T102" s="38">
        <f t="shared" si="11"/>
        <v>55</v>
      </c>
      <c r="V102" s="43">
        <f t="shared" si="40"/>
        <v>873878.39305013325</v>
      </c>
      <c r="W102" s="43">
        <f t="shared" si="40"/>
        <v>1727101.4786281723</v>
      </c>
      <c r="X102" s="43">
        <f t="shared" si="40"/>
        <v>1686279.0800424155</v>
      </c>
      <c r="Y102" s="43">
        <f t="shared" si="40"/>
        <v>1646421.5745141401</v>
      </c>
      <c r="Z102" s="43">
        <f t="shared" si="40"/>
        <v>1607506.1554801697</v>
      </c>
      <c r="AB102" s="43">
        <f t="shared" si="41"/>
        <v>74690.46094445583</v>
      </c>
      <c r="AC102" s="43">
        <f t="shared" si="41"/>
        <v>149380.92188891166</v>
      </c>
      <c r="AD102" s="43">
        <f t="shared" si="41"/>
        <v>149380.92188891166</v>
      </c>
      <c r="AE102" s="43">
        <f t="shared" si="41"/>
        <v>149380.92188891166</v>
      </c>
      <c r="AF102" s="43">
        <f t="shared" si="41"/>
        <v>149380.92188891166</v>
      </c>
      <c r="AH102" s="43">
        <f t="shared" si="12"/>
        <v>948568.85399458907</v>
      </c>
      <c r="AI102" s="43">
        <f t="shared" si="13"/>
        <v>1876482.4005170839</v>
      </c>
      <c r="AJ102" s="43">
        <f t="shared" si="14"/>
        <v>1835660.0019313272</v>
      </c>
      <c r="AK102" s="43">
        <f t="shared" si="15"/>
        <v>1795802.4964030518</v>
      </c>
      <c r="AL102" s="43">
        <f t="shared" si="16"/>
        <v>1756887.0773690813</v>
      </c>
      <c r="AN102" s="43">
        <f t="shared" si="17"/>
        <v>81210938.184906825</v>
      </c>
      <c r="AO102" s="43">
        <f t="shared" si="18"/>
        <v>79334455.784389734</v>
      </c>
      <c r="AP102" s="43">
        <f t="shared" si="19"/>
        <v>77498795.78245841</v>
      </c>
      <c r="AQ102" s="43">
        <f t="shared" si="20"/>
        <v>75702993.286055356</v>
      </c>
      <c r="AR102" s="43">
        <f t="shared" si="21"/>
        <v>73946106.208686277</v>
      </c>
      <c r="AT102" s="43">
        <f t="shared" si="42"/>
        <v>821595.0703890142</v>
      </c>
      <c r="AU102" s="43">
        <f t="shared" si="42"/>
        <v>869043.82889412052</v>
      </c>
      <c r="AV102" s="43">
        <f t="shared" si="42"/>
        <v>934813.06586482783</v>
      </c>
      <c r="AW102" s="43">
        <f t="shared" si="42"/>
        <v>957143.88038220676</v>
      </c>
      <c r="AX102" s="43">
        <f t="shared" si="42"/>
        <v>989541.2864453838</v>
      </c>
      <c r="AZ102" s="47">
        <f t="shared" si="22"/>
        <v>4531335.8226704355</v>
      </c>
      <c r="BA102" s="47">
        <f t="shared" si="23"/>
        <v>5363563.2702960661</v>
      </c>
      <c r="BB102" s="47">
        <f t="shared" si="24"/>
        <v>5715427.3075295743</v>
      </c>
      <c r="BC102" s="47">
        <f t="shared" si="25"/>
        <v>5629660.1216553617</v>
      </c>
      <c r="BD102" s="47">
        <f t="shared" si="26"/>
        <v>5556380.3997445432</v>
      </c>
    </row>
    <row r="103" spans="2:56">
      <c r="B103" s="37">
        <f>'3. Input (des)investeringen '!B136</f>
        <v>1571</v>
      </c>
      <c r="C103" s="48"/>
      <c r="D103" s="48"/>
      <c r="E103" s="48"/>
      <c r="F103" s="42">
        <f>'3. Input (des)investeringen '!D136</f>
        <v>-31359.805432116216</v>
      </c>
      <c r="G103" s="48"/>
      <c r="H103" s="37">
        <f>'3. Input (des)investeringen '!F136</f>
        <v>2022</v>
      </c>
      <c r="I103" s="42" t="str">
        <f>'3. Input (des)investeringen '!G136</f>
        <v>nvt</v>
      </c>
      <c r="J103" s="42">
        <f>'3. Input (des)investeringen '!H136</f>
        <v>0</v>
      </c>
      <c r="K103" s="42">
        <f>'3. Input (des)investeringen '!I136</f>
        <v>0</v>
      </c>
      <c r="M103" s="43">
        <f t="shared" si="37"/>
        <v>0</v>
      </c>
      <c r="N103" s="43">
        <f t="shared" si="38"/>
        <v>0</v>
      </c>
      <c r="P103" s="137">
        <f t="shared" si="27"/>
        <v>0</v>
      </c>
      <c r="Q103" s="137">
        <f t="shared" si="39"/>
        <v>0</v>
      </c>
      <c r="S103" s="43">
        <f t="shared" si="10"/>
        <v>-31359.805432116216</v>
      </c>
      <c r="T103" s="38">
        <f t="shared" si="11"/>
        <v>0</v>
      </c>
      <c r="V103" s="43">
        <f t="shared" si="40"/>
        <v>0</v>
      </c>
      <c r="W103" s="43">
        <f t="shared" si="40"/>
        <v>0</v>
      </c>
      <c r="X103" s="43">
        <f t="shared" si="40"/>
        <v>0</v>
      </c>
      <c r="Y103" s="43">
        <f t="shared" si="40"/>
        <v>0</v>
      </c>
      <c r="Z103" s="43">
        <f t="shared" si="40"/>
        <v>0</v>
      </c>
      <c r="AB103" s="43">
        <f t="shared" si="41"/>
        <v>0</v>
      </c>
      <c r="AC103" s="43">
        <f t="shared" si="41"/>
        <v>0</v>
      </c>
      <c r="AD103" s="43">
        <f t="shared" si="41"/>
        <v>0</v>
      </c>
      <c r="AE103" s="43">
        <f t="shared" si="41"/>
        <v>0</v>
      </c>
      <c r="AF103" s="43">
        <f t="shared" si="41"/>
        <v>0</v>
      </c>
      <c r="AH103" s="43">
        <f t="shared" si="12"/>
        <v>0</v>
      </c>
      <c r="AI103" s="43">
        <f t="shared" si="13"/>
        <v>0</v>
      </c>
      <c r="AJ103" s="43">
        <f t="shared" si="14"/>
        <v>0</v>
      </c>
      <c r="AK103" s="43">
        <f t="shared" si="15"/>
        <v>0</v>
      </c>
      <c r="AL103" s="43">
        <f t="shared" si="16"/>
        <v>0</v>
      </c>
      <c r="AN103" s="43">
        <f t="shared" si="17"/>
        <v>-31359.805432116216</v>
      </c>
      <c r="AO103" s="43">
        <f t="shared" si="18"/>
        <v>-31359.805432116216</v>
      </c>
      <c r="AP103" s="43">
        <f t="shared" si="19"/>
        <v>-31359.805432116216</v>
      </c>
      <c r="AQ103" s="43">
        <f t="shared" si="20"/>
        <v>-31359.805432116216</v>
      </c>
      <c r="AR103" s="43">
        <f t="shared" si="21"/>
        <v>-31359.805432116216</v>
      </c>
      <c r="AT103" s="43">
        <f t="shared" si="42"/>
        <v>-313.59805432116218</v>
      </c>
      <c r="AU103" s="43">
        <f t="shared" si="42"/>
        <v>-331.70896915431797</v>
      </c>
      <c r="AV103" s="43">
        <f t="shared" si="42"/>
        <v>-356.81270393991684</v>
      </c>
      <c r="AW103" s="43">
        <f t="shared" si="42"/>
        <v>-365.33624581163343</v>
      </c>
      <c r="AX103" s="43">
        <f t="shared" si="42"/>
        <v>-377.70214705986569</v>
      </c>
      <c r="AZ103" s="47">
        <f t="shared" si="22"/>
        <v>-1379.8314390131136</v>
      </c>
      <c r="BA103" s="47">
        <f t="shared" si="23"/>
        <v>-1366.5825484141533</v>
      </c>
      <c r="BB103" s="47">
        <f t="shared" si="24"/>
        <v>-1548.4853103603332</v>
      </c>
      <c r="BC103" s="47">
        <f t="shared" si="25"/>
        <v>-1557.0088522320498</v>
      </c>
      <c r="BD103" s="47">
        <f t="shared" si="26"/>
        <v>-1569.3747534802819</v>
      </c>
    </row>
    <row r="104" spans="2:56">
      <c r="B104" s="37">
        <f>'3. Input (des)investeringen '!B137</f>
        <v>1572</v>
      </c>
      <c r="C104" s="48"/>
      <c r="D104" s="48"/>
      <c r="E104" s="48"/>
      <c r="F104" s="42">
        <f>'3. Input (des)investeringen '!D137</f>
        <v>441686.97804726404</v>
      </c>
      <c r="G104" s="48"/>
      <c r="H104" s="37">
        <f>'3. Input (des)investeringen '!F137</f>
        <v>2022</v>
      </c>
      <c r="I104" s="42" t="str">
        <f>'3. Input (des)investeringen '!G137</f>
        <v>nvt</v>
      </c>
      <c r="J104" s="42">
        <f>'3. Input (des)investeringen '!H137</f>
        <v>5</v>
      </c>
      <c r="K104" s="42">
        <f>'3. Input (des)investeringen '!I137</f>
        <v>0</v>
      </c>
      <c r="M104" s="43">
        <f t="shared" si="37"/>
        <v>0</v>
      </c>
      <c r="N104" s="43">
        <f t="shared" si="38"/>
        <v>0</v>
      </c>
      <c r="P104" s="137">
        <f t="shared" si="27"/>
        <v>0</v>
      </c>
      <c r="Q104" s="137">
        <f t="shared" si="39"/>
        <v>0</v>
      </c>
      <c r="S104" s="43">
        <f t="shared" si="10"/>
        <v>441686.97804726404</v>
      </c>
      <c r="T104" s="38">
        <f t="shared" si="11"/>
        <v>5</v>
      </c>
      <c r="V104" s="43">
        <f t="shared" si="40"/>
        <v>51677.376431529898</v>
      </c>
      <c r="W104" s="43">
        <f t="shared" si="40"/>
        <v>89918.634990862032</v>
      </c>
      <c r="X104" s="43">
        <f t="shared" si="40"/>
        <v>73120.648234327353</v>
      </c>
      <c r="Y104" s="43">
        <f t="shared" si="40"/>
        <v>73120.648234327353</v>
      </c>
      <c r="Z104" s="43">
        <f t="shared" si="40"/>
        <v>73120.648234327353</v>
      </c>
      <c r="AB104" s="43">
        <f t="shared" si="41"/>
        <v>4416.8697804726407</v>
      </c>
      <c r="AC104" s="43">
        <f t="shared" si="41"/>
        <v>8833.7395609452815</v>
      </c>
      <c r="AD104" s="43">
        <f t="shared" si="41"/>
        <v>8833.7395609452815</v>
      </c>
      <c r="AE104" s="43">
        <f t="shared" si="41"/>
        <v>8833.7395609452815</v>
      </c>
      <c r="AF104" s="43">
        <f t="shared" si="41"/>
        <v>8833.7395609452815</v>
      </c>
      <c r="AH104" s="43">
        <f t="shared" si="12"/>
        <v>56094.246212002538</v>
      </c>
      <c r="AI104" s="43">
        <f t="shared" si="13"/>
        <v>98752.374551807312</v>
      </c>
      <c r="AJ104" s="43">
        <f t="shared" si="14"/>
        <v>81954.387795272633</v>
      </c>
      <c r="AK104" s="43">
        <f t="shared" si="15"/>
        <v>81954.387795272633</v>
      </c>
      <c r="AL104" s="43">
        <f t="shared" si="16"/>
        <v>81954.387795272633</v>
      </c>
      <c r="AN104" s="43">
        <f t="shared" si="17"/>
        <v>385592.73183526151</v>
      </c>
      <c r="AO104" s="43">
        <f t="shared" si="18"/>
        <v>286840.35728345421</v>
      </c>
      <c r="AP104" s="43">
        <f t="shared" si="19"/>
        <v>204885.96948818158</v>
      </c>
      <c r="AQ104" s="43">
        <f t="shared" si="20"/>
        <v>122931.58169290895</v>
      </c>
      <c r="AR104" s="43">
        <f t="shared" si="21"/>
        <v>40977.193897636316</v>
      </c>
      <c r="AT104" s="43">
        <f t="shared" si="42"/>
        <v>4416.8697804726407</v>
      </c>
      <c r="AU104" s="43">
        <f t="shared" si="42"/>
        <v>4671.9528440344966</v>
      </c>
      <c r="AV104" s="43">
        <f t="shared" si="42"/>
        <v>5025.5262352710279</v>
      </c>
      <c r="AW104" s="43">
        <f t="shared" si="42"/>
        <v>5145.5760059791819</v>
      </c>
      <c r="AX104" s="43">
        <f t="shared" si="42"/>
        <v>5319.7434626295653</v>
      </c>
      <c r="AZ104" s="47">
        <f t="shared" si="22"/>
        <v>73621.268874874062</v>
      </c>
      <c r="BA104" s="47">
        <f t="shared" si="23"/>
        <v>112890.05918619581</v>
      </c>
      <c r="BB104" s="47">
        <f t="shared" si="24"/>
        <v>94765.580871094557</v>
      </c>
      <c r="BC104" s="47">
        <f t="shared" si="25"/>
        <v>91771.363905582344</v>
      </c>
      <c r="BD104" s="47">
        <f t="shared" si="26"/>
        <v>88831.264626012387</v>
      </c>
    </row>
    <row r="105" spans="2:56">
      <c r="B105" s="37">
        <f>'3. Input (des)investeringen '!B138</f>
        <v>1573</v>
      </c>
      <c r="C105" s="48"/>
      <c r="D105" s="48"/>
      <c r="E105" s="48"/>
      <c r="F105" s="42">
        <f>'3. Input (des)investeringen '!D138</f>
        <v>1583921.081394993</v>
      </c>
      <c r="G105" s="48"/>
      <c r="H105" s="37">
        <f>'3. Input (des)investeringen '!F138</f>
        <v>2022</v>
      </c>
      <c r="I105" s="42" t="str">
        <f>'3. Input (des)investeringen '!G138</f>
        <v>nvt</v>
      </c>
      <c r="J105" s="42">
        <f>'3. Input (des)investeringen '!H138</f>
        <v>10</v>
      </c>
      <c r="K105" s="42">
        <f>'3. Input (des)investeringen '!I138</f>
        <v>0</v>
      </c>
      <c r="M105" s="43">
        <f t="shared" si="37"/>
        <v>0</v>
      </c>
      <c r="N105" s="43">
        <f t="shared" si="38"/>
        <v>0</v>
      </c>
      <c r="P105" s="137">
        <f t="shared" si="27"/>
        <v>0</v>
      </c>
      <c r="Q105" s="137">
        <f t="shared" si="39"/>
        <v>0</v>
      </c>
      <c r="S105" s="43">
        <f t="shared" si="10"/>
        <v>1583921.081394993</v>
      </c>
      <c r="T105" s="38">
        <f t="shared" si="11"/>
        <v>10</v>
      </c>
      <c r="V105" s="43">
        <f t="shared" si="40"/>
        <v>92659.383261607087</v>
      </c>
      <c r="W105" s="43">
        <f t="shared" si="40"/>
        <v>173273.04669920527</v>
      </c>
      <c r="X105" s="43">
        <f t="shared" si="40"/>
        <v>150747.55062830859</v>
      </c>
      <c r="Y105" s="43">
        <f t="shared" si="40"/>
        <v>134513.19902218305</v>
      </c>
      <c r="Z105" s="43">
        <f t="shared" si="40"/>
        <v>134513.19902218305</v>
      </c>
      <c r="AB105" s="43">
        <f t="shared" si="41"/>
        <v>7919.6054069749662</v>
      </c>
      <c r="AC105" s="43">
        <f t="shared" si="41"/>
        <v>15839.210813949932</v>
      </c>
      <c r="AD105" s="43">
        <f t="shared" si="41"/>
        <v>15839.210813949932</v>
      </c>
      <c r="AE105" s="43">
        <f t="shared" si="41"/>
        <v>15839.210813949932</v>
      </c>
      <c r="AF105" s="43">
        <f t="shared" si="41"/>
        <v>15839.210813949932</v>
      </c>
      <c r="AH105" s="43">
        <f t="shared" si="12"/>
        <v>100578.98866858205</v>
      </c>
      <c r="AI105" s="43">
        <f t="shared" si="13"/>
        <v>189112.2575131552</v>
      </c>
      <c r="AJ105" s="43">
        <f t="shared" si="14"/>
        <v>166586.76144225852</v>
      </c>
      <c r="AK105" s="43">
        <f t="shared" si="15"/>
        <v>150352.40983613298</v>
      </c>
      <c r="AL105" s="43">
        <f t="shared" si="16"/>
        <v>150352.40983613298</v>
      </c>
      <c r="AN105" s="43">
        <f t="shared" si="17"/>
        <v>1483342.0927264108</v>
      </c>
      <c r="AO105" s="43">
        <f t="shared" si="18"/>
        <v>1294229.8352132556</v>
      </c>
      <c r="AP105" s="43">
        <f t="shared" si="19"/>
        <v>1127643.0737709971</v>
      </c>
      <c r="AQ105" s="43">
        <f t="shared" si="20"/>
        <v>977290.6639348641</v>
      </c>
      <c r="AR105" s="43">
        <f t="shared" si="21"/>
        <v>826938.25409873109</v>
      </c>
      <c r="AT105" s="43">
        <f t="shared" si="42"/>
        <v>15839.210813949931</v>
      </c>
      <c r="AU105" s="43">
        <f t="shared" si="42"/>
        <v>16753.956916877167</v>
      </c>
      <c r="AV105" s="43">
        <f t="shared" si="42"/>
        <v>18021.896376346434</v>
      </c>
      <c r="AW105" s="43">
        <f t="shared" si="42"/>
        <v>18452.403436984598</v>
      </c>
      <c r="AX105" s="43">
        <f t="shared" si="42"/>
        <v>19076.980388519652</v>
      </c>
      <c r="AZ105" s="47">
        <f t="shared" si="22"/>
        <v>166851.83063522994</v>
      </c>
      <c r="BA105" s="47">
        <f t="shared" si="23"/>
        <v>248575.79899206979</v>
      </c>
      <c r="BB105" s="47">
        <f t="shared" si="24"/>
        <v>227459.09462190286</v>
      </c>
      <c r="BC105" s="47">
        <f t="shared" si="25"/>
        <v>205941.85850264243</v>
      </c>
      <c r="BD105" s="47">
        <f t="shared" si="26"/>
        <v>200853.04388040441</v>
      </c>
    </row>
    <row r="106" spans="2:56">
      <c r="B106" s="37">
        <f>'3. Input (des)investeringen '!B139</f>
        <v>1574</v>
      </c>
      <c r="C106" s="48"/>
      <c r="D106" s="48"/>
      <c r="E106" s="48"/>
      <c r="F106" s="42">
        <f>'3. Input (des)investeringen '!D139</f>
        <v>4759885.7217741664</v>
      </c>
      <c r="G106" s="48"/>
      <c r="H106" s="37">
        <f>'3. Input (des)investeringen '!F139</f>
        <v>2022</v>
      </c>
      <c r="I106" s="42" t="str">
        <f>'3. Input (des)investeringen '!G139</f>
        <v>nvt</v>
      </c>
      <c r="J106" s="42">
        <f>'3. Input (des)investeringen '!H139</f>
        <v>15</v>
      </c>
      <c r="K106" s="42">
        <f>'3. Input (des)investeringen '!I139</f>
        <v>0</v>
      </c>
      <c r="M106" s="43">
        <f t="shared" si="37"/>
        <v>0</v>
      </c>
      <c r="N106" s="43">
        <f t="shared" si="38"/>
        <v>0</v>
      </c>
      <c r="P106" s="137">
        <f t="shared" si="27"/>
        <v>0</v>
      </c>
      <c r="Q106" s="137">
        <f t="shared" si="39"/>
        <v>0</v>
      </c>
      <c r="S106" s="43">
        <f t="shared" si="10"/>
        <v>4759885.7217741664</v>
      </c>
      <c r="T106" s="38">
        <f t="shared" si="11"/>
        <v>15</v>
      </c>
      <c r="V106" s="43">
        <f t="shared" si="40"/>
        <v>185635.5431491925</v>
      </c>
      <c r="W106" s="43">
        <f t="shared" si="40"/>
        <v>355182.67255878833</v>
      </c>
      <c r="X106" s="43">
        <f t="shared" si="40"/>
        <v>324400.17427036003</v>
      </c>
      <c r="Y106" s="43">
        <f t="shared" si="40"/>
        <v>296285.4925002621</v>
      </c>
      <c r="Z106" s="43">
        <f t="shared" si="40"/>
        <v>271512.45801027364</v>
      </c>
      <c r="AB106" s="43">
        <f t="shared" si="41"/>
        <v>15866.285739247221</v>
      </c>
      <c r="AC106" s="43">
        <f t="shared" si="41"/>
        <v>31732.571478494443</v>
      </c>
      <c r="AD106" s="43">
        <f t="shared" si="41"/>
        <v>31732.571478494443</v>
      </c>
      <c r="AE106" s="43">
        <f t="shared" si="41"/>
        <v>31732.571478494443</v>
      </c>
      <c r="AF106" s="43">
        <f t="shared" si="41"/>
        <v>31732.571478494443</v>
      </c>
      <c r="AH106" s="43">
        <f t="shared" si="12"/>
        <v>201501.82888843972</v>
      </c>
      <c r="AI106" s="43">
        <f t="shared" si="13"/>
        <v>386915.24403728277</v>
      </c>
      <c r="AJ106" s="43">
        <f t="shared" si="14"/>
        <v>356132.74574885448</v>
      </c>
      <c r="AK106" s="43">
        <f t="shared" si="15"/>
        <v>328018.06397875655</v>
      </c>
      <c r="AL106" s="43">
        <f t="shared" si="16"/>
        <v>303245.02948876808</v>
      </c>
      <c r="AN106" s="43">
        <f t="shared" si="17"/>
        <v>4558383.8928857269</v>
      </c>
      <c r="AO106" s="43">
        <f t="shared" si="18"/>
        <v>4171468.6488484442</v>
      </c>
      <c r="AP106" s="43">
        <f t="shared" si="19"/>
        <v>3815335.90309959</v>
      </c>
      <c r="AQ106" s="43">
        <f t="shared" si="20"/>
        <v>3487317.8391208332</v>
      </c>
      <c r="AR106" s="43">
        <f t="shared" si="21"/>
        <v>3184072.8096320652</v>
      </c>
      <c r="AT106" s="43">
        <f t="shared" si="42"/>
        <v>47598.857217741664</v>
      </c>
      <c r="AU106" s="43">
        <f t="shared" si="42"/>
        <v>50347.786419780685</v>
      </c>
      <c r="AV106" s="43">
        <f t="shared" si="42"/>
        <v>54158.106896029691</v>
      </c>
      <c r="AW106" s="43">
        <f t="shared" si="42"/>
        <v>55451.835753562053</v>
      </c>
      <c r="AX106" s="43">
        <f t="shared" si="42"/>
        <v>57328.76949014861</v>
      </c>
      <c r="AZ106" s="47">
        <f t="shared" si="22"/>
        <v>404085.7384642961</v>
      </c>
      <c r="BA106" s="47">
        <f t="shared" si="23"/>
        <v>574921.49586906214</v>
      </c>
      <c r="BB106" s="47">
        <f t="shared" si="24"/>
        <v>555273.6169626686</v>
      </c>
      <c r="BC106" s="47">
        <f t="shared" si="25"/>
        <v>515987.97761891026</v>
      </c>
      <c r="BD106" s="47">
        <f t="shared" si="26"/>
        <v>481568.56574493519</v>
      </c>
    </row>
    <row r="107" spans="2:56">
      <c r="B107" s="37">
        <f>'3. Input (des)investeringen '!B140</f>
        <v>1575</v>
      </c>
      <c r="C107" s="48"/>
      <c r="D107" s="48"/>
      <c r="E107" s="48"/>
      <c r="F107" s="42">
        <f>'3. Input (des)investeringen '!D140</f>
        <v>26997284.606696233</v>
      </c>
      <c r="G107" s="48"/>
      <c r="H107" s="37">
        <f>'3. Input (des)investeringen '!F140</f>
        <v>2022</v>
      </c>
      <c r="I107" s="42" t="str">
        <f>'3. Input (des)investeringen '!G140</f>
        <v>nvt</v>
      </c>
      <c r="J107" s="42">
        <f>'3. Input (des)investeringen '!H140</f>
        <v>30</v>
      </c>
      <c r="K107" s="42">
        <f>'3. Input (des)investeringen '!I140</f>
        <v>0</v>
      </c>
      <c r="M107" s="43">
        <f t="shared" si="37"/>
        <v>0</v>
      </c>
      <c r="N107" s="43">
        <f t="shared" si="38"/>
        <v>0</v>
      </c>
      <c r="P107" s="137">
        <f t="shared" si="27"/>
        <v>0</v>
      </c>
      <c r="Q107" s="137">
        <f t="shared" si="39"/>
        <v>0</v>
      </c>
      <c r="S107" s="43">
        <f t="shared" si="10"/>
        <v>26997284.606696233</v>
      </c>
      <c r="T107" s="38">
        <f t="shared" si="11"/>
        <v>30</v>
      </c>
      <c r="V107" s="43">
        <f t="shared" si="40"/>
        <v>526447.04983057664</v>
      </c>
      <c r="W107" s="43">
        <f t="shared" si="40"/>
        <v>1030081.3941684949</v>
      </c>
      <c r="X107" s="43">
        <f t="shared" si="40"/>
        <v>985444.53375452664</v>
      </c>
      <c r="Y107" s="43">
        <f t="shared" si="40"/>
        <v>942741.93729183043</v>
      </c>
      <c r="Z107" s="43">
        <f t="shared" si="40"/>
        <v>901889.78667585109</v>
      </c>
      <c r="AB107" s="43">
        <f t="shared" si="41"/>
        <v>44995.474344493727</v>
      </c>
      <c r="AC107" s="43">
        <f t="shared" si="41"/>
        <v>89990.948688987453</v>
      </c>
      <c r="AD107" s="43">
        <f t="shared" si="41"/>
        <v>89990.948688987453</v>
      </c>
      <c r="AE107" s="43">
        <f t="shared" si="41"/>
        <v>89990.948688987453</v>
      </c>
      <c r="AF107" s="43">
        <f t="shared" si="41"/>
        <v>89990.948688987453</v>
      </c>
      <c r="AH107" s="43">
        <f t="shared" si="12"/>
        <v>571442.52417507034</v>
      </c>
      <c r="AI107" s="43">
        <f t="shared" si="13"/>
        <v>1120072.3428574824</v>
      </c>
      <c r="AJ107" s="43">
        <f t="shared" si="14"/>
        <v>1075435.482443514</v>
      </c>
      <c r="AK107" s="43">
        <f t="shared" si="15"/>
        <v>1032732.8859808178</v>
      </c>
      <c r="AL107" s="43">
        <f t="shared" si="16"/>
        <v>991880.7353648385</v>
      </c>
      <c r="AN107" s="43">
        <f t="shared" si="17"/>
        <v>26425842.082521163</v>
      </c>
      <c r="AO107" s="43">
        <f t="shared" si="18"/>
        <v>25305769.739663679</v>
      </c>
      <c r="AP107" s="43">
        <f t="shared" si="19"/>
        <v>24230334.257220164</v>
      </c>
      <c r="AQ107" s="43">
        <f t="shared" si="20"/>
        <v>23197601.371239346</v>
      </c>
      <c r="AR107" s="43">
        <f t="shared" si="21"/>
        <v>22205720.635874506</v>
      </c>
      <c r="AT107" s="43">
        <f t="shared" si="42"/>
        <v>269972.84606696235</v>
      </c>
      <c r="AU107" s="43">
        <f t="shared" si="42"/>
        <v>285564.31787302153</v>
      </c>
      <c r="AV107" s="43">
        <f t="shared" si="42"/>
        <v>307175.82544965192</v>
      </c>
      <c r="AW107" s="43">
        <f t="shared" si="42"/>
        <v>314513.64156799315</v>
      </c>
      <c r="AX107" s="43">
        <f t="shared" si="42"/>
        <v>325159.29930778657</v>
      </c>
      <c r="AZ107" s="47">
        <f t="shared" si="22"/>
        <v>1739894.0010477523</v>
      </c>
      <c r="BA107" s="47">
        <f t="shared" si="23"/>
        <v>2240727.0621394054</v>
      </c>
      <c r="BB107" s="47">
        <f t="shared" si="24"/>
        <v>2303364.0096675321</v>
      </c>
      <c r="BC107" s="47">
        <f t="shared" si="25"/>
        <v>2228755.379655906</v>
      </c>
      <c r="BD107" s="47">
        <f t="shared" si="26"/>
        <v>2160857.418835856</v>
      </c>
    </row>
    <row r="108" spans="2:56">
      <c r="B108" s="37">
        <f>'3. Input (des)investeringen '!B141</f>
        <v>1576</v>
      </c>
      <c r="C108" s="48"/>
      <c r="D108" s="48"/>
      <c r="E108" s="48"/>
      <c r="F108" s="42">
        <f>'3. Input (des)investeringen '!D141</f>
        <v>38137.497252574271</v>
      </c>
      <c r="G108" s="48"/>
      <c r="H108" s="37">
        <f>'3. Input (des)investeringen '!F141</f>
        <v>2022</v>
      </c>
      <c r="I108" s="42" t="str">
        <f>'3. Input (des)investeringen '!G141</f>
        <v>nvt</v>
      </c>
      <c r="J108" s="42">
        <f>'3. Input (des)investeringen '!H141</f>
        <v>55</v>
      </c>
      <c r="K108" s="42">
        <f>'3. Input (des)investeringen '!I141</f>
        <v>0</v>
      </c>
      <c r="M108" s="43">
        <f t="shared" si="37"/>
        <v>0</v>
      </c>
      <c r="N108" s="43">
        <f t="shared" si="38"/>
        <v>0</v>
      </c>
      <c r="P108" s="137">
        <f t="shared" si="27"/>
        <v>0</v>
      </c>
      <c r="Q108" s="137">
        <f t="shared" si="39"/>
        <v>0</v>
      </c>
      <c r="S108" s="43">
        <f t="shared" si="10"/>
        <v>38137.497252574271</v>
      </c>
      <c r="T108" s="38">
        <f t="shared" si="11"/>
        <v>55</v>
      </c>
      <c r="V108" s="43">
        <f t="shared" si="40"/>
        <v>405.64428895919906</v>
      </c>
      <c r="W108" s="43">
        <f t="shared" si="40"/>
        <v>801.70062199754432</v>
      </c>
      <c r="X108" s="43">
        <f t="shared" si="40"/>
        <v>782.75133456851142</v>
      </c>
      <c r="Y108" s="43">
        <f t="shared" si="40"/>
        <v>764.24993938780119</v>
      </c>
      <c r="Z108" s="43">
        <f t="shared" si="40"/>
        <v>746.1858499113622</v>
      </c>
      <c r="AB108" s="43">
        <f t="shared" si="41"/>
        <v>34.67045204779479</v>
      </c>
      <c r="AC108" s="43">
        <f t="shared" si="41"/>
        <v>69.340904095589593</v>
      </c>
      <c r="AD108" s="43">
        <f t="shared" si="41"/>
        <v>69.340904095589593</v>
      </c>
      <c r="AE108" s="43">
        <f t="shared" si="41"/>
        <v>69.340904095589593</v>
      </c>
      <c r="AF108" s="43">
        <f t="shared" si="41"/>
        <v>69.340904095589593</v>
      </c>
      <c r="AH108" s="43">
        <f t="shared" si="12"/>
        <v>440.31474100699387</v>
      </c>
      <c r="AI108" s="43">
        <f t="shared" si="13"/>
        <v>871.04152609313394</v>
      </c>
      <c r="AJ108" s="43">
        <f t="shared" si="14"/>
        <v>852.09223866410105</v>
      </c>
      <c r="AK108" s="43">
        <f t="shared" si="15"/>
        <v>833.59084348339081</v>
      </c>
      <c r="AL108" s="43">
        <f t="shared" si="16"/>
        <v>815.52675400695182</v>
      </c>
      <c r="AN108" s="43">
        <f t="shared" si="17"/>
        <v>37697.182511567276</v>
      </c>
      <c r="AO108" s="43">
        <f t="shared" si="18"/>
        <v>36826.140985474143</v>
      </c>
      <c r="AP108" s="43">
        <f t="shared" si="19"/>
        <v>35974.04874681004</v>
      </c>
      <c r="AQ108" s="43">
        <f t="shared" si="20"/>
        <v>35140.457903326649</v>
      </c>
      <c r="AR108" s="43">
        <f t="shared" si="21"/>
        <v>34324.931149319695</v>
      </c>
      <c r="AT108" s="43">
        <f t="shared" si="42"/>
        <v>381.37497252574269</v>
      </c>
      <c r="AU108" s="43">
        <f t="shared" si="42"/>
        <v>403.40013993904944</v>
      </c>
      <c r="AV108" s="43">
        <f t="shared" si="42"/>
        <v>433.92946252963674</v>
      </c>
      <c r="AW108" s="43">
        <f t="shared" si="42"/>
        <v>444.29516953054468</v>
      </c>
      <c r="AX108" s="43">
        <f t="shared" si="42"/>
        <v>459.33367242881457</v>
      </c>
      <c r="AZ108" s="47">
        <f t="shared" si="22"/>
        <v>2103.3939189260241</v>
      </c>
      <c r="BA108" s="47">
        <f t="shared" si="23"/>
        <v>2489.70431855283</v>
      </c>
      <c r="BB108" s="47">
        <f t="shared" si="24"/>
        <v>2653.0355535725189</v>
      </c>
      <c r="BC108" s="47">
        <f t="shared" si="25"/>
        <v>2613.2234133403481</v>
      </c>
      <c r="BD108" s="47">
        <f t="shared" si="26"/>
        <v>2579.207810109915</v>
      </c>
    </row>
    <row r="109" spans="2:56">
      <c r="B109" s="37">
        <f>'3. Input (des)investeringen '!B142</f>
        <v>1577</v>
      </c>
      <c r="C109" s="48"/>
      <c r="D109" s="48"/>
      <c r="E109" s="48"/>
      <c r="F109" s="42">
        <f>'3. Input (des)investeringen '!D142</f>
        <v>0</v>
      </c>
      <c r="G109" s="48"/>
      <c r="H109" s="37">
        <f>'3. Input (des)investeringen '!F142</f>
        <v>2022</v>
      </c>
      <c r="I109" s="42" t="str">
        <f>'3. Input (des)investeringen '!G142</f>
        <v>nvt</v>
      </c>
      <c r="J109" s="42">
        <f>'3. Input (des)investeringen '!H142</f>
        <v>0</v>
      </c>
      <c r="K109" s="42">
        <f>'3. Input (des)investeringen '!I142</f>
        <v>0</v>
      </c>
      <c r="M109" s="43">
        <f t="shared" si="37"/>
        <v>0</v>
      </c>
      <c r="N109" s="43">
        <f t="shared" si="38"/>
        <v>0</v>
      </c>
      <c r="P109" s="137">
        <f t="shared" si="27"/>
        <v>0</v>
      </c>
      <c r="Q109" s="137">
        <f t="shared" si="39"/>
        <v>0</v>
      </c>
      <c r="S109" s="43">
        <f t="shared" si="10"/>
        <v>0</v>
      </c>
      <c r="T109" s="38">
        <f t="shared" si="11"/>
        <v>0</v>
      </c>
      <c r="V109" s="43">
        <f t="shared" si="40"/>
        <v>0</v>
      </c>
      <c r="W109" s="43">
        <f t="shared" si="40"/>
        <v>0</v>
      </c>
      <c r="X109" s="43">
        <f t="shared" si="40"/>
        <v>0</v>
      </c>
      <c r="Y109" s="43">
        <f t="shared" si="40"/>
        <v>0</v>
      </c>
      <c r="Z109" s="43">
        <f t="shared" si="40"/>
        <v>0</v>
      </c>
      <c r="AB109" s="43">
        <f t="shared" si="41"/>
        <v>0</v>
      </c>
      <c r="AC109" s="43">
        <f t="shared" si="41"/>
        <v>0</v>
      </c>
      <c r="AD109" s="43">
        <f t="shared" si="41"/>
        <v>0</v>
      </c>
      <c r="AE109" s="43">
        <f t="shared" si="41"/>
        <v>0</v>
      </c>
      <c r="AF109" s="43">
        <f t="shared" si="41"/>
        <v>0</v>
      </c>
      <c r="AH109" s="43">
        <f t="shared" si="12"/>
        <v>0</v>
      </c>
      <c r="AI109" s="43">
        <f t="shared" si="13"/>
        <v>0</v>
      </c>
      <c r="AJ109" s="43">
        <f t="shared" si="14"/>
        <v>0</v>
      </c>
      <c r="AK109" s="43">
        <f t="shared" si="15"/>
        <v>0</v>
      </c>
      <c r="AL109" s="43">
        <f t="shared" si="16"/>
        <v>0</v>
      </c>
      <c r="AN109" s="43">
        <f t="shared" si="17"/>
        <v>0</v>
      </c>
      <c r="AO109" s="43">
        <f t="shared" si="18"/>
        <v>0</v>
      </c>
      <c r="AP109" s="43">
        <f t="shared" si="19"/>
        <v>0</v>
      </c>
      <c r="AQ109" s="43">
        <f t="shared" si="20"/>
        <v>0</v>
      </c>
      <c r="AR109" s="43">
        <f t="shared" si="21"/>
        <v>0</v>
      </c>
      <c r="AT109" s="43">
        <f t="shared" si="42"/>
        <v>0</v>
      </c>
      <c r="AU109" s="43">
        <f t="shared" si="42"/>
        <v>0</v>
      </c>
      <c r="AV109" s="43">
        <f t="shared" si="42"/>
        <v>0</v>
      </c>
      <c r="AW109" s="43">
        <f t="shared" si="42"/>
        <v>0</v>
      </c>
      <c r="AX109" s="43">
        <f t="shared" si="42"/>
        <v>0</v>
      </c>
      <c r="AZ109" s="47">
        <f t="shared" si="22"/>
        <v>0</v>
      </c>
      <c r="BA109" s="47">
        <f t="shared" si="23"/>
        <v>0</v>
      </c>
      <c r="BB109" s="47">
        <f t="shared" si="24"/>
        <v>0</v>
      </c>
      <c r="BC109" s="47">
        <f t="shared" si="25"/>
        <v>0</v>
      </c>
      <c r="BD109" s="47">
        <f t="shared" si="26"/>
        <v>0</v>
      </c>
    </row>
    <row r="110" spans="2:56">
      <c r="B110" s="37">
        <f>'3. Input (des)investeringen '!B143</f>
        <v>1578</v>
      </c>
      <c r="C110" s="48"/>
      <c r="D110" s="48"/>
      <c r="E110" s="48"/>
      <c r="F110" s="42">
        <f>'3. Input (des)investeringen '!D143</f>
        <v>634750.01622076391</v>
      </c>
      <c r="G110" s="48"/>
      <c r="H110" s="37">
        <f>'3. Input (des)investeringen '!F143</f>
        <v>2022</v>
      </c>
      <c r="I110" s="42" t="str">
        <f>'3. Input (des)investeringen '!G143</f>
        <v>nvt</v>
      </c>
      <c r="J110" s="42">
        <f>'3. Input (des)investeringen '!H143</f>
        <v>5</v>
      </c>
      <c r="K110" s="42">
        <f>'3. Input (des)investeringen '!I143</f>
        <v>0</v>
      </c>
      <c r="M110" s="43">
        <f t="shared" si="37"/>
        <v>0</v>
      </c>
      <c r="N110" s="43">
        <f t="shared" si="38"/>
        <v>0</v>
      </c>
      <c r="P110" s="137">
        <f t="shared" si="27"/>
        <v>0</v>
      </c>
      <c r="Q110" s="137">
        <f t="shared" si="39"/>
        <v>0</v>
      </c>
      <c r="S110" s="43">
        <f t="shared" si="10"/>
        <v>634750.01622076391</v>
      </c>
      <c r="T110" s="38">
        <f t="shared" si="11"/>
        <v>5</v>
      </c>
      <c r="V110" s="43">
        <f t="shared" si="40"/>
        <v>74265.751897829381</v>
      </c>
      <c r="W110" s="43">
        <f t="shared" si="40"/>
        <v>129222.40830222314</v>
      </c>
      <c r="X110" s="43">
        <f t="shared" si="40"/>
        <v>105081.95839961001</v>
      </c>
      <c r="Y110" s="43">
        <f t="shared" si="40"/>
        <v>105081.95839961001</v>
      </c>
      <c r="Z110" s="43">
        <f t="shared" si="40"/>
        <v>105081.95839961001</v>
      </c>
      <c r="AB110" s="43">
        <f t="shared" si="41"/>
        <v>6347.5001622076397</v>
      </c>
      <c r="AC110" s="43">
        <f t="shared" si="41"/>
        <v>12695.000324415279</v>
      </c>
      <c r="AD110" s="43">
        <f t="shared" si="41"/>
        <v>12695.000324415279</v>
      </c>
      <c r="AE110" s="43">
        <f t="shared" si="41"/>
        <v>12695.000324415279</v>
      </c>
      <c r="AF110" s="43">
        <f t="shared" si="41"/>
        <v>12695.000324415279</v>
      </c>
      <c r="AH110" s="43">
        <f t="shared" si="12"/>
        <v>80613.252060037019</v>
      </c>
      <c r="AI110" s="43">
        <f t="shared" si="13"/>
        <v>141917.40862663841</v>
      </c>
      <c r="AJ110" s="43">
        <f t="shared" si="14"/>
        <v>117776.95872402529</v>
      </c>
      <c r="AK110" s="43">
        <f t="shared" si="15"/>
        <v>117776.95872402529</v>
      </c>
      <c r="AL110" s="43">
        <f t="shared" si="16"/>
        <v>117776.95872402529</v>
      </c>
      <c r="AN110" s="43">
        <f t="shared" si="17"/>
        <v>554136.76416072692</v>
      </c>
      <c r="AO110" s="43">
        <f t="shared" si="18"/>
        <v>412219.35553408851</v>
      </c>
      <c r="AP110" s="43">
        <f t="shared" si="19"/>
        <v>294442.39681006322</v>
      </c>
      <c r="AQ110" s="43">
        <f t="shared" si="20"/>
        <v>176665.43808603793</v>
      </c>
      <c r="AR110" s="43">
        <f t="shared" si="21"/>
        <v>58888.479362012644</v>
      </c>
      <c r="AT110" s="43">
        <f t="shared" si="42"/>
        <v>6347.5001622076388</v>
      </c>
      <c r="AU110" s="43">
        <f t="shared" si="42"/>
        <v>6714.0809915754553</v>
      </c>
      <c r="AV110" s="43">
        <f t="shared" si="42"/>
        <v>7222.2026410178869</v>
      </c>
      <c r="AW110" s="43">
        <f t="shared" si="42"/>
        <v>7394.7266177065221</v>
      </c>
      <c r="AX110" s="43">
        <f t="shared" si="42"/>
        <v>7645.0233242626509</v>
      </c>
      <c r="AZ110" s="47">
        <f t="shared" si="22"/>
        <v>105801.40220370938</v>
      </c>
      <c r="BA110" s="47">
        <f t="shared" si="23"/>
        <v>162234.72835083879</v>
      </c>
      <c r="BB110" s="47">
        <f t="shared" si="24"/>
        <v>136187.97244382557</v>
      </c>
      <c r="BC110" s="47">
        <f t="shared" si="25"/>
        <v>131884.97198900126</v>
      </c>
      <c r="BD110" s="47">
        <f t="shared" si="26"/>
        <v>127659.74426404442</v>
      </c>
    </row>
    <row r="111" spans="2:56">
      <c r="B111" s="37">
        <f>'3. Input (des)investeringen '!B144</f>
        <v>1579</v>
      </c>
      <c r="C111" s="48"/>
      <c r="D111" s="48"/>
      <c r="E111" s="48"/>
      <c r="F111" s="42">
        <f>'3. Input (des)investeringen '!D144</f>
        <v>4698767.1893813582</v>
      </c>
      <c r="G111" s="48"/>
      <c r="H111" s="37">
        <f>'3. Input (des)investeringen '!F144</f>
        <v>2022</v>
      </c>
      <c r="I111" s="42" t="str">
        <f>'3. Input (des)investeringen '!G144</f>
        <v>nvt</v>
      </c>
      <c r="J111" s="42">
        <f>'3. Input (des)investeringen '!H144</f>
        <v>10</v>
      </c>
      <c r="K111" s="42">
        <f>'3. Input (des)investeringen '!I144</f>
        <v>0</v>
      </c>
      <c r="M111" s="43">
        <f t="shared" si="37"/>
        <v>0</v>
      </c>
      <c r="N111" s="43">
        <f t="shared" si="38"/>
        <v>0</v>
      </c>
      <c r="P111" s="137">
        <f t="shared" si="27"/>
        <v>0</v>
      </c>
      <c r="Q111" s="137">
        <f t="shared" si="39"/>
        <v>0</v>
      </c>
      <c r="S111" s="43">
        <f t="shared" si="10"/>
        <v>4698767.1893813582</v>
      </c>
      <c r="T111" s="38">
        <f t="shared" si="11"/>
        <v>10</v>
      </c>
      <c r="V111" s="43">
        <f t="shared" ref="V111:Z120" si="43">IF($J111=0, 0, IF(OR($H111&gt;V$59,$H111+$J111&lt;V$59),0,
IF(OR($H111=2020,$H111=2021),VDB($S111*(1-$F$28),0,$T111,V$59-2022,MIN($T111,V$59-2021),$F$22,FALSE),
VDB($S111*(1-$F$28),0,$T111,MAX(0,V$59-$H111-0.5),MIN($T111,V$59-$H111+0.5),$F$22,FALSE))))</f>
        <v>274877.88057880948</v>
      </c>
      <c r="W111" s="43">
        <f t="shared" si="43"/>
        <v>514021.63668237376</v>
      </c>
      <c r="X111" s="43">
        <f t="shared" si="43"/>
        <v>447198.82391366514</v>
      </c>
      <c r="Y111" s="43">
        <f t="shared" si="43"/>
        <v>399038.95056911657</v>
      </c>
      <c r="Z111" s="43">
        <f t="shared" si="43"/>
        <v>399038.95056911657</v>
      </c>
      <c r="AB111" s="43">
        <f t="shared" ref="AB111:AF120" si="44">IF($J111=0, 0, IF(OR($H111&gt;AB$59,$H111+$J111&lt;AB$59),0,
IF(OR($H111=2020,$H111=2021),VDB($S111*$F$28,0,$T111,AB$59-2022,MIN($T111,AB$59-2021),1),
VDB($S111*$F$28,0,$T111,MAX(0,AB$59-$H111-0.5),MIN($T111,AB$59-$H111+0.5),1))))</f>
        <v>23493.835946906795</v>
      </c>
      <c r="AC111" s="43">
        <f t="shared" si="44"/>
        <v>46987.671893813589</v>
      </c>
      <c r="AD111" s="43">
        <f t="shared" si="44"/>
        <v>46987.671893813589</v>
      </c>
      <c r="AE111" s="43">
        <f t="shared" si="44"/>
        <v>46987.671893813589</v>
      </c>
      <c r="AF111" s="43">
        <f t="shared" si="44"/>
        <v>46987.671893813589</v>
      </c>
      <c r="AH111" s="43">
        <f t="shared" si="12"/>
        <v>298371.71652571624</v>
      </c>
      <c r="AI111" s="43">
        <f t="shared" si="13"/>
        <v>561009.30857618735</v>
      </c>
      <c r="AJ111" s="43">
        <f t="shared" si="14"/>
        <v>494186.49580747873</v>
      </c>
      <c r="AK111" s="43">
        <f t="shared" si="15"/>
        <v>446026.62246293016</v>
      </c>
      <c r="AL111" s="43">
        <f t="shared" si="16"/>
        <v>446026.62246293016</v>
      </c>
      <c r="AN111" s="43">
        <f t="shared" si="17"/>
        <v>4400395.4728556424</v>
      </c>
      <c r="AO111" s="43">
        <f t="shared" si="18"/>
        <v>3839386.1642794553</v>
      </c>
      <c r="AP111" s="43">
        <f t="shared" si="19"/>
        <v>3345199.6684719766</v>
      </c>
      <c r="AQ111" s="43">
        <f t="shared" si="20"/>
        <v>2899173.0460090465</v>
      </c>
      <c r="AR111" s="43">
        <f t="shared" si="21"/>
        <v>2453146.4235461163</v>
      </c>
      <c r="AT111" s="43">
        <f t="shared" ref="AT111:AX120" si="45">IF($H111&lt;=AT$59,$F111*INDEX($H$40:$N$46,$H111-2019,AT$59-2019)*INDEX($H$49:$N$55,$H111-2019,AT$59-2019)*$F$19,0)</f>
        <v>46987.671893813582</v>
      </c>
      <c r="AU111" s="43">
        <f t="shared" si="45"/>
        <v>49701.303921025108</v>
      </c>
      <c r="AV111" s="43">
        <f t="shared" si="45"/>
        <v>53462.698601768294</v>
      </c>
      <c r="AW111" s="43">
        <f t="shared" si="45"/>
        <v>54739.815545967322</v>
      </c>
      <c r="AX111" s="43">
        <f t="shared" si="45"/>
        <v>56592.648822567229</v>
      </c>
      <c r="AZ111" s="47">
        <f t="shared" si="22"/>
        <v>494972.83449662168</v>
      </c>
      <c r="BA111" s="47">
        <f t="shared" si="23"/>
        <v>737410.35591843456</v>
      </c>
      <c r="BB111" s="47">
        <f t="shared" si="24"/>
        <v>674766.78181118215</v>
      </c>
      <c r="BC111" s="47">
        <f t="shared" si="25"/>
        <v>610935.01375724119</v>
      </c>
      <c r="BD111" s="47">
        <f t="shared" si="26"/>
        <v>595838.83538024977</v>
      </c>
    </row>
    <row r="112" spans="2:56">
      <c r="B112" s="37">
        <f>'3. Input (des)investeringen '!B145</f>
        <v>1580</v>
      </c>
      <c r="C112" s="48"/>
      <c r="D112" s="48"/>
      <c r="E112" s="48"/>
      <c r="F112" s="42">
        <f>'3. Input (des)investeringen '!D145</f>
        <v>7689046.2734296853</v>
      </c>
      <c r="G112" s="48"/>
      <c r="H112" s="37">
        <f>'3. Input (des)investeringen '!F145</f>
        <v>2022</v>
      </c>
      <c r="I112" s="42" t="str">
        <f>'3. Input (des)investeringen '!G145</f>
        <v>nvt</v>
      </c>
      <c r="J112" s="42">
        <f>'3. Input (des)investeringen '!H145</f>
        <v>15</v>
      </c>
      <c r="K112" s="42">
        <f>'3. Input (des)investeringen '!I145</f>
        <v>0</v>
      </c>
      <c r="M112" s="43">
        <f t="shared" si="37"/>
        <v>0</v>
      </c>
      <c r="N112" s="43">
        <f t="shared" si="38"/>
        <v>0</v>
      </c>
      <c r="P112" s="137">
        <f t="shared" si="27"/>
        <v>0</v>
      </c>
      <c r="Q112" s="137">
        <f t="shared" si="39"/>
        <v>0</v>
      </c>
      <c r="S112" s="43">
        <f t="shared" si="10"/>
        <v>7689046.2734296853</v>
      </c>
      <c r="T112" s="38">
        <f t="shared" si="11"/>
        <v>15</v>
      </c>
      <c r="V112" s="43">
        <f t="shared" si="43"/>
        <v>299872.80466375774</v>
      </c>
      <c r="W112" s="43">
        <f t="shared" si="43"/>
        <v>573756.6329233232</v>
      </c>
      <c r="X112" s="43">
        <f t="shared" si="43"/>
        <v>524031.05806996854</v>
      </c>
      <c r="Y112" s="43">
        <f t="shared" si="43"/>
        <v>478615.03303723788</v>
      </c>
      <c r="Z112" s="43">
        <f t="shared" si="43"/>
        <v>438597.05368629826</v>
      </c>
      <c r="AB112" s="43">
        <f t="shared" si="44"/>
        <v>25630.154244765621</v>
      </c>
      <c r="AC112" s="43">
        <f t="shared" si="44"/>
        <v>51260.308489531235</v>
      </c>
      <c r="AD112" s="43">
        <f t="shared" si="44"/>
        <v>51260.308489531235</v>
      </c>
      <c r="AE112" s="43">
        <f t="shared" si="44"/>
        <v>51260.308489531235</v>
      </c>
      <c r="AF112" s="43">
        <f t="shared" si="44"/>
        <v>51260.308489531235</v>
      </c>
      <c r="AH112" s="43">
        <f t="shared" si="12"/>
        <v>325502.95890852337</v>
      </c>
      <c r="AI112" s="43">
        <f t="shared" si="13"/>
        <v>625016.94141285447</v>
      </c>
      <c r="AJ112" s="43">
        <f t="shared" si="14"/>
        <v>575291.36655949976</v>
      </c>
      <c r="AK112" s="43">
        <f t="shared" si="15"/>
        <v>529875.3415267691</v>
      </c>
      <c r="AL112" s="43">
        <f t="shared" si="16"/>
        <v>489857.36217582948</v>
      </c>
      <c r="AN112" s="43">
        <f t="shared" si="17"/>
        <v>7363543.3145211618</v>
      </c>
      <c r="AO112" s="43">
        <f t="shared" si="18"/>
        <v>6738526.3731083069</v>
      </c>
      <c r="AP112" s="43">
        <f t="shared" si="19"/>
        <v>6163235.006548807</v>
      </c>
      <c r="AQ112" s="43">
        <f t="shared" si="20"/>
        <v>5633359.6650220379</v>
      </c>
      <c r="AR112" s="43">
        <f t="shared" si="21"/>
        <v>5143502.3028462082</v>
      </c>
      <c r="AT112" s="43">
        <f t="shared" si="45"/>
        <v>76890.46273429686</v>
      </c>
      <c r="AU112" s="43">
        <f t="shared" si="45"/>
        <v>81331.04073812798</v>
      </c>
      <c r="AV112" s="43">
        <f t="shared" si="45"/>
        <v>87486.173901189512</v>
      </c>
      <c r="AW112" s="43">
        <f t="shared" si="45"/>
        <v>89576.043623341116</v>
      </c>
      <c r="AX112" s="43">
        <f t="shared" si="45"/>
        <v>92608.013547903975</v>
      </c>
      <c r="AZ112" s="47">
        <f t="shared" si="22"/>
        <v>652753.89433653979</v>
      </c>
      <c r="BA112" s="47">
        <f t="shared" si="23"/>
        <v>928719.35246355657</v>
      </c>
      <c r="BB112" s="47">
        <f t="shared" si="24"/>
        <v>896980.47070954391</v>
      </c>
      <c r="BC112" s="47">
        <f t="shared" si="25"/>
        <v>833519.0524209477</v>
      </c>
      <c r="BD112" s="47">
        <f t="shared" si="26"/>
        <v>777918.46323188941</v>
      </c>
    </row>
    <row r="113" spans="2:56">
      <c r="B113" s="37">
        <f>'3. Input (des)investeringen '!B146</f>
        <v>1581</v>
      </c>
      <c r="C113" s="48"/>
      <c r="D113" s="48"/>
      <c r="E113" s="48"/>
      <c r="F113" s="42">
        <f>'3. Input (des)investeringen '!D146</f>
        <v>7629142.1872137021</v>
      </c>
      <c r="G113" s="48"/>
      <c r="H113" s="37">
        <f>'3. Input (des)investeringen '!F146</f>
        <v>2022</v>
      </c>
      <c r="I113" s="42" t="str">
        <f>'3. Input (des)investeringen '!G146</f>
        <v>nvt</v>
      </c>
      <c r="J113" s="42">
        <f>'3. Input (des)investeringen '!H146</f>
        <v>30</v>
      </c>
      <c r="K113" s="42">
        <f>'3. Input (des)investeringen '!I146</f>
        <v>0</v>
      </c>
      <c r="M113" s="43">
        <f t="shared" si="37"/>
        <v>0</v>
      </c>
      <c r="N113" s="43">
        <f t="shared" si="38"/>
        <v>0</v>
      </c>
      <c r="P113" s="137">
        <f t="shared" si="27"/>
        <v>0</v>
      </c>
      <c r="Q113" s="137">
        <f t="shared" si="39"/>
        <v>0</v>
      </c>
      <c r="S113" s="43">
        <f t="shared" si="10"/>
        <v>7629142.1872137021</v>
      </c>
      <c r="T113" s="38">
        <f t="shared" si="11"/>
        <v>30</v>
      </c>
      <c r="V113" s="43">
        <f t="shared" si="43"/>
        <v>148768.2726506672</v>
      </c>
      <c r="W113" s="43">
        <f t="shared" si="43"/>
        <v>291089.92015313881</v>
      </c>
      <c r="X113" s="43">
        <f t="shared" si="43"/>
        <v>278476.02361316944</v>
      </c>
      <c r="Y113" s="43">
        <f t="shared" si="43"/>
        <v>266408.72925659874</v>
      </c>
      <c r="Z113" s="43">
        <f t="shared" si="43"/>
        <v>254864.35098881283</v>
      </c>
      <c r="AB113" s="43">
        <f t="shared" si="44"/>
        <v>12715.236978689503</v>
      </c>
      <c r="AC113" s="43">
        <f t="shared" si="44"/>
        <v>25430.473957379007</v>
      </c>
      <c r="AD113" s="43">
        <f t="shared" si="44"/>
        <v>25430.473957379007</v>
      </c>
      <c r="AE113" s="43">
        <f t="shared" si="44"/>
        <v>25430.473957379007</v>
      </c>
      <c r="AF113" s="43">
        <f t="shared" si="44"/>
        <v>25430.473957379007</v>
      </c>
      <c r="AH113" s="43">
        <f t="shared" si="12"/>
        <v>161483.5096293567</v>
      </c>
      <c r="AI113" s="43">
        <f t="shared" si="13"/>
        <v>316520.39411051781</v>
      </c>
      <c r="AJ113" s="43">
        <f t="shared" si="14"/>
        <v>303906.49757054844</v>
      </c>
      <c r="AK113" s="43">
        <f t="shared" si="15"/>
        <v>291839.20321397774</v>
      </c>
      <c r="AL113" s="43">
        <f t="shared" si="16"/>
        <v>280294.82494619186</v>
      </c>
      <c r="AN113" s="43">
        <f t="shared" si="17"/>
        <v>7467658.6775843455</v>
      </c>
      <c r="AO113" s="43">
        <f t="shared" si="18"/>
        <v>7151138.2834738279</v>
      </c>
      <c r="AP113" s="43">
        <f t="shared" si="19"/>
        <v>6847231.7859032797</v>
      </c>
      <c r="AQ113" s="43">
        <f t="shared" si="20"/>
        <v>6555392.582689302</v>
      </c>
      <c r="AR113" s="43">
        <f t="shared" si="21"/>
        <v>6275097.7577431099</v>
      </c>
      <c r="AT113" s="43">
        <f t="shared" si="45"/>
        <v>76291.421872137027</v>
      </c>
      <c r="AU113" s="43">
        <f t="shared" si="45"/>
        <v>80697.404068096686</v>
      </c>
      <c r="AV113" s="43">
        <f t="shared" si="45"/>
        <v>86804.583607970257</v>
      </c>
      <c r="AW113" s="43">
        <f t="shared" si="45"/>
        <v>88878.171501197445</v>
      </c>
      <c r="AX113" s="43">
        <f t="shared" si="45"/>
        <v>91886.519850169963</v>
      </c>
      <c r="AZ113" s="47">
        <f t="shared" si="22"/>
        <v>491675.3265393615</v>
      </c>
      <c r="BA113" s="47">
        <f t="shared" si="23"/>
        <v>633205.36153325078</v>
      </c>
      <c r="BB113" s="47">
        <f t="shared" si="24"/>
        <v>650905.88904284337</v>
      </c>
      <c r="BC113" s="47">
        <f t="shared" si="25"/>
        <v>629822.29285736871</v>
      </c>
      <c r="BD113" s="47">
        <f t="shared" si="26"/>
        <v>610635.05959060008</v>
      </c>
    </row>
    <row r="114" spans="2:56">
      <c r="B114" s="37">
        <f>'3. Input (des)investeringen '!B147</f>
        <v>1582</v>
      </c>
      <c r="C114" s="48"/>
      <c r="D114" s="48"/>
      <c r="E114" s="48"/>
      <c r="F114" s="42">
        <f>'3. Input (des)investeringen '!D147</f>
        <v>0</v>
      </c>
      <c r="G114" s="48"/>
      <c r="H114" s="37">
        <f>'3. Input (des)investeringen '!F147</f>
        <v>2022</v>
      </c>
      <c r="I114" s="42" t="str">
        <f>'3. Input (des)investeringen '!G147</f>
        <v>nvt</v>
      </c>
      <c r="J114" s="42">
        <f>'3. Input (des)investeringen '!H147</f>
        <v>55</v>
      </c>
      <c r="K114" s="42">
        <f>'3. Input (des)investeringen '!I147</f>
        <v>0</v>
      </c>
      <c r="M114" s="43">
        <f t="shared" si="37"/>
        <v>0</v>
      </c>
      <c r="N114" s="43">
        <f t="shared" si="38"/>
        <v>0</v>
      </c>
      <c r="P114" s="137">
        <f t="shared" si="27"/>
        <v>0</v>
      </c>
      <c r="Q114" s="137">
        <f t="shared" si="39"/>
        <v>0</v>
      </c>
      <c r="S114" s="43">
        <f t="shared" si="10"/>
        <v>0</v>
      </c>
      <c r="T114" s="38">
        <f>IF($J114=0, 0, IF(H114&lt;2022,J114-2021+H114-0.5,J114))</f>
        <v>55</v>
      </c>
      <c r="V114" s="43">
        <f t="shared" si="43"/>
        <v>0</v>
      </c>
      <c r="W114" s="43">
        <f t="shared" si="43"/>
        <v>0</v>
      </c>
      <c r="X114" s="43">
        <f t="shared" si="43"/>
        <v>0</v>
      </c>
      <c r="Y114" s="43">
        <f t="shared" si="43"/>
        <v>0</v>
      </c>
      <c r="Z114" s="43">
        <f t="shared" si="43"/>
        <v>0</v>
      </c>
      <c r="AB114" s="43">
        <f t="shared" si="44"/>
        <v>0</v>
      </c>
      <c r="AC114" s="43">
        <f t="shared" si="44"/>
        <v>0</v>
      </c>
      <c r="AD114" s="43">
        <f t="shared" si="44"/>
        <v>0</v>
      </c>
      <c r="AE114" s="43">
        <f t="shared" si="44"/>
        <v>0</v>
      </c>
      <c r="AF114" s="43">
        <f t="shared" si="44"/>
        <v>0</v>
      </c>
      <c r="AH114" s="43">
        <f t="shared" si="12"/>
        <v>0</v>
      </c>
      <c r="AI114" s="43">
        <f t="shared" si="13"/>
        <v>0</v>
      </c>
      <c r="AJ114" s="43">
        <f t="shared" si="14"/>
        <v>0</v>
      </c>
      <c r="AK114" s="43">
        <f t="shared" si="15"/>
        <v>0</v>
      </c>
      <c r="AL114" s="43">
        <f t="shared" si="16"/>
        <v>0</v>
      </c>
      <c r="AN114" s="43">
        <f t="shared" si="17"/>
        <v>0</v>
      </c>
      <c r="AO114" s="43">
        <f t="shared" si="18"/>
        <v>0</v>
      </c>
      <c r="AP114" s="43">
        <f t="shared" si="19"/>
        <v>0</v>
      </c>
      <c r="AQ114" s="43">
        <f t="shared" si="20"/>
        <v>0</v>
      </c>
      <c r="AR114" s="43">
        <f t="shared" si="21"/>
        <v>0</v>
      </c>
      <c r="AT114" s="43">
        <f t="shared" si="45"/>
        <v>0</v>
      </c>
      <c r="AU114" s="43">
        <f t="shared" si="45"/>
        <v>0</v>
      </c>
      <c r="AV114" s="43">
        <f t="shared" si="45"/>
        <v>0</v>
      </c>
      <c r="AW114" s="43">
        <f t="shared" si="45"/>
        <v>0</v>
      </c>
      <c r="AX114" s="43">
        <f t="shared" si="45"/>
        <v>0</v>
      </c>
      <c r="AZ114" s="47">
        <f t="shared" si="22"/>
        <v>0</v>
      </c>
      <c r="BA114" s="47">
        <f t="shared" si="23"/>
        <v>0</v>
      </c>
      <c r="BB114" s="47">
        <f t="shared" si="24"/>
        <v>0</v>
      </c>
      <c r="BC114" s="47">
        <f t="shared" si="25"/>
        <v>0</v>
      </c>
      <c r="BD114" s="47">
        <f t="shared" si="26"/>
        <v>0</v>
      </c>
    </row>
    <row r="115" spans="2:56">
      <c r="B115" s="37">
        <f>'3. Input (des)investeringen '!B148</f>
        <v>1583</v>
      </c>
      <c r="C115" s="48"/>
      <c r="D115" s="48"/>
      <c r="E115" s="48"/>
      <c r="F115" s="42">
        <f>'3. Input (des)investeringen '!D148</f>
        <v>0</v>
      </c>
      <c r="G115" s="48"/>
      <c r="H115" s="37">
        <f>'3. Input (des)investeringen '!F148</f>
        <v>2023</v>
      </c>
      <c r="I115" s="42" t="str">
        <f>'3. Input (des)investeringen '!G148</f>
        <v>nvt</v>
      </c>
      <c r="J115" s="42">
        <f>'3. Input (des)investeringen '!H148</f>
        <v>0</v>
      </c>
      <c r="K115" s="42">
        <f>'3. Input (des)investeringen '!I148</f>
        <v>1</v>
      </c>
      <c r="M115" s="43">
        <f t="shared" si="37"/>
        <v>0</v>
      </c>
      <c r="N115" s="43">
        <f t="shared" si="38"/>
        <v>0</v>
      </c>
      <c r="P115" s="137">
        <f t="shared" si="27"/>
        <v>0</v>
      </c>
      <c r="Q115" s="137">
        <f t="shared" si="39"/>
        <v>0</v>
      </c>
      <c r="S115" s="43">
        <f t="shared" si="10"/>
        <v>0</v>
      </c>
      <c r="T115" s="38">
        <f t="shared" si="11"/>
        <v>0</v>
      </c>
      <c r="V115" s="43">
        <f t="shared" si="43"/>
        <v>0</v>
      </c>
      <c r="W115" s="43">
        <f t="shared" si="43"/>
        <v>0</v>
      </c>
      <c r="X115" s="43">
        <f t="shared" si="43"/>
        <v>0</v>
      </c>
      <c r="Y115" s="43">
        <f t="shared" si="43"/>
        <v>0</v>
      </c>
      <c r="Z115" s="43">
        <f t="shared" si="43"/>
        <v>0</v>
      </c>
      <c r="AB115" s="43">
        <f t="shared" si="44"/>
        <v>0</v>
      </c>
      <c r="AC115" s="43">
        <f t="shared" si="44"/>
        <v>0</v>
      </c>
      <c r="AD115" s="43">
        <f t="shared" si="44"/>
        <v>0</v>
      </c>
      <c r="AE115" s="43">
        <f t="shared" si="44"/>
        <v>0</v>
      </c>
      <c r="AF115" s="43">
        <f t="shared" si="44"/>
        <v>0</v>
      </c>
      <c r="AH115" s="43">
        <f t="shared" si="12"/>
        <v>0</v>
      </c>
      <c r="AI115" s="43">
        <f t="shared" si="13"/>
        <v>0</v>
      </c>
      <c r="AJ115" s="43">
        <f t="shared" si="14"/>
        <v>0</v>
      </c>
      <c r="AK115" s="43">
        <f t="shared" si="15"/>
        <v>0</v>
      </c>
      <c r="AL115" s="43">
        <f t="shared" si="16"/>
        <v>0</v>
      </c>
      <c r="AN115" s="43">
        <f t="shared" si="17"/>
        <v>0</v>
      </c>
      <c r="AO115" s="43">
        <f t="shared" si="18"/>
        <v>0</v>
      </c>
      <c r="AP115" s="43">
        <f t="shared" si="19"/>
        <v>0</v>
      </c>
      <c r="AQ115" s="43">
        <f t="shared" si="20"/>
        <v>0</v>
      </c>
      <c r="AR115" s="43">
        <f t="shared" si="21"/>
        <v>0</v>
      </c>
      <c r="AT115" s="43">
        <f t="shared" si="45"/>
        <v>0</v>
      </c>
      <c r="AU115" s="43">
        <f t="shared" si="45"/>
        <v>0</v>
      </c>
      <c r="AV115" s="43">
        <f t="shared" si="45"/>
        <v>0</v>
      </c>
      <c r="AW115" s="43">
        <f t="shared" si="45"/>
        <v>0</v>
      </c>
      <c r="AX115" s="43">
        <f t="shared" si="45"/>
        <v>0</v>
      </c>
      <c r="AZ115" s="47">
        <f t="shared" si="22"/>
        <v>0</v>
      </c>
      <c r="BA115" s="47">
        <f t="shared" si="23"/>
        <v>0</v>
      </c>
      <c r="BB115" s="47">
        <f t="shared" si="24"/>
        <v>0</v>
      </c>
      <c r="BC115" s="47">
        <f t="shared" si="25"/>
        <v>0</v>
      </c>
      <c r="BD115" s="47">
        <f t="shared" si="26"/>
        <v>0</v>
      </c>
    </row>
    <row r="116" spans="2:56">
      <c r="B116" s="37">
        <f>'3. Input (des)investeringen '!B149</f>
        <v>1584</v>
      </c>
      <c r="C116" s="48"/>
      <c r="D116" s="48"/>
      <c r="E116" s="48"/>
      <c r="F116" s="42">
        <f>'3. Input (des)investeringen '!D149</f>
        <v>17108593.055793844</v>
      </c>
      <c r="G116" s="48"/>
      <c r="H116" s="37">
        <f>'3. Input (des)investeringen '!F149</f>
        <v>2023</v>
      </c>
      <c r="I116" s="42" t="str">
        <f>'3. Input (des)investeringen '!G149</f>
        <v>nvt</v>
      </c>
      <c r="J116" s="42">
        <f>'3. Input (des)investeringen '!H149</f>
        <v>5</v>
      </c>
      <c r="K116" s="42">
        <f>'3. Input (des)investeringen '!I149</f>
        <v>1</v>
      </c>
      <c r="M116" s="43">
        <f t="shared" si="37"/>
        <v>0</v>
      </c>
      <c r="N116" s="43">
        <f t="shared" si="38"/>
        <v>0</v>
      </c>
      <c r="P116" s="137">
        <f t="shared" si="27"/>
        <v>0</v>
      </c>
      <c r="Q116" s="137">
        <f t="shared" si="39"/>
        <v>0</v>
      </c>
      <c r="S116" s="43">
        <f t="shared" si="10"/>
        <v>17108593.055793844</v>
      </c>
      <c r="T116" s="38">
        <f t="shared" si="11"/>
        <v>5</v>
      </c>
      <c r="V116" s="43">
        <f t="shared" si="43"/>
        <v>0</v>
      </c>
      <c r="W116" s="43">
        <f t="shared" si="43"/>
        <v>2001705.3875278798</v>
      </c>
      <c r="X116" s="43">
        <f t="shared" si="43"/>
        <v>3482967.3742985111</v>
      </c>
      <c r="Y116" s="43">
        <f t="shared" si="43"/>
        <v>2832303.1395394481</v>
      </c>
      <c r="Z116" s="43">
        <f t="shared" si="43"/>
        <v>2832303.1395394481</v>
      </c>
      <c r="AB116" s="43">
        <f t="shared" si="44"/>
        <v>0</v>
      </c>
      <c r="AC116" s="43">
        <f t="shared" si="44"/>
        <v>171085.93055793847</v>
      </c>
      <c r="AD116" s="43">
        <f t="shared" si="44"/>
        <v>342171.86111587688</v>
      </c>
      <c r="AE116" s="43">
        <f t="shared" si="44"/>
        <v>342171.86111587688</v>
      </c>
      <c r="AF116" s="43">
        <f t="shared" si="44"/>
        <v>342171.86111587688</v>
      </c>
      <c r="AH116" s="43">
        <f t="shared" si="12"/>
        <v>0</v>
      </c>
      <c r="AI116" s="43">
        <f t="shared" si="13"/>
        <v>2172791.3180858181</v>
      </c>
      <c r="AJ116" s="43">
        <f t="shared" si="14"/>
        <v>3825139.2354143881</v>
      </c>
      <c r="AK116" s="43">
        <f t="shared" si="15"/>
        <v>3174475.0006553251</v>
      </c>
      <c r="AL116" s="43">
        <f t="shared" si="16"/>
        <v>3174475.0006553251</v>
      </c>
      <c r="AN116" s="43">
        <f t="shared" si="17"/>
        <v>0</v>
      </c>
      <c r="AO116" s="43">
        <f t="shared" si="18"/>
        <v>14935801.737708027</v>
      </c>
      <c r="AP116" s="43">
        <f t="shared" si="19"/>
        <v>11110662.502293639</v>
      </c>
      <c r="AQ116" s="43">
        <f t="shared" si="20"/>
        <v>7936187.5016383138</v>
      </c>
      <c r="AR116" s="43">
        <f t="shared" si="21"/>
        <v>4761712.5009829886</v>
      </c>
      <c r="AT116" s="43">
        <f t="shared" si="45"/>
        <v>0</v>
      </c>
      <c r="AU116" s="43">
        <f t="shared" si="45"/>
        <v>171085.93055793844</v>
      </c>
      <c r="AV116" s="43">
        <f t="shared" si="45"/>
        <v>184033.71378256325</v>
      </c>
      <c r="AW116" s="43">
        <f t="shared" si="45"/>
        <v>188429.91113740113</v>
      </c>
      <c r="AX116" s="43">
        <f t="shared" si="45"/>
        <v>194807.88676957984</v>
      </c>
      <c r="AZ116" s="47">
        <f t="shared" si="22"/>
        <v>0</v>
      </c>
      <c r="BA116" s="47">
        <f t="shared" si="23"/>
        <v>2836758.7059881212</v>
      </c>
      <c r="BB116" s="47">
        <f t="shared" si="24"/>
        <v>4431378.1242841091</v>
      </c>
      <c r="BC116" s="47">
        <f t="shared" si="25"/>
        <v>3664480.0368549824</v>
      </c>
      <c r="BD116" s="47">
        <f t="shared" si="26"/>
        <v>3550227.9624622585</v>
      </c>
    </row>
    <row r="117" spans="2:56">
      <c r="B117" s="37">
        <f>'3. Input (des)investeringen '!B150</f>
        <v>1585</v>
      </c>
      <c r="C117" s="48"/>
      <c r="D117" s="48"/>
      <c r="E117" s="48"/>
      <c r="F117" s="42">
        <f>'3. Input (des)investeringen '!D150</f>
        <v>5189405.6983328583</v>
      </c>
      <c r="G117" s="48"/>
      <c r="H117" s="37">
        <f>'3. Input (des)investeringen '!F150</f>
        <v>2023</v>
      </c>
      <c r="I117" s="42" t="str">
        <f>'3. Input (des)investeringen '!G150</f>
        <v>nvt</v>
      </c>
      <c r="J117" s="42">
        <f>'3. Input (des)investeringen '!H150</f>
        <v>10</v>
      </c>
      <c r="K117" s="42">
        <f>'3. Input (des)investeringen '!I150</f>
        <v>1</v>
      </c>
      <c r="M117" s="43">
        <f t="shared" si="37"/>
        <v>0</v>
      </c>
      <c r="N117" s="43">
        <f t="shared" si="38"/>
        <v>0</v>
      </c>
      <c r="P117" s="137">
        <f t="shared" si="27"/>
        <v>0</v>
      </c>
      <c r="Q117" s="137">
        <f t="shared" si="39"/>
        <v>0</v>
      </c>
      <c r="S117" s="43">
        <f t="shared" si="10"/>
        <v>5189405.6983328583</v>
      </c>
      <c r="T117" s="38">
        <f t="shared" si="11"/>
        <v>10</v>
      </c>
      <c r="V117" s="43">
        <f t="shared" si="43"/>
        <v>0</v>
      </c>
      <c r="W117" s="43">
        <f t="shared" si="43"/>
        <v>303580.23335247219</v>
      </c>
      <c r="X117" s="43">
        <f t="shared" si="43"/>
        <v>567695.03636912303</v>
      </c>
      <c r="Y117" s="43">
        <f t="shared" si="43"/>
        <v>493894.68164113705</v>
      </c>
      <c r="Z117" s="43">
        <f t="shared" si="43"/>
        <v>440706.02361824532</v>
      </c>
      <c r="AB117" s="43">
        <f t="shared" si="44"/>
        <v>0</v>
      </c>
      <c r="AC117" s="43">
        <f t="shared" si="44"/>
        <v>25947.028491664296</v>
      </c>
      <c r="AD117" s="43">
        <f t="shared" si="44"/>
        <v>51894.056983328592</v>
      </c>
      <c r="AE117" s="43">
        <f t="shared" si="44"/>
        <v>51894.056983328592</v>
      </c>
      <c r="AF117" s="43">
        <f t="shared" si="44"/>
        <v>51894.056983328592</v>
      </c>
      <c r="AH117" s="43">
        <f t="shared" si="12"/>
        <v>0</v>
      </c>
      <c r="AI117" s="43">
        <f t="shared" si="13"/>
        <v>329527.26184413646</v>
      </c>
      <c r="AJ117" s="43">
        <f t="shared" si="14"/>
        <v>619589.09335245157</v>
      </c>
      <c r="AK117" s="43">
        <f t="shared" si="15"/>
        <v>545788.73862446565</v>
      </c>
      <c r="AL117" s="43">
        <f t="shared" si="16"/>
        <v>492600.08060157392</v>
      </c>
      <c r="AN117" s="43">
        <f t="shared" si="17"/>
        <v>0</v>
      </c>
      <c r="AO117" s="43">
        <f t="shared" si="18"/>
        <v>4859878.4364887215</v>
      </c>
      <c r="AP117" s="43">
        <f t="shared" si="19"/>
        <v>4240289.3431362696</v>
      </c>
      <c r="AQ117" s="43">
        <f t="shared" si="20"/>
        <v>3694500.6045118039</v>
      </c>
      <c r="AR117" s="43">
        <f t="shared" si="21"/>
        <v>3201900.52391023</v>
      </c>
      <c r="AT117" s="43">
        <f t="shared" si="45"/>
        <v>0</v>
      </c>
      <c r="AU117" s="43">
        <f t="shared" si="45"/>
        <v>51894.056983328584</v>
      </c>
      <c r="AV117" s="43">
        <f t="shared" si="45"/>
        <v>55821.399215826896</v>
      </c>
      <c r="AW117" s="43">
        <f t="shared" si="45"/>
        <v>57154.860800294569</v>
      </c>
      <c r="AX117" s="43">
        <f t="shared" si="45"/>
        <v>59089.438528662933</v>
      </c>
      <c r="AZ117" s="47">
        <f t="shared" si="22"/>
        <v>0</v>
      </c>
      <c r="BA117" s="47">
        <f t="shared" si="23"/>
        <v>541797.30723159283</v>
      </c>
      <c r="BB117" s="47">
        <f t="shared" si="24"/>
        <v>836541.48760745663</v>
      </c>
      <c r="BC117" s="47">
        <f t="shared" si="25"/>
        <v>743334.6223962087</v>
      </c>
      <c r="BD117" s="47">
        <f t="shared" si="26"/>
        <v>673361.73903882562</v>
      </c>
    </row>
    <row r="118" spans="2:56">
      <c r="B118" s="37">
        <f>'3. Input (des)investeringen '!B151</f>
        <v>1586</v>
      </c>
      <c r="C118" s="48"/>
      <c r="D118" s="48"/>
      <c r="E118" s="48"/>
      <c r="F118" s="42">
        <f>'3. Input (des)investeringen '!D151</f>
        <v>24478081.893697795</v>
      </c>
      <c r="G118" s="48"/>
      <c r="H118" s="37">
        <f>'3. Input (des)investeringen '!F151</f>
        <v>2023</v>
      </c>
      <c r="I118" s="42" t="str">
        <f>'3. Input (des)investeringen '!G151</f>
        <v>nvt</v>
      </c>
      <c r="J118" s="42">
        <f>'3. Input (des)investeringen '!H151</f>
        <v>15</v>
      </c>
      <c r="K118" s="42">
        <f>'3. Input (des)investeringen '!I151</f>
        <v>1</v>
      </c>
      <c r="M118" s="43">
        <f t="shared" si="37"/>
        <v>0</v>
      </c>
      <c r="N118" s="43">
        <f t="shared" si="38"/>
        <v>0</v>
      </c>
      <c r="P118" s="137">
        <f t="shared" si="27"/>
        <v>0</v>
      </c>
      <c r="Q118" s="137">
        <f t="shared" si="39"/>
        <v>0</v>
      </c>
      <c r="S118" s="43">
        <f t="shared" si="10"/>
        <v>24478081.893697795</v>
      </c>
      <c r="T118" s="38">
        <f t="shared" si="11"/>
        <v>15</v>
      </c>
      <c r="V118" s="43">
        <f t="shared" si="43"/>
        <v>0</v>
      </c>
      <c r="W118" s="43">
        <f t="shared" si="43"/>
        <v>954645.19385421404</v>
      </c>
      <c r="X118" s="43">
        <f t="shared" si="43"/>
        <v>1826554.4709077296</v>
      </c>
      <c r="Y118" s="43">
        <f t="shared" si="43"/>
        <v>1668253.0834290597</v>
      </c>
      <c r="Z118" s="43">
        <f t="shared" si="43"/>
        <v>1523671.1495318746</v>
      </c>
      <c r="AB118" s="43">
        <f t="shared" si="44"/>
        <v>0</v>
      </c>
      <c r="AC118" s="43">
        <f t="shared" si="44"/>
        <v>81593.606312325981</v>
      </c>
      <c r="AD118" s="43">
        <f t="shared" si="44"/>
        <v>163187.21262465196</v>
      </c>
      <c r="AE118" s="43">
        <f t="shared" si="44"/>
        <v>163187.21262465196</v>
      </c>
      <c r="AF118" s="43">
        <f t="shared" si="44"/>
        <v>163187.21262465196</v>
      </c>
      <c r="AH118" s="43">
        <f t="shared" si="12"/>
        <v>0</v>
      </c>
      <c r="AI118" s="43">
        <f t="shared" si="13"/>
        <v>1036238.8001665401</v>
      </c>
      <c r="AJ118" s="43">
        <f t="shared" si="14"/>
        <v>1989741.6835323814</v>
      </c>
      <c r="AK118" s="43">
        <f t="shared" si="15"/>
        <v>1831440.2960537118</v>
      </c>
      <c r="AL118" s="43">
        <f t="shared" si="16"/>
        <v>1686858.3621565267</v>
      </c>
      <c r="AN118" s="43">
        <f t="shared" si="17"/>
        <v>0</v>
      </c>
      <c r="AO118" s="43">
        <f t="shared" si="18"/>
        <v>23441843.093531255</v>
      </c>
      <c r="AP118" s="43">
        <f t="shared" si="19"/>
        <v>21452101.409998871</v>
      </c>
      <c r="AQ118" s="43">
        <f t="shared" si="20"/>
        <v>19620661.11394516</v>
      </c>
      <c r="AR118" s="43">
        <f t="shared" si="21"/>
        <v>17933802.751788635</v>
      </c>
      <c r="AT118" s="43">
        <f t="shared" si="45"/>
        <v>0</v>
      </c>
      <c r="AU118" s="43">
        <f t="shared" si="45"/>
        <v>244780.81893697794</v>
      </c>
      <c r="AV118" s="43">
        <f t="shared" si="45"/>
        <v>263305.83131412847</v>
      </c>
      <c r="AW118" s="43">
        <f t="shared" si="45"/>
        <v>269595.68101256038</v>
      </c>
      <c r="AX118" s="43">
        <f t="shared" si="45"/>
        <v>278720.95562347351</v>
      </c>
      <c r="AZ118" s="47">
        <f t="shared" si="22"/>
        <v>0</v>
      </c>
      <c r="BA118" s="47">
        <f t="shared" si="23"/>
        <v>2054600.4411900495</v>
      </c>
      <c r="BB118" s="47">
        <f t="shared" si="24"/>
        <v>3068227.3684264668</v>
      </c>
      <c r="BC118" s="47">
        <f t="shared" si="25"/>
        <v>2846621.0993961887</v>
      </c>
      <c r="BD118" s="47">
        <f t="shared" si="26"/>
        <v>2647063.8223479684</v>
      </c>
    </row>
    <row r="119" spans="2:56">
      <c r="B119" s="37">
        <f>'3. Input (des)investeringen '!B152</f>
        <v>1587</v>
      </c>
      <c r="C119" s="48"/>
      <c r="D119" s="48"/>
      <c r="E119" s="48"/>
      <c r="F119" s="42">
        <f>'3. Input (des)investeringen '!D152</f>
        <v>30064216.026644446</v>
      </c>
      <c r="G119" s="48"/>
      <c r="H119" s="37">
        <f>'3. Input (des)investeringen '!F152</f>
        <v>2023</v>
      </c>
      <c r="I119" s="42" t="str">
        <f>'3. Input (des)investeringen '!G152</f>
        <v>nvt</v>
      </c>
      <c r="J119" s="42">
        <f>'3. Input (des)investeringen '!H152</f>
        <v>30</v>
      </c>
      <c r="K119" s="42">
        <f>'3. Input (des)investeringen '!I152</f>
        <v>1</v>
      </c>
      <c r="M119" s="43">
        <f t="shared" si="37"/>
        <v>0</v>
      </c>
      <c r="N119" s="43">
        <f t="shared" si="38"/>
        <v>0</v>
      </c>
      <c r="P119" s="137">
        <f t="shared" si="27"/>
        <v>0</v>
      </c>
      <c r="Q119" s="137">
        <f t="shared" si="39"/>
        <v>0</v>
      </c>
      <c r="S119" s="43">
        <f t="shared" si="10"/>
        <v>30064216.026644446</v>
      </c>
      <c r="T119" s="38">
        <f t="shared" si="11"/>
        <v>30</v>
      </c>
      <c r="V119" s="43">
        <f t="shared" si="43"/>
        <v>0</v>
      </c>
      <c r="W119" s="43">
        <f t="shared" si="43"/>
        <v>586252.21251956676</v>
      </c>
      <c r="X119" s="43">
        <f t="shared" si="43"/>
        <v>1147100.1624966189</v>
      </c>
      <c r="Y119" s="43">
        <f t="shared" si="43"/>
        <v>1097392.488788432</v>
      </c>
      <c r="Z119" s="43">
        <f t="shared" si="43"/>
        <v>1049838.8142742666</v>
      </c>
      <c r="AB119" s="43">
        <f t="shared" si="44"/>
        <v>0</v>
      </c>
      <c r="AC119" s="43">
        <f t="shared" si="44"/>
        <v>50107.026711074075</v>
      </c>
      <c r="AD119" s="43">
        <f t="shared" si="44"/>
        <v>100214.05342214815</v>
      </c>
      <c r="AE119" s="43">
        <f t="shared" si="44"/>
        <v>100214.05342214815</v>
      </c>
      <c r="AF119" s="43">
        <f t="shared" si="44"/>
        <v>100214.05342214815</v>
      </c>
      <c r="AH119" s="43">
        <f t="shared" si="12"/>
        <v>0</v>
      </c>
      <c r="AI119" s="43">
        <f t="shared" si="13"/>
        <v>636359.23923064081</v>
      </c>
      <c r="AJ119" s="43">
        <f t="shared" si="14"/>
        <v>1247314.215918767</v>
      </c>
      <c r="AK119" s="43">
        <f t="shared" si="15"/>
        <v>1197606.5422105801</v>
      </c>
      <c r="AL119" s="43">
        <f t="shared" si="16"/>
        <v>1150052.8676964147</v>
      </c>
      <c r="AN119" s="43">
        <f t="shared" si="17"/>
        <v>0</v>
      </c>
      <c r="AO119" s="43">
        <f t="shared" si="18"/>
        <v>29427856.787413806</v>
      </c>
      <c r="AP119" s="43">
        <f t="shared" si="19"/>
        <v>28180542.571495038</v>
      </c>
      <c r="AQ119" s="43">
        <f t="shared" si="20"/>
        <v>26982936.029284459</v>
      </c>
      <c r="AR119" s="43">
        <f t="shared" si="21"/>
        <v>25832883.161588043</v>
      </c>
      <c r="AT119" s="43">
        <f t="shared" si="45"/>
        <v>0</v>
      </c>
      <c r="AU119" s="43">
        <f t="shared" si="45"/>
        <v>300642.16026644449</v>
      </c>
      <c r="AV119" s="43">
        <f t="shared" si="45"/>
        <v>323394.75895540899</v>
      </c>
      <c r="AW119" s="43">
        <f t="shared" si="45"/>
        <v>331120.01295733586</v>
      </c>
      <c r="AX119" s="43">
        <f t="shared" si="45"/>
        <v>342327.76315591572</v>
      </c>
      <c r="AZ119" s="47">
        <f t="shared" si="22"/>
        <v>0</v>
      </c>
      <c r="BA119" s="47">
        <f t="shared" si="23"/>
        <v>1908120.673481741</v>
      </c>
      <c r="BB119" s="47">
        <f t="shared" si="24"/>
        <v>2641569.5925909872</v>
      </c>
      <c r="BC119" s="47">
        <f t="shared" si="25"/>
        <v>2554078.1242807251</v>
      </c>
      <c r="BD119" s="47">
        <f t="shared" si="26"/>
        <v>2474030.1909926762</v>
      </c>
    </row>
    <row r="120" spans="2:56">
      <c r="B120" s="37">
        <f>'3. Input (des)investeringen '!B153</f>
        <v>1588</v>
      </c>
      <c r="C120" s="48"/>
      <c r="D120" s="48"/>
      <c r="E120" s="48"/>
      <c r="F120" s="42">
        <f>'3. Input (des)investeringen '!D153</f>
        <v>83221993.783928484</v>
      </c>
      <c r="G120" s="48"/>
      <c r="H120" s="37">
        <f>'3. Input (des)investeringen '!F153</f>
        <v>2023</v>
      </c>
      <c r="I120" s="42" t="str">
        <f>'3. Input (des)investeringen '!G153</f>
        <v>nvt</v>
      </c>
      <c r="J120" s="42">
        <f>'3. Input (des)investeringen '!H153</f>
        <v>55</v>
      </c>
      <c r="K120" s="42">
        <f>'3. Input (des)investeringen '!I153</f>
        <v>1</v>
      </c>
      <c r="M120" s="43">
        <f t="shared" si="37"/>
        <v>0</v>
      </c>
      <c r="N120" s="43">
        <f t="shared" si="38"/>
        <v>0</v>
      </c>
      <c r="P120" s="137">
        <f t="shared" si="27"/>
        <v>0</v>
      </c>
      <c r="Q120" s="137">
        <f t="shared" si="39"/>
        <v>0</v>
      </c>
      <c r="S120" s="43">
        <f t="shared" si="10"/>
        <v>83221993.783928484</v>
      </c>
      <c r="T120" s="38">
        <f t="shared" si="11"/>
        <v>55</v>
      </c>
      <c r="V120" s="43">
        <f t="shared" si="43"/>
        <v>0</v>
      </c>
      <c r="W120" s="43">
        <f t="shared" si="43"/>
        <v>885179.38842905755</v>
      </c>
      <c r="X120" s="43">
        <f t="shared" si="43"/>
        <v>1749436.3549497919</v>
      </c>
      <c r="Y120" s="43">
        <f t="shared" si="43"/>
        <v>1708086.0411055242</v>
      </c>
      <c r="Z120" s="43">
        <f t="shared" si="43"/>
        <v>1667713.0983157572</v>
      </c>
      <c r="AB120" s="43">
        <f t="shared" si="44"/>
        <v>0</v>
      </c>
      <c r="AC120" s="43">
        <f t="shared" si="44"/>
        <v>75656.357985389535</v>
      </c>
      <c r="AD120" s="43">
        <f t="shared" si="44"/>
        <v>151312.71597077907</v>
      </c>
      <c r="AE120" s="43">
        <f t="shared" si="44"/>
        <v>151312.71597077907</v>
      </c>
      <c r="AF120" s="43">
        <f t="shared" si="44"/>
        <v>151312.71597077907</v>
      </c>
      <c r="AH120" s="43">
        <f t="shared" si="12"/>
        <v>0</v>
      </c>
      <c r="AI120" s="43">
        <f t="shared" si="13"/>
        <v>960835.74641444709</v>
      </c>
      <c r="AJ120" s="43">
        <f t="shared" si="14"/>
        <v>1900749.070920571</v>
      </c>
      <c r="AK120" s="43">
        <f t="shared" si="15"/>
        <v>1859398.7570763032</v>
      </c>
      <c r="AL120" s="43">
        <f t="shared" si="16"/>
        <v>1819025.8142865363</v>
      </c>
      <c r="AN120" s="43">
        <f t="shared" si="17"/>
        <v>0</v>
      </c>
      <c r="AO120" s="43">
        <f t="shared" si="18"/>
        <v>82261158.037514031</v>
      </c>
      <c r="AP120" s="43">
        <f t="shared" si="19"/>
        <v>80360408.966593459</v>
      </c>
      <c r="AQ120" s="43">
        <f t="shared" si="20"/>
        <v>78501010.209517151</v>
      </c>
      <c r="AR120" s="43">
        <f t="shared" si="21"/>
        <v>76681984.395230621</v>
      </c>
      <c r="AT120" s="43">
        <f t="shared" si="45"/>
        <v>0</v>
      </c>
      <c r="AU120" s="43">
        <f t="shared" si="45"/>
        <v>832219.93783928489</v>
      </c>
      <c r="AV120" s="43">
        <f t="shared" si="45"/>
        <v>895202.34273496212</v>
      </c>
      <c r="AW120" s="43">
        <f t="shared" si="45"/>
        <v>916586.93629821483</v>
      </c>
      <c r="AX120" s="43">
        <f t="shared" si="45"/>
        <v>947611.57091803674</v>
      </c>
      <c r="AZ120" s="47">
        <f t="shared" si="22"/>
        <v>0</v>
      </c>
      <c r="BA120" s="47">
        <f t="shared" si="23"/>
        <v>4507673.8994916948</v>
      </c>
      <c r="BB120" s="47">
        <f t="shared" si="24"/>
        <v>5849646.9543860843</v>
      </c>
      <c r="BC120" s="47">
        <f t="shared" si="25"/>
        <v>5759024.0813361695</v>
      </c>
      <c r="BD120" s="47">
        <f t="shared" si="26"/>
        <v>5680552.7922233362</v>
      </c>
    </row>
    <row r="121" spans="2:56">
      <c r="B121" s="37">
        <f>'3. Input (des)investeringen '!B154</f>
        <v>1589</v>
      </c>
      <c r="C121" s="48"/>
      <c r="D121" s="48"/>
      <c r="E121" s="48"/>
      <c r="F121" s="42">
        <f>'3. Input (des)investeringen '!D154</f>
        <v>-31765.350435964345</v>
      </c>
      <c r="G121" s="48"/>
      <c r="H121" s="37">
        <f>'3. Input (des)investeringen '!F154</f>
        <v>2023</v>
      </c>
      <c r="I121" s="42" t="str">
        <f>'3. Input (des)investeringen '!G154</f>
        <v>nvt</v>
      </c>
      <c r="J121" s="42">
        <f>'3. Input (des)investeringen '!H154</f>
        <v>0</v>
      </c>
      <c r="K121" s="42">
        <f>'3. Input (des)investeringen '!I154</f>
        <v>0</v>
      </c>
      <c r="M121" s="43">
        <f t="shared" si="37"/>
        <v>0</v>
      </c>
      <c r="N121" s="43">
        <f t="shared" si="38"/>
        <v>0</v>
      </c>
      <c r="P121" s="137">
        <f t="shared" si="27"/>
        <v>0</v>
      </c>
      <c r="Q121" s="137">
        <f t="shared" si="39"/>
        <v>0</v>
      </c>
      <c r="S121" s="43">
        <f t="shared" si="10"/>
        <v>-31765.350435964345</v>
      </c>
      <c r="T121" s="38">
        <f t="shared" si="11"/>
        <v>0</v>
      </c>
      <c r="V121" s="43">
        <f t="shared" ref="V121:Z130" si="46">IF($J121=0, 0, IF(OR($H121&gt;V$59,$H121+$J121&lt;V$59),0,
IF(OR($H121=2020,$H121=2021),VDB($S121*(1-$F$28),0,$T121,V$59-2022,MIN($T121,V$59-2021),$F$22,FALSE),
VDB($S121*(1-$F$28),0,$T121,MAX(0,V$59-$H121-0.5),MIN($T121,V$59-$H121+0.5),$F$22,FALSE))))</f>
        <v>0</v>
      </c>
      <c r="W121" s="43">
        <f t="shared" si="46"/>
        <v>0</v>
      </c>
      <c r="X121" s="43">
        <f t="shared" si="46"/>
        <v>0</v>
      </c>
      <c r="Y121" s="43">
        <f t="shared" si="46"/>
        <v>0</v>
      </c>
      <c r="Z121" s="43">
        <f t="shared" si="46"/>
        <v>0</v>
      </c>
      <c r="AB121" s="43">
        <f t="shared" ref="AB121:AF130" si="47">IF($J121=0, 0, IF(OR($H121&gt;AB$59,$H121+$J121&lt;AB$59),0,
IF(OR($H121=2020,$H121=2021),VDB($S121*$F$28,0,$T121,AB$59-2022,MIN($T121,AB$59-2021),1),
VDB($S121*$F$28,0,$T121,MAX(0,AB$59-$H121-0.5),MIN($T121,AB$59-$H121+0.5),1))))</f>
        <v>0</v>
      </c>
      <c r="AC121" s="43">
        <f t="shared" si="47"/>
        <v>0</v>
      </c>
      <c r="AD121" s="43">
        <f t="shared" si="47"/>
        <v>0</v>
      </c>
      <c r="AE121" s="43">
        <f t="shared" si="47"/>
        <v>0</v>
      </c>
      <c r="AF121" s="43">
        <f t="shared" si="47"/>
        <v>0</v>
      </c>
      <c r="AH121" s="43">
        <f t="shared" si="12"/>
        <v>0</v>
      </c>
      <c r="AI121" s="43">
        <f t="shared" si="13"/>
        <v>0</v>
      </c>
      <c r="AJ121" s="43">
        <f t="shared" si="14"/>
        <v>0</v>
      </c>
      <c r="AK121" s="43">
        <f t="shared" si="15"/>
        <v>0</v>
      </c>
      <c r="AL121" s="43">
        <f t="shared" si="16"/>
        <v>0</v>
      </c>
      <c r="AN121" s="43">
        <f t="shared" si="17"/>
        <v>0</v>
      </c>
      <c r="AO121" s="43">
        <f t="shared" si="18"/>
        <v>-31765.350435964345</v>
      </c>
      <c r="AP121" s="43">
        <f t="shared" si="19"/>
        <v>-31765.350435964345</v>
      </c>
      <c r="AQ121" s="43">
        <f t="shared" si="20"/>
        <v>-31765.350435964345</v>
      </c>
      <c r="AR121" s="43">
        <f t="shared" si="21"/>
        <v>-31765.350435964345</v>
      </c>
      <c r="AT121" s="43">
        <f t="shared" ref="AT121:AX130" si="48">IF($H121&lt;=AT$59,$F121*INDEX($H$40:$N$46,$H121-2019,AT$59-2019)*INDEX($H$49:$N$55,$H121-2019,AT$59-2019)*$F$19,0)</f>
        <v>0</v>
      </c>
      <c r="AU121" s="43">
        <f t="shared" si="48"/>
        <v>-317.65350435964348</v>
      </c>
      <c r="AV121" s="43">
        <f t="shared" si="48"/>
        <v>-341.69352156958126</v>
      </c>
      <c r="AW121" s="43">
        <f t="shared" si="48"/>
        <v>-349.85589641283542</v>
      </c>
      <c r="AX121" s="43">
        <f t="shared" si="48"/>
        <v>-361.69781879461715</v>
      </c>
      <c r="AZ121" s="47">
        <f t="shared" si="22"/>
        <v>0</v>
      </c>
      <c r="BA121" s="47">
        <f t="shared" si="23"/>
        <v>-1365.9100687464668</v>
      </c>
      <c r="BB121" s="47">
        <f t="shared" si="24"/>
        <v>-1548.7768381362264</v>
      </c>
      <c r="BC121" s="47">
        <f t="shared" si="25"/>
        <v>-1556.9392129794805</v>
      </c>
      <c r="BD121" s="47">
        <f t="shared" si="26"/>
        <v>-1568.7811353612624</v>
      </c>
    </row>
    <row r="122" spans="2:56">
      <c r="B122" s="37">
        <f>'3. Input (des)investeringen '!B155</f>
        <v>1590</v>
      </c>
      <c r="C122" s="48"/>
      <c r="D122" s="48"/>
      <c r="E122" s="48"/>
      <c r="F122" s="42">
        <f>'3. Input (des)investeringen '!D155</f>
        <v>447398.87404737127</v>
      </c>
      <c r="G122" s="48"/>
      <c r="H122" s="37">
        <f>'3. Input (des)investeringen '!F155</f>
        <v>2023</v>
      </c>
      <c r="I122" s="42" t="str">
        <f>'3. Input (des)investeringen '!G155</f>
        <v>nvt</v>
      </c>
      <c r="J122" s="42">
        <f>'3. Input (des)investeringen '!H155</f>
        <v>5</v>
      </c>
      <c r="K122" s="42">
        <f>'3. Input (des)investeringen '!I155</f>
        <v>0</v>
      </c>
      <c r="M122" s="43">
        <f t="shared" si="37"/>
        <v>0</v>
      </c>
      <c r="N122" s="43">
        <f t="shared" si="38"/>
        <v>0</v>
      </c>
      <c r="P122" s="137">
        <f t="shared" si="27"/>
        <v>0</v>
      </c>
      <c r="Q122" s="137">
        <f t="shared" si="39"/>
        <v>0</v>
      </c>
      <c r="S122" s="43">
        <f t="shared" si="10"/>
        <v>447398.87404737127</v>
      </c>
      <c r="T122" s="38">
        <f t="shared" si="11"/>
        <v>5</v>
      </c>
      <c r="V122" s="43">
        <f t="shared" si="46"/>
        <v>0</v>
      </c>
      <c r="W122" s="43">
        <f t="shared" si="46"/>
        <v>52345.668263542444</v>
      </c>
      <c r="X122" s="43">
        <f t="shared" si="46"/>
        <v>91081.462778563844</v>
      </c>
      <c r="Y122" s="43">
        <f t="shared" si="46"/>
        <v>74066.244457293666</v>
      </c>
      <c r="Z122" s="43">
        <f t="shared" si="46"/>
        <v>74066.244457293666</v>
      </c>
      <c r="AB122" s="43">
        <f t="shared" si="47"/>
        <v>0</v>
      </c>
      <c r="AC122" s="43">
        <f t="shared" si="47"/>
        <v>4473.9887404737128</v>
      </c>
      <c r="AD122" s="43">
        <f t="shared" si="47"/>
        <v>8947.9774809474256</v>
      </c>
      <c r="AE122" s="43">
        <f t="shared" si="47"/>
        <v>8947.9774809474256</v>
      </c>
      <c r="AF122" s="43">
        <f t="shared" si="47"/>
        <v>8947.9774809474256</v>
      </c>
      <c r="AH122" s="43">
        <f t="shared" si="12"/>
        <v>0</v>
      </c>
      <c r="AI122" s="43">
        <f t="shared" si="13"/>
        <v>56819.65700401616</v>
      </c>
      <c r="AJ122" s="43">
        <f t="shared" si="14"/>
        <v>100029.44025951126</v>
      </c>
      <c r="AK122" s="43">
        <f t="shared" si="15"/>
        <v>83014.221938241099</v>
      </c>
      <c r="AL122" s="43">
        <f t="shared" si="16"/>
        <v>83014.221938241099</v>
      </c>
      <c r="AN122" s="43">
        <f t="shared" si="17"/>
        <v>0</v>
      </c>
      <c r="AO122" s="43">
        <f t="shared" si="18"/>
        <v>390579.21704335511</v>
      </c>
      <c r="AP122" s="43">
        <f t="shared" si="19"/>
        <v>290549.77678384387</v>
      </c>
      <c r="AQ122" s="43">
        <f t="shared" si="20"/>
        <v>207535.55484560278</v>
      </c>
      <c r="AR122" s="43">
        <f t="shared" si="21"/>
        <v>124521.33290736168</v>
      </c>
      <c r="AT122" s="43">
        <f t="shared" si="48"/>
        <v>0</v>
      </c>
      <c r="AU122" s="43">
        <f t="shared" si="48"/>
        <v>4473.9887404737128</v>
      </c>
      <c r="AV122" s="43">
        <f t="shared" si="48"/>
        <v>4812.5802083527633</v>
      </c>
      <c r="AW122" s="43">
        <f t="shared" si="48"/>
        <v>4927.5431243698949</v>
      </c>
      <c r="AX122" s="43">
        <f t="shared" si="48"/>
        <v>5094.3306040435664</v>
      </c>
      <c r="AZ122" s="47">
        <f t="shared" si="22"/>
        <v>0</v>
      </c>
      <c r="BA122" s="47">
        <f t="shared" si="23"/>
        <v>74182.75990692059</v>
      </c>
      <c r="BB122" s="47">
        <f t="shared" si="24"/>
        <v>115882.91198565009</v>
      </c>
      <c r="BC122" s="47">
        <f t="shared" si="25"/>
        <v>95828.116146743909</v>
      </c>
      <c r="BD122" s="47">
        <f t="shared" si="26"/>
        <v>92840.363192764416</v>
      </c>
    </row>
    <row r="123" spans="2:56">
      <c r="B123" s="37">
        <f>'3. Input (des)investeringen '!B156</f>
        <v>1591</v>
      </c>
      <c r="C123" s="48"/>
      <c r="D123" s="48"/>
      <c r="E123" s="48"/>
      <c r="F123" s="42">
        <f>'3. Input (des)investeringen '!D156</f>
        <v>1604404.348819593</v>
      </c>
      <c r="G123" s="48"/>
      <c r="H123" s="37">
        <f>'3. Input (des)investeringen '!F156</f>
        <v>2023</v>
      </c>
      <c r="I123" s="42" t="str">
        <f>'3. Input (des)investeringen '!G156</f>
        <v>nvt</v>
      </c>
      <c r="J123" s="42">
        <f>'3. Input (des)investeringen '!H156</f>
        <v>10</v>
      </c>
      <c r="K123" s="42">
        <f>'3. Input (des)investeringen '!I156</f>
        <v>0</v>
      </c>
      <c r="M123" s="43">
        <f t="shared" si="37"/>
        <v>0</v>
      </c>
      <c r="N123" s="43">
        <f t="shared" si="38"/>
        <v>0</v>
      </c>
      <c r="P123" s="137">
        <f t="shared" si="27"/>
        <v>0</v>
      </c>
      <c r="Q123" s="137">
        <f t="shared" si="39"/>
        <v>0</v>
      </c>
      <c r="S123" s="43">
        <f t="shared" si="10"/>
        <v>1604404.348819593</v>
      </c>
      <c r="T123" s="38">
        <f t="shared" si="11"/>
        <v>10</v>
      </c>
      <c r="V123" s="43">
        <f t="shared" si="46"/>
        <v>0</v>
      </c>
      <c r="W123" s="43">
        <f t="shared" si="46"/>
        <v>93857.654405946188</v>
      </c>
      <c r="X123" s="43">
        <f t="shared" si="46"/>
        <v>175513.81373911939</v>
      </c>
      <c r="Y123" s="43">
        <f t="shared" si="46"/>
        <v>152697.01795303385</v>
      </c>
      <c r="Z123" s="43">
        <f t="shared" si="46"/>
        <v>136252.72371193793</v>
      </c>
      <c r="AB123" s="43">
        <f t="shared" si="47"/>
        <v>0</v>
      </c>
      <c r="AC123" s="43">
        <f t="shared" si="47"/>
        <v>8022.0217440979659</v>
      </c>
      <c r="AD123" s="43">
        <f t="shared" si="47"/>
        <v>16044.043488195932</v>
      </c>
      <c r="AE123" s="43">
        <f t="shared" si="47"/>
        <v>16044.043488195932</v>
      </c>
      <c r="AF123" s="43">
        <f t="shared" si="47"/>
        <v>16044.043488195932</v>
      </c>
      <c r="AH123" s="43">
        <f t="shared" si="12"/>
        <v>0</v>
      </c>
      <c r="AI123" s="43">
        <f t="shared" si="13"/>
        <v>101879.67615004415</v>
      </c>
      <c r="AJ123" s="43">
        <f t="shared" si="14"/>
        <v>191557.85722731531</v>
      </c>
      <c r="AK123" s="43">
        <f t="shared" si="15"/>
        <v>168741.06144122977</v>
      </c>
      <c r="AL123" s="43">
        <f t="shared" si="16"/>
        <v>152296.76720013385</v>
      </c>
      <c r="AN123" s="43">
        <f t="shared" si="17"/>
        <v>0</v>
      </c>
      <c r="AO123" s="43">
        <f t="shared" si="18"/>
        <v>1502524.6726695488</v>
      </c>
      <c r="AP123" s="43">
        <f t="shared" si="19"/>
        <v>1310966.8154422333</v>
      </c>
      <c r="AQ123" s="43">
        <f t="shared" si="20"/>
        <v>1142225.7540010037</v>
      </c>
      <c r="AR123" s="43">
        <f t="shared" si="21"/>
        <v>989928.98680086981</v>
      </c>
      <c r="AT123" s="43">
        <f t="shared" si="48"/>
        <v>0</v>
      </c>
      <c r="AU123" s="43">
        <f t="shared" si="48"/>
        <v>16044.04348819593</v>
      </c>
      <c r="AV123" s="43">
        <f t="shared" si="48"/>
        <v>17258.2566993826</v>
      </c>
      <c r="AW123" s="43">
        <f t="shared" si="48"/>
        <v>17670.521935417451</v>
      </c>
      <c r="AX123" s="43">
        <f t="shared" si="48"/>
        <v>18268.63376188746</v>
      </c>
      <c r="AZ123" s="47">
        <f t="shared" si="22"/>
        <v>0</v>
      </c>
      <c r="BA123" s="47">
        <f t="shared" si="23"/>
        <v>167507.03383633518</v>
      </c>
      <c r="BB123" s="47">
        <f t="shared" si="24"/>
        <v>258632.85291350275</v>
      </c>
      <c r="BC123" s="47">
        <f t="shared" si="25"/>
        <v>229816.16202868536</v>
      </c>
      <c r="BD123" s="47">
        <f t="shared" si="26"/>
        <v>208182.70246045437</v>
      </c>
    </row>
    <row r="124" spans="2:56">
      <c r="B124" s="37">
        <f>'3. Input (des)investeringen '!B157</f>
        <v>1592</v>
      </c>
      <c r="C124" s="48"/>
      <c r="D124" s="48"/>
      <c r="E124" s="48"/>
      <c r="F124" s="42">
        <f>'3. Input (des)investeringen '!D157</f>
        <v>4821440.5639281506</v>
      </c>
      <c r="G124" s="48"/>
      <c r="H124" s="37">
        <f>'3. Input (des)investeringen '!F157</f>
        <v>2023</v>
      </c>
      <c r="I124" s="42" t="str">
        <f>'3. Input (des)investeringen '!G157</f>
        <v>nvt</v>
      </c>
      <c r="J124" s="42">
        <f>'3. Input (des)investeringen '!H157</f>
        <v>15</v>
      </c>
      <c r="K124" s="42">
        <f>'3. Input (des)investeringen '!I157</f>
        <v>0</v>
      </c>
      <c r="M124" s="43">
        <f t="shared" si="37"/>
        <v>0</v>
      </c>
      <c r="N124" s="43">
        <f t="shared" si="38"/>
        <v>0</v>
      </c>
      <c r="P124" s="137">
        <f t="shared" si="27"/>
        <v>0</v>
      </c>
      <c r="Q124" s="137">
        <f t="shared" si="39"/>
        <v>0</v>
      </c>
      <c r="S124" s="43">
        <f t="shared" si="10"/>
        <v>4821440.5639281506</v>
      </c>
      <c r="T124" s="38">
        <f t="shared" si="11"/>
        <v>15</v>
      </c>
      <c r="V124" s="43">
        <f t="shared" si="46"/>
        <v>0</v>
      </c>
      <c r="W124" s="43">
        <f t="shared" si="46"/>
        <v>188036.18199319788</v>
      </c>
      <c r="X124" s="43">
        <f t="shared" si="46"/>
        <v>359775.89488031861</v>
      </c>
      <c r="Y124" s="43">
        <f t="shared" si="46"/>
        <v>328595.31732402433</v>
      </c>
      <c r="Z124" s="43">
        <f t="shared" si="46"/>
        <v>300117.05648927559</v>
      </c>
      <c r="AB124" s="43">
        <f t="shared" si="47"/>
        <v>0</v>
      </c>
      <c r="AC124" s="43">
        <f t="shared" si="47"/>
        <v>16071.46854642717</v>
      </c>
      <c r="AD124" s="43">
        <f t="shared" si="47"/>
        <v>32142.937092854339</v>
      </c>
      <c r="AE124" s="43">
        <f t="shared" si="47"/>
        <v>32142.937092854339</v>
      </c>
      <c r="AF124" s="43">
        <f t="shared" si="47"/>
        <v>32142.937092854339</v>
      </c>
      <c r="AH124" s="43">
        <f t="shared" si="12"/>
        <v>0</v>
      </c>
      <c r="AI124" s="43">
        <f t="shared" si="13"/>
        <v>204107.65053962506</v>
      </c>
      <c r="AJ124" s="43">
        <f t="shared" si="14"/>
        <v>391918.83197317296</v>
      </c>
      <c r="AK124" s="43">
        <f t="shared" si="15"/>
        <v>360738.25441687868</v>
      </c>
      <c r="AL124" s="43">
        <f t="shared" si="16"/>
        <v>332259.99358212994</v>
      </c>
      <c r="AN124" s="43">
        <f t="shared" si="17"/>
        <v>0</v>
      </c>
      <c r="AO124" s="43">
        <f t="shared" si="18"/>
        <v>4617332.9133885251</v>
      </c>
      <c r="AP124" s="43">
        <f t="shared" si="19"/>
        <v>4225414.0814153524</v>
      </c>
      <c r="AQ124" s="43">
        <f t="shared" si="20"/>
        <v>3864675.8269984736</v>
      </c>
      <c r="AR124" s="43">
        <f t="shared" si="21"/>
        <v>3532415.8334163437</v>
      </c>
      <c r="AT124" s="43">
        <f t="shared" si="48"/>
        <v>0</v>
      </c>
      <c r="AU124" s="43">
        <f t="shared" si="48"/>
        <v>48214.405639281504</v>
      </c>
      <c r="AV124" s="43">
        <f t="shared" si="48"/>
        <v>51863.271858062326</v>
      </c>
      <c r="AW124" s="43">
        <f t="shared" si="48"/>
        <v>53102.181696207728</v>
      </c>
      <c r="AX124" s="43">
        <f t="shared" si="48"/>
        <v>54899.584342260969</v>
      </c>
      <c r="AZ124" s="47">
        <f t="shared" si="22"/>
        <v>0</v>
      </c>
      <c r="BA124" s="47">
        <f t="shared" si="23"/>
        <v>404694.04232072789</v>
      </c>
      <c r="BB124" s="47">
        <f t="shared" si="24"/>
        <v>604347.83892501867</v>
      </c>
      <c r="BC124" s="47">
        <f t="shared" si="25"/>
        <v>560698.1175390284</v>
      </c>
      <c r="BD124" s="47">
        <f t="shared" si="26"/>
        <v>521391.37959421193</v>
      </c>
    </row>
    <row r="125" spans="2:56">
      <c r="B125" s="37">
        <f>'3. Input (des)investeringen '!B158</f>
        <v>1593</v>
      </c>
      <c r="C125" s="48"/>
      <c r="D125" s="48"/>
      <c r="E125" s="48"/>
      <c r="F125" s="42">
        <f>'3. Input (des)investeringen '!D158</f>
        <v>27346413.49123003</v>
      </c>
      <c r="G125" s="48"/>
      <c r="H125" s="37">
        <f>'3. Input (des)investeringen '!F158</f>
        <v>2023</v>
      </c>
      <c r="I125" s="42" t="str">
        <f>'3. Input (des)investeringen '!G158</f>
        <v>nvt</v>
      </c>
      <c r="J125" s="42">
        <f>'3. Input (des)investeringen '!H158</f>
        <v>30</v>
      </c>
      <c r="K125" s="42">
        <f>'3. Input (des)investeringen '!I158</f>
        <v>0</v>
      </c>
      <c r="M125" s="43">
        <f t="shared" ref="M125:M156" si="49">IF($J125=0, 0, IF($H125&lt;=M$59,
VDB($F125,0,$J125,MAX(0,M$59-$H125-0.5),MIN($J125,M$59-$H125+0.5),1)*INDEX(H$40:H$46,$H125-2019,1),
0))</f>
        <v>0</v>
      </c>
      <c r="N125" s="43">
        <f t="shared" ref="N125:N156" si="50">IF($J125=0, 0, IF($H125&lt;=N$59,
VDB($F125,0,$J125,MAX(0,N$59-$H125-0.5),MIN($J125,N$59-$H125+0.5),1)*INDEX(I$40:I$46,$H125-2019,1),
0))</f>
        <v>0</v>
      </c>
      <c r="P125" s="137">
        <f t="shared" si="27"/>
        <v>0</v>
      </c>
      <c r="Q125" s="137">
        <f t="shared" ref="Q125:Q156" si="51">IF($J125=0,IF($H125=N$59,$F125,$P125*I$40),IF(OR($H125&gt;Q$59,$H125+$J125&lt;=Q$59),0,
IF($H125=Q$59,F125-N125,P125*I$40-N125)))</f>
        <v>0</v>
      </c>
      <c r="S125" s="43">
        <f t="shared" si="10"/>
        <v>27346413.49123003</v>
      </c>
      <c r="T125" s="38">
        <f t="shared" si="11"/>
        <v>30</v>
      </c>
      <c r="V125" s="43">
        <f t="shared" si="46"/>
        <v>0</v>
      </c>
      <c r="W125" s="43">
        <f t="shared" si="46"/>
        <v>533255.06307898567</v>
      </c>
      <c r="X125" s="43">
        <f t="shared" si="46"/>
        <v>1043402.406757882</v>
      </c>
      <c r="Y125" s="43">
        <f t="shared" si="46"/>
        <v>998188.30246504035</v>
      </c>
      <c r="Z125" s="43">
        <f t="shared" si="46"/>
        <v>954933.47602488857</v>
      </c>
      <c r="AB125" s="43">
        <f t="shared" si="47"/>
        <v>0</v>
      </c>
      <c r="AC125" s="43">
        <f t="shared" si="47"/>
        <v>45577.355818716715</v>
      </c>
      <c r="AD125" s="43">
        <f t="shared" si="47"/>
        <v>91154.711637433429</v>
      </c>
      <c r="AE125" s="43">
        <f t="shared" si="47"/>
        <v>91154.711637433429</v>
      </c>
      <c r="AF125" s="43">
        <f t="shared" si="47"/>
        <v>91154.711637433429</v>
      </c>
      <c r="AH125" s="43">
        <f t="shared" si="12"/>
        <v>0</v>
      </c>
      <c r="AI125" s="43">
        <f t="shared" si="13"/>
        <v>578832.41889770236</v>
      </c>
      <c r="AJ125" s="43">
        <f t="shared" si="14"/>
        <v>1134557.1183953155</v>
      </c>
      <c r="AK125" s="43">
        <f t="shared" si="15"/>
        <v>1089343.0141024739</v>
      </c>
      <c r="AL125" s="43">
        <f t="shared" si="16"/>
        <v>1046088.187662322</v>
      </c>
      <c r="AN125" s="43">
        <f t="shared" si="17"/>
        <v>0</v>
      </c>
      <c r="AO125" s="43">
        <f t="shared" si="18"/>
        <v>26767581.072332326</v>
      </c>
      <c r="AP125" s="43">
        <f t="shared" si="19"/>
        <v>25633023.953937009</v>
      </c>
      <c r="AQ125" s="43">
        <f t="shared" si="20"/>
        <v>24543680.939834535</v>
      </c>
      <c r="AR125" s="43">
        <f t="shared" si="21"/>
        <v>23497592.752172213</v>
      </c>
      <c r="AT125" s="43">
        <f t="shared" si="48"/>
        <v>0</v>
      </c>
      <c r="AU125" s="43">
        <f t="shared" si="48"/>
        <v>273464.13491230027</v>
      </c>
      <c r="AV125" s="43">
        <f t="shared" si="48"/>
        <v>294159.90064246318</v>
      </c>
      <c r="AW125" s="43">
        <f t="shared" si="48"/>
        <v>301186.79234901036</v>
      </c>
      <c r="AX125" s="43">
        <f t="shared" si="48"/>
        <v>311381.36289643968</v>
      </c>
      <c r="AZ125" s="47">
        <f t="shared" si="22"/>
        <v>0</v>
      </c>
      <c r="BA125" s="47">
        <f t="shared" si="23"/>
        <v>1735626.7291969694</v>
      </c>
      <c r="BB125" s="47">
        <f t="shared" si="24"/>
        <v>2402771.9292873847</v>
      </c>
      <c r="BC125" s="47">
        <f t="shared" si="25"/>
        <v>2323189.6821651966</v>
      </c>
      <c r="BD125" s="47">
        <f t="shared" si="26"/>
        <v>2250378.0751413056</v>
      </c>
    </row>
    <row r="126" spans="2:56">
      <c r="B126" s="37">
        <f>'3. Input (des)investeringen '!B159</f>
        <v>1594</v>
      </c>
      <c r="C126" s="48"/>
      <c r="D126" s="48"/>
      <c r="E126" s="48"/>
      <c r="F126" s="42">
        <f>'3. Input (des)investeringen '!D159</f>
        <v>38630.691367044557</v>
      </c>
      <c r="G126" s="48"/>
      <c r="H126" s="37">
        <f>'3. Input (des)investeringen '!F159</f>
        <v>2023</v>
      </c>
      <c r="I126" s="42" t="str">
        <f>'3. Input (des)investeringen '!G159</f>
        <v>nvt</v>
      </c>
      <c r="J126" s="42">
        <f>'3. Input (des)investeringen '!H159</f>
        <v>55</v>
      </c>
      <c r="K126" s="42">
        <f>'3. Input (des)investeringen '!I159</f>
        <v>0</v>
      </c>
      <c r="M126" s="43">
        <f t="shared" si="49"/>
        <v>0</v>
      </c>
      <c r="N126" s="43">
        <f t="shared" si="50"/>
        <v>0</v>
      </c>
      <c r="P126" s="137">
        <f t="shared" ref="P126:P158" si="52">IF($J126=0,IF($H126=M$59,$F126,0),IF(OR($H126&gt;P$59,$H126+$J126&lt;=P$59),0,
F126-M126))</f>
        <v>0</v>
      </c>
      <c r="Q126" s="137">
        <f t="shared" si="51"/>
        <v>0</v>
      </c>
      <c r="S126" s="43">
        <f t="shared" ref="S126:S189" si="53">IF($P126=0, IF(H126&lt;=2021, $Q126, IF(H126&gt;=2022, $F126,0)), IF(H126&lt;=2021,Q126,F126))</f>
        <v>38630.691367044557</v>
      </c>
      <c r="T126" s="38">
        <f t="shared" ref="T126:T137" si="54">IF($J126=0, 0, IF(H126&lt;2022,J126-2021+H126-0.5,J126))</f>
        <v>55</v>
      </c>
      <c r="V126" s="43">
        <f t="shared" si="46"/>
        <v>0</v>
      </c>
      <c r="W126" s="43">
        <f t="shared" si="46"/>
        <v>410.89008090401938</v>
      </c>
      <c r="X126" s="43">
        <f t="shared" si="46"/>
        <v>812.06821444121647</v>
      </c>
      <c r="Y126" s="43">
        <f t="shared" si="46"/>
        <v>792.87387482715144</v>
      </c>
      <c r="Z126" s="43">
        <f t="shared" si="46"/>
        <v>774.13321960396422</v>
      </c>
      <c r="AB126" s="43">
        <f t="shared" si="47"/>
        <v>0</v>
      </c>
      <c r="AC126" s="43">
        <f t="shared" si="47"/>
        <v>35.118810333676876</v>
      </c>
      <c r="AD126" s="43">
        <f t="shared" si="47"/>
        <v>70.237620667353752</v>
      </c>
      <c r="AE126" s="43">
        <f t="shared" si="47"/>
        <v>70.237620667353752</v>
      </c>
      <c r="AF126" s="43">
        <f t="shared" si="47"/>
        <v>70.237620667353752</v>
      </c>
      <c r="AH126" s="43">
        <f t="shared" ref="AH126:AH137" si="55">V126+AB126</f>
        <v>0</v>
      </c>
      <c r="AI126" s="43">
        <f t="shared" ref="AI126:AI137" si="56">W126+AC126</f>
        <v>446.00889123769628</v>
      </c>
      <c r="AJ126" s="43">
        <f t="shared" ref="AJ126:AJ137" si="57">X126+AD126</f>
        <v>882.30583510857025</v>
      </c>
      <c r="AK126" s="43">
        <f t="shared" ref="AK126:AK137" si="58">Y126+AE126</f>
        <v>863.11149549450522</v>
      </c>
      <c r="AL126" s="43">
        <f t="shared" ref="AL126:AL137" si="59">Z126+AF126</f>
        <v>844.370840271318</v>
      </c>
      <c r="AN126" s="43">
        <f t="shared" ref="AN126:AN189" si="60">IF($J126=0, IF($H126&gt;AN$59,0, $S126), IF(OR($H126&gt;AN$59,$H126+$J126&lt;=AN$59),0,
IF($H126=AN$59,$S126-AH126,
S126-AH126)))</f>
        <v>0</v>
      </c>
      <c r="AO126" s="43">
        <f t="shared" ref="AO126:AO189" si="61">IF($J126=0, IF($H126 &gt; AO$59, 0, IF($H126=AO$59, $F126, AN126)), IF(OR($H126&gt;AO$59,$H126+$J126&lt;=AO$59),0,
IF($H126=AO$59,$S126-AI126,
AN126-AI126)))</f>
        <v>38184.682475806861</v>
      </c>
      <c r="AP126" s="43">
        <f t="shared" ref="AP126:AP189" si="62">IF($J126=0, IF($H126 &gt; AP$59, 0, IF($H126=AP$59, $F126, AO126)), IF(OR($H126&gt;AP$59,$H126+$J126&lt;=AP$59),0,
IF($H126=AP$59,$S126-AJ126,
AO126-AJ126)))</f>
        <v>37302.37664069829</v>
      </c>
      <c r="AQ126" s="43">
        <f t="shared" ref="AQ126:AQ189" si="63">IF($J126=0, IF($H126 &gt; AQ$59, 0, IF($H126=AQ$59, $F126, AP126)), IF(OR($H126&gt;AQ$59,$H126+$J126&lt;=AQ$59),0,
IF($H126=AQ$59,$S126-AK126,
AP126-AK126)))</f>
        <v>36439.265145203783</v>
      </c>
      <c r="AR126" s="43">
        <f t="shared" ref="AR126:AR189" si="64">IF($J126=0, IF($H126 &gt; AR$59, 0, IF($H126=AR$59, $F126, AQ126)), IF(OR($H126&gt;AR$59,$H126+$J126&lt;=AR$59),0,
IF($H126=AR$59,$S126-AL126,
AQ126-AL126)))</f>
        <v>35594.894304932466</v>
      </c>
      <c r="AT126" s="43">
        <f t="shared" si="48"/>
        <v>0</v>
      </c>
      <c r="AU126" s="43">
        <f t="shared" si="48"/>
        <v>386.30691367044557</v>
      </c>
      <c r="AV126" s="43">
        <f t="shared" si="48"/>
        <v>415.54262089702496</v>
      </c>
      <c r="AW126" s="43">
        <f t="shared" si="48"/>
        <v>425.46910302501311</v>
      </c>
      <c r="AX126" s="43">
        <f t="shared" si="48"/>
        <v>439.87038122420375</v>
      </c>
      <c r="AZ126" s="47">
        <f t="shared" ref="AZ126:AZ137" si="65">(AH126+AN126*J$16+AT126)*IF($K126=1,$F$25,1)</f>
        <v>0</v>
      </c>
      <c r="BA126" s="47">
        <f t="shared" ref="BA126:BA137" si="66">(AI126+AO126*K$16+AU126)*IF($K126=1,$F$25,1)</f>
        <v>2092.4103266097686</v>
      </c>
      <c r="BB126" s="47">
        <f t="shared" ref="BB126:BB137" si="67">(AJ126+AP126*L$16+AV126)*IF($K126=1,$F$25,1)</f>
        <v>2715.33876835213</v>
      </c>
      <c r="BC126" s="47">
        <f t="shared" ref="BC126:BC137" si="68">(AK126+AQ126*M$16+AW126)*IF($K126=1,$F$25,1)</f>
        <v>2673.2726740372623</v>
      </c>
      <c r="BD126" s="47">
        <f t="shared" ref="BD126:BD137" si="69">(AL126+AR126*N$16+AX126)*IF($K126=1,$F$25,1)</f>
        <v>2636.8472050829555</v>
      </c>
    </row>
    <row r="127" spans="2:56">
      <c r="B127" s="37">
        <f>'3. Input (des)investeringen '!B160</f>
        <v>1595</v>
      </c>
      <c r="C127" s="48"/>
      <c r="D127" s="48"/>
      <c r="E127" s="48"/>
      <c r="F127" s="42">
        <f>'3. Input (des)investeringen '!D160</f>
        <v>0</v>
      </c>
      <c r="G127" s="48"/>
      <c r="H127" s="37">
        <f>'3. Input (des)investeringen '!F160</f>
        <v>2023</v>
      </c>
      <c r="I127" s="42" t="str">
        <f>'3. Input (des)investeringen '!G160</f>
        <v>nvt</v>
      </c>
      <c r="J127" s="42">
        <f>'3. Input (des)investeringen '!H160</f>
        <v>0</v>
      </c>
      <c r="K127" s="42">
        <f>'3. Input (des)investeringen '!I160</f>
        <v>0</v>
      </c>
      <c r="M127" s="43">
        <f t="shared" si="49"/>
        <v>0</v>
      </c>
      <c r="N127" s="43">
        <f t="shared" si="50"/>
        <v>0</v>
      </c>
      <c r="P127" s="137">
        <f t="shared" si="52"/>
        <v>0</v>
      </c>
      <c r="Q127" s="137">
        <f t="shared" si="51"/>
        <v>0</v>
      </c>
      <c r="S127" s="43">
        <f t="shared" si="53"/>
        <v>0</v>
      </c>
      <c r="T127" s="38">
        <f t="shared" si="54"/>
        <v>0</v>
      </c>
      <c r="V127" s="43">
        <f t="shared" si="46"/>
        <v>0</v>
      </c>
      <c r="W127" s="43">
        <f t="shared" si="46"/>
        <v>0</v>
      </c>
      <c r="X127" s="43">
        <f t="shared" si="46"/>
        <v>0</v>
      </c>
      <c r="Y127" s="43">
        <f t="shared" si="46"/>
        <v>0</v>
      </c>
      <c r="Z127" s="43">
        <f t="shared" si="46"/>
        <v>0</v>
      </c>
      <c r="AB127" s="43">
        <f t="shared" si="47"/>
        <v>0</v>
      </c>
      <c r="AC127" s="43">
        <f t="shared" si="47"/>
        <v>0</v>
      </c>
      <c r="AD127" s="43">
        <f t="shared" si="47"/>
        <v>0</v>
      </c>
      <c r="AE127" s="43">
        <f t="shared" si="47"/>
        <v>0</v>
      </c>
      <c r="AF127" s="43">
        <f t="shared" si="47"/>
        <v>0</v>
      </c>
      <c r="AH127" s="43">
        <f t="shared" si="55"/>
        <v>0</v>
      </c>
      <c r="AI127" s="43">
        <f t="shared" si="56"/>
        <v>0</v>
      </c>
      <c r="AJ127" s="43">
        <f t="shared" si="57"/>
        <v>0</v>
      </c>
      <c r="AK127" s="43">
        <f t="shared" si="58"/>
        <v>0</v>
      </c>
      <c r="AL127" s="43">
        <f t="shared" si="59"/>
        <v>0</v>
      </c>
      <c r="AN127" s="43">
        <f t="shared" si="60"/>
        <v>0</v>
      </c>
      <c r="AO127" s="43">
        <f t="shared" si="61"/>
        <v>0</v>
      </c>
      <c r="AP127" s="43">
        <f t="shared" si="62"/>
        <v>0</v>
      </c>
      <c r="AQ127" s="43">
        <f t="shared" si="63"/>
        <v>0</v>
      </c>
      <c r="AR127" s="43">
        <f t="shared" si="64"/>
        <v>0</v>
      </c>
      <c r="AT127" s="43">
        <f t="shared" si="48"/>
        <v>0</v>
      </c>
      <c r="AU127" s="43">
        <f t="shared" si="48"/>
        <v>0</v>
      </c>
      <c r="AV127" s="43">
        <f t="shared" si="48"/>
        <v>0</v>
      </c>
      <c r="AW127" s="43">
        <f t="shared" si="48"/>
        <v>0</v>
      </c>
      <c r="AX127" s="43">
        <f t="shared" si="48"/>
        <v>0</v>
      </c>
      <c r="AZ127" s="47">
        <f t="shared" si="65"/>
        <v>0</v>
      </c>
      <c r="BA127" s="47">
        <f t="shared" si="66"/>
        <v>0</v>
      </c>
      <c r="BB127" s="47">
        <f t="shared" si="67"/>
        <v>0</v>
      </c>
      <c r="BC127" s="47">
        <f t="shared" si="68"/>
        <v>0</v>
      </c>
      <c r="BD127" s="47">
        <f t="shared" si="69"/>
        <v>0</v>
      </c>
    </row>
    <row r="128" spans="2:56">
      <c r="B128" s="37">
        <f>'3. Input (des)investeringen '!B161</f>
        <v>1596</v>
      </c>
      <c r="C128" s="48"/>
      <c r="D128" s="48"/>
      <c r="E128" s="48"/>
      <c r="F128" s="42">
        <f>'3. Input (des)investeringen '!D161</f>
        <v>642958.60343053075</v>
      </c>
      <c r="G128" s="48"/>
      <c r="H128" s="37">
        <f>'3. Input (des)investeringen '!F161</f>
        <v>2023</v>
      </c>
      <c r="I128" s="42" t="str">
        <f>'3. Input (des)investeringen '!G161</f>
        <v>nvt</v>
      </c>
      <c r="J128" s="42">
        <f>'3. Input (des)investeringen '!H161</f>
        <v>5</v>
      </c>
      <c r="K128" s="42">
        <f>'3. Input (des)investeringen '!I161</f>
        <v>0</v>
      </c>
      <c r="M128" s="43">
        <f t="shared" si="49"/>
        <v>0</v>
      </c>
      <c r="N128" s="43">
        <f t="shared" si="50"/>
        <v>0</v>
      </c>
      <c r="P128" s="137">
        <f t="shared" si="52"/>
        <v>0</v>
      </c>
      <c r="Q128" s="137">
        <f t="shared" si="51"/>
        <v>0</v>
      </c>
      <c r="S128" s="43">
        <f t="shared" si="53"/>
        <v>642958.60343053075</v>
      </c>
      <c r="T128" s="38">
        <f t="shared" si="54"/>
        <v>5</v>
      </c>
      <c r="V128" s="43">
        <f t="shared" si="46"/>
        <v>0</v>
      </c>
      <c r="W128" s="43">
        <f t="shared" si="46"/>
        <v>75226.156601372117</v>
      </c>
      <c r="X128" s="43">
        <f t="shared" si="46"/>
        <v>130893.51248638747</v>
      </c>
      <c r="Y128" s="43">
        <f t="shared" si="46"/>
        <v>106440.87828563376</v>
      </c>
      <c r="Z128" s="43">
        <f t="shared" si="46"/>
        <v>106440.87828563376</v>
      </c>
      <c r="AB128" s="43">
        <f t="shared" si="47"/>
        <v>0</v>
      </c>
      <c r="AC128" s="43">
        <f t="shared" si="47"/>
        <v>6429.5860343053082</v>
      </c>
      <c r="AD128" s="43">
        <f t="shared" si="47"/>
        <v>12859.172068610616</v>
      </c>
      <c r="AE128" s="43">
        <f t="shared" si="47"/>
        <v>12859.172068610616</v>
      </c>
      <c r="AF128" s="43">
        <f t="shared" si="47"/>
        <v>12859.172068610616</v>
      </c>
      <c r="AH128" s="43">
        <f t="shared" si="55"/>
        <v>0</v>
      </c>
      <c r="AI128" s="43">
        <f t="shared" si="56"/>
        <v>81655.742635677423</v>
      </c>
      <c r="AJ128" s="43">
        <f t="shared" si="57"/>
        <v>143752.68455499809</v>
      </c>
      <c r="AK128" s="43">
        <f t="shared" si="58"/>
        <v>119300.05035424438</v>
      </c>
      <c r="AL128" s="43">
        <f t="shared" si="59"/>
        <v>119300.05035424438</v>
      </c>
      <c r="AN128" s="43">
        <f t="shared" si="60"/>
        <v>0</v>
      </c>
      <c r="AO128" s="43">
        <f t="shared" si="61"/>
        <v>561302.8607948533</v>
      </c>
      <c r="AP128" s="43">
        <f t="shared" si="62"/>
        <v>417550.17623985524</v>
      </c>
      <c r="AQ128" s="43">
        <f t="shared" si="63"/>
        <v>298250.12588561088</v>
      </c>
      <c r="AR128" s="43">
        <f t="shared" si="64"/>
        <v>178950.07553136651</v>
      </c>
      <c r="AT128" s="43">
        <f t="shared" si="48"/>
        <v>0</v>
      </c>
      <c r="AU128" s="43">
        <f t="shared" si="48"/>
        <v>6429.5860343053073</v>
      </c>
      <c r="AV128" s="43">
        <f t="shared" si="48"/>
        <v>6916.1771053815328</v>
      </c>
      <c r="AW128" s="43">
        <f t="shared" si="48"/>
        <v>7081.3907440748881</v>
      </c>
      <c r="AX128" s="43">
        <f t="shared" si="48"/>
        <v>7321.081657980335</v>
      </c>
      <c r="AZ128" s="47">
        <f t="shared" si="65"/>
        <v>0</v>
      </c>
      <c r="BA128" s="47">
        <f t="shared" si="66"/>
        <v>106608.3230762129</v>
      </c>
      <c r="BB128" s="47">
        <f t="shared" si="67"/>
        <v>166535.76835749412</v>
      </c>
      <c r="BC128" s="47">
        <f t="shared" si="68"/>
        <v>137714.9458819725</v>
      </c>
      <c r="BD128" s="47">
        <f t="shared" si="69"/>
        <v>133421.23488241664</v>
      </c>
    </row>
    <row r="129" spans="2:56">
      <c r="B129" s="37">
        <f>'3. Input (des)investeringen '!B162</f>
        <v>1597</v>
      </c>
      <c r="C129" s="48"/>
      <c r="D129" s="48"/>
      <c r="E129" s="48"/>
      <c r="F129" s="42">
        <f>'3. Input (des)investeringen '!D162</f>
        <v>4759531.6466744374</v>
      </c>
      <c r="G129" s="48"/>
      <c r="H129" s="37">
        <f>'3. Input (des)investeringen '!F162</f>
        <v>2023</v>
      </c>
      <c r="I129" s="42" t="str">
        <f>'3. Input (des)investeringen '!G162</f>
        <v>nvt</v>
      </c>
      <c r="J129" s="42">
        <f>'3. Input (des)investeringen '!H162</f>
        <v>10</v>
      </c>
      <c r="K129" s="42">
        <f>'3. Input (des)investeringen '!I162</f>
        <v>0</v>
      </c>
      <c r="M129" s="43">
        <f t="shared" si="49"/>
        <v>0</v>
      </c>
      <c r="N129" s="43">
        <f t="shared" si="50"/>
        <v>0</v>
      </c>
      <c r="P129" s="137">
        <f t="shared" si="52"/>
        <v>0</v>
      </c>
      <c r="Q129" s="137">
        <f t="shared" si="51"/>
        <v>0</v>
      </c>
      <c r="S129" s="43">
        <f t="shared" si="53"/>
        <v>4759531.6466744374</v>
      </c>
      <c r="T129" s="38">
        <f t="shared" si="54"/>
        <v>10</v>
      </c>
      <c r="V129" s="43">
        <f t="shared" si="46"/>
        <v>0</v>
      </c>
      <c r="W129" s="43">
        <f t="shared" si="46"/>
        <v>278432.60133045464</v>
      </c>
      <c r="X129" s="43">
        <f t="shared" si="46"/>
        <v>520668.96448795014</v>
      </c>
      <c r="Y129" s="43">
        <f t="shared" si="46"/>
        <v>452981.99910451664</v>
      </c>
      <c r="Z129" s="43">
        <f t="shared" si="46"/>
        <v>404199.32227787637</v>
      </c>
      <c r="AB129" s="43">
        <f t="shared" si="47"/>
        <v>0</v>
      </c>
      <c r="AC129" s="43">
        <f t="shared" si="47"/>
        <v>23797.658233372189</v>
      </c>
      <c r="AD129" s="43">
        <f t="shared" si="47"/>
        <v>47595.316466744378</v>
      </c>
      <c r="AE129" s="43">
        <f t="shared" si="47"/>
        <v>47595.316466744378</v>
      </c>
      <c r="AF129" s="43">
        <f t="shared" si="47"/>
        <v>47595.316466744378</v>
      </c>
      <c r="AH129" s="43">
        <f t="shared" si="55"/>
        <v>0</v>
      </c>
      <c r="AI129" s="43">
        <f t="shared" si="56"/>
        <v>302230.25956382684</v>
      </c>
      <c r="AJ129" s="43">
        <f t="shared" si="57"/>
        <v>568264.28095469449</v>
      </c>
      <c r="AK129" s="43">
        <f t="shared" si="58"/>
        <v>500577.31557126099</v>
      </c>
      <c r="AL129" s="43">
        <f t="shared" si="59"/>
        <v>451794.63874462072</v>
      </c>
      <c r="AN129" s="43">
        <f t="shared" si="60"/>
        <v>0</v>
      </c>
      <c r="AO129" s="43">
        <f t="shared" si="61"/>
        <v>4457301.3871106105</v>
      </c>
      <c r="AP129" s="43">
        <f t="shared" si="62"/>
        <v>3889037.1061559161</v>
      </c>
      <c r="AQ129" s="43">
        <f t="shared" si="63"/>
        <v>3388459.790584655</v>
      </c>
      <c r="AR129" s="43">
        <f t="shared" si="64"/>
        <v>2936665.1518400344</v>
      </c>
      <c r="AT129" s="43">
        <f t="shared" si="48"/>
        <v>0</v>
      </c>
      <c r="AU129" s="43">
        <f t="shared" si="48"/>
        <v>47595.316466744378</v>
      </c>
      <c r="AV129" s="43">
        <f t="shared" si="48"/>
        <v>51197.330016947592</v>
      </c>
      <c r="AW129" s="43">
        <f t="shared" si="48"/>
        <v>52420.331836392441</v>
      </c>
      <c r="AX129" s="43">
        <f t="shared" si="48"/>
        <v>54194.655228390649</v>
      </c>
      <c r="AZ129" s="47">
        <f t="shared" si="65"/>
        <v>0</v>
      </c>
      <c r="BA129" s="47">
        <f t="shared" si="66"/>
        <v>496916.52180522133</v>
      </c>
      <c r="BB129" s="47">
        <f t="shared" si="67"/>
        <v>767245.02100556693</v>
      </c>
      <c r="BC129" s="47">
        <f t="shared" si="68"/>
        <v>681759.11944987031</v>
      </c>
      <c r="BD129" s="47">
        <f t="shared" si="69"/>
        <v>617582.56974293268</v>
      </c>
    </row>
    <row r="130" spans="2:56">
      <c r="B130" s="37">
        <f>'3. Input (des)investeringen '!B163</f>
        <v>1598</v>
      </c>
      <c r="C130" s="48"/>
      <c r="D130" s="48"/>
      <c r="E130" s="48"/>
      <c r="F130" s="42">
        <f>'3. Input (des)investeringen '!D163</f>
        <v>7788481.0198376775</v>
      </c>
      <c r="G130" s="48"/>
      <c r="H130" s="37">
        <f>'3. Input (des)investeringen '!F163</f>
        <v>2023</v>
      </c>
      <c r="I130" s="42" t="str">
        <f>'3. Input (des)investeringen '!G163</f>
        <v>nvt</v>
      </c>
      <c r="J130" s="42">
        <f>'3. Input (des)investeringen '!H163</f>
        <v>15</v>
      </c>
      <c r="K130" s="42">
        <f>'3. Input (des)investeringen '!I163</f>
        <v>0</v>
      </c>
      <c r="M130" s="43">
        <f t="shared" si="49"/>
        <v>0</v>
      </c>
      <c r="N130" s="43">
        <f t="shared" si="50"/>
        <v>0</v>
      </c>
      <c r="P130" s="137">
        <f t="shared" si="52"/>
        <v>0</v>
      </c>
      <c r="Q130" s="137">
        <f t="shared" si="51"/>
        <v>0</v>
      </c>
      <c r="S130" s="43">
        <f t="shared" si="53"/>
        <v>7788481.0198376775</v>
      </c>
      <c r="T130" s="38">
        <f t="shared" si="54"/>
        <v>15</v>
      </c>
      <c r="V130" s="43">
        <f t="shared" si="46"/>
        <v>0</v>
      </c>
      <c r="W130" s="43">
        <f t="shared" si="46"/>
        <v>303750.75977366942</v>
      </c>
      <c r="X130" s="43">
        <f t="shared" si="46"/>
        <v>581176.4537002875</v>
      </c>
      <c r="Y130" s="43">
        <f t="shared" si="46"/>
        <v>530807.82771292923</v>
      </c>
      <c r="Z130" s="43">
        <f t="shared" si="46"/>
        <v>484804.48264447541</v>
      </c>
      <c r="AB130" s="43">
        <f t="shared" si="47"/>
        <v>0</v>
      </c>
      <c r="AC130" s="43">
        <f t="shared" si="47"/>
        <v>25961.603399458927</v>
      </c>
      <c r="AD130" s="43">
        <f t="shared" si="47"/>
        <v>51923.206798917854</v>
      </c>
      <c r="AE130" s="43">
        <f t="shared" si="47"/>
        <v>51923.206798917854</v>
      </c>
      <c r="AF130" s="43">
        <f t="shared" si="47"/>
        <v>51923.206798917854</v>
      </c>
      <c r="AH130" s="43">
        <f t="shared" si="55"/>
        <v>0</v>
      </c>
      <c r="AI130" s="43">
        <f t="shared" si="56"/>
        <v>329712.36317312834</v>
      </c>
      <c r="AJ130" s="43">
        <f t="shared" si="57"/>
        <v>633099.66049920535</v>
      </c>
      <c r="AK130" s="43">
        <f t="shared" si="58"/>
        <v>582731.03451184707</v>
      </c>
      <c r="AL130" s="43">
        <f t="shared" si="59"/>
        <v>536727.68944339326</v>
      </c>
      <c r="AN130" s="43">
        <f t="shared" si="60"/>
        <v>0</v>
      </c>
      <c r="AO130" s="43">
        <f t="shared" si="61"/>
        <v>7458768.6566645494</v>
      </c>
      <c r="AP130" s="43">
        <f t="shared" si="62"/>
        <v>6825668.9961653445</v>
      </c>
      <c r="AQ130" s="43">
        <f t="shared" si="63"/>
        <v>6242937.9616534971</v>
      </c>
      <c r="AR130" s="43">
        <f t="shared" si="64"/>
        <v>5706210.2722101035</v>
      </c>
      <c r="AT130" s="43">
        <f t="shared" si="48"/>
        <v>0</v>
      </c>
      <c r="AU130" s="43">
        <f t="shared" si="48"/>
        <v>77884.81019837677</v>
      </c>
      <c r="AV130" s="43">
        <f t="shared" si="48"/>
        <v>83779.13263418994</v>
      </c>
      <c r="AW130" s="43">
        <f t="shared" si="48"/>
        <v>85780.448554555478</v>
      </c>
      <c r="AX130" s="43">
        <f t="shared" si="48"/>
        <v>88683.945177230053</v>
      </c>
      <c r="AZ130" s="47">
        <f t="shared" si="65"/>
        <v>0</v>
      </c>
      <c r="BA130" s="47">
        <f t="shared" si="66"/>
        <v>653736.53904143523</v>
      </c>
      <c r="BB130" s="47">
        <f t="shared" si="67"/>
        <v>976254.21498767834</v>
      </c>
      <c r="BC130" s="47">
        <f t="shared" si="68"/>
        <v>905743.12560923537</v>
      </c>
      <c r="BD130" s="47">
        <f t="shared" si="69"/>
        <v>842247.62496460718</v>
      </c>
    </row>
    <row r="131" spans="2:56">
      <c r="B131" s="37">
        <f>'3. Input (des)investeringen '!B164</f>
        <v>1599</v>
      </c>
      <c r="C131" s="48"/>
      <c r="D131" s="48"/>
      <c r="E131" s="48"/>
      <c r="F131" s="42">
        <f>'3. Input (des)investeringen '!D164</f>
        <v>7727802.2539787497</v>
      </c>
      <c r="G131" s="48"/>
      <c r="H131" s="37">
        <f>'3. Input (des)investeringen '!F164</f>
        <v>2023</v>
      </c>
      <c r="I131" s="42" t="str">
        <f>'3. Input (des)investeringen '!G164</f>
        <v>nvt</v>
      </c>
      <c r="J131" s="42">
        <f>'3. Input (des)investeringen '!H164</f>
        <v>30</v>
      </c>
      <c r="K131" s="42">
        <f>'3. Input (des)investeringen '!I164</f>
        <v>0</v>
      </c>
      <c r="M131" s="43">
        <f t="shared" si="49"/>
        <v>0</v>
      </c>
      <c r="N131" s="43">
        <f t="shared" si="50"/>
        <v>0</v>
      </c>
      <c r="P131" s="137">
        <f t="shared" si="52"/>
        <v>0</v>
      </c>
      <c r="Q131" s="137">
        <f t="shared" si="51"/>
        <v>0</v>
      </c>
      <c r="S131" s="43">
        <f t="shared" si="53"/>
        <v>7727802.2539787497</v>
      </c>
      <c r="T131" s="38">
        <f t="shared" si="54"/>
        <v>30</v>
      </c>
      <c r="V131" s="43">
        <f t="shared" ref="V131:Z140" si="70">IF($J131=0, 0, IF(OR($H131&gt;V$59,$H131+$J131&lt;V$59),0,
IF(OR($H131=2020,$H131=2021),VDB($S131*(1-$F$28),0,$T131,V$59-2022,MIN($T131,V$59-2021),$F$22,FALSE),
VDB($S131*(1-$F$28),0,$T131,MAX(0,V$59-$H131-0.5),MIN($T131,V$59-$H131+0.5),$F$22,FALSE))))</f>
        <v>0</v>
      </c>
      <c r="W131" s="43">
        <f t="shared" si="70"/>
        <v>150692.14395258564</v>
      </c>
      <c r="X131" s="43">
        <f t="shared" si="70"/>
        <v>294854.29500055924</v>
      </c>
      <c r="Y131" s="43">
        <f t="shared" si="70"/>
        <v>282077.27555053495</v>
      </c>
      <c r="Z131" s="43">
        <f t="shared" si="70"/>
        <v>269853.92694334511</v>
      </c>
      <c r="AB131" s="43">
        <f t="shared" ref="AB131:AF140" si="71">IF($J131=0, 0, IF(OR($H131&gt;AB$59,$H131+$J131&lt;AB$59),0,
IF(OR($H131=2020,$H131=2021),VDB($S131*$F$28,0,$T131,AB$59-2022,MIN($T131,AB$59-2021),1),
VDB($S131*$F$28,0,$T131,MAX(0,AB$59-$H131-0.5),MIN($T131,AB$59-$H131+0.5),1))))</f>
        <v>0</v>
      </c>
      <c r="AC131" s="43">
        <f t="shared" si="71"/>
        <v>12879.670423297917</v>
      </c>
      <c r="AD131" s="43">
        <f t="shared" si="71"/>
        <v>25759.340846595835</v>
      </c>
      <c r="AE131" s="43">
        <f t="shared" si="71"/>
        <v>25759.340846595835</v>
      </c>
      <c r="AF131" s="43">
        <f t="shared" si="71"/>
        <v>25759.340846595835</v>
      </c>
      <c r="AH131" s="43">
        <f t="shared" si="55"/>
        <v>0</v>
      </c>
      <c r="AI131" s="43">
        <f t="shared" si="56"/>
        <v>163571.81437588355</v>
      </c>
      <c r="AJ131" s="43">
        <f t="shared" si="57"/>
        <v>320613.63584715506</v>
      </c>
      <c r="AK131" s="43">
        <f t="shared" si="58"/>
        <v>307836.61639713077</v>
      </c>
      <c r="AL131" s="43">
        <f t="shared" si="59"/>
        <v>295613.26778994093</v>
      </c>
      <c r="AN131" s="43">
        <f t="shared" si="60"/>
        <v>0</v>
      </c>
      <c r="AO131" s="43">
        <f t="shared" si="61"/>
        <v>7564230.4396028658</v>
      </c>
      <c r="AP131" s="43">
        <f t="shared" si="62"/>
        <v>7243616.8037557108</v>
      </c>
      <c r="AQ131" s="43">
        <f t="shared" si="63"/>
        <v>6935780.1873585805</v>
      </c>
      <c r="AR131" s="43">
        <f t="shared" si="64"/>
        <v>6640166.9195686392</v>
      </c>
      <c r="AT131" s="43">
        <f t="shared" ref="AT131:AX140" si="72">IF($H131&lt;=AT$59,$F131*INDEX($H$40:$N$46,$H131-2019,AT$59-2019)*INDEX($H$49:$N$55,$H131-2019,AT$59-2019)*$F$19,0)</f>
        <v>0</v>
      </c>
      <c r="AU131" s="43">
        <f t="shared" si="72"/>
        <v>77278.022539787504</v>
      </c>
      <c r="AV131" s="43">
        <f t="shared" si="72"/>
        <v>83126.423285598619</v>
      </c>
      <c r="AW131" s="43">
        <f t="shared" si="72"/>
        <v>85112.147285044994</v>
      </c>
      <c r="AX131" s="43">
        <f t="shared" si="72"/>
        <v>87993.023246349185</v>
      </c>
      <c r="AZ131" s="47">
        <f t="shared" si="65"/>
        <v>0</v>
      </c>
      <c r="BA131" s="47">
        <f t="shared" si="66"/>
        <v>490469.44142256567</v>
      </c>
      <c r="BB131" s="47">
        <f t="shared" si="67"/>
        <v>678997.49767547077</v>
      </c>
      <c r="BC131" s="47">
        <f t="shared" si="68"/>
        <v>656508.41080180183</v>
      </c>
      <c r="BD131" s="47">
        <f t="shared" si="69"/>
        <v>635932.63397989841</v>
      </c>
    </row>
    <row r="132" spans="2:56">
      <c r="B132" s="37">
        <f>'3. Input (des)investeringen '!B165</f>
        <v>1600</v>
      </c>
      <c r="C132" s="48"/>
      <c r="D132" s="48"/>
      <c r="E132" s="48"/>
      <c r="F132" s="42">
        <f>'3. Input (des)investeringen '!D165</f>
        <v>0</v>
      </c>
      <c r="G132" s="48"/>
      <c r="H132" s="37">
        <f>'3. Input (des)investeringen '!F165</f>
        <v>2023</v>
      </c>
      <c r="I132" s="42" t="str">
        <f>'3. Input (des)investeringen '!G165</f>
        <v>nvt</v>
      </c>
      <c r="J132" s="42">
        <f>'3. Input (des)investeringen '!H165</f>
        <v>55</v>
      </c>
      <c r="K132" s="42">
        <f>'3. Input (des)investeringen '!I165</f>
        <v>0</v>
      </c>
      <c r="M132" s="43">
        <f t="shared" si="49"/>
        <v>0</v>
      </c>
      <c r="N132" s="43">
        <f t="shared" si="50"/>
        <v>0</v>
      </c>
      <c r="P132" s="137">
        <f t="shared" si="52"/>
        <v>0</v>
      </c>
      <c r="Q132" s="137">
        <f t="shared" si="51"/>
        <v>0</v>
      </c>
      <c r="S132" s="43">
        <f t="shared" si="53"/>
        <v>0</v>
      </c>
      <c r="T132" s="38">
        <f t="shared" si="54"/>
        <v>55</v>
      </c>
      <c r="V132" s="43">
        <f t="shared" si="70"/>
        <v>0</v>
      </c>
      <c r="W132" s="43">
        <f t="shared" si="70"/>
        <v>0</v>
      </c>
      <c r="X132" s="43">
        <f t="shared" si="70"/>
        <v>0</v>
      </c>
      <c r="Y132" s="43">
        <f t="shared" si="70"/>
        <v>0</v>
      </c>
      <c r="Z132" s="43">
        <f t="shared" si="70"/>
        <v>0</v>
      </c>
      <c r="AB132" s="43">
        <f t="shared" si="71"/>
        <v>0</v>
      </c>
      <c r="AC132" s="43">
        <f t="shared" si="71"/>
        <v>0</v>
      </c>
      <c r="AD132" s="43">
        <f t="shared" si="71"/>
        <v>0</v>
      </c>
      <c r="AE132" s="43">
        <f t="shared" si="71"/>
        <v>0</v>
      </c>
      <c r="AF132" s="43">
        <f t="shared" si="71"/>
        <v>0</v>
      </c>
      <c r="AH132" s="43">
        <f t="shared" si="55"/>
        <v>0</v>
      </c>
      <c r="AI132" s="43">
        <f t="shared" si="56"/>
        <v>0</v>
      </c>
      <c r="AJ132" s="43">
        <f t="shared" si="57"/>
        <v>0</v>
      </c>
      <c r="AK132" s="43">
        <f t="shared" si="58"/>
        <v>0</v>
      </c>
      <c r="AL132" s="43">
        <f t="shared" si="59"/>
        <v>0</v>
      </c>
      <c r="AN132" s="43">
        <f t="shared" si="60"/>
        <v>0</v>
      </c>
      <c r="AO132" s="43">
        <f t="shared" si="61"/>
        <v>0</v>
      </c>
      <c r="AP132" s="43">
        <f t="shared" si="62"/>
        <v>0</v>
      </c>
      <c r="AQ132" s="43">
        <f t="shared" si="63"/>
        <v>0</v>
      </c>
      <c r="AR132" s="43">
        <f t="shared" si="64"/>
        <v>0</v>
      </c>
      <c r="AT132" s="43">
        <f t="shared" si="72"/>
        <v>0</v>
      </c>
      <c r="AU132" s="43">
        <f t="shared" si="72"/>
        <v>0</v>
      </c>
      <c r="AV132" s="43">
        <f t="shared" si="72"/>
        <v>0</v>
      </c>
      <c r="AW132" s="43">
        <f t="shared" si="72"/>
        <v>0</v>
      </c>
      <c r="AX132" s="43">
        <f t="shared" si="72"/>
        <v>0</v>
      </c>
      <c r="AZ132" s="47">
        <f t="shared" si="65"/>
        <v>0</v>
      </c>
      <c r="BA132" s="47">
        <f t="shared" si="66"/>
        <v>0</v>
      </c>
      <c r="BB132" s="47">
        <f t="shared" si="67"/>
        <v>0</v>
      </c>
      <c r="BC132" s="47">
        <f t="shared" si="68"/>
        <v>0</v>
      </c>
      <c r="BD132" s="47">
        <f t="shared" si="69"/>
        <v>0</v>
      </c>
    </row>
    <row r="133" spans="2:56">
      <c r="B133" s="37">
        <f>'3. Input (des)investeringen '!B166</f>
        <v>1601</v>
      </c>
      <c r="C133" s="48"/>
      <c r="D133" s="48"/>
      <c r="E133" s="48"/>
      <c r="F133" s="42">
        <f>'3. Input (des)investeringen '!D166</f>
        <v>0</v>
      </c>
      <c r="G133" s="48"/>
      <c r="H133" s="37">
        <f>'3. Input (des)investeringen '!F166</f>
        <v>2024</v>
      </c>
      <c r="I133" s="42" t="str">
        <f>'3. Input (des)investeringen '!G166</f>
        <v>nvt</v>
      </c>
      <c r="J133" s="42">
        <f>'3. Input (des)investeringen '!H166</f>
        <v>0</v>
      </c>
      <c r="K133" s="42">
        <f>'3. Input (des)investeringen '!I166</f>
        <v>1</v>
      </c>
      <c r="M133" s="43">
        <f t="shared" si="49"/>
        <v>0</v>
      </c>
      <c r="N133" s="43">
        <f t="shared" si="50"/>
        <v>0</v>
      </c>
      <c r="P133" s="137">
        <f t="shared" si="52"/>
        <v>0</v>
      </c>
      <c r="Q133" s="137">
        <f t="shared" si="51"/>
        <v>0</v>
      </c>
      <c r="S133" s="43">
        <f t="shared" si="53"/>
        <v>0</v>
      </c>
      <c r="T133" s="38">
        <f t="shared" si="54"/>
        <v>0</v>
      </c>
      <c r="V133" s="43">
        <f t="shared" si="70"/>
        <v>0</v>
      </c>
      <c r="W133" s="43">
        <f t="shared" si="70"/>
        <v>0</v>
      </c>
      <c r="X133" s="43">
        <f t="shared" si="70"/>
        <v>0</v>
      </c>
      <c r="Y133" s="43">
        <f t="shared" si="70"/>
        <v>0</v>
      </c>
      <c r="Z133" s="43">
        <f t="shared" si="70"/>
        <v>0</v>
      </c>
      <c r="AB133" s="43">
        <f t="shared" si="71"/>
        <v>0</v>
      </c>
      <c r="AC133" s="43">
        <f t="shared" si="71"/>
        <v>0</v>
      </c>
      <c r="AD133" s="43">
        <f t="shared" si="71"/>
        <v>0</v>
      </c>
      <c r="AE133" s="43">
        <f t="shared" si="71"/>
        <v>0</v>
      </c>
      <c r="AF133" s="43">
        <f t="shared" si="71"/>
        <v>0</v>
      </c>
      <c r="AH133" s="43">
        <f t="shared" si="55"/>
        <v>0</v>
      </c>
      <c r="AI133" s="43">
        <f t="shared" si="56"/>
        <v>0</v>
      </c>
      <c r="AJ133" s="43">
        <f t="shared" si="57"/>
        <v>0</v>
      </c>
      <c r="AK133" s="43">
        <f t="shared" si="58"/>
        <v>0</v>
      </c>
      <c r="AL133" s="43">
        <f t="shared" si="59"/>
        <v>0</v>
      </c>
      <c r="AN133" s="43">
        <f t="shared" si="60"/>
        <v>0</v>
      </c>
      <c r="AO133" s="43">
        <f t="shared" si="61"/>
        <v>0</v>
      </c>
      <c r="AP133" s="43">
        <f t="shared" si="62"/>
        <v>0</v>
      </c>
      <c r="AQ133" s="43">
        <f t="shared" si="63"/>
        <v>0</v>
      </c>
      <c r="AR133" s="43">
        <f t="shared" si="64"/>
        <v>0</v>
      </c>
      <c r="AT133" s="43">
        <f t="shared" si="72"/>
        <v>0</v>
      </c>
      <c r="AU133" s="43">
        <f t="shared" si="72"/>
        <v>0</v>
      </c>
      <c r="AV133" s="43">
        <f t="shared" si="72"/>
        <v>0</v>
      </c>
      <c r="AW133" s="43">
        <f t="shared" si="72"/>
        <v>0</v>
      </c>
      <c r="AX133" s="43">
        <f t="shared" si="72"/>
        <v>0</v>
      </c>
      <c r="AZ133" s="47">
        <f t="shared" si="65"/>
        <v>0</v>
      </c>
      <c r="BA133" s="47">
        <f t="shared" si="66"/>
        <v>0</v>
      </c>
      <c r="BB133" s="47">
        <f t="shared" si="67"/>
        <v>0</v>
      </c>
      <c r="BC133" s="47">
        <f t="shared" si="68"/>
        <v>0</v>
      </c>
      <c r="BD133" s="47">
        <f t="shared" si="69"/>
        <v>0</v>
      </c>
    </row>
    <row r="134" spans="2:56">
      <c r="B134" s="37">
        <f>'3. Input (des)investeringen '!B167</f>
        <v>1602</v>
      </c>
      <c r="C134" s="48"/>
      <c r="D134" s="48"/>
      <c r="E134" s="48"/>
      <c r="F134" s="42">
        <f>'3. Input (des)investeringen '!D167</f>
        <v>17329841.381191369</v>
      </c>
      <c r="G134" s="48"/>
      <c r="H134" s="37">
        <f>'3. Input (des)investeringen '!F167</f>
        <v>2024</v>
      </c>
      <c r="I134" s="42" t="str">
        <f>'3. Input (des)investeringen '!G167</f>
        <v>nvt</v>
      </c>
      <c r="J134" s="42">
        <f>'3. Input (des)investeringen '!H167</f>
        <v>5</v>
      </c>
      <c r="K134" s="42">
        <f>'3. Input (des)investeringen '!I167</f>
        <v>1</v>
      </c>
      <c r="M134" s="43">
        <f t="shared" si="49"/>
        <v>0</v>
      </c>
      <c r="N134" s="43">
        <f t="shared" si="50"/>
        <v>0</v>
      </c>
      <c r="P134" s="137">
        <f t="shared" si="52"/>
        <v>0</v>
      </c>
      <c r="Q134" s="137">
        <f t="shared" si="51"/>
        <v>0</v>
      </c>
      <c r="S134" s="43">
        <f t="shared" si="53"/>
        <v>17329841.381191369</v>
      </c>
      <c r="T134" s="38">
        <f t="shared" si="54"/>
        <v>5</v>
      </c>
      <c r="V134" s="43">
        <f t="shared" si="70"/>
        <v>0</v>
      </c>
      <c r="W134" s="43">
        <f t="shared" si="70"/>
        <v>0</v>
      </c>
      <c r="X134" s="43">
        <f t="shared" si="70"/>
        <v>2027591.4415993902</v>
      </c>
      <c r="Y134" s="43">
        <f t="shared" si="70"/>
        <v>3528009.1083829394</v>
      </c>
      <c r="Z134" s="43">
        <f t="shared" si="70"/>
        <v>2868930.4837399721</v>
      </c>
      <c r="AB134" s="43">
        <f t="shared" si="71"/>
        <v>0</v>
      </c>
      <c r="AC134" s="43">
        <f t="shared" si="71"/>
        <v>0</v>
      </c>
      <c r="AD134" s="43">
        <f t="shared" si="71"/>
        <v>173298.41381191369</v>
      </c>
      <c r="AE134" s="43">
        <f t="shared" si="71"/>
        <v>346596.82762382738</v>
      </c>
      <c r="AF134" s="43">
        <f t="shared" si="71"/>
        <v>346596.82762382738</v>
      </c>
      <c r="AH134" s="43">
        <f t="shared" si="55"/>
        <v>0</v>
      </c>
      <c r="AI134" s="43">
        <f t="shared" si="56"/>
        <v>0</v>
      </c>
      <c r="AJ134" s="43">
        <f t="shared" si="57"/>
        <v>2200889.8554113042</v>
      </c>
      <c r="AK134" s="43">
        <f t="shared" si="58"/>
        <v>3874605.9360067667</v>
      </c>
      <c r="AL134" s="43">
        <f t="shared" si="59"/>
        <v>3215527.3113637995</v>
      </c>
      <c r="AN134" s="43">
        <f t="shared" si="60"/>
        <v>0</v>
      </c>
      <c r="AO134" s="43">
        <f t="shared" si="61"/>
        <v>0</v>
      </c>
      <c r="AP134" s="43">
        <f t="shared" si="62"/>
        <v>15128951.525780065</v>
      </c>
      <c r="AQ134" s="43">
        <f t="shared" si="63"/>
        <v>11254345.589773297</v>
      </c>
      <c r="AR134" s="43">
        <f t="shared" si="64"/>
        <v>8038818.2784094978</v>
      </c>
      <c r="AT134" s="43">
        <f t="shared" si="72"/>
        <v>0</v>
      </c>
      <c r="AU134" s="43">
        <f t="shared" si="72"/>
        <v>0</v>
      </c>
      <c r="AV134" s="43">
        <f t="shared" si="72"/>
        <v>173298.41381191369</v>
      </c>
      <c r="AW134" s="43">
        <f t="shared" si="72"/>
        <v>177438.16632105267</v>
      </c>
      <c r="AX134" s="43">
        <f t="shared" si="72"/>
        <v>183444.09337468765</v>
      </c>
      <c r="AZ134" s="47">
        <f t="shared" si="65"/>
        <v>0</v>
      </c>
      <c r="BA134" s="47">
        <f t="shared" si="66"/>
        <v>0</v>
      </c>
      <c r="BB134" s="47">
        <f t="shared" si="67"/>
        <v>2949088.4272028604</v>
      </c>
      <c r="BC134" s="47">
        <f t="shared" si="68"/>
        <v>4479709.2347392039</v>
      </c>
      <c r="BD134" s="47">
        <f t="shared" si="69"/>
        <v>3704446.4993180479</v>
      </c>
    </row>
    <row r="135" spans="2:56">
      <c r="B135" s="37">
        <f>'3. Input (des)investeringen '!B168</f>
        <v>1603</v>
      </c>
      <c r="C135" s="48"/>
      <c r="D135" s="48"/>
      <c r="E135" s="48"/>
      <c r="F135" s="42">
        <f>'3. Input (des)investeringen '!D168</f>
        <v>5256515.0928236982</v>
      </c>
      <c r="G135" s="48"/>
      <c r="H135" s="37">
        <f>'3. Input (des)investeringen '!F168</f>
        <v>2024</v>
      </c>
      <c r="I135" s="42" t="str">
        <f>'3. Input (des)investeringen '!G168</f>
        <v>nvt</v>
      </c>
      <c r="J135" s="42">
        <f>'3. Input (des)investeringen '!H168</f>
        <v>10</v>
      </c>
      <c r="K135" s="42">
        <f>'3. Input (des)investeringen '!I168</f>
        <v>1</v>
      </c>
      <c r="M135" s="43">
        <f t="shared" si="49"/>
        <v>0</v>
      </c>
      <c r="N135" s="43">
        <f t="shared" si="50"/>
        <v>0</v>
      </c>
      <c r="P135" s="137">
        <f t="shared" si="52"/>
        <v>0</v>
      </c>
      <c r="Q135" s="137">
        <f t="shared" si="51"/>
        <v>0</v>
      </c>
      <c r="S135" s="43">
        <f t="shared" si="53"/>
        <v>5256515.0928236982</v>
      </c>
      <c r="T135" s="38">
        <f t="shared" si="54"/>
        <v>10</v>
      </c>
      <c r="V135" s="43">
        <f t="shared" si="70"/>
        <v>0</v>
      </c>
      <c r="W135" s="43">
        <f t="shared" si="70"/>
        <v>0</v>
      </c>
      <c r="X135" s="43">
        <f t="shared" si="70"/>
        <v>307506.13293018634</v>
      </c>
      <c r="Y135" s="43">
        <f t="shared" si="70"/>
        <v>575036.46857944841</v>
      </c>
      <c r="Z135" s="43">
        <f t="shared" si="70"/>
        <v>500281.72766412015</v>
      </c>
      <c r="AB135" s="43">
        <f t="shared" si="71"/>
        <v>0</v>
      </c>
      <c r="AC135" s="43">
        <f t="shared" si="71"/>
        <v>0</v>
      </c>
      <c r="AD135" s="43">
        <f t="shared" si="71"/>
        <v>26282.575464118494</v>
      </c>
      <c r="AE135" s="43">
        <f t="shared" si="71"/>
        <v>52565.150928236988</v>
      </c>
      <c r="AF135" s="43">
        <f t="shared" si="71"/>
        <v>52565.150928236988</v>
      </c>
      <c r="AH135" s="43">
        <f t="shared" si="55"/>
        <v>0</v>
      </c>
      <c r="AI135" s="43">
        <f t="shared" si="56"/>
        <v>0</v>
      </c>
      <c r="AJ135" s="43">
        <f t="shared" si="57"/>
        <v>333788.70839430485</v>
      </c>
      <c r="AK135" s="43">
        <f t="shared" si="58"/>
        <v>627601.61950768542</v>
      </c>
      <c r="AL135" s="43">
        <f t="shared" si="59"/>
        <v>552846.87859235716</v>
      </c>
      <c r="AN135" s="43">
        <f t="shared" si="60"/>
        <v>0</v>
      </c>
      <c r="AO135" s="43">
        <f t="shared" si="61"/>
        <v>0</v>
      </c>
      <c r="AP135" s="43">
        <f t="shared" si="62"/>
        <v>4922726.3844293933</v>
      </c>
      <c r="AQ135" s="43">
        <f t="shared" si="63"/>
        <v>4295124.764921708</v>
      </c>
      <c r="AR135" s="43">
        <f t="shared" si="64"/>
        <v>3742277.886329351</v>
      </c>
      <c r="AT135" s="43">
        <f t="shared" si="72"/>
        <v>0</v>
      </c>
      <c r="AU135" s="43">
        <f t="shared" si="72"/>
        <v>0</v>
      </c>
      <c r="AV135" s="43">
        <f t="shared" si="72"/>
        <v>52565.150928236981</v>
      </c>
      <c r="AW135" s="43">
        <f t="shared" si="72"/>
        <v>53820.827253610711</v>
      </c>
      <c r="AX135" s="43">
        <f t="shared" si="72"/>
        <v>55642.554614490924</v>
      </c>
      <c r="AZ135" s="47">
        <f t="shared" si="65"/>
        <v>0</v>
      </c>
      <c r="BA135" s="47">
        <f t="shared" si="66"/>
        <v>0</v>
      </c>
      <c r="BB135" s="47">
        <f t="shared" si="67"/>
        <v>573417.46193085879</v>
      </c>
      <c r="BC135" s="47">
        <f t="shared" si="68"/>
        <v>844637.18782832101</v>
      </c>
      <c r="BD135" s="47">
        <f t="shared" si="69"/>
        <v>750695.99288736342</v>
      </c>
    </row>
    <row r="136" spans="2:56">
      <c r="B136" s="37">
        <f>'3. Input (des)investeringen '!B169</f>
        <v>1604</v>
      </c>
      <c r="C136" s="48"/>
      <c r="D136" s="48"/>
      <c r="E136" s="48"/>
      <c r="F136" s="42">
        <f>'3. Input (des)investeringen '!D169</f>
        <v>24794632.448747091</v>
      </c>
      <c r="G136" s="48"/>
      <c r="H136" s="37">
        <f>'3. Input (des)investeringen '!F169</f>
        <v>2024</v>
      </c>
      <c r="I136" s="42" t="str">
        <f>'3. Input (des)investeringen '!G169</f>
        <v>nvt</v>
      </c>
      <c r="J136" s="42">
        <f>'3. Input (des)investeringen '!H169</f>
        <v>15</v>
      </c>
      <c r="K136" s="42">
        <f>'3. Input (des)investeringen '!I169</f>
        <v>1</v>
      </c>
      <c r="M136" s="43">
        <f t="shared" si="49"/>
        <v>0</v>
      </c>
      <c r="N136" s="43">
        <f t="shared" si="50"/>
        <v>0</v>
      </c>
      <c r="P136" s="137">
        <f t="shared" si="52"/>
        <v>0</v>
      </c>
      <c r="Q136" s="137">
        <f t="shared" si="51"/>
        <v>0</v>
      </c>
      <c r="S136" s="43">
        <f t="shared" si="53"/>
        <v>24794632.448747091</v>
      </c>
      <c r="T136" s="38">
        <f t="shared" si="54"/>
        <v>15</v>
      </c>
      <c r="V136" s="43">
        <f t="shared" si="70"/>
        <v>0</v>
      </c>
      <c r="W136" s="43">
        <f t="shared" si="70"/>
        <v>0</v>
      </c>
      <c r="X136" s="43">
        <f t="shared" si="70"/>
        <v>966990.66550113657</v>
      </c>
      <c r="Y136" s="43">
        <f t="shared" si="70"/>
        <v>1850175.4733255082</v>
      </c>
      <c r="Z136" s="43">
        <f t="shared" si="70"/>
        <v>1689826.9323039639</v>
      </c>
      <c r="AB136" s="43">
        <f t="shared" si="71"/>
        <v>0</v>
      </c>
      <c r="AC136" s="43">
        <f t="shared" si="71"/>
        <v>0</v>
      </c>
      <c r="AD136" s="43">
        <f t="shared" si="71"/>
        <v>82648.774829156973</v>
      </c>
      <c r="AE136" s="43">
        <f t="shared" si="71"/>
        <v>165297.54965831395</v>
      </c>
      <c r="AF136" s="43">
        <f t="shared" si="71"/>
        <v>165297.54965831395</v>
      </c>
      <c r="AH136" s="43">
        <f t="shared" si="55"/>
        <v>0</v>
      </c>
      <c r="AI136" s="43">
        <f t="shared" si="56"/>
        <v>0</v>
      </c>
      <c r="AJ136" s="43">
        <f t="shared" si="57"/>
        <v>1049639.4403302935</v>
      </c>
      <c r="AK136" s="43">
        <f t="shared" si="58"/>
        <v>2015473.022983822</v>
      </c>
      <c r="AL136" s="43">
        <f t="shared" si="59"/>
        <v>1855124.4819622778</v>
      </c>
      <c r="AN136" s="43">
        <f t="shared" si="60"/>
        <v>0</v>
      </c>
      <c r="AO136" s="43">
        <f t="shared" si="61"/>
        <v>0</v>
      </c>
      <c r="AP136" s="43">
        <f t="shared" si="62"/>
        <v>23744993.008416798</v>
      </c>
      <c r="AQ136" s="43">
        <f t="shared" si="63"/>
        <v>21729519.985432975</v>
      </c>
      <c r="AR136" s="43">
        <f t="shared" si="64"/>
        <v>19874395.503470697</v>
      </c>
      <c r="AT136" s="43">
        <f t="shared" si="72"/>
        <v>0</v>
      </c>
      <c r="AU136" s="43">
        <f t="shared" si="72"/>
        <v>0</v>
      </c>
      <c r="AV136" s="43">
        <f t="shared" si="72"/>
        <v>247946.32448747091</v>
      </c>
      <c r="AW136" s="43">
        <f t="shared" si="72"/>
        <v>253869.26628682762</v>
      </c>
      <c r="AX136" s="43">
        <f t="shared" si="72"/>
        <v>262462.23321210418</v>
      </c>
      <c r="AZ136" s="47">
        <f t="shared" si="65"/>
        <v>0</v>
      </c>
      <c r="BA136" s="47">
        <f t="shared" si="66"/>
        <v>0</v>
      </c>
      <c r="BB136" s="47">
        <f t="shared" si="67"/>
        <v>2199895.4991376027</v>
      </c>
      <c r="BC136" s="47">
        <f t="shared" si="68"/>
        <v>3095064.048717103</v>
      </c>
      <c r="BD136" s="47">
        <f t="shared" si="69"/>
        <v>2872813.7443062682</v>
      </c>
    </row>
    <row r="137" spans="2:56">
      <c r="B137" s="37">
        <f>'3. Input (des)investeringen '!B170</f>
        <v>1605</v>
      </c>
      <c r="C137" s="48"/>
      <c r="D137" s="48"/>
      <c r="E137" s="48"/>
      <c r="F137" s="42">
        <f>'3. Input (des)investeringen '!D170</f>
        <v>30453006.468301013</v>
      </c>
      <c r="G137" s="48"/>
      <c r="H137" s="37">
        <f>'3. Input (des)investeringen '!F170</f>
        <v>2024</v>
      </c>
      <c r="I137" s="42" t="str">
        <f>'3. Input (des)investeringen '!G170</f>
        <v>nvt</v>
      </c>
      <c r="J137" s="42">
        <f>'3. Input (des)investeringen '!H170</f>
        <v>30</v>
      </c>
      <c r="K137" s="42">
        <f>'3. Input (des)investeringen '!I170</f>
        <v>1</v>
      </c>
      <c r="M137" s="43">
        <f t="shared" si="49"/>
        <v>0</v>
      </c>
      <c r="N137" s="43">
        <f t="shared" si="50"/>
        <v>0</v>
      </c>
      <c r="P137" s="137">
        <f t="shared" si="52"/>
        <v>0</v>
      </c>
      <c r="Q137" s="137">
        <f t="shared" si="51"/>
        <v>0</v>
      </c>
      <c r="S137" s="43">
        <f t="shared" si="53"/>
        <v>30453006.468301013</v>
      </c>
      <c r="T137" s="38">
        <f t="shared" si="54"/>
        <v>30</v>
      </c>
      <c r="V137" s="43">
        <f t="shared" si="70"/>
        <v>0</v>
      </c>
      <c r="W137" s="43">
        <f t="shared" si="70"/>
        <v>0</v>
      </c>
      <c r="X137" s="43">
        <f t="shared" si="70"/>
        <v>593833.62613186974</v>
      </c>
      <c r="Y137" s="43">
        <f t="shared" si="70"/>
        <v>1161934.4617980253</v>
      </c>
      <c r="Z137" s="43">
        <f t="shared" si="70"/>
        <v>1111583.9684534443</v>
      </c>
      <c r="AB137" s="43">
        <f t="shared" si="71"/>
        <v>0</v>
      </c>
      <c r="AC137" s="43">
        <f t="shared" si="71"/>
        <v>0</v>
      </c>
      <c r="AD137" s="43">
        <f t="shared" si="71"/>
        <v>50755.010780501689</v>
      </c>
      <c r="AE137" s="43">
        <f t="shared" si="71"/>
        <v>101510.02156100339</v>
      </c>
      <c r="AF137" s="43">
        <f t="shared" si="71"/>
        <v>101510.02156100339</v>
      </c>
      <c r="AH137" s="43">
        <f t="shared" si="55"/>
        <v>0</v>
      </c>
      <c r="AI137" s="43">
        <f t="shared" si="56"/>
        <v>0</v>
      </c>
      <c r="AJ137" s="43">
        <f t="shared" si="57"/>
        <v>644588.63691237138</v>
      </c>
      <c r="AK137" s="43">
        <f t="shared" si="58"/>
        <v>1263444.4833590286</v>
      </c>
      <c r="AL137" s="43">
        <f t="shared" si="59"/>
        <v>1213093.9900144476</v>
      </c>
      <c r="AN137" s="43">
        <f t="shared" si="60"/>
        <v>0</v>
      </c>
      <c r="AO137" s="43">
        <f t="shared" si="61"/>
        <v>0</v>
      </c>
      <c r="AP137" s="43">
        <f t="shared" si="62"/>
        <v>29808417.831388641</v>
      </c>
      <c r="AQ137" s="43">
        <f t="shared" si="63"/>
        <v>28544973.348029613</v>
      </c>
      <c r="AR137" s="43">
        <f t="shared" si="64"/>
        <v>27331879.358015165</v>
      </c>
      <c r="AT137" s="43">
        <f t="shared" si="72"/>
        <v>0</v>
      </c>
      <c r="AU137" s="43">
        <f t="shared" si="72"/>
        <v>0</v>
      </c>
      <c r="AV137" s="43">
        <f t="shared" si="72"/>
        <v>304530.06468301016</v>
      </c>
      <c r="AW137" s="43">
        <f t="shared" si="72"/>
        <v>311804.67886815785</v>
      </c>
      <c r="AX137" s="43">
        <f t="shared" si="72"/>
        <v>322358.64363848726</v>
      </c>
      <c r="AZ137" s="47">
        <f t="shared" si="65"/>
        <v>0</v>
      </c>
      <c r="BA137" s="47">
        <f t="shared" si="66"/>
        <v>0</v>
      </c>
      <c r="BB137" s="47">
        <f t="shared" si="67"/>
        <v>2081838.5791881497</v>
      </c>
      <c r="BC137" s="47">
        <f t="shared" si="68"/>
        <v>2659958.1494523119</v>
      </c>
      <c r="BD137" s="47">
        <f t="shared" si="69"/>
        <v>2574064.0492575113</v>
      </c>
    </row>
    <row r="138" spans="2:56">
      <c r="B138" s="37">
        <f>'3. Input (des)investeringen '!B171</f>
        <v>1606</v>
      </c>
      <c r="C138" s="48"/>
      <c r="D138" s="48"/>
      <c r="E138" s="48"/>
      <c r="F138" s="42">
        <f>'3. Input (des)investeringen '!D171</f>
        <v>84298220.607542247</v>
      </c>
      <c r="G138" s="48"/>
      <c r="H138" s="37">
        <f>'3. Input (des)investeringen '!F171</f>
        <v>2024</v>
      </c>
      <c r="I138" s="42" t="str">
        <f>'3. Input (des)investeringen '!G171</f>
        <v>nvt</v>
      </c>
      <c r="J138" s="42">
        <f>'3. Input (des)investeringen '!H171</f>
        <v>55</v>
      </c>
      <c r="K138" s="42">
        <f>'3. Input (des)investeringen '!I171</f>
        <v>1</v>
      </c>
      <c r="M138" s="43">
        <f t="shared" si="49"/>
        <v>0</v>
      </c>
      <c r="N138" s="43">
        <f t="shared" si="50"/>
        <v>0</v>
      </c>
      <c r="P138" s="137">
        <f t="shared" si="52"/>
        <v>0</v>
      </c>
      <c r="Q138" s="137">
        <f t="shared" si="51"/>
        <v>0</v>
      </c>
      <c r="S138" s="43">
        <f t="shared" si="53"/>
        <v>84298220.607542247</v>
      </c>
      <c r="T138" s="38">
        <f t="shared" ref="T138:T158" si="73">IF($J138=0, 0, IF(H138&lt;2022,J138-2021+H138-0.5,J138))</f>
        <v>55</v>
      </c>
      <c r="V138" s="43">
        <f t="shared" si="70"/>
        <v>0</v>
      </c>
      <c r="W138" s="43">
        <f t="shared" si="70"/>
        <v>0</v>
      </c>
      <c r="X138" s="43">
        <f t="shared" si="70"/>
        <v>896626.52828022209</v>
      </c>
      <c r="Y138" s="43">
        <f t="shared" si="70"/>
        <v>1772060.0658920023</v>
      </c>
      <c r="Z138" s="43">
        <f t="shared" si="70"/>
        <v>1730175.0097891006</v>
      </c>
      <c r="AB138" s="43">
        <f t="shared" si="71"/>
        <v>0</v>
      </c>
      <c r="AC138" s="43">
        <f t="shared" si="71"/>
        <v>0</v>
      </c>
      <c r="AD138" s="43">
        <f t="shared" si="71"/>
        <v>76634.746006856585</v>
      </c>
      <c r="AE138" s="43">
        <f t="shared" si="71"/>
        <v>153269.49201371317</v>
      </c>
      <c r="AF138" s="43">
        <f t="shared" si="71"/>
        <v>153269.49201371317</v>
      </c>
      <c r="AH138" s="43">
        <f t="shared" ref="AH138:AH158" si="74">V138+AB138</f>
        <v>0</v>
      </c>
      <c r="AI138" s="43">
        <f t="shared" ref="AI138:AI158" si="75">W138+AC138</f>
        <v>0</v>
      </c>
      <c r="AJ138" s="43">
        <f t="shared" ref="AJ138:AJ158" si="76">X138+AD138</f>
        <v>973261.27428707865</v>
      </c>
      <c r="AK138" s="43">
        <f t="shared" ref="AK138:AK158" si="77">Y138+AE138</f>
        <v>1925329.5579057154</v>
      </c>
      <c r="AL138" s="43">
        <f t="shared" ref="AL138:AL158" si="78">Z138+AF138</f>
        <v>1883444.5018028137</v>
      </c>
      <c r="AN138" s="43">
        <f t="shared" si="60"/>
        <v>0</v>
      </c>
      <c r="AO138" s="43">
        <f t="shared" si="61"/>
        <v>0</v>
      </c>
      <c r="AP138" s="43">
        <f t="shared" si="62"/>
        <v>83324959.333255172</v>
      </c>
      <c r="AQ138" s="43">
        <f t="shared" si="63"/>
        <v>81399629.775349453</v>
      </c>
      <c r="AR138" s="43">
        <f t="shared" si="64"/>
        <v>79516185.273546636</v>
      </c>
      <c r="AT138" s="43">
        <f t="shared" si="72"/>
        <v>0</v>
      </c>
      <c r="AU138" s="43">
        <f t="shared" si="72"/>
        <v>0</v>
      </c>
      <c r="AV138" s="43">
        <f t="shared" si="72"/>
        <v>842982.20607542247</v>
      </c>
      <c r="AW138" s="43">
        <f t="shared" si="72"/>
        <v>863119.36501415225</v>
      </c>
      <c r="AX138" s="43">
        <f t="shared" si="72"/>
        <v>892334.2292811512</v>
      </c>
      <c r="AZ138" s="47">
        <f t="shared" ref="AZ138:AZ158" si="79">(AH138+AN138*J$16+AT138)*IF($K138=1,$F$25,1)</f>
        <v>0</v>
      </c>
      <c r="BA138" s="47">
        <f t="shared" ref="BA138:BA158" si="80">(AI138+AO138*K$16+AU138)*IF($K138=1,$F$25,1)</f>
        <v>0</v>
      </c>
      <c r="BB138" s="47">
        <f t="shared" ref="BB138:BB158" si="81">(AJ138+AP138*L$16+AV138)*IF($K138=1,$F$25,1)</f>
        <v>4982591.9350261968</v>
      </c>
      <c r="BC138" s="47">
        <f t="shared" ref="BC138:BC158" si="82">(AK138+AQ138*M$16+AW138)*IF($K138=1,$F$25,1)</f>
        <v>5881634.8543831473</v>
      </c>
      <c r="BD138" s="47">
        <f t="shared" ref="BD138:BD158" si="83">(AL138+AR138*N$16+AX138)*IF($K138=1,$F$25,1)</f>
        <v>5797393.7714787368</v>
      </c>
    </row>
    <row r="139" spans="2:56">
      <c r="B139" s="37">
        <f>'3. Input (des)investeringen '!B172</f>
        <v>1607</v>
      </c>
      <c r="C139" s="48"/>
      <c r="D139" s="48"/>
      <c r="E139" s="48"/>
      <c r="F139" s="42">
        <f>'3. Input (des)investeringen '!D172</f>
        <v>-32176.139947802236</v>
      </c>
      <c r="G139" s="48"/>
      <c r="H139" s="37">
        <f>'3. Input (des)investeringen '!F172</f>
        <v>2024</v>
      </c>
      <c r="I139" s="42" t="str">
        <f>'3. Input (des)investeringen '!G172</f>
        <v>nvt</v>
      </c>
      <c r="J139" s="42">
        <f>'3. Input (des)investeringen '!H172</f>
        <v>0</v>
      </c>
      <c r="K139" s="42">
        <f>'3. Input (des)investeringen '!I172</f>
        <v>0</v>
      </c>
      <c r="M139" s="43">
        <f t="shared" si="49"/>
        <v>0</v>
      </c>
      <c r="N139" s="43">
        <f t="shared" si="50"/>
        <v>0</v>
      </c>
      <c r="P139" s="137">
        <f t="shared" si="52"/>
        <v>0</v>
      </c>
      <c r="Q139" s="137">
        <f t="shared" si="51"/>
        <v>0</v>
      </c>
      <c r="S139" s="43">
        <f t="shared" si="53"/>
        <v>-32176.139947802236</v>
      </c>
      <c r="T139" s="38">
        <f t="shared" si="73"/>
        <v>0</v>
      </c>
      <c r="V139" s="43">
        <f t="shared" si="70"/>
        <v>0</v>
      </c>
      <c r="W139" s="43">
        <f t="shared" si="70"/>
        <v>0</v>
      </c>
      <c r="X139" s="43">
        <f t="shared" si="70"/>
        <v>0</v>
      </c>
      <c r="Y139" s="43">
        <f t="shared" si="70"/>
        <v>0</v>
      </c>
      <c r="Z139" s="43">
        <f t="shared" si="70"/>
        <v>0</v>
      </c>
      <c r="AB139" s="43">
        <f t="shared" si="71"/>
        <v>0</v>
      </c>
      <c r="AC139" s="43">
        <f t="shared" si="71"/>
        <v>0</v>
      </c>
      <c r="AD139" s="43">
        <f t="shared" si="71"/>
        <v>0</v>
      </c>
      <c r="AE139" s="43">
        <f t="shared" si="71"/>
        <v>0</v>
      </c>
      <c r="AF139" s="43">
        <f t="shared" si="71"/>
        <v>0</v>
      </c>
      <c r="AH139" s="43">
        <f t="shared" si="74"/>
        <v>0</v>
      </c>
      <c r="AI139" s="43">
        <f t="shared" si="75"/>
        <v>0</v>
      </c>
      <c r="AJ139" s="43">
        <f t="shared" si="76"/>
        <v>0</v>
      </c>
      <c r="AK139" s="43">
        <f t="shared" si="77"/>
        <v>0</v>
      </c>
      <c r="AL139" s="43">
        <f t="shared" si="78"/>
        <v>0</v>
      </c>
      <c r="AN139" s="43">
        <f t="shared" si="60"/>
        <v>0</v>
      </c>
      <c r="AO139" s="43">
        <f t="shared" si="61"/>
        <v>0</v>
      </c>
      <c r="AP139" s="43">
        <f t="shared" si="62"/>
        <v>-32176.139947802236</v>
      </c>
      <c r="AQ139" s="43">
        <f t="shared" si="63"/>
        <v>-32176.139947802236</v>
      </c>
      <c r="AR139" s="43">
        <f t="shared" si="64"/>
        <v>-32176.139947802236</v>
      </c>
      <c r="AT139" s="43">
        <f t="shared" si="72"/>
        <v>0</v>
      </c>
      <c r="AU139" s="43">
        <f t="shared" si="72"/>
        <v>0</v>
      </c>
      <c r="AV139" s="43">
        <f t="shared" si="72"/>
        <v>-321.76139947802238</v>
      </c>
      <c r="AW139" s="43">
        <f t="shared" si="72"/>
        <v>-329.44763578875342</v>
      </c>
      <c r="AX139" s="43">
        <f t="shared" si="72"/>
        <v>-340.59877936493103</v>
      </c>
      <c r="AZ139" s="47">
        <f t="shared" si="79"/>
        <v>0</v>
      </c>
      <c r="BA139" s="47">
        <f t="shared" si="80"/>
        <v>0</v>
      </c>
      <c r="BB139" s="47">
        <f t="shared" si="81"/>
        <v>-1544.4547174945073</v>
      </c>
      <c r="BC139" s="47">
        <f t="shared" si="82"/>
        <v>-1552.1409538052383</v>
      </c>
      <c r="BD139" s="47">
        <f t="shared" si="83"/>
        <v>-1563.2920973814159</v>
      </c>
    </row>
    <row r="140" spans="2:56">
      <c r="B140" s="37">
        <f>'3. Input (des)investeringen '!B173</f>
        <v>1608</v>
      </c>
      <c r="C140" s="48"/>
      <c r="D140" s="48"/>
      <c r="E140" s="48"/>
      <c r="F140" s="42">
        <f>'3. Input (des)investeringen '!D173</f>
        <v>453184.63628655189</v>
      </c>
      <c r="G140" s="48"/>
      <c r="H140" s="37">
        <f>'3. Input (des)investeringen '!F173</f>
        <v>2024</v>
      </c>
      <c r="I140" s="42" t="str">
        <f>'3. Input (des)investeringen '!G173</f>
        <v>nvt</v>
      </c>
      <c r="J140" s="42">
        <f>'3. Input (des)investeringen '!H173</f>
        <v>5</v>
      </c>
      <c r="K140" s="42">
        <f>'3. Input (des)investeringen '!I173</f>
        <v>0</v>
      </c>
      <c r="M140" s="43">
        <f t="shared" si="49"/>
        <v>0</v>
      </c>
      <c r="N140" s="43">
        <f t="shared" si="50"/>
        <v>0</v>
      </c>
      <c r="P140" s="137">
        <f t="shared" si="52"/>
        <v>0</v>
      </c>
      <c r="Q140" s="137">
        <f t="shared" si="51"/>
        <v>0</v>
      </c>
      <c r="S140" s="43">
        <f t="shared" si="53"/>
        <v>453184.63628655189</v>
      </c>
      <c r="T140" s="38">
        <f t="shared" si="73"/>
        <v>5</v>
      </c>
      <c r="V140" s="43">
        <f t="shared" si="70"/>
        <v>0</v>
      </c>
      <c r="W140" s="43">
        <f t="shared" si="70"/>
        <v>0</v>
      </c>
      <c r="X140" s="43">
        <f t="shared" si="70"/>
        <v>53022.602445526572</v>
      </c>
      <c r="Y140" s="43">
        <f t="shared" si="70"/>
        <v>92259.328255216242</v>
      </c>
      <c r="Z140" s="43">
        <f t="shared" si="70"/>
        <v>75024.069130615404</v>
      </c>
      <c r="AB140" s="43">
        <f t="shared" si="71"/>
        <v>0</v>
      </c>
      <c r="AC140" s="43">
        <f t="shared" si="71"/>
        <v>0</v>
      </c>
      <c r="AD140" s="43">
        <f t="shared" si="71"/>
        <v>4531.846362865519</v>
      </c>
      <c r="AE140" s="43">
        <f t="shared" si="71"/>
        <v>9063.6927257310381</v>
      </c>
      <c r="AF140" s="43">
        <f t="shared" si="71"/>
        <v>9063.6927257310381</v>
      </c>
      <c r="AH140" s="43">
        <f t="shared" si="74"/>
        <v>0</v>
      </c>
      <c r="AI140" s="43">
        <f t="shared" si="75"/>
        <v>0</v>
      </c>
      <c r="AJ140" s="43">
        <f t="shared" si="76"/>
        <v>57554.448808392088</v>
      </c>
      <c r="AK140" s="43">
        <f t="shared" si="77"/>
        <v>101323.02098094727</v>
      </c>
      <c r="AL140" s="43">
        <f t="shared" si="78"/>
        <v>84087.761856346449</v>
      </c>
      <c r="AN140" s="43">
        <f t="shared" si="60"/>
        <v>0</v>
      </c>
      <c r="AO140" s="43">
        <f t="shared" si="61"/>
        <v>0</v>
      </c>
      <c r="AP140" s="43">
        <f t="shared" si="62"/>
        <v>395630.18747815979</v>
      </c>
      <c r="AQ140" s="43">
        <f t="shared" si="63"/>
        <v>294307.16649721249</v>
      </c>
      <c r="AR140" s="43">
        <f t="shared" si="64"/>
        <v>210219.40464086604</v>
      </c>
      <c r="AT140" s="43">
        <f t="shared" si="72"/>
        <v>0</v>
      </c>
      <c r="AU140" s="43">
        <f t="shared" si="72"/>
        <v>0</v>
      </c>
      <c r="AV140" s="43">
        <f t="shared" si="72"/>
        <v>4531.846362865519</v>
      </c>
      <c r="AW140" s="43">
        <f t="shared" si="72"/>
        <v>4640.10310878165</v>
      </c>
      <c r="AX140" s="43">
        <f t="shared" si="72"/>
        <v>4797.1613188076926</v>
      </c>
      <c r="AZ140" s="47">
        <f t="shared" si="79"/>
        <v>0</v>
      </c>
      <c r="BA140" s="47">
        <f t="shared" si="80"/>
        <v>0</v>
      </c>
      <c r="BB140" s="47">
        <f t="shared" si="81"/>
        <v>77120.24229542767</v>
      </c>
      <c r="BC140" s="47">
        <f t="shared" si="82"/>
        <v>117146.79641662299</v>
      </c>
      <c r="BD140" s="47">
        <f t="shared" si="83"/>
        <v>96873.260551507046</v>
      </c>
    </row>
    <row r="141" spans="2:56">
      <c r="B141" s="37">
        <f>'3. Input (des)investeringen '!B174</f>
        <v>1609</v>
      </c>
      <c r="C141" s="48"/>
      <c r="D141" s="48"/>
      <c r="E141" s="48"/>
      <c r="F141" s="42">
        <f>'3. Input (des)investeringen '!D174</f>
        <v>1625152.505858528</v>
      </c>
      <c r="G141" s="48"/>
      <c r="H141" s="37">
        <f>'3. Input (des)investeringen '!F174</f>
        <v>2024</v>
      </c>
      <c r="I141" s="42" t="str">
        <f>'3. Input (des)investeringen '!G174</f>
        <v>nvt</v>
      </c>
      <c r="J141" s="42">
        <f>'3. Input (des)investeringen '!H174</f>
        <v>10</v>
      </c>
      <c r="K141" s="42">
        <f>'3. Input (des)investeringen '!I174</f>
        <v>0</v>
      </c>
      <c r="M141" s="43">
        <f t="shared" si="49"/>
        <v>0</v>
      </c>
      <c r="N141" s="43">
        <f t="shared" si="50"/>
        <v>0</v>
      </c>
      <c r="P141" s="137">
        <f t="shared" si="52"/>
        <v>0</v>
      </c>
      <c r="Q141" s="137">
        <f t="shared" si="51"/>
        <v>0</v>
      </c>
      <c r="S141" s="43">
        <f t="shared" si="53"/>
        <v>1625152.505858528</v>
      </c>
      <c r="T141" s="38">
        <f t="shared" si="73"/>
        <v>10</v>
      </c>
      <c r="V141" s="43">
        <f t="shared" ref="V141:Z150" si="84">IF($J141=0, 0, IF(OR($H141&gt;V$59,$H141+$J141&lt;V$59),0,
IF(OR($H141=2020,$H141=2021),VDB($S141*(1-$F$28),0,$T141,V$59-2022,MIN($T141,V$59-2021),$F$22,FALSE),
VDB($S141*(1-$F$28),0,$T141,MAX(0,V$59-$H141-0.5),MIN($T141,V$59-$H141+0.5),$F$22,FALSE))))</f>
        <v>0</v>
      </c>
      <c r="W141" s="43">
        <f t="shared" si="84"/>
        <v>0</v>
      </c>
      <c r="X141" s="43">
        <f t="shared" si="84"/>
        <v>95071.421592723898</v>
      </c>
      <c r="Y141" s="43">
        <f t="shared" si="84"/>
        <v>177783.5583783937</v>
      </c>
      <c r="Z141" s="43">
        <f t="shared" si="84"/>
        <v>154671.69578920252</v>
      </c>
      <c r="AB141" s="43">
        <f t="shared" ref="AB141:AF150" si="85">IF($J141=0, 0, IF(OR($H141&gt;AB$59,$H141+$J141&lt;AB$59),0,
IF(OR($H141=2020,$H141=2021),VDB($S141*$F$28,0,$T141,AB$59-2022,MIN($T141,AB$59-2021),1),
VDB($S141*$F$28,0,$T141,MAX(0,AB$59-$H141-0.5),MIN($T141,AB$59-$H141+0.5),1))))</f>
        <v>0</v>
      </c>
      <c r="AC141" s="43">
        <f t="shared" si="85"/>
        <v>0</v>
      </c>
      <c r="AD141" s="43">
        <f t="shared" si="85"/>
        <v>8125.7625292926405</v>
      </c>
      <c r="AE141" s="43">
        <f t="shared" si="85"/>
        <v>16251.525058585281</v>
      </c>
      <c r="AF141" s="43">
        <f t="shared" si="85"/>
        <v>16251.525058585281</v>
      </c>
      <c r="AH141" s="43">
        <f t="shared" si="74"/>
        <v>0</v>
      </c>
      <c r="AI141" s="43">
        <f t="shared" si="75"/>
        <v>0</v>
      </c>
      <c r="AJ141" s="43">
        <f t="shared" si="76"/>
        <v>103197.18412201654</v>
      </c>
      <c r="AK141" s="43">
        <f t="shared" si="77"/>
        <v>194035.08343697898</v>
      </c>
      <c r="AL141" s="43">
        <f t="shared" si="78"/>
        <v>170923.2208477878</v>
      </c>
      <c r="AN141" s="43">
        <f t="shared" si="60"/>
        <v>0</v>
      </c>
      <c r="AO141" s="43">
        <f t="shared" si="61"/>
        <v>0</v>
      </c>
      <c r="AP141" s="43">
        <f t="shared" si="62"/>
        <v>1521955.3217365113</v>
      </c>
      <c r="AQ141" s="43">
        <f t="shared" si="63"/>
        <v>1327920.2382995323</v>
      </c>
      <c r="AR141" s="43">
        <f t="shared" si="64"/>
        <v>1156997.0174517445</v>
      </c>
      <c r="AT141" s="43">
        <f t="shared" ref="AT141:AX150" si="86">IF($H141&lt;=AT$59,$F141*INDEX($H$40:$N$46,$H141-2019,AT$59-2019)*INDEX($H$49:$N$55,$H141-2019,AT$59-2019)*$F$19,0)</f>
        <v>0</v>
      </c>
      <c r="AU141" s="43">
        <f t="shared" si="86"/>
        <v>0</v>
      </c>
      <c r="AV141" s="43">
        <f t="shared" si="86"/>
        <v>16251.525058585279</v>
      </c>
      <c r="AW141" s="43">
        <f t="shared" si="86"/>
        <v>16639.741489184766</v>
      </c>
      <c r="AX141" s="43">
        <f t="shared" si="86"/>
        <v>17202.963459110695</v>
      </c>
      <c r="AZ141" s="47">
        <f t="shared" si="79"/>
        <v>0</v>
      </c>
      <c r="BA141" s="47">
        <f t="shared" si="80"/>
        <v>0</v>
      </c>
      <c r="BB141" s="47">
        <f t="shared" si="81"/>
        <v>177283.01140658924</v>
      </c>
      <c r="BC141" s="47">
        <f t="shared" si="82"/>
        <v>261135.79398154598</v>
      </c>
      <c r="BD141" s="47">
        <f t="shared" si="83"/>
        <v>232092.07097006479</v>
      </c>
    </row>
    <row r="142" spans="2:56">
      <c r="B142" s="37">
        <f>'3. Input (des)investeringen '!B175</f>
        <v>1610</v>
      </c>
      <c r="C142" s="48"/>
      <c r="D142" s="48"/>
      <c r="E142" s="48"/>
      <c r="F142" s="42">
        <f>'3. Input (des)investeringen '!D175</f>
        <v>4883791.4333008695</v>
      </c>
      <c r="G142" s="48"/>
      <c r="H142" s="37">
        <f>'3. Input (des)investeringen '!F175</f>
        <v>2024</v>
      </c>
      <c r="I142" s="42" t="str">
        <f>'3. Input (des)investeringen '!G175</f>
        <v>nvt</v>
      </c>
      <c r="J142" s="42">
        <f>'3. Input (des)investeringen '!H175</f>
        <v>15</v>
      </c>
      <c r="K142" s="42">
        <f>'3. Input (des)investeringen '!I175</f>
        <v>0</v>
      </c>
      <c r="M142" s="43">
        <f t="shared" si="49"/>
        <v>0</v>
      </c>
      <c r="N142" s="43">
        <f t="shared" si="50"/>
        <v>0</v>
      </c>
      <c r="P142" s="137">
        <f t="shared" si="52"/>
        <v>0</v>
      </c>
      <c r="Q142" s="137">
        <f t="shared" si="51"/>
        <v>0</v>
      </c>
      <c r="S142" s="43">
        <f t="shared" si="53"/>
        <v>4883791.4333008695</v>
      </c>
      <c r="T142" s="38">
        <f t="shared" si="73"/>
        <v>15</v>
      </c>
      <c r="V142" s="43">
        <f t="shared" si="84"/>
        <v>0</v>
      </c>
      <c r="W142" s="43">
        <f t="shared" si="84"/>
        <v>0</v>
      </c>
      <c r="X142" s="43">
        <f t="shared" si="84"/>
        <v>190467.86589873393</v>
      </c>
      <c r="Y142" s="43">
        <f t="shared" si="84"/>
        <v>364428.51675291092</v>
      </c>
      <c r="Z142" s="43">
        <f t="shared" si="84"/>
        <v>332844.7119676586</v>
      </c>
      <c r="AB142" s="43">
        <f t="shared" si="85"/>
        <v>0</v>
      </c>
      <c r="AC142" s="43">
        <f t="shared" si="85"/>
        <v>0</v>
      </c>
      <c r="AD142" s="43">
        <f t="shared" si="85"/>
        <v>16279.304777669566</v>
      </c>
      <c r="AE142" s="43">
        <f t="shared" si="85"/>
        <v>32558.609555339131</v>
      </c>
      <c r="AF142" s="43">
        <f t="shared" si="85"/>
        <v>32558.609555339131</v>
      </c>
      <c r="AH142" s="43">
        <f t="shared" si="74"/>
        <v>0</v>
      </c>
      <c r="AI142" s="43">
        <f t="shared" si="75"/>
        <v>0</v>
      </c>
      <c r="AJ142" s="43">
        <f t="shared" si="76"/>
        <v>206747.1706764035</v>
      </c>
      <c r="AK142" s="43">
        <f t="shared" si="77"/>
        <v>396987.12630825007</v>
      </c>
      <c r="AL142" s="43">
        <f t="shared" si="78"/>
        <v>365403.32152299775</v>
      </c>
      <c r="AN142" s="43">
        <f t="shared" si="60"/>
        <v>0</v>
      </c>
      <c r="AO142" s="43">
        <f t="shared" si="61"/>
        <v>0</v>
      </c>
      <c r="AP142" s="43">
        <f t="shared" si="62"/>
        <v>4677044.2626244659</v>
      </c>
      <c r="AQ142" s="43">
        <f t="shared" si="63"/>
        <v>4280057.1363162156</v>
      </c>
      <c r="AR142" s="43">
        <f t="shared" si="64"/>
        <v>3914653.8147932179</v>
      </c>
      <c r="AT142" s="43">
        <f t="shared" si="86"/>
        <v>0</v>
      </c>
      <c r="AU142" s="43">
        <f t="shared" si="86"/>
        <v>0</v>
      </c>
      <c r="AV142" s="43">
        <f t="shared" si="86"/>
        <v>48837.914333008695</v>
      </c>
      <c r="AW142" s="43">
        <f t="shared" si="86"/>
        <v>50004.554430595606</v>
      </c>
      <c r="AX142" s="43">
        <f t="shared" si="86"/>
        <v>51697.108588962416</v>
      </c>
      <c r="AZ142" s="47">
        <f t="shared" si="79"/>
        <v>0</v>
      </c>
      <c r="BA142" s="47">
        <f t="shared" si="80"/>
        <v>0</v>
      </c>
      <c r="BB142" s="47">
        <f t="shared" si="81"/>
        <v>433312.76698914194</v>
      </c>
      <c r="BC142" s="47">
        <f t="shared" si="82"/>
        <v>609633.85191886185</v>
      </c>
      <c r="BD142" s="47">
        <f t="shared" si="83"/>
        <v>565857.27507410245</v>
      </c>
    </row>
    <row r="143" spans="2:56">
      <c r="B143" s="37">
        <f>'3. Input (des)investeringen '!B176</f>
        <v>1611</v>
      </c>
      <c r="C143" s="48"/>
      <c r="D143" s="48"/>
      <c r="E143" s="48"/>
      <c r="F143" s="42">
        <f>'3. Input (des)investeringen '!D176</f>
        <v>27700057.310498618</v>
      </c>
      <c r="G143" s="48"/>
      <c r="H143" s="37">
        <f>'3. Input (des)investeringen '!F176</f>
        <v>2024</v>
      </c>
      <c r="I143" s="42" t="str">
        <f>'3. Input (des)investeringen '!G176</f>
        <v>nvt</v>
      </c>
      <c r="J143" s="42">
        <f>'3. Input (des)investeringen '!H176</f>
        <v>30</v>
      </c>
      <c r="K143" s="42">
        <f>'3. Input (des)investeringen '!I176</f>
        <v>0</v>
      </c>
      <c r="M143" s="43">
        <f t="shared" si="49"/>
        <v>0</v>
      </c>
      <c r="N143" s="43">
        <f t="shared" si="50"/>
        <v>0</v>
      </c>
      <c r="P143" s="137">
        <f t="shared" si="52"/>
        <v>0</v>
      </c>
      <c r="Q143" s="137">
        <f t="shared" si="51"/>
        <v>0</v>
      </c>
      <c r="S143" s="43">
        <f t="shared" si="53"/>
        <v>27700057.310498618</v>
      </c>
      <c r="T143" s="38">
        <f t="shared" si="73"/>
        <v>30</v>
      </c>
      <c r="V143" s="43">
        <f t="shared" si="84"/>
        <v>0</v>
      </c>
      <c r="W143" s="43">
        <f t="shared" si="84"/>
        <v>0</v>
      </c>
      <c r="X143" s="43">
        <f t="shared" si="84"/>
        <v>540151.11755472305</v>
      </c>
      <c r="Y143" s="43">
        <f t="shared" si="84"/>
        <v>1056895.6866820748</v>
      </c>
      <c r="Z143" s="43">
        <f t="shared" si="84"/>
        <v>1011096.8735925182</v>
      </c>
      <c r="AB143" s="43">
        <f t="shared" si="85"/>
        <v>0</v>
      </c>
      <c r="AC143" s="43">
        <f t="shared" si="85"/>
        <v>0</v>
      </c>
      <c r="AD143" s="43">
        <f t="shared" si="85"/>
        <v>46166.762184164363</v>
      </c>
      <c r="AE143" s="43">
        <f t="shared" si="85"/>
        <v>92333.524368328726</v>
      </c>
      <c r="AF143" s="43">
        <f t="shared" si="85"/>
        <v>92333.524368328726</v>
      </c>
      <c r="AH143" s="43">
        <f t="shared" si="74"/>
        <v>0</v>
      </c>
      <c r="AI143" s="43">
        <f t="shared" si="75"/>
        <v>0</v>
      </c>
      <c r="AJ143" s="43">
        <f t="shared" si="76"/>
        <v>586317.87973888742</v>
      </c>
      <c r="AK143" s="43">
        <f t="shared" si="77"/>
        <v>1149229.2110504035</v>
      </c>
      <c r="AL143" s="43">
        <f t="shared" si="78"/>
        <v>1103430.3979608468</v>
      </c>
      <c r="AN143" s="43">
        <f t="shared" si="60"/>
        <v>0</v>
      </c>
      <c r="AO143" s="43">
        <f t="shared" si="61"/>
        <v>0</v>
      </c>
      <c r="AP143" s="43">
        <f t="shared" si="62"/>
        <v>27113739.430759732</v>
      </c>
      <c r="AQ143" s="43">
        <f t="shared" si="63"/>
        <v>25964510.219709329</v>
      </c>
      <c r="AR143" s="43">
        <f t="shared" si="64"/>
        <v>24861079.821748484</v>
      </c>
      <c r="AT143" s="43">
        <f t="shared" si="86"/>
        <v>0</v>
      </c>
      <c r="AU143" s="43">
        <f t="shared" si="86"/>
        <v>0</v>
      </c>
      <c r="AV143" s="43">
        <f t="shared" si="86"/>
        <v>277000.57310498616</v>
      </c>
      <c r="AW143" s="43">
        <f t="shared" si="86"/>
        <v>283617.56279531808</v>
      </c>
      <c r="AX143" s="43">
        <f t="shared" si="86"/>
        <v>293217.45006081404</v>
      </c>
      <c r="AZ143" s="47">
        <f t="shared" si="79"/>
        <v>0</v>
      </c>
      <c r="BA143" s="47">
        <f t="shared" si="80"/>
        <v>0</v>
      </c>
      <c r="BB143" s="47">
        <f t="shared" si="81"/>
        <v>1893640.5512127434</v>
      </c>
      <c r="BC143" s="47">
        <f t="shared" si="82"/>
        <v>2419498.1621946762</v>
      </c>
      <c r="BD143" s="47">
        <f t="shared" si="83"/>
        <v>2341368.8812481035</v>
      </c>
    </row>
    <row r="144" spans="2:56">
      <c r="B144" s="37">
        <f>'3. Input (des)investeringen '!B177</f>
        <v>1612</v>
      </c>
      <c r="C144" s="48"/>
      <c r="D144" s="48"/>
      <c r="E144" s="48"/>
      <c r="F144" s="42">
        <f>'3. Input (des)investeringen '!D177</f>
        <v>39130.263467803168</v>
      </c>
      <c r="G144" s="48"/>
      <c r="H144" s="37">
        <f>'3. Input (des)investeringen '!F177</f>
        <v>2024</v>
      </c>
      <c r="I144" s="42" t="str">
        <f>'3. Input (des)investeringen '!G177</f>
        <v>nvt</v>
      </c>
      <c r="J144" s="42">
        <f>'3. Input (des)investeringen '!H177</f>
        <v>55</v>
      </c>
      <c r="K144" s="42">
        <f>'3. Input (des)investeringen '!I177</f>
        <v>0</v>
      </c>
      <c r="M144" s="43">
        <f t="shared" si="49"/>
        <v>0</v>
      </c>
      <c r="N144" s="43">
        <f t="shared" si="50"/>
        <v>0</v>
      </c>
      <c r="P144" s="137">
        <f t="shared" si="52"/>
        <v>0</v>
      </c>
      <c r="Q144" s="137">
        <f t="shared" si="51"/>
        <v>0</v>
      </c>
      <c r="S144" s="43">
        <f t="shared" si="53"/>
        <v>39130.263467803168</v>
      </c>
      <c r="T144" s="38">
        <f t="shared" si="73"/>
        <v>55</v>
      </c>
      <c r="V144" s="43">
        <f t="shared" si="84"/>
        <v>0</v>
      </c>
      <c r="W144" s="43">
        <f t="shared" si="84"/>
        <v>0</v>
      </c>
      <c r="X144" s="43">
        <f t="shared" si="84"/>
        <v>416.20371143027006</v>
      </c>
      <c r="Y144" s="43">
        <f t="shared" si="84"/>
        <v>822.56988059037008</v>
      </c>
      <c r="Z144" s="43">
        <f t="shared" si="84"/>
        <v>803.1273197764159</v>
      </c>
      <c r="AB144" s="43">
        <f t="shared" si="85"/>
        <v>0</v>
      </c>
      <c r="AC144" s="43">
        <f t="shared" si="85"/>
        <v>0</v>
      </c>
      <c r="AD144" s="43">
        <f t="shared" si="85"/>
        <v>35.57296678891197</v>
      </c>
      <c r="AE144" s="43">
        <f t="shared" si="85"/>
        <v>71.145933577823953</v>
      </c>
      <c r="AF144" s="43">
        <f t="shared" si="85"/>
        <v>71.145933577823953</v>
      </c>
      <c r="AH144" s="43">
        <f t="shared" si="74"/>
        <v>0</v>
      </c>
      <c r="AI144" s="43">
        <f t="shared" si="75"/>
        <v>0</v>
      </c>
      <c r="AJ144" s="43">
        <f t="shared" si="76"/>
        <v>451.77667821918203</v>
      </c>
      <c r="AK144" s="43">
        <f t="shared" si="77"/>
        <v>893.71581416819402</v>
      </c>
      <c r="AL144" s="43">
        <f t="shared" si="78"/>
        <v>874.27325335423984</v>
      </c>
      <c r="AN144" s="43">
        <f t="shared" si="60"/>
        <v>0</v>
      </c>
      <c r="AO144" s="43">
        <f t="shared" si="61"/>
        <v>0</v>
      </c>
      <c r="AP144" s="43">
        <f t="shared" si="62"/>
        <v>38678.486789583985</v>
      </c>
      <c r="AQ144" s="43">
        <f t="shared" si="63"/>
        <v>37784.770975415791</v>
      </c>
      <c r="AR144" s="43">
        <f t="shared" si="64"/>
        <v>36910.497722061555</v>
      </c>
      <c r="AT144" s="43">
        <f t="shared" si="86"/>
        <v>0</v>
      </c>
      <c r="AU144" s="43">
        <f t="shared" si="86"/>
        <v>0</v>
      </c>
      <c r="AV144" s="43">
        <f t="shared" si="86"/>
        <v>391.30263467803167</v>
      </c>
      <c r="AW144" s="43">
        <f t="shared" si="86"/>
        <v>400.65007201522053</v>
      </c>
      <c r="AX144" s="43">
        <f t="shared" si="86"/>
        <v>414.2112756527917</v>
      </c>
      <c r="AZ144" s="47">
        <f t="shared" si="79"/>
        <v>0</v>
      </c>
      <c r="BA144" s="47">
        <f t="shared" si="80"/>
        <v>0</v>
      </c>
      <c r="BB144" s="47">
        <f t="shared" si="81"/>
        <v>2312.8618109014051</v>
      </c>
      <c r="BC144" s="47">
        <f t="shared" si="82"/>
        <v>2730.1871832492143</v>
      </c>
      <c r="BD144" s="47">
        <f t="shared" si="83"/>
        <v>2691.0834424453706</v>
      </c>
    </row>
    <row r="145" spans="2:56">
      <c r="B145" s="37">
        <f>'3. Input (des)investeringen '!B178</f>
        <v>1613</v>
      </c>
      <c r="C145" s="48"/>
      <c r="D145" s="48"/>
      <c r="E145" s="48"/>
      <c r="F145" s="42">
        <f>'3. Input (des)investeringen '!D178</f>
        <v>0</v>
      </c>
      <c r="G145" s="48"/>
      <c r="H145" s="37">
        <f>'3. Input (des)investeringen '!F178</f>
        <v>2024</v>
      </c>
      <c r="I145" s="42" t="str">
        <f>'3. Input (des)investeringen '!G178</f>
        <v>nvt</v>
      </c>
      <c r="J145" s="42">
        <f>'3. Input (des)investeringen '!H178</f>
        <v>0</v>
      </c>
      <c r="K145" s="42">
        <f>'3. Input (des)investeringen '!I178</f>
        <v>0</v>
      </c>
      <c r="M145" s="43">
        <f t="shared" si="49"/>
        <v>0</v>
      </c>
      <c r="N145" s="43">
        <f t="shared" si="50"/>
        <v>0</v>
      </c>
      <c r="P145" s="137">
        <f t="shared" si="52"/>
        <v>0</v>
      </c>
      <c r="Q145" s="137">
        <f t="shared" si="51"/>
        <v>0</v>
      </c>
      <c r="S145" s="43">
        <f t="shared" si="53"/>
        <v>0</v>
      </c>
      <c r="T145" s="38">
        <f t="shared" si="73"/>
        <v>0</v>
      </c>
      <c r="V145" s="43">
        <f t="shared" si="84"/>
        <v>0</v>
      </c>
      <c r="W145" s="43">
        <f t="shared" si="84"/>
        <v>0</v>
      </c>
      <c r="X145" s="43">
        <f t="shared" si="84"/>
        <v>0</v>
      </c>
      <c r="Y145" s="43">
        <f t="shared" si="84"/>
        <v>0</v>
      </c>
      <c r="Z145" s="43">
        <f t="shared" si="84"/>
        <v>0</v>
      </c>
      <c r="AB145" s="43">
        <f t="shared" si="85"/>
        <v>0</v>
      </c>
      <c r="AC145" s="43">
        <f t="shared" si="85"/>
        <v>0</v>
      </c>
      <c r="AD145" s="43">
        <f t="shared" si="85"/>
        <v>0</v>
      </c>
      <c r="AE145" s="43">
        <f t="shared" si="85"/>
        <v>0</v>
      </c>
      <c r="AF145" s="43">
        <f t="shared" si="85"/>
        <v>0</v>
      </c>
      <c r="AH145" s="43">
        <f t="shared" si="74"/>
        <v>0</v>
      </c>
      <c r="AI145" s="43">
        <f t="shared" si="75"/>
        <v>0</v>
      </c>
      <c r="AJ145" s="43">
        <f t="shared" si="76"/>
        <v>0</v>
      </c>
      <c r="AK145" s="43">
        <f t="shared" si="77"/>
        <v>0</v>
      </c>
      <c r="AL145" s="43">
        <f t="shared" si="78"/>
        <v>0</v>
      </c>
      <c r="AN145" s="43">
        <f t="shared" si="60"/>
        <v>0</v>
      </c>
      <c r="AO145" s="43">
        <f t="shared" si="61"/>
        <v>0</v>
      </c>
      <c r="AP145" s="43">
        <f t="shared" si="62"/>
        <v>0</v>
      </c>
      <c r="AQ145" s="43">
        <f t="shared" si="63"/>
        <v>0</v>
      </c>
      <c r="AR145" s="43">
        <f t="shared" si="64"/>
        <v>0</v>
      </c>
      <c r="AT145" s="43">
        <f t="shared" si="86"/>
        <v>0</v>
      </c>
      <c r="AU145" s="43">
        <f t="shared" si="86"/>
        <v>0</v>
      </c>
      <c r="AV145" s="43">
        <f t="shared" si="86"/>
        <v>0</v>
      </c>
      <c r="AW145" s="43">
        <f t="shared" si="86"/>
        <v>0</v>
      </c>
      <c r="AX145" s="43">
        <f t="shared" si="86"/>
        <v>0</v>
      </c>
      <c r="AZ145" s="47">
        <f t="shared" si="79"/>
        <v>0</v>
      </c>
      <c r="BA145" s="47">
        <f t="shared" si="80"/>
        <v>0</v>
      </c>
      <c r="BB145" s="47">
        <f t="shared" si="81"/>
        <v>0</v>
      </c>
      <c r="BC145" s="47">
        <f t="shared" si="82"/>
        <v>0</v>
      </c>
      <c r="BD145" s="47">
        <f t="shared" si="83"/>
        <v>0</v>
      </c>
    </row>
    <row r="146" spans="2:56">
      <c r="B146" s="37">
        <f>'3. Input (des)investeringen '!B179</f>
        <v>1614</v>
      </c>
      <c r="C146" s="48"/>
      <c r="D146" s="48"/>
      <c r="E146" s="48"/>
      <c r="F146" s="42">
        <f>'3. Input (des)investeringen '!D179</f>
        <v>651273.34409009432</v>
      </c>
      <c r="G146" s="48"/>
      <c r="H146" s="37">
        <f>'3. Input (des)investeringen '!F179</f>
        <v>2024</v>
      </c>
      <c r="I146" s="42" t="str">
        <f>'3. Input (des)investeringen '!G179</f>
        <v>nvt</v>
      </c>
      <c r="J146" s="42">
        <f>'3. Input (des)investeringen '!H179</f>
        <v>5</v>
      </c>
      <c r="K146" s="42">
        <f>'3. Input (des)investeringen '!I179</f>
        <v>0</v>
      </c>
      <c r="M146" s="43">
        <f t="shared" si="49"/>
        <v>0</v>
      </c>
      <c r="N146" s="43">
        <f t="shared" si="50"/>
        <v>0</v>
      </c>
      <c r="P146" s="137">
        <f t="shared" si="52"/>
        <v>0</v>
      </c>
      <c r="Q146" s="137">
        <f t="shared" si="51"/>
        <v>0</v>
      </c>
      <c r="S146" s="43">
        <f t="shared" si="53"/>
        <v>651273.34409009432</v>
      </c>
      <c r="T146" s="38">
        <f t="shared" si="73"/>
        <v>5</v>
      </c>
      <c r="V146" s="43">
        <f t="shared" si="84"/>
        <v>0</v>
      </c>
      <c r="W146" s="43">
        <f t="shared" si="84"/>
        <v>0</v>
      </c>
      <c r="X146" s="43">
        <f t="shared" si="84"/>
        <v>76198.98125854104</v>
      </c>
      <c r="Y146" s="43">
        <f t="shared" si="84"/>
        <v>132586.22738986139</v>
      </c>
      <c r="Z146" s="43">
        <f t="shared" si="84"/>
        <v>107817.37172362355</v>
      </c>
      <c r="AB146" s="43">
        <f t="shared" si="85"/>
        <v>0</v>
      </c>
      <c r="AC146" s="43">
        <f t="shared" si="85"/>
        <v>0</v>
      </c>
      <c r="AD146" s="43">
        <f t="shared" si="85"/>
        <v>6512.7334409009436</v>
      </c>
      <c r="AE146" s="43">
        <f t="shared" si="85"/>
        <v>13025.466881801887</v>
      </c>
      <c r="AF146" s="43">
        <f t="shared" si="85"/>
        <v>13025.466881801887</v>
      </c>
      <c r="AH146" s="43">
        <f t="shared" si="74"/>
        <v>0</v>
      </c>
      <c r="AI146" s="43">
        <f t="shared" si="75"/>
        <v>0</v>
      </c>
      <c r="AJ146" s="43">
        <f t="shared" si="76"/>
        <v>82711.714699441989</v>
      </c>
      <c r="AK146" s="43">
        <f t="shared" si="77"/>
        <v>145611.69427166329</v>
      </c>
      <c r="AL146" s="43">
        <f t="shared" si="78"/>
        <v>120842.83860542544</v>
      </c>
      <c r="AN146" s="43">
        <f t="shared" si="60"/>
        <v>0</v>
      </c>
      <c r="AO146" s="43">
        <f t="shared" si="61"/>
        <v>0</v>
      </c>
      <c r="AP146" s="43">
        <f t="shared" si="62"/>
        <v>568561.62939065229</v>
      </c>
      <c r="AQ146" s="43">
        <f t="shared" si="63"/>
        <v>422949.93511898897</v>
      </c>
      <c r="AR146" s="43">
        <f t="shared" si="64"/>
        <v>302107.09651356353</v>
      </c>
      <c r="AT146" s="43">
        <f t="shared" si="86"/>
        <v>0</v>
      </c>
      <c r="AU146" s="43">
        <f t="shared" si="86"/>
        <v>0</v>
      </c>
      <c r="AV146" s="43">
        <f t="shared" si="86"/>
        <v>6512.7334409009436</v>
      </c>
      <c r="AW146" s="43">
        <f t="shared" si="86"/>
        <v>6668.309617337185</v>
      </c>
      <c r="AX146" s="43">
        <f t="shared" si="86"/>
        <v>6894.0185612648147</v>
      </c>
      <c r="AZ146" s="47">
        <f t="shared" si="79"/>
        <v>0</v>
      </c>
      <c r="BA146" s="47">
        <f t="shared" si="80"/>
        <v>0</v>
      </c>
      <c r="BB146" s="47">
        <f t="shared" si="81"/>
        <v>110829.79005718773</v>
      </c>
      <c r="BC146" s="47">
        <f t="shared" si="82"/>
        <v>168352.10142352205</v>
      </c>
      <c r="BD146" s="47">
        <f t="shared" si="83"/>
        <v>139216.92683420566</v>
      </c>
    </row>
    <row r="147" spans="2:56">
      <c r="B147" s="37">
        <f>'3. Input (des)investeringen '!B180</f>
        <v>1615</v>
      </c>
      <c r="C147" s="48"/>
      <c r="D147" s="48"/>
      <c r="E147" s="48"/>
      <c r="F147" s="42">
        <f>'3. Input (des)investeringen '!D180</f>
        <v>4821081.9099292308</v>
      </c>
      <c r="G147" s="48"/>
      <c r="H147" s="37">
        <f>'3. Input (des)investeringen '!F180</f>
        <v>2024</v>
      </c>
      <c r="I147" s="42" t="str">
        <f>'3. Input (des)investeringen '!G180</f>
        <v>nvt</v>
      </c>
      <c r="J147" s="42">
        <f>'3. Input (des)investeringen '!H180</f>
        <v>10</v>
      </c>
      <c r="K147" s="42">
        <f>'3. Input (des)investeringen '!I180</f>
        <v>0</v>
      </c>
      <c r="M147" s="43">
        <f t="shared" si="49"/>
        <v>0</v>
      </c>
      <c r="N147" s="43">
        <f t="shared" si="50"/>
        <v>0</v>
      </c>
      <c r="P147" s="137">
        <f t="shared" si="52"/>
        <v>0</v>
      </c>
      <c r="Q147" s="137">
        <f t="shared" si="51"/>
        <v>0</v>
      </c>
      <c r="S147" s="43">
        <f t="shared" si="53"/>
        <v>4821081.9099292308</v>
      </c>
      <c r="T147" s="38">
        <f t="shared" si="73"/>
        <v>10</v>
      </c>
      <c r="V147" s="43">
        <f t="shared" si="84"/>
        <v>0</v>
      </c>
      <c r="W147" s="43">
        <f t="shared" si="84"/>
        <v>0</v>
      </c>
      <c r="X147" s="43">
        <f t="shared" si="84"/>
        <v>282033.29173086007</v>
      </c>
      <c r="Y147" s="43">
        <f t="shared" si="84"/>
        <v>527402.25553670828</v>
      </c>
      <c r="Z147" s="43">
        <f t="shared" si="84"/>
        <v>458839.96231693623</v>
      </c>
      <c r="AB147" s="43">
        <f t="shared" si="85"/>
        <v>0</v>
      </c>
      <c r="AC147" s="43">
        <f t="shared" si="85"/>
        <v>0</v>
      </c>
      <c r="AD147" s="43">
        <f t="shared" si="85"/>
        <v>24105.409549646156</v>
      </c>
      <c r="AE147" s="43">
        <f t="shared" si="85"/>
        <v>48210.819099292312</v>
      </c>
      <c r="AF147" s="43">
        <f t="shared" si="85"/>
        <v>48210.819099292312</v>
      </c>
      <c r="AH147" s="43">
        <f t="shared" si="74"/>
        <v>0</v>
      </c>
      <c r="AI147" s="43">
        <f t="shared" si="75"/>
        <v>0</v>
      </c>
      <c r="AJ147" s="43">
        <f t="shared" si="76"/>
        <v>306138.70128050621</v>
      </c>
      <c r="AK147" s="43">
        <f t="shared" si="77"/>
        <v>575613.07463600056</v>
      </c>
      <c r="AL147" s="43">
        <f t="shared" si="78"/>
        <v>507050.78141622856</v>
      </c>
      <c r="AN147" s="43">
        <f t="shared" si="60"/>
        <v>0</v>
      </c>
      <c r="AO147" s="43">
        <f t="shared" si="61"/>
        <v>0</v>
      </c>
      <c r="AP147" s="43">
        <f t="shared" si="62"/>
        <v>4514943.2086487245</v>
      </c>
      <c r="AQ147" s="43">
        <f t="shared" si="63"/>
        <v>3939330.1340127238</v>
      </c>
      <c r="AR147" s="43">
        <f t="shared" si="64"/>
        <v>3432279.3525964953</v>
      </c>
      <c r="AT147" s="43">
        <f t="shared" si="86"/>
        <v>0</v>
      </c>
      <c r="AU147" s="43">
        <f t="shared" si="86"/>
        <v>0</v>
      </c>
      <c r="AV147" s="43">
        <f t="shared" si="86"/>
        <v>48210.819099292312</v>
      </c>
      <c r="AW147" s="43">
        <f t="shared" si="86"/>
        <v>49362.479145936202</v>
      </c>
      <c r="AX147" s="43">
        <f t="shared" si="86"/>
        <v>51033.30034006785</v>
      </c>
      <c r="AZ147" s="47">
        <f t="shared" si="79"/>
        <v>0</v>
      </c>
      <c r="BA147" s="47">
        <f t="shared" si="80"/>
        <v>0</v>
      </c>
      <c r="BB147" s="47">
        <f t="shared" si="81"/>
        <v>525917.36230845004</v>
      </c>
      <c r="BC147" s="47">
        <f t="shared" si="82"/>
        <v>774670.09887442028</v>
      </c>
      <c r="BD147" s="47">
        <f t="shared" si="83"/>
        <v>688510.69715496316</v>
      </c>
    </row>
    <row r="148" spans="2:56">
      <c r="B148" s="37">
        <f>'3. Input (des)investeringen '!B181</f>
        <v>1616</v>
      </c>
      <c r="C148" s="48"/>
      <c r="D148" s="48"/>
      <c r="E148" s="48"/>
      <c r="F148" s="42">
        <f>'3. Input (des)investeringen '!D181</f>
        <v>7889201.656386218</v>
      </c>
      <c r="G148" s="48"/>
      <c r="H148" s="37">
        <f>'3. Input (des)investeringen '!F181</f>
        <v>2024</v>
      </c>
      <c r="I148" s="42" t="str">
        <f>'3. Input (des)investeringen '!G181</f>
        <v>nvt</v>
      </c>
      <c r="J148" s="42">
        <f>'3. Input (des)investeringen '!H181</f>
        <v>15</v>
      </c>
      <c r="K148" s="42">
        <f>'3. Input (des)investeringen '!I181</f>
        <v>0</v>
      </c>
      <c r="M148" s="43">
        <f t="shared" si="49"/>
        <v>0</v>
      </c>
      <c r="N148" s="43">
        <f t="shared" si="50"/>
        <v>0</v>
      </c>
      <c r="P148" s="137">
        <f t="shared" si="52"/>
        <v>0</v>
      </c>
      <c r="Q148" s="137">
        <f t="shared" si="51"/>
        <v>0</v>
      </c>
      <c r="S148" s="43">
        <f t="shared" si="53"/>
        <v>7889201.656386218</v>
      </c>
      <c r="T148" s="38">
        <f t="shared" si="73"/>
        <v>15</v>
      </c>
      <c r="V148" s="43">
        <f t="shared" si="84"/>
        <v>0</v>
      </c>
      <c r="W148" s="43">
        <f t="shared" si="84"/>
        <v>0</v>
      </c>
      <c r="X148" s="43">
        <f t="shared" si="84"/>
        <v>307678.86459906254</v>
      </c>
      <c r="Y148" s="43">
        <f t="shared" si="84"/>
        <v>588692.22759953968</v>
      </c>
      <c r="Z148" s="43">
        <f t="shared" si="84"/>
        <v>537672.2345409129</v>
      </c>
      <c r="AB148" s="43">
        <f t="shared" si="85"/>
        <v>0</v>
      </c>
      <c r="AC148" s="43">
        <f t="shared" si="85"/>
        <v>0</v>
      </c>
      <c r="AD148" s="43">
        <f t="shared" si="85"/>
        <v>26297.338854620732</v>
      </c>
      <c r="AE148" s="43">
        <f t="shared" si="85"/>
        <v>52594.677709241463</v>
      </c>
      <c r="AF148" s="43">
        <f t="shared" si="85"/>
        <v>52594.677709241463</v>
      </c>
      <c r="AH148" s="43">
        <f t="shared" si="74"/>
        <v>0</v>
      </c>
      <c r="AI148" s="43">
        <f t="shared" si="75"/>
        <v>0</v>
      </c>
      <c r="AJ148" s="43">
        <f t="shared" si="76"/>
        <v>333976.20345368329</v>
      </c>
      <c r="AK148" s="43">
        <f t="shared" si="77"/>
        <v>641286.90530878119</v>
      </c>
      <c r="AL148" s="43">
        <f t="shared" si="78"/>
        <v>590266.91225015442</v>
      </c>
      <c r="AN148" s="43">
        <f t="shared" si="60"/>
        <v>0</v>
      </c>
      <c r="AO148" s="43">
        <f t="shared" si="61"/>
        <v>0</v>
      </c>
      <c r="AP148" s="43">
        <f t="shared" si="62"/>
        <v>7555225.4529325347</v>
      </c>
      <c r="AQ148" s="43">
        <f t="shared" si="63"/>
        <v>6913938.5476237535</v>
      </c>
      <c r="AR148" s="43">
        <f t="shared" si="64"/>
        <v>6323671.6353735989</v>
      </c>
      <c r="AT148" s="43">
        <f t="shared" si="86"/>
        <v>0</v>
      </c>
      <c r="AU148" s="43">
        <f t="shared" si="86"/>
        <v>0</v>
      </c>
      <c r="AV148" s="43">
        <f t="shared" si="86"/>
        <v>78892.016563862184</v>
      </c>
      <c r="AW148" s="43">
        <f t="shared" si="86"/>
        <v>80776.58905553972</v>
      </c>
      <c r="AX148" s="43">
        <f t="shared" si="86"/>
        <v>83510.715041891643</v>
      </c>
      <c r="AZ148" s="47">
        <f t="shared" si="79"/>
        <v>0</v>
      </c>
      <c r="BA148" s="47">
        <f t="shared" si="80"/>
        <v>0</v>
      </c>
      <c r="BB148" s="47">
        <f t="shared" si="81"/>
        <v>699966.78722898185</v>
      </c>
      <c r="BC148" s="47">
        <f t="shared" si="82"/>
        <v>984793.15917402355</v>
      </c>
      <c r="BD148" s="47">
        <f t="shared" si="83"/>
        <v>914077.14943624288</v>
      </c>
    </row>
    <row r="149" spans="2:56">
      <c r="B149" s="37">
        <f>'3. Input (des)investeringen '!B182</f>
        <v>1617</v>
      </c>
      <c r="C149" s="48"/>
      <c r="D149" s="48"/>
      <c r="E149" s="48"/>
      <c r="F149" s="42">
        <f>'3. Input (des)investeringen '!D182</f>
        <v>7827738.1927272025</v>
      </c>
      <c r="G149" s="48"/>
      <c r="H149" s="37">
        <f>'3. Input (des)investeringen '!F182</f>
        <v>2024</v>
      </c>
      <c r="I149" s="42" t="str">
        <f>'3. Input (des)investeringen '!G182</f>
        <v>nvt</v>
      </c>
      <c r="J149" s="42">
        <f>'3. Input (des)investeringen '!H182</f>
        <v>30</v>
      </c>
      <c r="K149" s="42">
        <f>'3. Input (des)investeringen '!I182</f>
        <v>0</v>
      </c>
      <c r="M149" s="43">
        <f t="shared" si="49"/>
        <v>0</v>
      </c>
      <c r="N149" s="43">
        <f t="shared" si="50"/>
        <v>0</v>
      </c>
      <c r="P149" s="137">
        <f t="shared" si="52"/>
        <v>0</v>
      </c>
      <c r="Q149" s="137">
        <f t="shared" si="51"/>
        <v>0</v>
      </c>
      <c r="S149" s="43">
        <f t="shared" si="53"/>
        <v>7827738.1927272025</v>
      </c>
      <c r="T149" s="38">
        <f t="shared" si="73"/>
        <v>30</v>
      </c>
      <c r="V149" s="43">
        <f t="shared" si="84"/>
        <v>0</v>
      </c>
      <c r="W149" s="43">
        <f t="shared" si="84"/>
        <v>0</v>
      </c>
      <c r="X149" s="43">
        <f t="shared" si="84"/>
        <v>152640.89475818045</v>
      </c>
      <c r="Y149" s="43">
        <f t="shared" si="84"/>
        <v>298667.35074350639</v>
      </c>
      <c r="Z149" s="43">
        <f t="shared" si="84"/>
        <v>285725.09887795447</v>
      </c>
      <c r="AB149" s="43">
        <f t="shared" si="85"/>
        <v>0</v>
      </c>
      <c r="AC149" s="43">
        <f t="shared" si="85"/>
        <v>0</v>
      </c>
      <c r="AD149" s="43">
        <f t="shared" si="85"/>
        <v>13046.230321212004</v>
      </c>
      <c r="AE149" s="43">
        <f t="shared" si="85"/>
        <v>26092.460642424008</v>
      </c>
      <c r="AF149" s="43">
        <f t="shared" si="85"/>
        <v>26092.460642424008</v>
      </c>
      <c r="AH149" s="43">
        <f t="shared" si="74"/>
        <v>0</v>
      </c>
      <c r="AI149" s="43">
        <f t="shared" si="75"/>
        <v>0</v>
      </c>
      <c r="AJ149" s="43">
        <f t="shared" si="76"/>
        <v>165687.12507939246</v>
      </c>
      <c r="AK149" s="43">
        <f t="shared" si="77"/>
        <v>324759.8113859304</v>
      </c>
      <c r="AL149" s="43">
        <f t="shared" si="78"/>
        <v>311817.55952037848</v>
      </c>
      <c r="AN149" s="43">
        <f t="shared" si="60"/>
        <v>0</v>
      </c>
      <c r="AO149" s="43">
        <f t="shared" si="61"/>
        <v>0</v>
      </c>
      <c r="AP149" s="43">
        <f t="shared" si="62"/>
        <v>7662051.0676478101</v>
      </c>
      <c r="AQ149" s="43">
        <f t="shared" si="63"/>
        <v>7337291.2562618796</v>
      </c>
      <c r="AR149" s="43">
        <f t="shared" si="64"/>
        <v>7025473.6967415009</v>
      </c>
      <c r="AT149" s="43">
        <f t="shared" si="86"/>
        <v>0</v>
      </c>
      <c r="AU149" s="43">
        <f t="shared" si="86"/>
        <v>0</v>
      </c>
      <c r="AV149" s="43">
        <f t="shared" si="86"/>
        <v>78277.381927272028</v>
      </c>
      <c r="AW149" s="43">
        <f t="shared" si="86"/>
        <v>80147.27202675071</v>
      </c>
      <c r="AX149" s="43">
        <f t="shared" si="86"/>
        <v>82860.096890312168</v>
      </c>
      <c r="AZ149" s="47">
        <f t="shared" si="79"/>
        <v>0</v>
      </c>
      <c r="BA149" s="47">
        <f t="shared" si="80"/>
        <v>0</v>
      </c>
      <c r="BB149" s="47">
        <f t="shared" si="81"/>
        <v>535122.44757728127</v>
      </c>
      <c r="BC149" s="47">
        <f t="shared" si="82"/>
        <v>683724.15115063253</v>
      </c>
      <c r="BD149" s="47">
        <f t="shared" si="83"/>
        <v>661645.65688686771</v>
      </c>
    </row>
    <row r="150" spans="2:56">
      <c r="B150" s="37">
        <f>'3. Input (des)investeringen '!B183</f>
        <v>1618</v>
      </c>
      <c r="C150" s="48"/>
      <c r="D150" s="48"/>
      <c r="E150" s="48"/>
      <c r="F150" s="42">
        <f>'3. Input (des)investeringen '!D183</f>
        <v>0</v>
      </c>
      <c r="G150" s="48"/>
      <c r="H150" s="37">
        <f>'3. Input (des)investeringen '!F183</f>
        <v>2024</v>
      </c>
      <c r="I150" s="42" t="str">
        <f>'3. Input (des)investeringen '!G183</f>
        <v>nvt</v>
      </c>
      <c r="J150" s="42">
        <f>'3. Input (des)investeringen '!H183</f>
        <v>55</v>
      </c>
      <c r="K150" s="42">
        <f>'3. Input (des)investeringen '!I183</f>
        <v>0</v>
      </c>
      <c r="M150" s="43">
        <f t="shared" si="49"/>
        <v>0</v>
      </c>
      <c r="N150" s="43">
        <f t="shared" si="50"/>
        <v>0</v>
      </c>
      <c r="P150" s="137">
        <f t="shared" si="52"/>
        <v>0</v>
      </c>
      <c r="Q150" s="137">
        <f t="shared" si="51"/>
        <v>0</v>
      </c>
      <c r="S150" s="43">
        <f t="shared" si="53"/>
        <v>0</v>
      </c>
      <c r="T150" s="38">
        <f t="shared" si="73"/>
        <v>55</v>
      </c>
      <c r="V150" s="43">
        <f t="shared" si="84"/>
        <v>0</v>
      </c>
      <c r="W150" s="43">
        <f t="shared" si="84"/>
        <v>0</v>
      </c>
      <c r="X150" s="43">
        <f t="shared" si="84"/>
        <v>0</v>
      </c>
      <c r="Y150" s="43">
        <f t="shared" si="84"/>
        <v>0</v>
      </c>
      <c r="Z150" s="43">
        <f t="shared" si="84"/>
        <v>0</v>
      </c>
      <c r="AB150" s="43">
        <f t="shared" si="85"/>
        <v>0</v>
      </c>
      <c r="AC150" s="43">
        <f t="shared" si="85"/>
        <v>0</v>
      </c>
      <c r="AD150" s="43">
        <f t="shared" si="85"/>
        <v>0</v>
      </c>
      <c r="AE150" s="43">
        <f t="shared" si="85"/>
        <v>0</v>
      </c>
      <c r="AF150" s="43">
        <f t="shared" si="85"/>
        <v>0</v>
      </c>
      <c r="AH150" s="43">
        <f t="shared" si="74"/>
        <v>0</v>
      </c>
      <c r="AI150" s="43">
        <f t="shared" si="75"/>
        <v>0</v>
      </c>
      <c r="AJ150" s="43">
        <f t="shared" si="76"/>
        <v>0</v>
      </c>
      <c r="AK150" s="43">
        <f t="shared" si="77"/>
        <v>0</v>
      </c>
      <c r="AL150" s="43">
        <f t="shared" si="78"/>
        <v>0</v>
      </c>
      <c r="AN150" s="43">
        <f t="shared" si="60"/>
        <v>0</v>
      </c>
      <c r="AO150" s="43">
        <f t="shared" si="61"/>
        <v>0</v>
      </c>
      <c r="AP150" s="43">
        <f t="shared" si="62"/>
        <v>0</v>
      </c>
      <c r="AQ150" s="43">
        <f t="shared" si="63"/>
        <v>0</v>
      </c>
      <c r="AR150" s="43">
        <f t="shared" si="64"/>
        <v>0</v>
      </c>
      <c r="AT150" s="43">
        <f t="shared" si="86"/>
        <v>0</v>
      </c>
      <c r="AU150" s="43">
        <f t="shared" si="86"/>
        <v>0</v>
      </c>
      <c r="AV150" s="43">
        <f t="shared" si="86"/>
        <v>0</v>
      </c>
      <c r="AW150" s="43">
        <f t="shared" si="86"/>
        <v>0</v>
      </c>
      <c r="AX150" s="43">
        <f t="shared" si="86"/>
        <v>0</v>
      </c>
      <c r="AZ150" s="47">
        <f t="shared" si="79"/>
        <v>0</v>
      </c>
      <c r="BA150" s="47">
        <f t="shared" si="80"/>
        <v>0</v>
      </c>
      <c r="BB150" s="47">
        <f t="shared" si="81"/>
        <v>0</v>
      </c>
      <c r="BC150" s="47">
        <f t="shared" si="82"/>
        <v>0</v>
      </c>
      <c r="BD150" s="47">
        <f t="shared" si="83"/>
        <v>0</v>
      </c>
    </row>
    <row r="151" spans="2:56">
      <c r="B151" s="37">
        <f>'3. Input (des)investeringen '!B184</f>
        <v>1619</v>
      </c>
      <c r="C151" s="48"/>
      <c r="D151" s="48"/>
      <c r="E151" s="48"/>
      <c r="F151" s="42">
        <f>'3. Input (des)investeringen '!D184</f>
        <v>0</v>
      </c>
      <c r="G151" s="48"/>
      <c r="H151" s="37">
        <f>'3. Input (des)investeringen '!F184</f>
        <v>2025</v>
      </c>
      <c r="I151" s="42" t="str">
        <f>'3. Input (des)investeringen '!G184</f>
        <v>nvt</v>
      </c>
      <c r="J151" s="42">
        <f>'3. Input (des)investeringen '!H184</f>
        <v>0</v>
      </c>
      <c r="K151" s="42">
        <f>'3. Input (des)investeringen '!I184</f>
        <v>1</v>
      </c>
      <c r="M151" s="43">
        <f t="shared" si="49"/>
        <v>0</v>
      </c>
      <c r="N151" s="43">
        <f t="shared" si="50"/>
        <v>0</v>
      </c>
      <c r="P151" s="137">
        <f t="shared" si="52"/>
        <v>0</v>
      </c>
      <c r="Q151" s="137">
        <f t="shared" si="51"/>
        <v>0</v>
      </c>
      <c r="S151" s="43">
        <f t="shared" si="53"/>
        <v>0</v>
      </c>
      <c r="T151" s="38">
        <f t="shared" si="73"/>
        <v>0</v>
      </c>
      <c r="V151" s="43">
        <f t="shared" ref="V151:Z160" si="87">IF($J151=0, 0, IF(OR($H151&gt;V$59,$H151+$J151&lt;V$59),0,
IF(OR($H151=2020,$H151=2021),VDB($S151*(1-$F$28),0,$T151,V$59-2022,MIN($T151,V$59-2021),$F$22,FALSE),
VDB($S151*(1-$F$28),0,$T151,MAX(0,V$59-$H151-0.5),MIN($T151,V$59-$H151+0.5),$F$22,FALSE))))</f>
        <v>0</v>
      </c>
      <c r="W151" s="43">
        <f t="shared" si="87"/>
        <v>0</v>
      </c>
      <c r="X151" s="43">
        <f t="shared" si="87"/>
        <v>0</v>
      </c>
      <c r="Y151" s="43">
        <f t="shared" si="87"/>
        <v>0</v>
      </c>
      <c r="Z151" s="43">
        <f t="shared" si="87"/>
        <v>0</v>
      </c>
      <c r="AB151" s="43">
        <f t="shared" ref="AB151:AF160" si="88">IF($J151=0, 0, IF(OR($H151&gt;AB$59,$H151+$J151&lt;AB$59),0,
IF(OR($H151=2020,$H151=2021),VDB($S151*$F$28,0,$T151,AB$59-2022,MIN($T151,AB$59-2021),1),
VDB($S151*$F$28,0,$T151,MAX(0,AB$59-$H151-0.5),MIN($T151,AB$59-$H151+0.5),1))))</f>
        <v>0</v>
      </c>
      <c r="AC151" s="43">
        <f t="shared" si="88"/>
        <v>0</v>
      </c>
      <c r="AD151" s="43">
        <f t="shared" si="88"/>
        <v>0</v>
      </c>
      <c r="AE151" s="43">
        <f t="shared" si="88"/>
        <v>0</v>
      </c>
      <c r="AF151" s="43">
        <f t="shared" si="88"/>
        <v>0</v>
      </c>
      <c r="AH151" s="43">
        <f t="shared" si="74"/>
        <v>0</v>
      </c>
      <c r="AI151" s="43">
        <f t="shared" si="75"/>
        <v>0</v>
      </c>
      <c r="AJ151" s="43">
        <f t="shared" si="76"/>
        <v>0</v>
      </c>
      <c r="AK151" s="43">
        <f t="shared" si="77"/>
        <v>0</v>
      </c>
      <c r="AL151" s="43">
        <f t="shared" si="78"/>
        <v>0</v>
      </c>
      <c r="AN151" s="43">
        <f t="shared" si="60"/>
        <v>0</v>
      </c>
      <c r="AO151" s="43">
        <f t="shared" si="61"/>
        <v>0</v>
      </c>
      <c r="AP151" s="43">
        <f t="shared" si="62"/>
        <v>0</v>
      </c>
      <c r="AQ151" s="43">
        <f t="shared" si="63"/>
        <v>0</v>
      </c>
      <c r="AR151" s="43">
        <f t="shared" si="64"/>
        <v>0</v>
      </c>
      <c r="AT151" s="43">
        <f t="shared" ref="AT151:AX160" si="89">IF($H151&lt;=AT$59,$F151*INDEX($H$40:$N$46,$H151-2019,AT$59-2019)*INDEX($H$49:$N$55,$H151-2019,AT$59-2019)*$F$19,0)</f>
        <v>0</v>
      </c>
      <c r="AU151" s="43">
        <f t="shared" si="89"/>
        <v>0</v>
      </c>
      <c r="AV151" s="43">
        <f t="shared" si="89"/>
        <v>0</v>
      </c>
      <c r="AW151" s="43">
        <f t="shared" si="89"/>
        <v>0</v>
      </c>
      <c r="AX151" s="43">
        <f t="shared" si="89"/>
        <v>0</v>
      </c>
      <c r="AZ151" s="47">
        <f t="shared" si="79"/>
        <v>0</v>
      </c>
      <c r="BA151" s="47">
        <f t="shared" si="80"/>
        <v>0</v>
      </c>
      <c r="BB151" s="47">
        <f t="shared" si="81"/>
        <v>0</v>
      </c>
      <c r="BC151" s="47">
        <f t="shared" si="82"/>
        <v>0</v>
      </c>
      <c r="BD151" s="47">
        <f t="shared" si="83"/>
        <v>0</v>
      </c>
    </row>
    <row r="152" spans="2:56">
      <c r="B152" s="37">
        <f>'3. Input (des)investeringen '!B185</f>
        <v>1620</v>
      </c>
      <c r="C152" s="48"/>
      <c r="D152" s="48"/>
      <c r="E152" s="48"/>
      <c r="F152" s="42">
        <f>'3. Input (des)investeringen '!D185</f>
        <v>17553950.889932934</v>
      </c>
      <c r="G152" s="48"/>
      <c r="H152" s="37">
        <f>'3. Input (des)investeringen '!F185</f>
        <v>2025</v>
      </c>
      <c r="I152" s="42" t="str">
        <f>'3. Input (des)investeringen '!G185</f>
        <v>nvt</v>
      </c>
      <c r="J152" s="42">
        <f>'3. Input (des)investeringen '!H185</f>
        <v>5</v>
      </c>
      <c r="K152" s="42">
        <f>'3. Input (des)investeringen '!I185</f>
        <v>1</v>
      </c>
      <c r="M152" s="43">
        <f t="shared" si="49"/>
        <v>0</v>
      </c>
      <c r="N152" s="43">
        <f t="shared" si="50"/>
        <v>0</v>
      </c>
      <c r="P152" s="137">
        <f t="shared" si="52"/>
        <v>0</v>
      </c>
      <c r="Q152" s="137">
        <f t="shared" si="51"/>
        <v>0</v>
      </c>
      <c r="S152" s="43">
        <f t="shared" si="53"/>
        <v>17553950.889932934</v>
      </c>
      <c r="T152" s="38">
        <f t="shared" si="73"/>
        <v>5</v>
      </c>
      <c r="V152" s="43">
        <f t="shared" si="87"/>
        <v>0</v>
      </c>
      <c r="W152" s="43">
        <f t="shared" si="87"/>
        <v>0</v>
      </c>
      <c r="X152" s="43">
        <f t="shared" si="87"/>
        <v>0</v>
      </c>
      <c r="Y152" s="43">
        <f t="shared" si="87"/>
        <v>2053812.2541221536</v>
      </c>
      <c r="Z152" s="43">
        <f t="shared" si="87"/>
        <v>3573633.3221725472</v>
      </c>
      <c r="AB152" s="43">
        <f t="shared" si="88"/>
        <v>0</v>
      </c>
      <c r="AC152" s="43">
        <f t="shared" si="88"/>
        <v>0</v>
      </c>
      <c r="AD152" s="43">
        <f t="shared" si="88"/>
        <v>0</v>
      </c>
      <c r="AE152" s="43">
        <f t="shared" si="88"/>
        <v>175539.50889932935</v>
      </c>
      <c r="AF152" s="43">
        <f t="shared" si="88"/>
        <v>351079.01779865869</v>
      </c>
      <c r="AH152" s="43">
        <f t="shared" si="74"/>
        <v>0</v>
      </c>
      <c r="AI152" s="43">
        <f t="shared" si="75"/>
        <v>0</v>
      </c>
      <c r="AJ152" s="43">
        <f t="shared" si="76"/>
        <v>0</v>
      </c>
      <c r="AK152" s="43">
        <f t="shared" si="77"/>
        <v>2229351.7630214831</v>
      </c>
      <c r="AL152" s="43">
        <f t="shared" si="78"/>
        <v>3924712.3399712062</v>
      </c>
      <c r="AN152" s="43">
        <f t="shared" si="60"/>
        <v>0</v>
      </c>
      <c r="AO152" s="43">
        <f t="shared" si="61"/>
        <v>0</v>
      </c>
      <c r="AP152" s="43">
        <f t="shared" si="62"/>
        <v>0</v>
      </c>
      <c r="AQ152" s="43">
        <f t="shared" si="63"/>
        <v>15324599.12691145</v>
      </c>
      <c r="AR152" s="43">
        <f t="shared" si="64"/>
        <v>11399886.786940243</v>
      </c>
      <c r="AT152" s="43">
        <f t="shared" si="89"/>
        <v>0</v>
      </c>
      <c r="AU152" s="43">
        <f t="shared" si="89"/>
        <v>0</v>
      </c>
      <c r="AV152" s="43">
        <f t="shared" si="89"/>
        <v>0</v>
      </c>
      <c r="AW152" s="43">
        <f t="shared" si="89"/>
        <v>175539.50889932935</v>
      </c>
      <c r="AX152" s="43">
        <f t="shared" si="89"/>
        <v>181481.17019655384</v>
      </c>
      <c r="AZ152" s="47">
        <f t="shared" si="79"/>
        <v>0</v>
      </c>
      <c r="BA152" s="47">
        <f t="shared" si="80"/>
        <v>0</v>
      </c>
      <c r="BB152" s="47">
        <f t="shared" si="81"/>
        <v>0</v>
      </c>
      <c r="BC152" s="47">
        <f t="shared" si="82"/>
        <v>2987226.0387434475</v>
      </c>
      <c r="BD152" s="47">
        <f t="shared" si="83"/>
        <v>4539389.2080714889</v>
      </c>
    </row>
    <row r="153" spans="2:56">
      <c r="B153" s="37">
        <f>'3. Input (des)investeringen '!B186</f>
        <v>1621</v>
      </c>
      <c r="C153" s="48"/>
      <c r="D153" s="48"/>
      <c r="E153" s="48"/>
      <c r="F153" s="42">
        <f>'3. Input (des)investeringen '!D186</f>
        <v>5324492.346004094</v>
      </c>
      <c r="G153" s="48"/>
      <c r="H153" s="37">
        <f>'3. Input (des)investeringen '!F186</f>
        <v>2025</v>
      </c>
      <c r="I153" s="42" t="str">
        <f>'3. Input (des)investeringen '!G186</f>
        <v>nvt</v>
      </c>
      <c r="J153" s="42">
        <f>'3. Input (des)investeringen '!H186</f>
        <v>10</v>
      </c>
      <c r="K153" s="42">
        <f>'3. Input (des)investeringen '!I186</f>
        <v>1</v>
      </c>
      <c r="M153" s="43">
        <f t="shared" si="49"/>
        <v>0</v>
      </c>
      <c r="N153" s="43">
        <f t="shared" si="50"/>
        <v>0</v>
      </c>
      <c r="P153" s="137">
        <f t="shared" si="52"/>
        <v>0</v>
      </c>
      <c r="Q153" s="137">
        <f t="shared" si="51"/>
        <v>0</v>
      </c>
      <c r="S153" s="43">
        <f t="shared" si="53"/>
        <v>5324492.346004094</v>
      </c>
      <c r="T153" s="38">
        <f t="shared" si="73"/>
        <v>10</v>
      </c>
      <c r="V153" s="43">
        <f t="shared" si="87"/>
        <v>0</v>
      </c>
      <c r="W153" s="43">
        <f t="shared" si="87"/>
        <v>0</v>
      </c>
      <c r="X153" s="43">
        <f t="shared" si="87"/>
        <v>0</v>
      </c>
      <c r="Y153" s="43">
        <f t="shared" si="87"/>
        <v>311482.80224123952</v>
      </c>
      <c r="Z153" s="43">
        <f t="shared" si="87"/>
        <v>582472.84019111795</v>
      </c>
      <c r="AB153" s="43">
        <f t="shared" si="88"/>
        <v>0</v>
      </c>
      <c r="AC153" s="43">
        <f t="shared" si="88"/>
        <v>0</v>
      </c>
      <c r="AD153" s="43">
        <f t="shared" si="88"/>
        <v>0</v>
      </c>
      <c r="AE153" s="43">
        <f t="shared" si="88"/>
        <v>26622.46173002047</v>
      </c>
      <c r="AF153" s="43">
        <f t="shared" si="88"/>
        <v>53244.92346004094</v>
      </c>
      <c r="AH153" s="43">
        <f t="shared" si="74"/>
        <v>0</v>
      </c>
      <c r="AI153" s="43">
        <f t="shared" si="75"/>
        <v>0</v>
      </c>
      <c r="AJ153" s="43">
        <f t="shared" si="76"/>
        <v>0</v>
      </c>
      <c r="AK153" s="43">
        <f t="shared" si="77"/>
        <v>338105.26397125999</v>
      </c>
      <c r="AL153" s="43">
        <f t="shared" si="78"/>
        <v>635717.76365115889</v>
      </c>
      <c r="AN153" s="43">
        <f t="shared" si="60"/>
        <v>0</v>
      </c>
      <c r="AO153" s="43">
        <f t="shared" si="61"/>
        <v>0</v>
      </c>
      <c r="AP153" s="43">
        <f t="shared" si="62"/>
        <v>0</v>
      </c>
      <c r="AQ153" s="43">
        <f t="shared" si="63"/>
        <v>4986387.0820328342</v>
      </c>
      <c r="AR153" s="43">
        <f t="shared" si="64"/>
        <v>4350669.3183816755</v>
      </c>
      <c r="AT153" s="43">
        <f t="shared" si="89"/>
        <v>0</v>
      </c>
      <c r="AU153" s="43">
        <f t="shared" si="89"/>
        <v>0</v>
      </c>
      <c r="AV153" s="43">
        <f t="shared" si="89"/>
        <v>0</v>
      </c>
      <c r="AW153" s="43">
        <f t="shared" si="89"/>
        <v>53244.92346004094</v>
      </c>
      <c r="AX153" s="43">
        <f t="shared" si="89"/>
        <v>55047.157629316403</v>
      </c>
      <c r="AZ153" s="47">
        <f t="shared" si="79"/>
        <v>0</v>
      </c>
      <c r="BA153" s="47">
        <f t="shared" si="80"/>
        <v>0</v>
      </c>
      <c r="BB153" s="47">
        <f t="shared" si="81"/>
        <v>0</v>
      </c>
      <c r="BC153" s="47">
        <f t="shared" si="82"/>
        <v>580832.8965485486</v>
      </c>
      <c r="BD153" s="47">
        <f t="shared" si="83"/>
        <v>856090.355378979</v>
      </c>
    </row>
    <row r="154" spans="2:56">
      <c r="B154" s="37">
        <f>'3. Input (des)investeringen '!B187</f>
        <v>1622</v>
      </c>
      <c r="C154" s="48"/>
      <c r="D154" s="48"/>
      <c r="E154" s="48"/>
      <c r="F154" s="42">
        <f>'3. Input (des)investeringen '!D187</f>
        <v>25115276.635574285</v>
      </c>
      <c r="G154" s="48"/>
      <c r="H154" s="37">
        <f>'3. Input (des)investeringen '!F187</f>
        <v>2025</v>
      </c>
      <c r="I154" s="42" t="str">
        <f>'3. Input (des)investeringen '!G187</f>
        <v>nvt</v>
      </c>
      <c r="J154" s="42">
        <f>'3. Input (des)investeringen '!H187</f>
        <v>15</v>
      </c>
      <c r="K154" s="42">
        <f>'3. Input (des)investeringen '!I187</f>
        <v>1</v>
      </c>
      <c r="M154" s="43">
        <f t="shared" si="49"/>
        <v>0</v>
      </c>
      <c r="N154" s="43">
        <f t="shared" si="50"/>
        <v>0</v>
      </c>
      <c r="P154" s="137">
        <f t="shared" si="52"/>
        <v>0</v>
      </c>
      <c r="Q154" s="137">
        <f t="shared" si="51"/>
        <v>0</v>
      </c>
      <c r="S154" s="43">
        <f t="shared" si="53"/>
        <v>25115276.635574285</v>
      </c>
      <c r="T154" s="38">
        <f t="shared" si="73"/>
        <v>15</v>
      </c>
      <c r="V154" s="43">
        <f t="shared" si="87"/>
        <v>0</v>
      </c>
      <c r="W154" s="43">
        <f t="shared" si="87"/>
        <v>0</v>
      </c>
      <c r="X154" s="43">
        <f t="shared" si="87"/>
        <v>0</v>
      </c>
      <c r="Y154" s="43">
        <f t="shared" si="87"/>
        <v>979495.78878739709</v>
      </c>
      <c r="Z154" s="43">
        <f t="shared" si="87"/>
        <v>1874101.942546553</v>
      </c>
      <c r="AB154" s="43">
        <f t="shared" si="88"/>
        <v>0</v>
      </c>
      <c r="AC154" s="43">
        <f t="shared" si="88"/>
        <v>0</v>
      </c>
      <c r="AD154" s="43">
        <f t="shared" si="88"/>
        <v>0</v>
      </c>
      <c r="AE154" s="43">
        <f t="shared" si="88"/>
        <v>83717.588785247615</v>
      </c>
      <c r="AF154" s="43">
        <f t="shared" si="88"/>
        <v>167435.17757049523</v>
      </c>
      <c r="AH154" s="43">
        <f t="shared" si="74"/>
        <v>0</v>
      </c>
      <c r="AI154" s="43">
        <f t="shared" si="75"/>
        <v>0</v>
      </c>
      <c r="AJ154" s="43">
        <f t="shared" si="76"/>
        <v>0</v>
      </c>
      <c r="AK154" s="43">
        <f t="shared" si="77"/>
        <v>1063213.3775726447</v>
      </c>
      <c r="AL154" s="43">
        <f t="shared" si="78"/>
        <v>2041537.1201170483</v>
      </c>
      <c r="AN154" s="43">
        <f t="shared" si="60"/>
        <v>0</v>
      </c>
      <c r="AO154" s="43">
        <f t="shared" si="61"/>
        <v>0</v>
      </c>
      <c r="AP154" s="43">
        <f t="shared" si="62"/>
        <v>0</v>
      </c>
      <c r="AQ154" s="43">
        <f t="shared" si="63"/>
        <v>24052063.25800164</v>
      </c>
      <c r="AR154" s="43">
        <f t="shared" si="64"/>
        <v>22010526.137884591</v>
      </c>
      <c r="AT154" s="43">
        <f t="shared" si="89"/>
        <v>0</v>
      </c>
      <c r="AU154" s="43">
        <f t="shared" si="89"/>
        <v>0</v>
      </c>
      <c r="AV154" s="43">
        <f t="shared" si="89"/>
        <v>0</v>
      </c>
      <c r="AW154" s="43">
        <f t="shared" si="89"/>
        <v>251152.76635574285</v>
      </c>
      <c r="AX154" s="43">
        <f t="shared" si="89"/>
        <v>259653.78519135204</v>
      </c>
      <c r="AZ154" s="47">
        <f t="shared" si="79"/>
        <v>0</v>
      </c>
      <c r="BA154" s="47">
        <f t="shared" si="80"/>
        <v>0</v>
      </c>
      <c r="BB154" s="47">
        <f t="shared" si="81"/>
        <v>0</v>
      </c>
      <c r="BC154" s="47">
        <f t="shared" si="82"/>
        <v>2228344.5477324496</v>
      </c>
      <c r="BD154" s="47">
        <f t="shared" si="83"/>
        <v>3137590.8985480149</v>
      </c>
    </row>
    <row r="155" spans="2:56">
      <c r="B155" s="37">
        <f>'3. Input (des)investeringen '!B188</f>
        <v>1623</v>
      </c>
      <c r="C155" s="48"/>
      <c r="D155" s="48"/>
      <c r="E155" s="48"/>
      <c r="F155" s="42">
        <f>'3. Input (des)investeringen '!D188</f>
        <v>30846824.747949079</v>
      </c>
      <c r="G155" s="48"/>
      <c r="H155" s="37">
        <f>'3. Input (des)investeringen '!F188</f>
        <v>2025</v>
      </c>
      <c r="I155" s="42" t="str">
        <f>'3. Input (des)investeringen '!G188</f>
        <v>nvt</v>
      </c>
      <c r="J155" s="42">
        <f>'3. Input (des)investeringen '!H188</f>
        <v>30</v>
      </c>
      <c r="K155" s="42">
        <f>'3. Input (des)investeringen '!I188</f>
        <v>1</v>
      </c>
      <c r="M155" s="43">
        <f t="shared" si="49"/>
        <v>0</v>
      </c>
      <c r="N155" s="43">
        <f t="shared" si="50"/>
        <v>0</v>
      </c>
      <c r="P155" s="137">
        <f t="shared" si="52"/>
        <v>0</v>
      </c>
      <c r="Q155" s="137">
        <f t="shared" si="51"/>
        <v>0</v>
      </c>
      <c r="S155" s="43">
        <f t="shared" si="53"/>
        <v>30846824.747949079</v>
      </c>
      <c r="T155" s="38">
        <f t="shared" si="73"/>
        <v>30</v>
      </c>
      <c r="V155" s="43">
        <f t="shared" si="87"/>
        <v>0</v>
      </c>
      <c r="W155" s="43">
        <f t="shared" si="87"/>
        <v>0</v>
      </c>
      <c r="X155" s="43">
        <f t="shared" si="87"/>
        <v>0</v>
      </c>
      <c r="Y155" s="43">
        <f t="shared" si="87"/>
        <v>601513.08258500707</v>
      </c>
      <c r="Z155" s="43">
        <f t="shared" si="87"/>
        <v>1176960.5982579973</v>
      </c>
      <c r="AB155" s="43">
        <f t="shared" si="88"/>
        <v>0</v>
      </c>
      <c r="AC155" s="43">
        <f t="shared" si="88"/>
        <v>0</v>
      </c>
      <c r="AD155" s="43">
        <f t="shared" si="88"/>
        <v>0</v>
      </c>
      <c r="AE155" s="43">
        <f t="shared" si="88"/>
        <v>51411.374579915129</v>
      </c>
      <c r="AF155" s="43">
        <f t="shared" si="88"/>
        <v>102822.74915983026</v>
      </c>
      <c r="AH155" s="43">
        <f t="shared" si="74"/>
        <v>0</v>
      </c>
      <c r="AI155" s="43">
        <f t="shared" si="75"/>
        <v>0</v>
      </c>
      <c r="AJ155" s="43">
        <f t="shared" si="76"/>
        <v>0</v>
      </c>
      <c r="AK155" s="43">
        <f t="shared" si="77"/>
        <v>652924.45716492215</v>
      </c>
      <c r="AL155" s="43">
        <f t="shared" si="78"/>
        <v>1279783.3474178275</v>
      </c>
      <c r="AN155" s="43">
        <f t="shared" si="60"/>
        <v>0</v>
      </c>
      <c r="AO155" s="43">
        <f t="shared" si="61"/>
        <v>0</v>
      </c>
      <c r="AP155" s="43">
        <f t="shared" si="62"/>
        <v>0</v>
      </c>
      <c r="AQ155" s="43">
        <f t="shared" si="63"/>
        <v>30193900.290784158</v>
      </c>
      <c r="AR155" s="43">
        <f t="shared" si="64"/>
        <v>28914116.94336633</v>
      </c>
      <c r="AT155" s="43">
        <f t="shared" si="89"/>
        <v>0</v>
      </c>
      <c r="AU155" s="43">
        <f t="shared" si="89"/>
        <v>0</v>
      </c>
      <c r="AV155" s="43">
        <f t="shared" si="89"/>
        <v>0</v>
      </c>
      <c r="AW155" s="43">
        <f t="shared" si="89"/>
        <v>308468.24747949082</v>
      </c>
      <c r="AX155" s="43">
        <f t="shared" si="89"/>
        <v>318909.28072017664</v>
      </c>
      <c r="AZ155" s="47">
        <f t="shared" si="79"/>
        <v>0</v>
      </c>
      <c r="BA155" s="47">
        <f t="shared" si="80"/>
        <v>0</v>
      </c>
      <c r="BB155" s="47">
        <f t="shared" si="81"/>
        <v>0</v>
      </c>
      <c r="BC155" s="47">
        <f t="shared" si="82"/>
        <v>2108760.9156942111</v>
      </c>
      <c r="BD155" s="47">
        <f t="shared" si="83"/>
        <v>2697429.0719859246</v>
      </c>
    </row>
    <row r="156" spans="2:56">
      <c r="B156" s="37">
        <f>'3. Input (des)investeringen '!B189</f>
        <v>1624</v>
      </c>
      <c r="C156" s="48"/>
      <c r="D156" s="48"/>
      <c r="E156" s="48"/>
      <c r="F156" s="42">
        <f>'3. Input (des)investeringen '!D189</f>
        <v>85388365.196438983</v>
      </c>
      <c r="G156" s="48"/>
      <c r="H156" s="37">
        <f>'3. Input (des)investeringen '!F189</f>
        <v>2025</v>
      </c>
      <c r="I156" s="42" t="str">
        <f>'3. Input (des)investeringen '!G189</f>
        <v>nvt</v>
      </c>
      <c r="J156" s="42">
        <f>'3. Input (des)investeringen '!H189</f>
        <v>55</v>
      </c>
      <c r="K156" s="42">
        <f>'3. Input (des)investeringen '!I189</f>
        <v>1</v>
      </c>
      <c r="M156" s="43">
        <f t="shared" si="49"/>
        <v>0</v>
      </c>
      <c r="N156" s="43">
        <f t="shared" si="50"/>
        <v>0</v>
      </c>
      <c r="P156" s="137">
        <f t="shared" si="52"/>
        <v>0</v>
      </c>
      <c r="Q156" s="137">
        <f t="shared" si="51"/>
        <v>0</v>
      </c>
      <c r="S156" s="43">
        <f t="shared" si="53"/>
        <v>85388365.196438983</v>
      </c>
      <c r="T156" s="38">
        <f t="shared" si="73"/>
        <v>55</v>
      </c>
      <c r="V156" s="43">
        <f t="shared" si="87"/>
        <v>0</v>
      </c>
      <c r="W156" s="43">
        <f t="shared" si="87"/>
        <v>0</v>
      </c>
      <c r="X156" s="43">
        <f t="shared" si="87"/>
        <v>0</v>
      </c>
      <c r="Y156" s="43">
        <f t="shared" si="87"/>
        <v>908221.70254394179</v>
      </c>
      <c r="Z156" s="43">
        <f t="shared" si="87"/>
        <v>1794976.3466641176</v>
      </c>
      <c r="AB156" s="43">
        <f t="shared" si="88"/>
        <v>0</v>
      </c>
      <c r="AC156" s="43">
        <f t="shared" si="88"/>
        <v>0</v>
      </c>
      <c r="AD156" s="43">
        <f t="shared" si="88"/>
        <v>0</v>
      </c>
      <c r="AE156" s="43">
        <f t="shared" si="88"/>
        <v>77625.786542217262</v>
      </c>
      <c r="AF156" s="43">
        <f t="shared" si="88"/>
        <v>155251.57308443452</v>
      </c>
      <c r="AH156" s="43">
        <f t="shared" si="74"/>
        <v>0</v>
      </c>
      <c r="AI156" s="43">
        <f t="shared" si="75"/>
        <v>0</v>
      </c>
      <c r="AJ156" s="43">
        <f t="shared" si="76"/>
        <v>0</v>
      </c>
      <c r="AK156" s="43">
        <f t="shared" si="77"/>
        <v>985847.48908615904</v>
      </c>
      <c r="AL156" s="43">
        <f t="shared" si="78"/>
        <v>1950227.9197485521</v>
      </c>
      <c r="AN156" s="43">
        <f t="shared" si="60"/>
        <v>0</v>
      </c>
      <c r="AO156" s="43">
        <f t="shared" si="61"/>
        <v>0</v>
      </c>
      <c r="AP156" s="43">
        <f t="shared" si="62"/>
        <v>0</v>
      </c>
      <c r="AQ156" s="43">
        <f t="shared" si="63"/>
        <v>84402517.707352817</v>
      </c>
      <c r="AR156" s="43">
        <f t="shared" si="64"/>
        <v>82452289.787604272</v>
      </c>
      <c r="AT156" s="43">
        <f t="shared" si="89"/>
        <v>0</v>
      </c>
      <c r="AU156" s="43">
        <f t="shared" si="89"/>
        <v>0</v>
      </c>
      <c r="AV156" s="43">
        <f t="shared" si="89"/>
        <v>0</v>
      </c>
      <c r="AW156" s="43">
        <f t="shared" si="89"/>
        <v>853883.65196438984</v>
      </c>
      <c r="AX156" s="43">
        <f t="shared" si="89"/>
        <v>882785.90581608063</v>
      </c>
      <c r="AZ156" s="47">
        <f t="shared" si="79"/>
        <v>0</v>
      </c>
      <c r="BA156" s="47">
        <f t="shared" si="80"/>
        <v>0</v>
      </c>
      <c r="BB156" s="47">
        <f t="shared" si="81"/>
        <v>0</v>
      </c>
      <c r="BC156" s="47">
        <f t="shared" si="82"/>
        <v>5047026.8139299564</v>
      </c>
      <c r="BD156" s="47">
        <f t="shared" si="83"/>
        <v>5966200.8374935957</v>
      </c>
    </row>
    <row r="157" spans="2:56">
      <c r="B157" s="37">
        <f>'3. Input (des)investeringen '!B190</f>
        <v>1625</v>
      </c>
      <c r="C157" s="48"/>
      <c r="D157" s="48"/>
      <c r="E157" s="48"/>
      <c r="F157" s="42">
        <f>'3. Input (des)investeringen '!D190</f>
        <v>-32592.241789607215</v>
      </c>
      <c r="G157" s="48"/>
      <c r="H157" s="37">
        <f>'3. Input (des)investeringen '!F190</f>
        <v>2025</v>
      </c>
      <c r="I157" s="42" t="str">
        <f>'3. Input (des)investeringen '!G190</f>
        <v>nvt</v>
      </c>
      <c r="J157" s="42">
        <f>'3. Input (des)investeringen '!H190</f>
        <v>0</v>
      </c>
      <c r="K157" s="42">
        <f>'3. Input (des)investeringen '!I190</f>
        <v>0</v>
      </c>
      <c r="M157" s="43">
        <f t="shared" ref="M157:M188" si="90">IF($J157=0, 0, IF($H157&lt;=M$59,
VDB($F157,0,$J157,MAX(0,M$59-$H157-0.5),MIN($J157,M$59-$H157+0.5),1)*INDEX(H$40:H$46,$H157-2019,1),
0))</f>
        <v>0</v>
      </c>
      <c r="N157" s="43">
        <f t="shared" ref="N157:N188" si="91">IF($J157=0, 0, IF($H157&lt;=N$59,
VDB($F157,0,$J157,MAX(0,N$59-$H157-0.5),MIN($J157,N$59-$H157+0.5),1)*INDEX(I$40:I$46,$H157-2019,1),
0))</f>
        <v>0</v>
      </c>
      <c r="P157" s="137">
        <f t="shared" si="52"/>
        <v>0</v>
      </c>
      <c r="Q157" s="137">
        <f t="shared" ref="Q157:Q188" si="92">IF($J157=0,IF($H157=N$59,$F157,$P157*I$40),IF(OR($H157&gt;Q$59,$H157+$J157&lt;=Q$59),0,
IF($H157=Q$59,F157-N157,P157*I$40-N157)))</f>
        <v>0</v>
      </c>
      <c r="S157" s="43">
        <f t="shared" si="53"/>
        <v>-32592.241789607215</v>
      </c>
      <c r="T157" s="38">
        <f t="shared" si="73"/>
        <v>0</v>
      </c>
      <c r="V157" s="43">
        <f t="shared" si="87"/>
        <v>0</v>
      </c>
      <c r="W157" s="43">
        <f t="shared" si="87"/>
        <v>0</v>
      </c>
      <c r="X157" s="43">
        <f t="shared" si="87"/>
        <v>0</v>
      </c>
      <c r="Y157" s="43">
        <f t="shared" si="87"/>
        <v>0</v>
      </c>
      <c r="Z157" s="43">
        <f t="shared" si="87"/>
        <v>0</v>
      </c>
      <c r="AB157" s="43">
        <f t="shared" si="88"/>
        <v>0</v>
      </c>
      <c r="AC157" s="43">
        <f t="shared" si="88"/>
        <v>0</v>
      </c>
      <c r="AD157" s="43">
        <f t="shared" si="88"/>
        <v>0</v>
      </c>
      <c r="AE157" s="43">
        <f t="shared" si="88"/>
        <v>0</v>
      </c>
      <c r="AF157" s="43">
        <f t="shared" si="88"/>
        <v>0</v>
      </c>
      <c r="AH157" s="43">
        <f t="shared" si="74"/>
        <v>0</v>
      </c>
      <c r="AI157" s="43">
        <f t="shared" si="75"/>
        <v>0</v>
      </c>
      <c r="AJ157" s="43">
        <f t="shared" si="76"/>
        <v>0</v>
      </c>
      <c r="AK157" s="43">
        <f t="shared" si="77"/>
        <v>0</v>
      </c>
      <c r="AL157" s="43">
        <f t="shared" si="78"/>
        <v>0</v>
      </c>
      <c r="AN157" s="43">
        <f t="shared" si="60"/>
        <v>0</v>
      </c>
      <c r="AO157" s="43">
        <f t="shared" si="61"/>
        <v>0</v>
      </c>
      <c r="AP157" s="43">
        <f t="shared" si="62"/>
        <v>0</v>
      </c>
      <c r="AQ157" s="43">
        <f t="shared" si="63"/>
        <v>-32592.241789607215</v>
      </c>
      <c r="AR157" s="43">
        <f t="shared" si="64"/>
        <v>-32592.241789607215</v>
      </c>
      <c r="AT157" s="43">
        <f t="shared" si="89"/>
        <v>0</v>
      </c>
      <c r="AU157" s="43">
        <f t="shared" si="89"/>
        <v>0</v>
      </c>
      <c r="AV157" s="43">
        <f t="shared" si="89"/>
        <v>0</v>
      </c>
      <c r="AW157" s="43">
        <f t="shared" si="89"/>
        <v>-325.92241789607215</v>
      </c>
      <c r="AX157" s="43">
        <f t="shared" si="89"/>
        <v>-336.9542398970184</v>
      </c>
      <c r="AZ157" s="47">
        <f t="shared" si="79"/>
        <v>0</v>
      </c>
      <c r="BA157" s="47">
        <f t="shared" si="80"/>
        <v>0</v>
      </c>
      <c r="BB157" s="47">
        <f t="shared" si="81"/>
        <v>0</v>
      </c>
      <c r="BC157" s="47">
        <f t="shared" si="82"/>
        <v>-1564.4276059011463</v>
      </c>
      <c r="BD157" s="47">
        <f t="shared" si="83"/>
        <v>-1575.4594279020926</v>
      </c>
    </row>
    <row r="158" spans="2:56">
      <c r="B158" s="37">
        <f>'3. Input (des)investeringen '!B191</f>
        <v>1626</v>
      </c>
      <c r="C158" s="48"/>
      <c r="D158" s="48"/>
      <c r="E158" s="48"/>
      <c r="F158" s="42">
        <f>'3. Input (des)investeringen '!D191</f>
        <v>459045.22000300954</v>
      </c>
      <c r="G158" s="48"/>
      <c r="H158" s="37">
        <f>'3. Input (des)investeringen '!F191</f>
        <v>2025</v>
      </c>
      <c r="I158" s="42" t="str">
        <f>'3. Input (des)investeringen '!G191</f>
        <v>nvt</v>
      </c>
      <c r="J158" s="42">
        <f>'3. Input (des)investeringen '!H191</f>
        <v>5</v>
      </c>
      <c r="K158" s="42">
        <f>'3. Input (des)investeringen '!I191</f>
        <v>0</v>
      </c>
      <c r="M158" s="43">
        <f t="shared" si="90"/>
        <v>0</v>
      </c>
      <c r="N158" s="43">
        <f t="shared" si="91"/>
        <v>0</v>
      </c>
      <c r="P158" s="137">
        <f t="shared" si="52"/>
        <v>0</v>
      </c>
      <c r="Q158" s="137">
        <f t="shared" si="92"/>
        <v>0</v>
      </c>
      <c r="S158" s="43">
        <f t="shared" si="53"/>
        <v>459045.22000300954</v>
      </c>
      <c r="T158" s="38">
        <f t="shared" si="73"/>
        <v>5</v>
      </c>
      <c r="V158" s="43">
        <f t="shared" si="87"/>
        <v>0</v>
      </c>
      <c r="W158" s="43">
        <f t="shared" si="87"/>
        <v>0</v>
      </c>
      <c r="X158" s="43">
        <f t="shared" si="87"/>
        <v>0</v>
      </c>
      <c r="Y158" s="43">
        <f t="shared" si="87"/>
        <v>53708.290740352124</v>
      </c>
      <c r="Z158" s="43">
        <f t="shared" si="87"/>
        <v>93452.425888212689</v>
      </c>
      <c r="AB158" s="43">
        <f t="shared" si="88"/>
        <v>0</v>
      </c>
      <c r="AC158" s="43">
        <f t="shared" si="88"/>
        <v>0</v>
      </c>
      <c r="AD158" s="43">
        <f t="shared" si="88"/>
        <v>0</v>
      </c>
      <c r="AE158" s="43">
        <f t="shared" si="88"/>
        <v>4590.4522000300958</v>
      </c>
      <c r="AF158" s="43">
        <f t="shared" si="88"/>
        <v>9180.9044000601934</v>
      </c>
      <c r="AH158" s="43">
        <f t="shared" si="74"/>
        <v>0</v>
      </c>
      <c r="AI158" s="43">
        <f t="shared" si="75"/>
        <v>0</v>
      </c>
      <c r="AJ158" s="43">
        <f t="shared" si="76"/>
        <v>0</v>
      </c>
      <c r="AK158" s="43">
        <f t="shared" si="77"/>
        <v>58298.742940382217</v>
      </c>
      <c r="AL158" s="43">
        <f t="shared" si="78"/>
        <v>102633.33028827287</v>
      </c>
      <c r="AN158" s="43">
        <f t="shared" si="60"/>
        <v>0</v>
      </c>
      <c r="AO158" s="43">
        <f t="shared" si="61"/>
        <v>0</v>
      </c>
      <c r="AP158" s="43">
        <f t="shared" si="62"/>
        <v>0</v>
      </c>
      <c r="AQ158" s="43">
        <f t="shared" si="63"/>
        <v>400746.47706262732</v>
      </c>
      <c r="AR158" s="43">
        <f t="shared" si="64"/>
        <v>298113.14677435445</v>
      </c>
      <c r="AT158" s="43">
        <f t="shared" si="89"/>
        <v>0</v>
      </c>
      <c r="AU158" s="43">
        <f t="shared" si="89"/>
        <v>0</v>
      </c>
      <c r="AV158" s="43">
        <f t="shared" si="89"/>
        <v>0</v>
      </c>
      <c r="AW158" s="43">
        <f t="shared" si="89"/>
        <v>4590.4522000300958</v>
      </c>
      <c r="AX158" s="43">
        <f t="shared" si="89"/>
        <v>4745.829826096714</v>
      </c>
      <c r="AZ158" s="47">
        <f t="shared" si="79"/>
        <v>0</v>
      </c>
      <c r="BA158" s="47">
        <f t="shared" si="80"/>
        <v>0</v>
      </c>
      <c r="BB158" s="47">
        <f t="shared" si="81"/>
        <v>0</v>
      </c>
      <c r="BC158" s="47">
        <f t="shared" si="82"/>
        <v>78117.561268792153</v>
      </c>
      <c r="BD158" s="47">
        <f t="shared" si="83"/>
        <v>118707.45969179505</v>
      </c>
    </row>
    <row r="159" spans="2:56">
      <c r="B159" s="37">
        <f>'3. Input (des)investeringen '!B192</f>
        <v>1627</v>
      </c>
      <c r="C159" s="48"/>
      <c r="D159" s="48"/>
      <c r="E159" s="48"/>
      <c r="F159" s="42">
        <f>'3. Input (des)investeringen '!D192</f>
        <v>1646168.9780642902</v>
      </c>
      <c r="G159" s="48"/>
      <c r="H159" s="37">
        <f>'3. Input (des)investeringen '!F192</f>
        <v>2025</v>
      </c>
      <c r="I159" s="42" t="str">
        <f>'3. Input (des)investeringen '!G192</f>
        <v>nvt</v>
      </c>
      <c r="J159" s="42">
        <f>'3. Input (des)investeringen '!H192</f>
        <v>10</v>
      </c>
      <c r="K159" s="42">
        <f>'3. Input (des)investeringen '!I192</f>
        <v>0</v>
      </c>
      <c r="M159" s="43">
        <f t="shared" si="90"/>
        <v>0</v>
      </c>
      <c r="N159" s="43">
        <f t="shared" si="91"/>
        <v>0</v>
      </c>
      <c r="P159" s="137">
        <f t="shared" ref="P159:P200" si="93">IF($J159=0,IF($H159=M$59,$F159,0),IF(OR($H159&gt;P$59,$H159+$J159&lt;=P$59),0,
F159-M159))</f>
        <v>0</v>
      </c>
      <c r="Q159" s="137">
        <f t="shared" si="92"/>
        <v>0</v>
      </c>
      <c r="S159" s="43">
        <f t="shared" si="53"/>
        <v>1646168.9780642902</v>
      </c>
      <c r="T159" s="38">
        <f t="shared" ref="T159:T200" si="94">IF($J159=0, 0, IF(H159&lt;2022,J159-2021+H159-0.5,J159))</f>
        <v>10</v>
      </c>
      <c r="V159" s="43">
        <f t="shared" si="87"/>
        <v>0</v>
      </c>
      <c r="W159" s="43">
        <f t="shared" si="87"/>
        <v>0</v>
      </c>
      <c r="X159" s="43">
        <f t="shared" si="87"/>
        <v>0</v>
      </c>
      <c r="Y159" s="43">
        <f t="shared" si="87"/>
        <v>96300.885216760973</v>
      </c>
      <c r="Z159" s="43">
        <f t="shared" si="87"/>
        <v>180082.65535534304</v>
      </c>
      <c r="AB159" s="43">
        <f t="shared" si="88"/>
        <v>0</v>
      </c>
      <c r="AC159" s="43">
        <f t="shared" si="88"/>
        <v>0</v>
      </c>
      <c r="AD159" s="43">
        <f t="shared" si="88"/>
        <v>0</v>
      </c>
      <c r="AE159" s="43">
        <f t="shared" si="88"/>
        <v>8230.8448903214521</v>
      </c>
      <c r="AF159" s="43">
        <f t="shared" si="88"/>
        <v>16461.689780642904</v>
      </c>
      <c r="AH159" s="43">
        <f t="shared" ref="AH159:AH200" si="95">V159+AB159</f>
        <v>0</v>
      </c>
      <c r="AI159" s="43">
        <f t="shared" ref="AI159:AI200" si="96">W159+AC159</f>
        <v>0</v>
      </c>
      <c r="AJ159" s="43">
        <f t="shared" ref="AJ159:AJ200" si="97">X159+AD159</f>
        <v>0</v>
      </c>
      <c r="AK159" s="43">
        <f t="shared" ref="AK159:AK200" si="98">Y159+AE159</f>
        <v>104531.73010708243</v>
      </c>
      <c r="AL159" s="43">
        <f t="shared" ref="AL159:AL200" si="99">Z159+AF159</f>
        <v>196544.34513598593</v>
      </c>
      <c r="AN159" s="43">
        <f t="shared" si="60"/>
        <v>0</v>
      </c>
      <c r="AO159" s="43">
        <f t="shared" si="61"/>
        <v>0</v>
      </c>
      <c r="AP159" s="43">
        <f t="shared" si="62"/>
        <v>0</v>
      </c>
      <c r="AQ159" s="43">
        <f t="shared" si="63"/>
        <v>1541637.2479572077</v>
      </c>
      <c r="AR159" s="43">
        <f t="shared" si="64"/>
        <v>1345092.9028212219</v>
      </c>
      <c r="AT159" s="43">
        <f t="shared" si="89"/>
        <v>0</v>
      </c>
      <c r="AU159" s="43">
        <f t="shared" si="89"/>
        <v>0</v>
      </c>
      <c r="AV159" s="43">
        <f t="shared" si="89"/>
        <v>0</v>
      </c>
      <c r="AW159" s="43">
        <f t="shared" si="89"/>
        <v>16461.689780642904</v>
      </c>
      <c r="AX159" s="43">
        <f t="shared" si="89"/>
        <v>17018.885056338102</v>
      </c>
      <c r="AZ159" s="47">
        <f t="shared" ref="AZ159:AZ200" si="100">(AH159+AN159*J$16+AT159)*IF($K159=1,$F$25,1)</f>
        <v>0</v>
      </c>
      <c r="BA159" s="47">
        <f t="shared" ref="BA159:BA200" si="101">(AI159+AO159*K$16+AU159)*IF($K159=1,$F$25,1)</f>
        <v>0</v>
      </c>
      <c r="BB159" s="47">
        <f t="shared" ref="BB159:BB200" si="102">(AJ159+AP159*L$16+AV159)*IF($K159=1,$F$25,1)</f>
        <v>0</v>
      </c>
      <c r="BC159" s="47">
        <f t="shared" ref="BC159:BC200" si="103">(AK159+AQ159*M$16+AW159)*IF($K159=1,$F$25,1)</f>
        <v>179575.63531009923</v>
      </c>
      <c r="BD159" s="47">
        <f t="shared" ref="BD159:BD200" si="104">(AL159+AR159*N$16+AX159)*IF($K159=1,$F$25,1)</f>
        <v>264676.76049953047</v>
      </c>
    </row>
    <row r="160" spans="2:56">
      <c r="B160" s="37">
        <f>'3. Input (des)investeringen '!B193</f>
        <v>1628</v>
      </c>
      <c r="C160" s="48"/>
      <c r="D160" s="48"/>
      <c r="E160" s="48"/>
      <c r="F160" s="42">
        <f>'3. Input (des)investeringen '!D193</f>
        <v>4946948.6241163164</v>
      </c>
      <c r="G160" s="48"/>
      <c r="H160" s="37">
        <f>'3. Input (des)investeringen '!F193</f>
        <v>2025</v>
      </c>
      <c r="I160" s="42" t="str">
        <f>'3. Input (des)investeringen '!G193</f>
        <v>nvt</v>
      </c>
      <c r="J160" s="42">
        <f>'3. Input (des)investeringen '!H193</f>
        <v>15</v>
      </c>
      <c r="K160" s="42">
        <f>'3. Input (des)investeringen '!I193</f>
        <v>0</v>
      </c>
      <c r="M160" s="43">
        <f t="shared" si="90"/>
        <v>0</v>
      </c>
      <c r="N160" s="43">
        <f t="shared" si="91"/>
        <v>0</v>
      </c>
      <c r="P160" s="137">
        <f t="shared" si="93"/>
        <v>0</v>
      </c>
      <c r="Q160" s="137">
        <f t="shared" si="92"/>
        <v>0</v>
      </c>
      <c r="S160" s="43">
        <f t="shared" si="53"/>
        <v>4946948.6241163164</v>
      </c>
      <c r="T160" s="38">
        <f t="shared" si="94"/>
        <v>15</v>
      </c>
      <c r="V160" s="43">
        <f t="shared" si="87"/>
        <v>0</v>
      </c>
      <c r="W160" s="43">
        <f t="shared" si="87"/>
        <v>0</v>
      </c>
      <c r="X160" s="43">
        <f t="shared" si="87"/>
        <v>0</v>
      </c>
      <c r="Y160" s="43">
        <f t="shared" si="87"/>
        <v>192930.99634053637</v>
      </c>
      <c r="Z160" s="43">
        <f t="shared" si="87"/>
        <v>369141.30633155955</v>
      </c>
      <c r="AB160" s="43">
        <f t="shared" si="88"/>
        <v>0</v>
      </c>
      <c r="AC160" s="43">
        <f t="shared" si="88"/>
        <v>0</v>
      </c>
      <c r="AD160" s="43">
        <f t="shared" si="88"/>
        <v>0</v>
      </c>
      <c r="AE160" s="43">
        <f t="shared" si="88"/>
        <v>16489.828747054391</v>
      </c>
      <c r="AF160" s="43">
        <f t="shared" si="88"/>
        <v>32979.657494108782</v>
      </c>
      <c r="AH160" s="43">
        <f t="shared" si="95"/>
        <v>0</v>
      </c>
      <c r="AI160" s="43">
        <f t="shared" si="96"/>
        <v>0</v>
      </c>
      <c r="AJ160" s="43">
        <f t="shared" si="97"/>
        <v>0</v>
      </c>
      <c r="AK160" s="43">
        <f t="shared" si="98"/>
        <v>209420.82508759075</v>
      </c>
      <c r="AL160" s="43">
        <f t="shared" si="99"/>
        <v>402120.96382566832</v>
      </c>
      <c r="AN160" s="43">
        <f t="shared" si="60"/>
        <v>0</v>
      </c>
      <c r="AO160" s="43">
        <f t="shared" si="61"/>
        <v>0</v>
      </c>
      <c r="AP160" s="43">
        <f t="shared" si="62"/>
        <v>0</v>
      </c>
      <c r="AQ160" s="43">
        <f t="shared" si="63"/>
        <v>4737527.7990287254</v>
      </c>
      <c r="AR160" s="43">
        <f t="shared" si="64"/>
        <v>4335406.8352030572</v>
      </c>
      <c r="AT160" s="43">
        <f t="shared" si="89"/>
        <v>0</v>
      </c>
      <c r="AU160" s="43">
        <f t="shared" si="89"/>
        <v>0</v>
      </c>
      <c r="AV160" s="43">
        <f t="shared" si="89"/>
        <v>0</v>
      </c>
      <c r="AW160" s="43">
        <f t="shared" si="89"/>
        <v>49469.486241163162</v>
      </c>
      <c r="AX160" s="43">
        <f t="shared" si="89"/>
        <v>51143.929411454053</v>
      </c>
      <c r="AZ160" s="47">
        <f t="shared" si="100"/>
        <v>0</v>
      </c>
      <c r="BA160" s="47">
        <f t="shared" si="101"/>
        <v>0</v>
      </c>
      <c r="BB160" s="47">
        <f t="shared" si="102"/>
        <v>0</v>
      </c>
      <c r="BC160" s="47">
        <f t="shared" si="103"/>
        <v>438916.36769184546</v>
      </c>
      <c r="BD160" s="47">
        <f t="shared" si="104"/>
        <v>618010.35297483846</v>
      </c>
    </row>
    <row r="161" spans="2:56">
      <c r="B161" s="37">
        <f>'3. Input (des)investeringen '!B194</f>
        <v>1629</v>
      </c>
      <c r="C161" s="48"/>
      <c r="D161" s="48"/>
      <c r="E161" s="48"/>
      <c r="F161" s="42">
        <f>'3. Input (des)investeringen '!D194</f>
        <v>28058274.451637983</v>
      </c>
      <c r="G161" s="48"/>
      <c r="H161" s="37">
        <f>'3. Input (des)investeringen '!F194</f>
        <v>2025</v>
      </c>
      <c r="I161" s="42" t="str">
        <f>'3. Input (des)investeringen '!G194</f>
        <v>nvt</v>
      </c>
      <c r="J161" s="42">
        <f>'3. Input (des)investeringen '!H194</f>
        <v>30</v>
      </c>
      <c r="K161" s="42">
        <f>'3. Input (des)investeringen '!I194</f>
        <v>0</v>
      </c>
      <c r="M161" s="43">
        <f t="shared" si="90"/>
        <v>0</v>
      </c>
      <c r="N161" s="43">
        <f t="shared" si="91"/>
        <v>0</v>
      </c>
      <c r="P161" s="137">
        <f t="shared" si="93"/>
        <v>0</v>
      </c>
      <c r="Q161" s="137">
        <f t="shared" si="92"/>
        <v>0</v>
      </c>
      <c r="S161" s="43">
        <f t="shared" si="53"/>
        <v>28058274.451637983</v>
      </c>
      <c r="T161" s="38">
        <f t="shared" si="94"/>
        <v>30</v>
      </c>
      <c r="V161" s="43">
        <f t="shared" ref="V161:Z170" si="105">IF($J161=0, 0, IF(OR($H161&gt;V$59,$H161+$J161&lt;V$59),0,
IF(OR($H161=2020,$H161=2021),VDB($S161*(1-$F$28),0,$T161,V$59-2022,MIN($T161,V$59-2021),$F$22,FALSE),
VDB($S161*(1-$F$28),0,$T161,MAX(0,V$59-$H161-0.5),MIN($T161,V$59-$H161+0.5),$F$22,FALSE))))</f>
        <v>0</v>
      </c>
      <c r="W161" s="43">
        <f t="shared" si="105"/>
        <v>0</v>
      </c>
      <c r="X161" s="43">
        <f t="shared" si="105"/>
        <v>0</v>
      </c>
      <c r="Y161" s="43">
        <f t="shared" si="105"/>
        <v>547136.35180694074</v>
      </c>
      <c r="Z161" s="43">
        <f t="shared" si="105"/>
        <v>1070563.4617022472</v>
      </c>
      <c r="AB161" s="43">
        <f t="shared" ref="AB161:AF170" si="106">IF($J161=0, 0, IF(OR($H161&gt;AB$59,$H161+$J161&lt;AB$59),0,
IF(OR($H161=2020,$H161=2021),VDB($S161*$F$28,0,$T161,AB$59-2022,MIN($T161,AB$59-2021),1),
VDB($S161*$F$28,0,$T161,MAX(0,AB$59-$H161-0.5),MIN($T161,AB$59-$H161+0.5),1))))</f>
        <v>0</v>
      </c>
      <c r="AC161" s="43">
        <f t="shared" si="106"/>
        <v>0</v>
      </c>
      <c r="AD161" s="43">
        <f t="shared" si="106"/>
        <v>0</v>
      </c>
      <c r="AE161" s="43">
        <f t="shared" si="106"/>
        <v>46763.790752729976</v>
      </c>
      <c r="AF161" s="43">
        <f t="shared" si="106"/>
        <v>93527.581505459952</v>
      </c>
      <c r="AH161" s="43">
        <f t="shared" si="95"/>
        <v>0</v>
      </c>
      <c r="AI161" s="43">
        <f t="shared" si="96"/>
        <v>0</v>
      </c>
      <c r="AJ161" s="43">
        <f t="shared" si="97"/>
        <v>0</v>
      </c>
      <c r="AK161" s="43">
        <f t="shared" si="98"/>
        <v>593900.14255967073</v>
      </c>
      <c r="AL161" s="43">
        <f t="shared" si="99"/>
        <v>1164091.0432077071</v>
      </c>
      <c r="AN161" s="43">
        <f t="shared" si="60"/>
        <v>0</v>
      </c>
      <c r="AO161" s="43">
        <f t="shared" si="61"/>
        <v>0</v>
      </c>
      <c r="AP161" s="43">
        <f t="shared" si="62"/>
        <v>0</v>
      </c>
      <c r="AQ161" s="43">
        <f t="shared" si="63"/>
        <v>27464374.309078313</v>
      </c>
      <c r="AR161" s="43">
        <f t="shared" si="64"/>
        <v>26300283.265870605</v>
      </c>
      <c r="AT161" s="43">
        <f t="shared" ref="AT161:AX170" si="107">IF($H161&lt;=AT$59,$F161*INDEX($H$40:$N$46,$H161-2019,AT$59-2019)*INDEX($H$49:$N$55,$H161-2019,AT$59-2019)*$F$19,0)</f>
        <v>0</v>
      </c>
      <c r="AU161" s="43">
        <f t="shared" si="107"/>
        <v>0</v>
      </c>
      <c r="AV161" s="43">
        <f t="shared" si="107"/>
        <v>0</v>
      </c>
      <c r="AW161" s="43">
        <f t="shared" si="107"/>
        <v>280582.74451637984</v>
      </c>
      <c r="AX161" s="43">
        <f t="shared" si="107"/>
        <v>290079.9092527703</v>
      </c>
      <c r="AZ161" s="47">
        <f t="shared" si="100"/>
        <v>0</v>
      </c>
      <c r="BA161" s="47">
        <f t="shared" si="101"/>
        <v>0</v>
      </c>
      <c r="BB161" s="47">
        <f t="shared" si="102"/>
        <v>0</v>
      </c>
      <c r="BC161" s="47">
        <f t="shared" si="103"/>
        <v>1918129.1108210266</v>
      </c>
      <c r="BD161" s="47">
        <f t="shared" si="104"/>
        <v>2453581.7165635601</v>
      </c>
    </row>
    <row r="162" spans="2:56">
      <c r="B162" s="37">
        <f>'3. Input (des)investeringen '!B195</f>
        <v>1630</v>
      </c>
      <c r="C162" s="48"/>
      <c r="D162" s="48"/>
      <c r="E162" s="48"/>
      <c r="F162" s="42">
        <f>'3. Input (des)investeringen '!D195</f>
        <v>39636.2960349688</v>
      </c>
      <c r="G162" s="48"/>
      <c r="H162" s="37">
        <f>'3. Input (des)investeringen '!F195</f>
        <v>2025</v>
      </c>
      <c r="I162" s="42" t="str">
        <f>'3. Input (des)investeringen '!G195</f>
        <v>nvt</v>
      </c>
      <c r="J162" s="42">
        <f>'3. Input (des)investeringen '!H195</f>
        <v>55</v>
      </c>
      <c r="K162" s="42">
        <f>'3. Input (des)investeringen '!I195</f>
        <v>0</v>
      </c>
      <c r="M162" s="43">
        <f t="shared" si="90"/>
        <v>0</v>
      </c>
      <c r="N162" s="43">
        <f t="shared" si="91"/>
        <v>0</v>
      </c>
      <c r="P162" s="137">
        <f t="shared" si="93"/>
        <v>0</v>
      </c>
      <c r="Q162" s="137">
        <f t="shared" si="92"/>
        <v>0</v>
      </c>
      <c r="S162" s="43">
        <f t="shared" si="53"/>
        <v>39636.2960349688</v>
      </c>
      <c r="T162" s="38">
        <f t="shared" si="94"/>
        <v>55</v>
      </c>
      <c r="V162" s="43">
        <f t="shared" si="105"/>
        <v>0</v>
      </c>
      <c r="W162" s="43">
        <f t="shared" si="105"/>
        <v>0</v>
      </c>
      <c r="X162" s="43">
        <f t="shared" si="105"/>
        <v>0</v>
      </c>
      <c r="Y162" s="43">
        <f t="shared" si="105"/>
        <v>421.58605782648635</v>
      </c>
      <c r="Z162" s="43">
        <f t="shared" si="105"/>
        <v>833.2073542861649</v>
      </c>
      <c r="AB162" s="43">
        <f t="shared" si="106"/>
        <v>0</v>
      </c>
      <c r="AC162" s="43">
        <f t="shared" si="106"/>
        <v>0</v>
      </c>
      <c r="AD162" s="43">
        <f t="shared" si="106"/>
        <v>0</v>
      </c>
      <c r="AE162" s="43">
        <f t="shared" si="106"/>
        <v>36.032996395426181</v>
      </c>
      <c r="AF162" s="43">
        <f t="shared" si="106"/>
        <v>72.065992790852363</v>
      </c>
      <c r="AH162" s="43">
        <f t="shared" si="95"/>
        <v>0</v>
      </c>
      <c r="AI162" s="43">
        <f t="shared" si="96"/>
        <v>0</v>
      </c>
      <c r="AJ162" s="43">
        <f t="shared" si="97"/>
        <v>0</v>
      </c>
      <c r="AK162" s="43">
        <f t="shared" si="98"/>
        <v>457.61905422191251</v>
      </c>
      <c r="AL162" s="43">
        <f t="shared" si="99"/>
        <v>905.27334707701721</v>
      </c>
      <c r="AN162" s="43">
        <f t="shared" si="60"/>
        <v>0</v>
      </c>
      <c r="AO162" s="43">
        <f t="shared" si="61"/>
        <v>0</v>
      </c>
      <c r="AP162" s="43">
        <f t="shared" si="62"/>
        <v>0</v>
      </c>
      <c r="AQ162" s="43">
        <f t="shared" si="63"/>
        <v>39178.676980746888</v>
      </c>
      <c r="AR162" s="43">
        <f t="shared" si="64"/>
        <v>38273.40363366987</v>
      </c>
      <c r="AT162" s="43">
        <f t="shared" si="107"/>
        <v>0</v>
      </c>
      <c r="AU162" s="43">
        <f t="shared" si="107"/>
        <v>0</v>
      </c>
      <c r="AV162" s="43">
        <f t="shared" si="107"/>
        <v>0</v>
      </c>
      <c r="AW162" s="43">
        <f t="shared" si="107"/>
        <v>396.36296034968802</v>
      </c>
      <c r="AX162" s="43">
        <f t="shared" si="107"/>
        <v>409.77905383160424</v>
      </c>
      <c r="AZ162" s="47">
        <f t="shared" si="100"/>
        <v>0</v>
      </c>
      <c r="BA162" s="47">
        <f t="shared" si="101"/>
        <v>0</v>
      </c>
      <c r="BB162" s="47">
        <f t="shared" si="102"/>
        <v>0</v>
      </c>
      <c r="BC162" s="47">
        <f t="shared" si="103"/>
        <v>2342.7717398399823</v>
      </c>
      <c r="BD162" s="47">
        <f t="shared" si="104"/>
        <v>2769.4417389880768</v>
      </c>
    </row>
    <row r="163" spans="2:56">
      <c r="B163" s="37">
        <f>'3. Input (des)investeringen '!B196</f>
        <v>1631</v>
      </c>
      <c r="C163" s="48"/>
      <c r="D163" s="48"/>
      <c r="E163" s="48"/>
      <c r="F163" s="42">
        <f>'3. Input (des)investeringen '!D196</f>
        <v>0</v>
      </c>
      <c r="G163" s="48"/>
      <c r="H163" s="37">
        <f>'3. Input (des)investeringen '!F196</f>
        <v>2025</v>
      </c>
      <c r="I163" s="42" t="str">
        <f>'3. Input (des)investeringen '!G196</f>
        <v>nvt</v>
      </c>
      <c r="J163" s="42">
        <f>'3. Input (des)investeringen '!H196</f>
        <v>0</v>
      </c>
      <c r="K163" s="42">
        <f>'3. Input (des)investeringen '!I196</f>
        <v>0</v>
      </c>
      <c r="M163" s="43">
        <f t="shared" si="90"/>
        <v>0</v>
      </c>
      <c r="N163" s="43">
        <f t="shared" si="91"/>
        <v>0</v>
      </c>
      <c r="P163" s="137">
        <f t="shared" si="93"/>
        <v>0</v>
      </c>
      <c r="Q163" s="137">
        <f t="shared" si="92"/>
        <v>0</v>
      </c>
      <c r="S163" s="43">
        <f t="shared" si="53"/>
        <v>0</v>
      </c>
      <c r="T163" s="38">
        <f t="shared" si="94"/>
        <v>0</v>
      </c>
      <c r="V163" s="43">
        <f t="shared" si="105"/>
        <v>0</v>
      </c>
      <c r="W163" s="43">
        <f t="shared" si="105"/>
        <v>0</v>
      </c>
      <c r="X163" s="43">
        <f t="shared" si="105"/>
        <v>0</v>
      </c>
      <c r="Y163" s="43">
        <f t="shared" si="105"/>
        <v>0</v>
      </c>
      <c r="Z163" s="43">
        <f t="shared" si="105"/>
        <v>0</v>
      </c>
      <c r="AB163" s="43">
        <f t="shared" si="106"/>
        <v>0</v>
      </c>
      <c r="AC163" s="43">
        <f t="shared" si="106"/>
        <v>0</v>
      </c>
      <c r="AD163" s="43">
        <f t="shared" si="106"/>
        <v>0</v>
      </c>
      <c r="AE163" s="43">
        <f t="shared" si="106"/>
        <v>0</v>
      </c>
      <c r="AF163" s="43">
        <f t="shared" si="106"/>
        <v>0</v>
      </c>
      <c r="AH163" s="43">
        <f t="shared" si="95"/>
        <v>0</v>
      </c>
      <c r="AI163" s="43">
        <f t="shared" si="96"/>
        <v>0</v>
      </c>
      <c r="AJ163" s="43">
        <f t="shared" si="97"/>
        <v>0</v>
      </c>
      <c r="AK163" s="43">
        <f t="shared" si="98"/>
        <v>0</v>
      </c>
      <c r="AL163" s="43">
        <f t="shared" si="99"/>
        <v>0</v>
      </c>
      <c r="AN163" s="43">
        <f t="shared" si="60"/>
        <v>0</v>
      </c>
      <c r="AO163" s="43">
        <f t="shared" si="61"/>
        <v>0</v>
      </c>
      <c r="AP163" s="43">
        <f t="shared" si="62"/>
        <v>0</v>
      </c>
      <c r="AQ163" s="43">
        <f t="shared" si="63"/>
        <v>0</v>
      </c>
      <c r="AR163" s="43">
        <f t="shared" si="64"/>
        <v>0</v>
      </c>
      <c r="AT163" s="43">
        <f t="shared" si="107"/>
        <v>0</v>
      </c>
      <c r="AU163" s="43">
        <f t="shared" si="107"/>
        <v>0</v>
      </c>
      <c r="AV163" s="43">
        <f t="shared" si="107"/>
        <v>0</v>
      </c>
      <c r="AW163" s="43">
        <f t="shared" si="107"/>
        <v>0</v>
      </c>
      <c r="AX163" s="43">
        <f t="shared" si="107"/>
        <v>0</v>
      </c>
      <c r="AZ163" s="47">
        <f t="shared" si="100"/>
        <v>0</v>
      </c>
      <c r="BA163" s="47">
        <f t="shared" si="101"/>
        <v>0</v>
      </c>
      <c r="BB163" s="47">
        <f t="shared" si="102"/>
        <v>0</v>
      </c>
      <c r="BC163" s="47">
        <f t="shared" si="103"/>
        <v>0</v>
      </c>
      <c r="BD163" s="47">
        <f t="shared" si="104"/>
        <v>0</v>
      </c>
    </row>
    <row r="164" spans="2:56">
      <c r="B164" s="37">
        <f>'3. Input (des)investeringen '!B197</f>
        <v>1632</v>
      </c>
      <c r="C164" s="48"/>
      <c r="D164" s="48"/>
      <c r="E164" s="48"/>
      <c r="F164" s="42">
        <f>'3. Input (des)investeringen '!D197</f>
        <v>659695.61097586737</v>
      </c>
      <c r="G164" s="48"/>
      <c r="H164" s="37">
        <f>'3. Input (des)investeringen '!F197</f>
        <v>2025</v>
      </c>
      <c r="I164" s="42" t="str">
        <f>'3. Input (des)investeringen '!G197</f>
        <v>nvt</v>
      </c>
      <c r="J164" s="42">
        <f>'3. Input (des)investeringen '!H197</f>
        <v>5</v>
      </c>
      <c r="K164" s="42">
        <f>'3. Input (des)investeringen '!I197</f>
        <v>0</v>
      </c>
      <c r="M164" s="43">
        <f t="shared" si="90"/>
        <v>0</v>
      </c>
      <c r="N164" s="43">
        <f t="shared" si="91"/>
        <v>0</v>
      </c>
      <c r="P164" s="137">
        <f t="shared" si="93"/>
        <v>0</v>
      </c>
      <c r="Q164" s="137">
        <f t="shared" si="92"/>
        <v>0</v>
      </c>
      <c r="S164" s="43">
        <f t="shared" si="53"/>
        <v>659695.61097586737</v>
      </c>
      <c r="T164" s="38">
        <f t="shared" si="94"/>
        <v>5</v>
      </c>
      <c r="V164" s="43">
        <f t="shared" si="105"/>
        <v>0</v>
      </c>
      <c r="W164" s="43">
        <f t="shared" si="105"/>
        <v>0</v>
      </c>
      <c r="X164" s="43">
        <f t="shared" si="105"/>
        <v>0</v>
      </c>
      <c r="Y164" s="43">
        <f t="shared" si="105"/>
        <v>77184.386484176488</v>
      </c>
      <c r="Z164" s="43">
        <f t="shared" si="105"/>
        <v>134300.83248246709</v>
      </c>
      <c r="AB164" s="43">
        <f t="shared" si="106"/>
        <v>0</v>
      </c>
      <c r="AC164" s="43">
        <f t="shared" si="106"/>
        <v>0</v>
      </c>
      <c r="AD164" s="43">
        <f t="shared" si="106"/>
        <v>0</v>
      </c>
      <c r="AE164" s="43">
        <f t="shared" si="106"/>
        <v>6596.9561097586748</v>
      </c>
      <c r="AF164" s="43">
        <f t="shared" si="106"/>
        <v>13193.912219517348</v>
      </c>
      <c r="AH164" s="43">
        <f t="shared" si="95"/>
        <v>0</v>
      </c>
      <c r="AI164" s="43">
        <f t="shared" si="96"/>
        <v>0</v>
      </c>
      <c r="AJ164" s="43">
        <f t="shared" si="97"/>
        <v>0</v>
      </c>
      <c r="AK164" s="43">
        <f t="shared" si="98"/>
        <v>83781.342593935158</v>
      </c>
      <c r="AL164" s="43">
        <f t="shared" si="99"/>
        <v>147494.74470198443</v>
      </c>
      <c r="AN164" s="43">
        <f t="shared" si="60"/>
        <v>0</v>
      </c>
      <c r="AO164" s="43">
        <f t="shared" si="61"/>
        <v>0</v>
      </c>
      <c r="AP164" s="43">
        <f t="shared" si="62"/>
        <v>0</v>
      </c>
      <c r="AQ164" s="43">
        <f t="shared" si="63"/>
        <v>575914.26838193217</v>
      </c>
      <c r="AR164" s="43">
        <f t="shared" si="64"/>
        <v>428419.52367994771</v>
      </c>
      <c r="AT164" s="43">
        <f t="shared" si="107"/>
        <v>0</v>
      </c>
      <c r="AU164" s="43">
        <f t="shared" si="107"/>
        <v>0</v>
      </c>
      <c r="AV164" s="43">
        <f t="shared" si="107"/>
        <v>0</v>
      </c>
      <c r="AW164" s="43">
        <f t="shared" si="107"/>
        <v>6596.9561097586738</v>
      </c>
      <c r="AX164" s="43">
        <f t="shared" si="107"/>
        <v>6820.2498801617858</v>
      </c>
      <c r="AZ164" s="47">
        <f t="shared" si="100"/>
        <v>0</v>
      </c>
      <c r="BA164" s="47">
        <f t="shared" si="101"/>
        <v>0</v>
      </c>
      <c r="BB164" s="47">
        <f t="shared" si="102"/>
        <v>0</v>
      </c>
      <c r="BC164" s="47">
        <f t="shared" si="103"/>
        <v>112263.04090220726</v>
      </c>
      <c r="BD164" s="47">
        <f t="shared" si="104"/>
        <v>170594.93648198422</v>
      </c>
    </row>
    <row r="165" spans="2:56">
      <c r="B165" s="37">
        <f>'3. Input (des)investeringen '!B198</f>
        <v>1633</v>
      </c>
      <c r="C165" s="48"/>
      <c r="D165" s="48"/>
      <c r="E165" s="48"/>
      <c r="F165" s="42">
        <f>'3. Input (des)investeringen '!D198</f>
        <v>4883428.1411884353</v>
      </c>
      <c r="G165" s="48"/>
      <c r="H165" s="37">
        <f>'3. Input (des)investeringen '!F198</f>
        <v>2025</v>
      </c>
      <c r="I165" s="42" t="str">
        <f>'3. Input (des)investeringen '!G198</f>
        <v>nvt</v>
      </c>
      <c r="J165" s="42">
        <f>'3. Input (des)investeringen '!H198</f>
        <v>10</v>
      </c>
      <c r="K165" s="42">
        <f>'3. Input (des)investeringen '!I198</f>
        <v>0</v>
      </c>
      <c r="M165" s="43">
        <f t="shared" si="90"/>
        <v>0</v>
      </c>
      <c r="N165" s="43">
        <f t="shared" si="91"/>
        <v>0</v>
      </c>
      <c r="P165" s="137">
        <f t="shared" si="93"/>
        <v>0</v>
      </c>
      <c r="Q165" s="137">
        <f t="shared" si="92"/>
        <v>0</v>
      </c>
      <c r="S165" s="43">
        <f t="shared" si="53"/>
        <v>4883428.1411884353</v>
      </c>
      <c r="T165" s="38">
        <f t="shared" si="94"/>
        <v>10</v>
      </c>
      <c r="V165" s="43">
        <f t="shared" si="105"/>
        <v>0</v>
      </c>
      <c r="W165" s="43">
        <f t="shared" si="105"/>
        <v>0</v>
      </c>
      <c r="X165" s="43">
        <f t="shared" si="105"/>
        <v>0</v>
      </c>
      <c r="Y165" s="43">
        <f t="shared" si="105"/>
        <v>285680.54625952349</v>
      </c>
      <c r="Z165" s="43">
        <f t="shared" si="105"/>
        <v>534222.6215053089</v>
      </c>
      <c r="AB165" s="43">
        <f t="shared" si="106"/>
        <v>0</v>
      </c>
      <c r="AC165" s="43">
        <f t="shared" si="106"/>
        <v>0</v>
      </c>
      <c r="AD165" s="43">
        <f t="shared" si="106"/>
        <v>0</v>
      </c>
      <c r="AE165" s="43">
        <f t="shared" si="106"/>
        <v>24417.140705942176</v>
      </c>
      <c r="AF165" s="43">
        <f t="shared" si="106"/>
        <v>48834.281411884353</v>
      </c>
      <c r="AH165" s="43">
        <f t="shared" si="95"/>
        <v>0</v>
      </c>
      <c r="AI165" s="43">
        <f t="shared" si="96"/>
        <v>0</v>
      </c>
      <c r="AJ165" s="43">
        <f t="shared" si="97"/>
        <v>0</v>
      </c>
      <c r="AK165" s="43">
        <f t="shared" si="98"/>
        <v>310097.68696546566</v>
      </c>
      <c r="AL165" s="43">
        <f t="shared" si="99"/>
        <v>583056.90291719325</v>
      </c>
      <c r="AN165" s="43">
        <f t="shared" si="60"/>
        <v>0</v>
      </c>
      <c r="AO165" s="43">
        <f t="shared" si="61"/>
        <v>0</v>
      </c>
      <c r="AP165" s="43">
        <f t="shared" si="62"/>
        <v>0</v>
      </c>
      <c r="AQ165" s="43">
        <f t="shared" si="63"/>
        <v>4573330.4542229697</v>
      </c>
      <c r="AR165" s="43">
        <f t="shared" si="64"/>
        <v>3990273.5513057765</v>
      </c>
      <c r="AT165" s="43">
        <f t="shared" si="107"/>
        <v>0</v>
      </c>
      <c r="AU165" s="43">
        <f t="shared" si="107"/>
        <v>0</v>
      </c>
      <c r="AV165" s="43">
        <f t="shared" si="107"/>
        <v>0</v>
      </c>
      <c r="AW165" s="43">
        <f t="shared" si="107"/>
        <v>48834.281411884353</v>
      </c>
      <c r="AX165" s="43">
        <f t="shared" si="107"/>
        <v>50487.224169113812</v>
      </c>
      <c r="AZ165" s="47">
        <f t="shared" si="100"/>
        <v>0</v>
      </c>
      <c r="BA165" s="47">
        <f t="shared" si="101"/>
        <v>0</v>
      </c>
      <c r="BB165" s="47">
        <f t="shared" si="102"/>
        <v>0</v>
      </c>
      <c r="BC165" s="47">
        <f t="shared" si="103"/>
        <v>532718.52563782292</v>
      </c>
      <c r="BD165" s="47">
        <f t="shared" si="104"/>
        <v>785174.52203592658</v>
      </c>
    </row>
    <row r="166" spans="2:56">
      <c r="B166" s="37">
        <f>'3. Input (des)investeringen '!B199</f>
        <v>1634</v>
      </c>
      <c r="C166" s="48"/>
      <c r="D166" s="48"/>
      <c r="E166" s="48"/>
      <c r="F166" s="42">
        <f>'3. Input (des)investeringen '!D199</f>
        <v>7991224.8122066045</v>
      </c>
      <c r="G166" s="48"/>
      <c r="H166" s="37">
        <f>'3. Input (des)investeringen '!F199</f>
        <v>2025</v>
      </c>
      <c r="I166" s="42" t="str">
        <f>'3. Input (des)investeringen '!G199</f>
        <v>nvt</v>
      </c>
      <c r="J166" s="42">
        <f>'3. Input (des)investeringen '!H199</f>
        <v>15</v>
      </c>
      <c r="K166" s="42">
        <f>'3. Input (des)investeringen '!I199</f>
        <v>0</v>
      </c>
      <c r="M166" s="43">
        <f t="shared" si="90"/>
        <v>0</v>
      </c>
      <c r="N166" s="43">
        <f t="shared" si="91"/>
        <v>0</v>
      </c>
      <c r="P166" s="137">
        <f t="shared" si="93"/>
        <v>0</v>
      </c>
      <c r="Q166" s="137">
        <f t="shared" si="92"/>
        <v>0</v>
      </c>
      <c r="S166" s="43">
        <f t="shared" si="53"/>
        <v>7991224.8122066045</v>
      </c>
      <c r="T166" s="38">
        <f t="shared" si="94"/>
        <v>15</v>
      </c>
      <c r="V166" s="43">
        <f t="shared" si="105"/>
        <v>0</v>
      </c>
      <c r="W166" s="43">
        <f t="shared" si="105"/>
        <v>0</v>
      </c>
      <c r="X166" s="43">
        <f t="shared" si="105"/>
        <v>0</v>
      </c>
      <c r="Y166" s="43">
        <f t="shared" si="105"/>
        <v>311657.76767605759</v>
      </c>
      <c r="Z166" s="43">
        <f t="shared" si="105"/>
        <v>596305.19548685686</v>
      </c>
      <c r="AB166" s="43">
        <f t="shared" si="106"/>
        <v>0</v>
      </c>
      <c r="AC166" s="43">
        <f t="shared" si="106"/>
        <v>0</v>
      </c>
      <c r="AD166" s="43">
        <f t="shared" si="106"/>
        <v>0</v>
      </c>
      <c r="AE166" s="43">
        <f t="shared" si="106"/>
        <v>26637.416040688684</v>
      </c>
      <c r="AF166" s="43">
        <f t="shared" si="106"/>
        <v>53274.832081377368</v>
      </c>
      <c r="AH166" s="43">
        <f t="shared" si="95"/>
        <v>0</v>
      </c>
      <c r="AI166" s="43">
        <f t="shared" si="96"/>
        <v>0</v>
      </c>
      <c r="AJ166" s="43">
        <f t="shared" si="97"/>
        <v>0</v>
      </c>
      <c r="AK166" s="43">
        <f t="shared" si="98"/>
        <v>338295.18371674628</v>
      </c>
      <c r="AL166" s="43">
        <f t="shared" si="99"/>
        <v>649580.02756823425</v>
      </c>
      <c r="AN166" s="43">
        <f t="shared" si="60"/>
        <v>0</v>
      </c>
      <c r="AO166" s="43">
        <f t="shared" si="61"/>
        <v>0</v>
      </c>
      <c r="AP166" s="43">
        <f t="shared" si="62"/>
        <v>0</v>
      </c>
      <c r="AQ166" s="43">
        <f t="shared" si="63"/>
        <v>7652929.6284898585</v>
      </c>
      <c r="AR166" s="43">
        <f t="shared" si="64"/>
        <v>7003349.6009216243</v>
      </c>
      <c r="AT166" s="43">
        <f t="shared" si="107"/>
        <v>0</v>
      </c>
      <c r="AU166" s="43">
        <f t="shared" si="107"/>
        <v>0</v>
      </c>
      <c r="AV166" s="43">
        <f t="shared" si="107"/>
        <v>0</v>
      </c>
      <c r="AW166" s="43">
        <f t="shared" si="107"/>
        <v>79912.248122066041</v>
      </c>
      <c r="AX166" s="43">
        <f t="shared" si="107"/>
        <v>82617.117896501746</v>
      </c>
      <c r="AZ166" s="47">
        <f t="shared" si="100"/>
        <v>0</v>
      </c>
      <c r="BA166" s="47">
        <f t="shared" si="101"/>
        <v>0</v>
      </c>
      <c r="BB166" s="47">
        <f t="shared" si="102"/>
        <v>0</v>
      </c>
      <c r="BC166" s="47">
        <f t="shared" si="103"/>
        <v>709018.7577214269</v>
      </c>
      <c r="BD166" s="47">
        <f t="shared" si="104"/>
        <v>998324.43029975775</v>
      </c>
    </row>
    <row r="167" spans="2:56">
      <c r="B167" s="37">
        <f>'3. Input (des)investeringen '!B200</f>
        <v>1635</v>
      </c>
      <c r="C167" s="48"/>
      <c r="D167" s="48"/>
      <c r="E167" s="48"/>
      <c r="F167" s="42">
        <f>'3. Input (des)investeringen '!D200</f>
        <v>7928966.50303555</v>
      </c>
      <c r="G167" s="48"/>
      <c r="H167" s="37">
        <f>'3. Input (des)investeringen '!F200</f>
        <v>2025</v>
      </c>
      <c r="I167" s="42" t="str">
        <f>'3. Input (des)investeringen '!G200</f>
        <v>nvt</v>
      </c>
      <c r="J167" s="42">
        <f>'3. Input (des)investeringen '!H200</f>
        <v>30</v>
      </c>
      <c r="K167" s="42">
        <f>'3. Input (des)investeringen '!I200</f>
        <v>0</v>
      </c>
      <c r="M167" s="43">
        <f t="shared" si="90"/>
        <v>0</v>
      </c>
      <c r="N167" s="43">
        <f t="shared" si="91"/>
        <v>0</v>
      </c>
      <c r="P167" s="137">
        <f t="shared" si="93"/>
        <v>0</v>
      </c>
      <c r="Q167" s="137">
        <f t="shared" si="92"/>
        <v>0</v>
      </c>
      <c r="S167" s="43">
        <f t="shared" si="53"/>
        <v>7928966.50303555</v>
      </c>
      <c r="T167" s="38">
        <f t="shared" si="94"/>
        <v>30</v>
      </c>
      <c r="V167" s="43">
        <f t="shared" si="105"/>
        <v>0</v>
      </c>
      <c r="W167" s="43">
        <f t="shared" si="105"/>
        <v>0</v>
      </c>
      <c r="X167" s="43">
        <f t="shared" si="105"/>
        <v>0</v>
      </c>
      <c r="Y167" s="43">
        <f t="shared" si="105"/>
        <v>154614.84680919323</v>
      </c>
      <c r="Z167" s="43">
        <f t="shared" si="105"/>
        <v>302529.71692332142</v>
      </c>
      <c r="AB167" s="43">
        <f t="shared" si="106"/>
        <v>0</v>
      </c>
      <c r="AC167" s="43">
        <f t="shared" si="106"/>
        <v>0</v>
      </c>
      <c r="AD167" s="43">
        <f t="shared" si="106"/>
        <v>0</v>
      </c>
      <c r="AE167" s="43">
        <f t="shared" si="106"/>
        <v>13214.944171725918</v>
      </c>
      <c r="AF167" s="43">
        <f t="shared" si="106"/>
        <v>26429.888343451836</v>
      </c>
      <c r="AH167" s="43">
        <f t="shared" si="95"/>
        <v>0</v>
      </c>
      <c r="AI167" s="43">
        <f t="shared" si="96"/>
        <v>0</v>
      </c>
      <c r="AJ167" s="43">
        <f t="shared" si="97"/>
        <v>0</v>
      </c>
      <c r="AK167" s="43">
        <f t="shared" si="98"/>
        <v>167829.79098091915</v>
      </c>
      <c r="AL167" s="43">
        <f t="shared" si="99"/>
        <v>328959.60526677326</v>
      </c>
      <c r="AN167" s="43">
        <f t="shared" si="60"/>
        <v>0</v>
      </c>
      <c r="AO167" s="43">
        <f t="shared" si="61"/>
        <v>0</v>
      </c>
      <c r="AP167" s="43">
        <f t="shared" si="62"/>
        <v>0</v>
      </c>
      <c r="AQ167" s="43">
        <f t="shared" si="63"/>
        <v>7761136.7120546307</v>
      </c>
      <c r="AR167" s="43">
        <f t="shared" si="64"/>
        <v>7432177.1067878576</v>
      </c>
      <c r="AT167" s="43">
        <f t="shared" si="107"/>
        <v>0</v>
      </c>
      <c r="AU167" s="43">
        <f t="shared" si="107"/>
        <v>0</v>
      </c>
      <c r="AV167" s="43">
        <f t="shared" si="107"/>
        <v>0</v>
      </c>
      <c r="AW167" s="43">
        <f t="shared" si="107"/>
        <v>79289.665030355507</v>
      </c>
      <c r="AX167" s="43">
        <f t="shared" si="107"/>
        <v>81973.46161230297</v>
      </c>
      <c r="AZ167" s="47">
        <f t="shared" si="100"/>
        <v>0</v>
      </c>
      <c r="BA167" s="47">
        <f t="shared" si="101"/>
        <v>0</v>
      </c>
      <c r="BB167" s="47">
        <f t="shared" si="102"/>
        <v>0</v>
      </c>
      <c r="BC167" s="47">
        <f t="shared" si="103"/>
        <v>542042.65106935054</v>
      </c>
      <c r="BD167" s="47">
        <f t="shared" si="104"/>
        <v>693355.79693701479</v>
      </c>
    </row>
    <row r="168" spans="2:56">
      <c r="B168" s="37">
        <f>'3. Input (des)investeringen '!B201</f>
        <v>1636</v>
      </c>
      <c r="C168" s="48"/>
      <c r="D168" s="48"/>
      <c r="E168" s="48"/>
      <c r="F168" s="42">
        <f>'3. Input (des)investeringen '!D201</f>
        <v>0</v>
      </c>
      <c r="G168" s="48"/>
      <c r="H168" s="37">
        <f>'3. Input (des)investeringen '!F201</f>
        <v>2025</v>
      </c>
      <c r="I168" s="42" t="str">
        <f>'3. Input (des)investeringen '!G201</f>
        <v>nvt</v>
      </c>
      <c r="J168" s="42">
        <f>'3. Input (des)investeringen '!H201</f>
        <v>55</v>
      </c>
      <c r="K168" s="42">
        <f>'3. Input (des)investeringen '!I201</f>
        <v>0</v>
      </c>
      <c r="M168" s="43">
        <f t="shared" si="90"/>
        <v>0</v>
      </c>
      <c r="N168" s="43">
        <f t="shared" si="91"/>
        <v>0</v>
      </c>
      <c r="P168" s="137">
        <f t="shared" si="93"/>
        <v>0</v>
      </c>
      <c r="Q168" s="137">
        <f t="shared" si="92"/>
        <v>0</v>
      </c>
      <c r="S168" s="43">
        <f t="shared" si="53"/>
        <v>0</v>
      </c>
      <c r="T168" s="38">
        <f t="shared" si="94"/>
        <v>55</v>
      </c>
      <c r="V168" s="43">
        <f t="shared" si="105"/>
        <v>0</v>
      </c>
      <c r="W168" s="43">
        <f t="shared" si="105"/>
        <v>0</v>
      </c>
      <c r="X168" s="43">
        <f t="shared" si="105"/>
        <v>0</v>
      </c>
      <c r="Y168" s="43">
        <f t="shared" si="105"/>
        <v>0</v>
      </c>
      <c r="Z168" s="43">
        <f t="shared" si="105"/>
        <v>0</v>
      </c>
      <c r="AB168" s="43">
        <f t="shared" si="106"/>
        <v>0</v>
      </c>
      <c r="AC168" s="43">
        <f t="shared" si="106"/>
        <v>0</v>
      </c>
      <c r="AD168" s="43">
        <f t="shared" si="106"/>
        <v>0</v>
      </c>
      <c r="AE168" s="43">
        <f t="shared" si="106"/>
        <v>0</v>
      </c>
      <c r="AF168" s="43">
        <f t="shared" si="106"/>
        <v>0</v>
      </c>
      <c r="AH168" s="43">
        <f t="shared" si="95"/>
        <v>0</v>
      </c>
      <c r="AI168" s="43">
        <f t="shared" si="96"/>
        <v>0</v>
      </c>
      <c r="AJ168" s="43">
        <f t="shared" si="97"/>
        <v>0</v>
      </c>
      <c r="AK168" s="43">
        <f t="shared" si="98"/>
        <v>0</v>
      </c>
      <c r="AL168" s="43">
        <f t="shared" si="99"/>
        <v>0</v>
      </c>
      <c r="AN168" s="43">
        <f t="shared" si="60"/>
        <v>0</v>
      </c>
      <c r="AO168" s="43">
        <f t="shared" si="61"/>
        <v>0</v>
      </c>
      <c r="AP168" s="43">
        <f t="shared" si="62"/>
        <v>0</v>
      </c>
      <c r="AQ168" s="43">
        <f t="shared" si="63"/>
        <v>0</v>
      </c>
      <c r="AR168" s="43">
        <f t="shared" si="64"/>
        <v>0</v>
      </c>
      <c r="AT168" s="43">
        <f t="shared" si="107"/>
        <v>0</v>
      </c>
      <c r="AU168" s="43">
        <f t="shared" si="107"/>
        <v>0</v>
      </c>
      <c r="AV168" s="43">
        <f t="shared" si="107"/>
        <v>0</v>
      </c>
      <c r="AW168" s="43">
        <f t="shared" si="107"/>
        <v>0</v>
      </c>
      <c r="AX168" s="43">
        <f t="shared" si="107"/>
        <v>0</v>
      </c>
      <c r="AZ168" s="47">
        <f t="shared" si="100"/>
        <v>0</v>
      </c>
      <c r="BA168" s="47">
        <f t="shared" si="101"/>
        <v>0</v>
      </c>
      <c r="BB168" s="47">
        <f t="shared" si="102"/>
        <v>0</v>
      </c>
      <c r="BC168" s="47">
        <f t="shared" si="103"/>
        <v>0</v>
      </c>
      <c r="BD168" s="47">
        <f t="shared" si="104"/>
        <v>0</v>
      </c>
    </row>
    <row r="169" spans="2:56">
      <c r="B169" s="37">
        <f>'3. Input (des)investeringen '!B202</f>
        <v>1637</v>
      </c>
      <c r="C169" s="48"/>
      <c r="D169" s="48"/>
      <c r="E169" s="48"/>
      <c r="F169" s="42">
        <f>'3. Input (des)investeringen '!D202</f>
        <v>0</v>
      </c>
      <c r="G169" s="48"/>
      <c r="H169" s="37">
        <f>'3. Input (des)investeringen '!F202</f>
        <v>2026</v>
      </c>
      <c r="I169" s="42" t="str">
        <f>'3. Input (des)investeringen '!G202</f>
        <v>nvt</v>
      </c>
      <c r="J169" s="42">
        <f>'3. Input (des)investeringen '!H202</f>
        <v>0</v>
      </c>
      <c r="K169" s="42">
        <f>'3. Input (des)investeringen '!I202</f>
        <v>1</v>
      </c>
      <c r="M169" s="43">
        <f t="shared" si="90"/>
        <v>0</v>
      </c>
      <c r="N169" s="43">
        <f t="shared" si="91"/>
        <v>0</v>
      </c>
      <c r="P169" s="137">
        <f t="shared" si="93"/>
        <v>0</v>
      </c>
      <c r="Q169" s="137">
        <f t="shared" si="92"/>
        <v>0</v>
      </c>
      <c r="S169" s="43">
        <f t="shared" si="53"/>
        <v>0</v>
      </c>
      <c r="T169" s="38">
        <f t="shared" si="94"/>
        <v>0</v>
      </c>
      <c r="V169" s="43">
        <f t="shared" si="105"/>
        <v>0</v>
      </c>
      <c r="W169" s="43">
        <f t="shared" si="105"/>
        <v>0</v>
      </c>
      <c r="X169" s="43">
        <f t="shared" si="105"/>
        <v>0</v>
      </c>
      <c r="Y169" s="43">
        <f t="shared" si="105"/>
        <v>0</v>
      </c>
      <c r="Z169" s="43">
        <f t="shared" si="105"/>
        <v>0</v>
      </c>
      <c r="AB169" s="43">
        <f t="shared" si="106"/>
        <v>0</v>
      </c>
      <c r="AC169" s="43">
        <f t="shared" si="106"/>
        <v>0</v>
      </c>
      <c r="AD169" s="43">
        <f t="shared" si="106"/>
        <v>0</v>
      </c>
      <c r="AE169" s="43">
        <f t="shared" si="106"/>
        <v>0</v>
      </c>
      <c r="AF169" s="43">
        <f t="shared" si="106"/>
        <v>0</v>
      </c>
      <c r="AH169" s="43">
        <f t="shared" si="95"/>
        <v>0</v>
      </c>
      <c r="AI169" s="43">
        <f t="shared" si="96"/>
        <v>0</v>
      </c>
      <c r="AJ169" s="43">
        <f t="shared" si="97"/>
        <v>0</v>
      </c>
      <c r="AK169" s="43">
        <f t="shared" si="98"/>
        <v>0</v>
      </c>
      <c r="AL169" s="43">
        <f t="shared" si="99"/>
        <v>0</v>
      </c>
      <c r="AN169" s="43">
        <f t="shared" si="60"/>
        <v>0</v>
      </c>
      <c r="AO169" s="43">
        <f t="shared" si="61"/>
        <v>0</v>
      </c>
      <c r="AP169" s="43">
        <f t="shared" si="62"/>
        <v>0</v>
      </c>
      <c r="AQ169" s="43">
        <f t="shared" si="63"/>
        <v>0</v>
      </c>
      <c r="AR169" s="43">
        <f t="shared" si="64"/>
        <v>0</v>
      </c>
      <c r="AT169" s="43">
        <f t="shared" si="107"/>
        <v>0</v>
      </c>
      <c r="AU169" s="43">
        <f t="shared" si="107"/>
        <v>0</v>
      </c>
      <c r="AV169" s="43">
        <f t="shared" si="107"/>
        <v>0</v>
      </c>
      <c r="AW169" s="43">
        <f t="shared" si="107"/>
        <v>0</v>
      </c>
      <c r="AX169" s="43">
        <f t="shared" si="107"/>
        <v>0</v>
      </c>
      <c r="AZ169" s="47">
        <f t="shared" si="100"/>
        <v>0</v>
      </c>
      <c r="BA169" s="47">
        <f t="shared" si="101"/>
        <v>0</v>
      </c>
      <c r="BB169" s="47">
        <f t="shared" si="102"/>
        <v>0</v>
      </c>
      <c r="BC169" s="47">
        <f t="shared" si="103"/>
        <v>0</v>
      </c>
      <c r="BD169" s="47">
        <f t="shared" si="104"/>
        <v>0</v>
      </c>
    </row>
    <row r="170" spans="2:56">
      <c r="B170" s="37">
        <f>'3. Input (des)investeringen '!B203</f>
        <v>1638</v>
      </c>
      <c r="C170" s="48"/>
      <c r="D170" s="48"/>
      <c r="E170" s="48"/>
      <c r="F170" s="42">
        <f>'3. Input (des)investeringen '!D203</f>
        <v>17780958.582841545</v>
      </c>
      <c r="G170" s="48"/>
      <c r="H170" s="37">
        <f>'3. Input (des)investeringen '!F203</f>
        <v>2026</v>
      </c>
      <c r="I170" s="42" t="str">
        <f>'3. Input (des)investeringen '!G203</f>
        <v>nvt</v>
      </c>
      <c r="J170" s="42">
        <f>'3. Input (des)investeringen '!H203</f>
        <v>5</v>
      </c>
      <c r="K170" s="42">
        <f>'3. Input (des)investeringen '!I203</f>
        <v>1</v>
      </c>
      <c r="M170" s="43">
        <f t="shared" si="90"/>
        <v>0</v>
      </c>
      <c r="N170" s="43">
        <f t="shared" si="91"/>
        <v>0</v>
      </c>
      <c r="P170" s="137">
        <f t="shared" si="93"/>
        <v>0</v>
      </c>
      <c r="Q170" s="137">
        <f t="shared" si="92"/>
        <v>0</v>
      </c>
      <c r="S170" s="43">
        <f t="shared" si="53"/>
        <v>17780958.582841545</v>
      </c>
      <c r="T170" s="38">
        <f t="shared" si="94"/>
        <v>5</v>
      </c>
      <c r="V170" s="43">
        <f t="shared" si="105"/>
        <v>0</v>
      </c>
      <c r="W170" s="43">
        <f t="shared" si="105"/>
        <v>0</v>
      </c>
      <c r="X170" s="43">
        <f t="shared" si="105"/>
        <v>0</v>
      </c>
      <c r="Y170" s="43">
        <f t="shared" si="105"/>
        <v>0</v>
      </c>
      <c r="Z170" s="43">
        <f t="shared" si="105"/>
        <v>2080372.1541924609</v>
      </c>
      <c r="AB170" s="43">
        <f t="shared" si="106"/>
        <v>0</v>
      </c>
      <c r="AC170" s="43">
        <f t="shared" si="106"/>
        <v>0</v>
      </c>
      <c r="AD170" s="43">
        <f t="shared" si="106"/>
        <v>0</v>
      </c>
      <c r="AE170" s="43">
        <f t="shared" si="106"/>
        <v>0</v>
      </c>
      <c r="AF170" s="43">
        <f t="shared" si="106"/>
        <v>177809.58582841547</v>
      </c>
      <c r="AH170" s="43">
        <f t="shared" si="95"/>
        <v>0</v>
      </c>
      <c r="AI170" s="43">
        <f t="shared" si="96"/>
        <v>0</v>
      </c>
      <c r="AJ170" s="43">
        <f t="shared" si="97"/>
        <v>0</v>
      </c>
      <c r="AK170" s="43">
        <f t="shared" si="98"/>
        <v>0</v>
      </c>
      <c r="AL170" s="43">
        <f t="shared" si="99"/>
        <v>2258181.7400208763</v>
      </c>
      <c r="AN170" s="43">
        <f t="shared" si="60"/>
        <v>0</v>
      </c>
      <c r="AO170" s="43">
        <f t="shared" si="61"/>
        <v>0</v>
      </c>
      <c r="AP170" s="43">
        <f t="shared" si="62"/>
        <v>0</v>
      </c>
      <c r="AQ170" s="43">
        <f t="shared" si="63"/>
        <v>0</v>
      </c>
      <c r="AR170" s="43">
        <f t="shared" si="64"/>
        <v>15522776.842820669</v>
      </c>
      <c r="AT170" s="43">
        <f t="shared" si="107"/>
        <v>0</v>
      </c>
      <c r="AU170" s="43">
        <f t="shared" si="107"/>
        <v>0</v>
      </c>
      <c r="AV170" s="43">
        <f t="shared" si="107"/>
        <v>0</v>
      </c>
      <c r="AW170" s="43">
        <f t="shared" si="107"/>
        <v>0</v>
      </c>
      <c r="AX170" s="43">
        <f t="shared" si="107"/>
        <v>177809.58582841547</v>
      </c>
      <c r="AZ170" s="47">
        <f t="shared" si="100"/>
        <v>0</v>
      </c>
      <c r="BA170" s="47">
        <f t="shared" si="101"/>
        <v>0</v>
      </c>
      <c r="BB170" s="47">
        <f t="shared" si="102"/>
        <v>0</v>
      </c>
      <c r="BC170" s="47">
        <f t="shared" si="103"/>
        <v>0</v>
      </c>
      <c r="BD170" s="47">
        <f t="shared" si="104"/>
        <v>3025856.8458764772</v>
      </c>
    </row>
    <row r="171" spans="2:56">
      <c r="B171" s="37">
        <f>'3. Input (des)investeringen '!B204</f>
        <v>1639</v>
      </c>
      <c r="C171" s="48"/>
      <c r="D171" s="48"/>
      <c r="E171" s="48"/>
      <c r="F171" s="42">
        <f>'3. Input (des)investeringen '!D204</f>
        <v>5393348.681022618</v>
      </c>
      <c r="G171" s="48"/>
      <c r="H171" s="37">
        <f>'3. Input (des)investeringen '!F204</f>
        <v>2026</v>
      </c>
      <c r="I171" s="42" t="str">
        <f>'3. Input (des)investeringen '!G204</f>
        <v>nvt</v>
      </c>
      <c r="J171" s="42">
        <f>'3. Input (des)investeringen '!H204</f>
        <v>10</v>
      </c>
      <c r="K171" s="42">
        <f>'3. Input (des)investeringen '!I204</f>
        <v>1</v>
      </c>
      <c r="M171" s="43">
        <f t="shared" si="90"/>
        <v>0</v>
      </c>
      <c r="N171" s="43">
        <f t="shared" si="91"/>
        <v>0</v>
      </c>
      <c r="P171" s="137">
        <f t="shared" si="93"/>
        <v>0</v>
      </c>
      <c r="Q171" s="137">
        <f t="shared" si="92"/>
        <v>0</v>
      </c>
      <c r="S171" s="43">
        <f t="shared" si="53"/>
        <v>5393348.681022618</v>
      </c>
      <c r="T171" s="38">
        <f t="shared" si="94"/>
        <v>10</v>
      </c>
      <c r="V171" s="43">
        <f t="shared" ref="V171:Z180" si="108">IF($J171=0, 0, IF(OR($H171&gt;V$59,$H171+$J171&lt;V$59),0,
IF(OR($H171=2020,$H171=2021),VDB($S171*(1-$F$28),0,$T171,V$59-2022,MIN($T171,V$59-2021),$F$22,FALSE),
VDB($S171*(1-$F$28),0,$T171,MAX(0,V$59-$H171-0.5),MIN($T171,V$59-$H171+0.5),$F$22,FALSE))))</f>
        <v>0</v>
      </c>
      <c r="W171" s="43">
        <f t="shared" si="108"/>
        <v>0</v>
      </c>
      <c r="X171" s="43">
        <f t="shared" si="108"/>
        <v>0</v>
      </c>
      <c r="Y171" s="43">
        <f t="shared" si="108"/>
        <v>0</v>
      </c>
      <c r="Z171" s="43">
        <f t="shared" si="108"/>
        <v>315510.89783982316</v>
      </c>
      <c r="AB171" s="43">
        <f t="shared" ref="AB171:AF180" si="109">IF($J171=0, 0, IF(OR($H171&gt;AB$59,$H171+$J171&lt;AB$59),0,
IF(OR($H171=2020,$H171=2021),VDB($S171*$F$28,0,$T171,AB$59-2022,MIN($T171,AB$59-2021),1),
VDB($S171*$F$28,0,$T171,MAX(0,AB$59-$H171-0.5),MIN($T171,AB$59-$H171+0.5),1))))</f>
        <v>0</v>
      </c>
      <c r="AC171" s="43">
        <f t="shared" si="109"/>
        <v>0</v>
      </c>
      <c r="AD171" s="43">
        <f t="shared" si="109"/>
        <v>0</v>
      </c>
      <c r="AE171" s="43">
        <f t="shared" si="109"/>
        <v>0</v>
      </c>
      <c r="AF171" s="43">
        <f t="shared" si="109"/>
        <v>26966.743405113091</v>
      </c>
      <c r="AH171" s="43">
        <f t="shared" si="95"/>
        <v>0</v>
      </c>
      <c r="AI171" s="43">
        <f t="shared" si="96"/>
        <v>0</v>
      </c>
      <c r="AJ171" s="43">
        <f t="shared" si="97"/>
        <v>0</v>
      </c>
      <c r="AK171" s="43">
        <f t="shared" si="98"/>
        <v>0</v>
      </c>
      <c r="AL171" s="43">
        <f t="shared" si="99"/>
        <v>342477.64124493627</v>
      </c>
      <c r="AN171" s="43">
        <f t="shared" si="60"/>
        <v>0</v>
      </c>
      <c r="AO171" s="43">
        <f t="shared" si="61"/>
        <v>0</v>
      </c>
      <c r="AP171" s="43">
        <f t="shared" si="62"/>
        <v>0</v>
      </c>
      <c r="AQ171" s="43">
        <f t="shared" si="63"/>
        <v>0</v>
      </c>
      <c r="AR171" s="43">
        <f t="shared" si="64"/>
        <v>5050871.0397776812</v>
      </c>
      <c r="AT171" s="43">
        <f t="shared" ref="AT171:AX180" si="110">IF($H171&lt;=AT$59,$F171*INDEX($H$40:$N$46,$H171-2019,AT$59-2019)*INDEX($H$49:$N$55,$H171-2019,AT$59-2019)*$F$19,0)</f>
        <v>0</v>
      </c>
      <c r="AU171" s="43">
        <f t="shared" si="110"/>
        <v>0</v>
      </c>
      <c r="AV171" s="43">
        <f t="shared" si="110"/>
        <v>0</v>
      </c>
      <c r="AW171" s="43">
        <f t="shared" si="110"/>
        <v>0</v>
      </c>
      <c r="AX171" s="43">
        <f t="shared" si="110"/>
        <v>53933.486810226183</v>
      </c>
      <c r="AZ171" s="47">
        <f t="shared" si="100"/>
        <v>0</v>
      </c>
      <c r="BA171" s="47">
        <f t="shared" si="101"/>
        <v>0</v>
      </c>
      <c r="BB171" s="47">
        <f t="shared" si="102"/>
        <v>0</v>
      </c>
      <c r="BC171" s="47">
        <f t="shared" si="103"/>
        <v>0</v>
      </c>
      <c r="BD171" s="47">
        <f t="shared" si="104"/>
        <v>588344.2275667144</v>
      </c>
    </row>
    <row r="172" spans="2:56">
      <c r="B172" s="37">
        <f>'3. Input (des)investeringen '!B205</f>
        <v>1640</v>
      </c>
      <c r="C172" s="48"/>
      <c r="D172" s="48"/>
      <c r="E172" s="48"/>
      <c r="F172" s="42">
        <f>'3. Input (des)investeringen '!D205</f>
        <v>25440067.393025532</v>
      </c>
      <c r="G172" s="48"/>
      <c r="H172" s="37">
        <f>'3. Input (des)investeringen '!F205</f>
        <v>2026</v>
      </c>
      <c r="I172" s="42" t="str">
        <f>'3. Input (des)investeringen '!G205</f>
        <v>nvt</v>
      </c>
      <c r="J172" s="42">
        <f>'3. Input (des)investeringen '!H205</f>
        <v>15</v>
      </c>
      <c r="K172" s="42">
        <f>'3. Input (des)investeringen '!I205</f>
        <v>1</v>
      </c>
      <c r="M172" s="43">
        <f t="shared" si="90"/>
        <v>0</v>
      </c>
      <c r="N172" s="43">
        <f t="shared" si="91"/>
        <v>0</v>
      </c>
      <c r="P172" s="137">
        <f t="shared" si="93"/>
        <v>0</v>
      </c>
      <c r="Q172" s="137">
        <f t="shared" si="92"/>
        <v>0</v>
      </c>
      <c r="S172" s="43">
        <f t="shared" si="53"/>
        <v>25440067.393025532</v>
      </c>
      <c r="T172" s="38">
        <f t="shared" si="94"/>
        <v>15</v>
      </c>
      <c r="V172" s="43">
        <f t="shared" si="108"/>
        <v>0</v>
      </c>
      <c r="W172" s="43">
        <f t="shared" si="108"/>
        <v>0</v>
      </c>
      <c r="X172" s="43">
        <f t="shared" si="108"/>
        <v>0</v>
      </c>
      <c r="Y172" s="43">
        <f t="shared" si="108"/>
        <v>0</v>
      </c>
      <c r="Z172" s="43">
        <f t="shared" si="108"/>
        <v>992162.62832799577</v>
      </c>
      <c r="AB172" s="43">
        <f t="shared" si="109"/>
        <v>0</v>
      </c>
      <c r="AC172" s="43">
        <f t="shared" si="109"/>
        <v>0</v>
      </c>
      <c r="AD172" s="43">
        <f t="shared" si="109"/>
        <v>0</v>
      </c>
      <c r="AE172" s="43">
        <f t="shared" si="109"/>
        <v>0</v>
      </c>
      <c r="AF172" s="43">
        <f t="shared" si="109"/>
        <v>84800.224643418434</v>
      </c>
      <c r="AH172" s="43">
        <f t="shared" si="95"/>
        <v>0</v>
      </c>
      <c r="AI172" s="43">
        <f t="shared" si="96"/>
        <v>0</v>
      </c>
      <c r="AJ172" s="43">
        <f t="shared" si="97"/>
        <v>0</v>
      </c>
      <c r="AK172" s="43">
        <f t="shared" si="98"/>
        <v>0</v>
      </c>
      <c r="AL172" s="43">
        <f t="shared" si="99"/>
        <v>1076962.8529714141</v>
      </c>
      <c r="AN172" s="43">
        <f t="shared" si="60"/>
        <v>0</v>
      </c>
      <c r="AO172" s="43">
        <f t="shared" si="61"/>
        <v>0</v>
      </c>
      <c r="AP172" s="43">
        <f t="shared" si="62"/>
        <v>0</v>
      </c>
      <c r="AQ172" s="43">
        <f t="shared" si="63"/>
        <v>0</v>
      </c>
      <c r="AR172" s="43">
        <f t="shared" si="64"/>
        <v>24363104.54005412</v>
      </c>
      <c r="AT172" s="43">
        <f t="shared" si="110"/>
        <v>0</v>
      </c>
      <c r="AU172" s="43">
        <f t="shared" si="110"/>
        <v>0</v>
      </c>
      <c r="AV172" s="43">
        <f t="shared" si="110"/>
        <v>0</v>
      </c>
      <c r="AW172" s="43">
        <f t="shared" si="110"/>
        <v>0</v>
      </c>
      <c r="AX172" s="43">
        <f t="shared" si="110"/>
        <v>254400.67393025532</v>
      </c>
      <c r="AZ172" s="47">
        <f t="shared" si="100"/>
        <v>0</v>
      </c>
      <c r="BA172" s="47">
        <f t="shared" si="101"/>
        <v>0</v>
      </c>
      <c r="BB172" s="47">
        <f t="shared" si="102"/>
        <v>0</v>
      </c>
      <c r="BC172" s="47">
        <f t="shared" si="103"/>
        <v>0</v>
      </c>
      <c r="BD172" s="47">
        <f t="shared" si="104"/>
        <v>2257161.499423726</v>
      </c>
    </row>
    <row r="173" spans="2:56">
      <c r="B173" s="37">
        <f>'3. Input (des)investeringen '!B206</f>
        <v>1641</v>
      </c>
      <c r="C173" s="48"/>
      <c r="D173" s="48"/>
      <c r="E173" s="48"/>
      <c r="F173" s="42">
        <f>'3. Input (des)investeringen '!D206</f>
        <v>31245735.885589555</v>
      </c>
      <c r="G173" s="48"/>
      <c r="H173" s="37">
        <f>'3. Input (des)investeringen '!F206</f>
        <v>2026</v>
      </c>
      <c r="I173" s="42" t="str">
        <f>'3. Input (des)investeringen '!G206</f>
        <v>nvt</v>
      </c>
      <c r="J173" s="42">
        <f>'3. Input (des)investeringen '!H206</f>
        <v>30</v>
      </c>
      <c r="K173" s="42">
        <f>'3. Input (des)investeringen '!I206</f>
        <v>1</v>
      </c>
      <c r="M173" s="43">
        <f t="shared" si="90"/>
        <v>0</v>
      </c>
      <c r="N173" s="43">
        <f t="shared" si="91"/>
        <v>0</v>
      </c>
      <c r="P173" s="137">
        <f t="shared" si="93"/>
        <v>0</v>
      </c>
      <c r="Q173" s="137">
        <f t="shared" si="92"/>
        <v>0</v>
      </c>
      <c r="S173" s="43">
        <f t="shared" si="53"/>
        <v>31245735.885589555</v>
      </c>
      <c r="T173" s="38">
        <f t="shared" si="94"/>
        <v>30</v>
      </c>
      <c r="V173" s="43">
        <f t="shared" si="108"/>
        <v>0</v>
      </c>
      <c r="W173" s="43">
        <f t="shared" si="108"/>
        <v>0</v>
      </c>
      <c r="X173" s="43">
        <f t="shared" si="108"/>
        <v>0</v>
      </c>
      <c r="Y173" s="43">
        <f t="shared" si="108"/>
        <v>0</v>
      </c>
      <c r="Z173" s="43">
        <f t="shared" si="108"/>
        <v>609291.84976899636</v>
      </c>
      <c r="AB173" s="43">
        <f t="shared" si="109"/>
        <v>0</v>
      </c>
      <c r="AC173" s="43">
        <f t="shared" si="109"/>
        <v>0</v>
      </c>
      <c r="AD173" s="43">
        <f t="shared" si="109"/>
        <v>0</v>
      </c>
      <c r="AE173" s="43">
        <f t="shared" si="109"/>
        <v>0</v>
      </c>
      <c r="AF173" s="43">
        <f t="shared" si="109"/>
        <v>52076.226475982592</v>
      </c>
      <c r="AH173" s="43">
        <f t="shared" si="95"/>
        <v>0</v>
      </c>
      <c r="AI173" s="43">
        <f t="shared" si="96"/>
        <v>0</v>
      </c>
      <c r="AJ173" s="43">
        <f t="shared" si="97"/>
        <v>0</v>
      </c>
      <c r="AK173" s="43">
        <f t="shared" si="98"/>
        <v>0</v>
      </c>
      <c r="AL173" s="43">
        <f t="shared" si="99"/>
        <v>661368.07624497893</v>
      </c>
      <c r="AN173" s="43">
        <f t="shared" si="60"/>
        <v>0</v>
      </c>
      <c r="AO173" s="43">
        <f t="shared" si="61"/>
        <v>0</v>
      </c>
      <c r="AP173" s="43">
        <f t="shared" si="62"/>
        <v>0</v>
      </c>
      <c r="AQ173" s="43">
        <f t="shared" si="63"/>
        <v>0</v>
      </c>
      <c r="AR173" s="43">
        <f t="shared" si="64"/>
        <v>30584367.809344575</v>
      </c>
      <c r="AT173" s="43">
        <f t="shared" si="110"/>
        <v>0</v>
      </c>
      <c r="AU173" s="43">
        <f t="shared" si="110"/>
        <v>0</v>
      </c>
      <c r="AV173" s="43">
        <f t="shared" si="110"/>
        <v>0</v>
      </c>
      <c r="AW173" s="43">
        <f t="shared" si="110"/>
        <v>0</v>
      </c>
      <c r="AX173" s="43">
        <f t="shared" si="110"/>
        <v>312457.35885589558</v>
      </c>
      <c r="AZ173" s="47">
        <f t="shared" si="100"/>
        <v>0</v>
      </c>
      <c r="BA173" s="47">
        <f t="shared" si="101"/>
        <v>0</v>
      </c>
      <c r="BB173" s="47">
        <f t="shared" si="102"/>
        <v>0</v>
      </c>
      <c r="BC173" s="47">
        <f t="shared" si="103"/>
        <v>0</v>
      </c>
      <c r="BD173" s="47">
        <f t="shared" si="104"/>
        <v>2136031.4118559682</v>
      </c>
    </row>
    <row r="174" spans="2:56">
      <c r="B174" s="37">
        <f>'3. Input (des)investeringen '!B207</f>
        <v>1642</v>
      </c>
      <c r="C174" s="48"/>
      <c r="D174" s="48"/>
      <c r="E174" s="48"/>
      <c r="F174" s="42">
        <f>'3. Input (des)investeringen '!D207</f>
        <v>86492607.535159335</v>
      </c>
      <c r="G174" s="48"/>
      <c r="H174" s="37">
        <f>'3. Input (des)investeringen '!F207</f>
        <v>2026</v>
      </c>
      <c r="I174" s="42" t="str">
        <f>'3. Input (des)investeringen '!G207</f>
        <v>nvt</v>
      </c>
      <c r="J174" s="42">
        <f>'3. Input (des)investeringen '!H207</f>
        <v>55</v>
      </c>
      <c r="K174" s="42">
        <f>'3. Input (des)investeringen '!I207</f>
        <v>1</v>
      </c>
      <c r="M174" s="43">
        <f t="shared" si="90"/>
        <v>0</v>
      </c>
      <c r="N174" s="43">
        <f t="shared" si="91"/>
        <v>0</v>
      </c>
      <c r="P174" s="137">
        <f t="shared" si="93"/>
        <v>0</v>
      </c>
      <c r="Q174" s="137">
        <f t="shared" si="92"/>
        <v>0</v>
      </c>
      <c r="S174" s="43">
        <f t="shared" si="53"/>
        <v>86492607.535159335</v>
      </c>
      <c r="T174" s="38">
        <f t="shared" si="94"/>
        <v>55</v>
      </c>
      <c r="V174" s="43">
        <f t="shared" si="108"/>
        <v>0</v>
      </c>
      <c r="W174" s="43">
        <f t="shared" si="108"/>
        <v>0</v>
      </c>
      <c r="X174" s="43">
        <f t="shared" si="108"/>
        <v>0</v>
      </c>
      <c r="Y174" s="43">
        <f t="shared" si="108"/>
        <v>0</v>
      </c>
      <c r="Z174" s="43">
        <f t="shared" si="108"/>
        <v>919966.82560124027</v>
      </c>
      <c r="AB174" s="43">
        <f t="shared" si="109"/>
        <v>0</v>
      </c>
      <c r="AC174" s="43">
        <f t="shared" si="109"/>
        <v>0</v>
      </c>
      <c r="AD174" s="43">
        <f t="shared" si="109"/>
        <v>0</v>
      </c>
      <c r="AE174" s="43">
        <f t="shared" si="109"/>
        <v>0</v>
      </c>
      <c r="AF174" s="43">
        <f t="shared" si="109"/>
        <v>78629.643213781223</v>
      </c>
      <c r="AH174" s="43">
        <f t="shared" si="95"/>
        <v>0</v>
      </c>
      <c r="AI174" s="43">
        <f t="shared" si="96"/>
        <v>0</v>
      </c>
      <c r="AJ174" s="43">
        <f t="shared" si="97"/>
        <v>0</v>
      </c>
      <c r="AK174" s="43">
        <f t="shared" si="98"/>
        <v>0</v>
      </c>
      <c r="AL174" s="43">
        <f t="shared" si="99"/>
        <v>998596.46881502145</v>
      </c>
      <c r="AN174" s="43">
        <f t="shared" si="60"/>
        <v>0</v>
      </c>
      <c r="AO174" s="43">
        <f t="shared" si="61"/>
        <v>0</v>
      </c>
      <c r="AP174" s="43">
        <f t="shared" si="62"/>
        <v>0</v>
      </c>
      <c r="AQ174" s="43">
        <f t="shared" si="63"/>
        <v>0</v>
      </c>
      <c r="AR174" s="43">
        <f t="shared" si="64"/>
        <v>85494011.066344306</v>
      </c>
      <c r="AT174" s="43">
        <f t="shared" si="110"/>
        <v>0</v>
      </c>
      <c r="AU174" s="43">
        <f t="shared" si="110"/>
        <v>0</v>
      </c>
      <c r="AV174" s="43">
        <f t="shared" si="110"/>
        <v>0</v>
      </c>
      <c r="AW174" s="43">
        <f t="shared" si="110"/>
        <v>0</v>
      </c>
      <c r="AX174" s="43">
        <f t="shared" si="110"/>
        <v>864926.07535159332</v>
      </c>
      <c r="AZ174" s="47">
        <f t="shared" si="100"/>
        <v>0</v>
      </c>
      <c r="BA174" s="47">
        <f t="shared" si="101"/>
        <v>0</v>
      </c>
      <c r="BB174" s="47">
        <f t="shared" si="102"/>
        <v>0</v>
      </c>
      <c r="BC174" s="47">
        <f t="shared" si="103"/>
        <v>0</v>
      </c>
      <c r="BD174" s="47">
        <f t="shared" si="104"/>
        <v>5112294.9646876985</v>
      </c>
    </row>
    <row r="175" spans="2:56">
      <c r="B175" s="37">
        <f>'3. Input (des)investeringen '!B208</f>
        <v>1643</v>
      </c>
      <c r="C175" s="48"/>
      <c r="D175" s="48"/>
      <c r="E175" s="48"/>
      <c r="F175" s="42">
        <f>'3. Input (des)investeringen '!D208</f>
        <v>-33013.724660430409</v>
      </c>
      <c r="G175" s="48"/>
      <c r="H175" s="37">
        <f>'3. Input (des)investeringen '!F208</f>
        <v>2026</v>
      </c>
      <c r="I175" s="42" t="str">
        <f>'3. Input (des)investeringen '!G208</f>
        <v>nvt</v>
      </c>
      <c r="J175" s="42">
        <f>'3. Input (des)investeringen '!H208</f>
        <v>0</v>
      </c>
      <c r="K175" s="42">
        <f>'3. Input (des)investeringen '!I208</f>
        <v>0</v>
      </c>
      <c r="M175" s="43">
        <f t="shared" si="90"/>
        <v>0</v>
      </c>
      <c r="N175" s="43">
        <f t="shared" si="91"/>
        <v>0</v>
      </c>
      <c r="P175" s="137">
        <f t="shared" si="93"/>
        <v>0</v>
      </c>
      <c r="Q175" s="137">
        <f t="shared" si="92"/>
        <v>0</v>
      </c>
      <c r="S175" s="43">
        <f t="shared" si="53"/>
        <v>-33013.724660430409</v>
      </c>
      <c r="T175" s="38">
        <f t="shared" si="94"/>
        <v>0</v>
      </c>
      <c r="V175" s="43">
        <f t="shared" si="108"/>
        <v>0</v>
      </c>
      <c r="W175" s="43">
        <f t="shared" si="108"/>
        <v>0</v>
      </c>
      <c r="X175" s="43">
        <f t="shared" si="108"/>
        <v>0</v>
      </c>
      <c r="Y175" s="43">
        <f t="shared" si="108"/>
        <v>0</v>
      </c>
      <c r="Z175" s="43">
        <f t="shared" si="108"/>
        <v>0</v>
      </c>
      <c r="AB175" s="43">
        <f t="shared" si="109"/>
        <v>0</v>
      </c>
      <c r="AC175" s="43">
        <f t="shared" si="109"/>
        <v>0</v>
      </c>
      <c r="AD175" s="43">
        <f t="shared" si="109"/>
        <v>0</v>
      </c>
      <c r="AE175" s="43">
        <f t="shared" si="109"/>
        <v>0</v>
      </c>
      <c r="AF175" s="43">
        <f t="shared" si="109"/>
        <v>0</v>
      </c>
      <c r="AH175" s="43">
        <f t="shared" si="95"/>
        <v>0</v>
      </c>
      <c r="AI175" s="43">
        <f t="shared" si="96"/>
        <v>0</v>
      </c>
      <c r="AJ175" s="43">
        <f t="shared" si="97"/>
        <v>0</v>
      </c>
      <c r="AK175" s="43">
        <f t="shared" si="98"/>
        <v>0</v>
      </c>
      <c r="AL175" s="43">
        <f t="shared" si="99"/>
        <v>0</v>
      </c>
      <c r="AN175" s="43">
        <f t="shared" si="60"/>
        <v>0</v>
      </c>
      <c r="AO175" s="43">
        <f t="shared" si="61"/>
        <v>0</v>
      </c>
      <c r="AP175" s="43">
        <f t="shared" si="62"/>
        <v>0</v>
      </c>
      <c r="AQ175" s="43">
        <f t="shared" si="63"/>
        <v>0</v>
      </c>
      <c r="AR175" s="43">
        <f t="shared" si="64"/>
        <v>-33013.724660430409</v>
      </c>
      <c r="AT175" s="43">
        <f t="shared" si="110"/>
        <v>0</v>
      </c>
      <c r="AU175" s="43">
        <f t="shared" si="110"/>
        <v>0</v>
      </c>
      <c r="AV175" s="43">
        <f t="shared" si="110"/>
        <v>0</v>
      </c>
      <c r="AW175" s="43">
        <f t="shared" si="110"/>
        <v>0</v>
      </c>
      <c r="AX175" s="43">
        <f t="shared" si="110"/>
        <v>-330.1372466043041</v>
      </c>
      <c r="AZ175" s="47">
        <f t="shared" si="100"/>
        <v>0</v>
      </c>
      <c r="BA175" s="47">
        <f t="shared" si="101"/>
        <v>0</v>
      </c>
      <c r="BB175" s="47">
        <f t="shared" si="102"/>
        <v>0</v>
      </c>
      <c r="BC175" s="47">
        <f t="shared" si="103"/>
        <v>0</v>
      </c>
      <c r="BD175" s="47">
        <f t="shared" si="104"/>
        <v>-1584.6587837006596</v>
      </c>
    </row>
    <row r="176" spans="2:56">
      <c r="B176" s="37">
        <f>'3. Input (des)investeringen '!B209</f>
        <v>1644</v>
      </c>
      <c r="C176" s="48"/>
      <c r="D176" s="48"/>
      <c r="E176" s="48"/>
      <c r="F176" s="42">
        <f>'3. Input (des)investeringen '!D209</f>
        <v>464981.59278808843</v>
      </c>
      <c r="G176" s="48"/>
      <c r="H176" s="37">
        <f>'3. Input (des)investeringen '!F209</f>
        <v>2026</v>
      </c>
      <c r="I176" s="42" t="str">
        <f>'3. Input (des)investeringen '!G209</f>
        <v>nvt</v>
      </c>
      <c r="J176" s="42">
        <f>'3. Input (des)investeringen '!H209</f>
        <v>5</v>
      </c>
      <c r="K176" s="42">
        <f>'3. Input (des)investeringen '!I209</f>
        <v>0</v>
      </c>
      <c r="M176" s="43">
        <f t="shared" si="90"/>
        <v>0</v>
      </c>
      <c r="N176" s="43">
        <f t="shared" si="91"/>
        <v>0</v>
      </c>
      <c r="P176" s="137">
        <f t="shared" si="93"/>
        <v>0</v>
      </c>
      <c r="Q176" s="137">
        <f t="shared" si="92"/>
        <v>0</v>
      </c>
      <c r="S176" s="43">
        <f t="shared" si="53"/>
        <v>464981.59278808843</v>
      </c>
      <c r="T176" s="38">
        <f t="shared" si="94"/>
        <v>5</v>
      </c>
      <c r="V176" s="43">
        <f t="shared" si="108"/>
        <v>0</v>
      </c>
      <c r="W176" s="43">
        <f t="shared" si="108"/>
        <v>0</v>
      </c>
      <c r="X176" s="43">
        <f t="shared" si="108"/>
        <v>0</v>
      </c>
      <c r="Y176" s="43">
        <f t="shared" si="108"/>
        <v>0</v>
      </c>
      <c r="Z176" s="43">
        <f t="shared" si="108"/>
        <v>54402.846356206348</v>
      </c>
      <c r="AB176" s="43">
        <f t="shared" si="109"/>
        <v>0</v>
      </c>
      <c r="AC176" s="43">
        <f t="shared" si="109"/>
        <v>0</v>
      </c>
      <c r="AD176" s="43">
        <f t="shared" si="109"/>
        <v>0</v>
      </c>
      <c r="AE176" s="43">
        <f t="shared" si="109"/>
        <v>0</v>
      </c>
      <c r="AF176" s="43">
        <f t="shared" si="109"/>
        <v>4649.8159278808844</v>
      </c>
      <c r="AH176" s="43">
        <f t="shared" si="95"/>
        <v>0</v>
      </c>
      <c r="AI176" s="43">
        <f t="shared" si="96"/>
        <v>0</v>
      </c>
      <c r="AJ176" s="43">
        <f t="shared" si="97"/>
        <v>0</v>
      </c>
      <c r="AK176" s="43">
        <f t="shared" si="98"/>
        <v>0</v>
      </c>
      <c r="AL176" s="43">
        <f t="shared" si="99"/>
        <v>59052.66228408723</v>
      </c>
      <c r="AN176" s="43">
        <f t="shared" si="60"/>
        <v>0</v>
      </c>
      <c r="AO176" s="43">
        <f t="shared" si="61"/>
        <v>0</v>
      </c>
      <c r="AP176" s="43">
        <f t="shared" si="62"/>
        <v>0</v>
      </c>
      <c r="AQ176" s="43">
        <f t="shared" si="63"/>
        <v>0</v>
      </c>
      <c r="AR176" s="43">
        <f t="shared" si="64"/>
        <v>405928.93050400121</v>
      </c>
      <c r="AT176" s="43">
        <f t="shared" si="110"/>
        <v>0</v>
      </c>
      <c r="AU176" s="43">
        <f t="shared" si="110"/>
        <v>0</v>
      </c>
      <c r="AV176" s="43">
        <f t="shared" si="110"/>
        <v>0</v>
      </c>
      <c r="AW176" s="43">
        <f t="shared" si="110"/>
        <v>0</v>
      </c>
      <c r="AX176" s="43">
        <f t="shared" si="110"/>
        <v>4649.8159278808844</v>
      </c>
      <c r="AZ176" s="47">
        <f t="shared" si="100"/>
        <v>0</v>
      </c>
      <c r="BA176" s="47">
        <f t="shared" si="101"/>
        <v>0</v>
      </c>
      <c r="BB176" s="47">
        <f t="shared" si="102"/>
        <v>0</v>
      </c>
      <c r="BC176" s="47">
        <f t="shared" si="103"/>
        <v>0</v>
      </c>
      <c r="BD176" s="47">
        <f t="shared" si="104"/>
        <v>79127.777571120168</v>
      </c>
    </row>
    <row r="177" spans="2:56">
      <c r="B177" s="37">
        <f>'3. Input (des)investeringen '!B210</f>
        <v>1645</v>
      </c>
      <c r="C177" s="48"/>
      <c r="D177" s="48"/>
      <c r="E177" s="48"/>
      <c r="F177" s="42">
        <f>'3. Input (des)investeringen '!D210</f>
        <v>1667457.2352886177</v>
      </c>
      <c r="G177" s="48"/>
      <c r="H177" s="37">
        <f>'3. Input (des)investeringen '!F210</f>
        <v>2026</v>
      </c>
      <c r="I177" s="42" t="str">
        <f>'3. Input (des)investeringen '!G210</f>
        <v>nvt</v>
      </c>
      <c r="J177" s="42">
        <f>'3. Input (des)investeringen '!H210</f>
        <v>10</v>
      </c>
      <c r="K177" s="42">
        <f>'3. Input (des)investeringen '!I210</f>
        <v>0</v>
      </c>
      <c r="M177" s="43">
        <f t="shared" si="90"/>
        <v>0</v>
      </c>
      <c r="N177" s="43">
        <f t="shared" si="91"/>
        <v>0</v>
      </c>
      <c r="P177" s="137">
        <f t="shared" si="93"/>
        <v>0</v>
      </c>
      <c r="Q177" s="137">
        <f t="shared" si="92"/>
        <v>0</v>
      </c>
      <c r="S177" s="43">
        <f t="shared" si="53"/>
        <v>1667457.2352886177</v>
      </c>
      <c r="T177" s="38">
        <f t="shared" si="94"/>
        <v>10</v>
      </c>
      <c r="V177" s="43">
        <f t="shared" si="108"/>
        <v>0</v>
      </c>
      <c r="W177" s="43">
        <f t="shared" si="108"/>
        <v>0</v>
      </c>
      <c r="X177" s="43">
        <f t="shared" si="108"/>
        <v>0</v>
      </c>
      <c r="Y177" s="43">
        <f t="shared" si="108"/>
        <v>0</v>
      </c>
      <c r="Z177" s="43">
        <f t="shared" si="108"/>
        <v>97546.248264384136</v>
      </c>
      <c r="AB177" s="43">
        <f t="shared" si="109"/>
        <v>0</v>
      </c>
      <c r="AC177" s="43">
        <f t="shared" si="109"/>
        <v>0</v>
      </c>
      <c r="AD177" s="43">
        <f t="shared" si="109"/>
        <v>0</v>
      </c>
      <c r="AE177" s="43">
        <f t="shared" si="109"/>
        <v>0</v>
      </c>
      <c r="AF177" s="43">
        <f t="shared" si="109"/>
        <v>8337.2861764430891</v>
      </c>
      <c r="AH177" s="43">
        <f t="shared" si="95"/>
        <v>0</v>
      </c>
      <c r="AI177" s="43">
        <f t="shared" si="96"/>
        <v>0</v>
      </c>
      <c r="AJ177" s="43">
        <f t="shared" si="97"/>
        <v>0</v>
      </c>
      <c r="AK177" s="43">
        <f t="shared" si="98"/>
        <v>0</v>
      </c>
      <c r="AL177" s="43">
        <f t="shared" si="99"/>
        <v>105883.53444082722</v>
      </c>
      <c r="AN177" s="43">
        <f t="shared" si="60"/>
        <v>0</v>
      </c>
      <c r="AO177" s="43">
        <f t="shared" si="61"/>
        <v>0</v>
      </c>
      <c r="AP177" s="43">
        <f t="shared" si="62"/>
        <v>0</v>
      </c>
      <c r="AQ177" s="43">
        <f t="shared" si="63"/>
        <v>0</v>
      </c>
      <c r="AR177" s="43">
        <f t="shared" si="64"/>
        <v>1561573.7008477903</v>
      </c>
      <c r="AT177" s="43">
        <f t="shared" si="110"/>
        <v>0</v>
      </c>
      <c r="AU177" s="43">
        <f t="shared" si="110"/>
        <v>0</v>
      </c>
      <c r="AV177" s="43">
        <f t="shared" si="110"/>
        <v>0</v>
      </c>
      <c r="AW177" s="43">
        <f t="shared" si="110"/>
        <v>0</v>
      </c>
      <c r="AX177" s="43">
        <f t="shared" si="110"/>
        <v>16674.572352886178</v>
      </c>
      <c r="AZ177" s="47">
        <f t="shared" si="100"/>
        <v>0</v>
      </c>
      <c r="BA177" s="47">
        <f t="shared" si="101"/>
        <v>0</v>
      </c>
      <c r="BB177" s="47">
        <f t="shared" si="102"/>
        <v>0</v>
      </c>
      <c r="BC177" s="47">
        <f t="shared" si="103"/>
        <v>0</v>
      </c>
      <c r="BD177" s="47">
        <f t="shared" si="104"/>
        <v>181897.90742592941</v>
      </c>
    </row>
    <row r="178" spans="2:56">
      <c r="B178" s="37">
        <f>'3. Input (des)investeringen '!B211</f>
        <v>1646</v>
      </c>
      <c r="C178" s="48"/>
      <c r="D178" s="48"/>
      <c r="E178" s="48"/>
      <c r="F178" s="42">
        <f>'3. Input (des)investeringen '!D211</f>
        <v>5010922.5637233881</v>
      </c>
      <c r="G178" s="48"/>
      <c r="H178" s="37">
        <f>'3. Input (des)investeringen '!F211</f>
        <v>2026</v>
      </c>
      <c r="I178" s="42" t="str">
        <f>'3. Input (des)investeringen '!G211</f>
        <v>nvt</v>
      </c>
      <c r="J178" s="42">
        <f>'3. Input (des)investeringen '!H211</f>
        <v>15</v>
      </c>
      <c r="K178" s="42">
        <f>'3. Input (des)investeringen '!I211</f>
        <v>0</v>
      </c>
      <c r="M178" s="43">
        <f t="shared" si="90"/>
        <v>0</v>
      </c>
      <c r="N178" s="43">
        <f t="shared" si="91"/>
        <v>0</v>
      </c>
      <c r="P178" s="137">
        <f t="shared" si="93"/>
        <v>0</v>
      </c>
      <c r="Q178" s="137">
        <f t="shared" si="92"/>
        <v>0</v>
      </c>
      <c r="S178" s="43">
        <f t="shared" si="53"/>
        <v>5010922.5637233881</v>
      </c>
      <c r="T178" s="38">
        <f t="shared" si="94"/>
        <v>15</v>
      </c>
      <c r="V178" s="43">
        <f t="shared" si="108"/>
        <v>0</v>
      </c>
      <c r="W178" s="43">
        <f t="shared" si="108"/>
        <v>0</v>
      </c>
      <c r="X178" s="43">
        <f t="shared" si="108"/>
        <v>0</v>
      </c>
      <c r="Y178" s="43">
        <f t="shared" si="108"/>
        <v>0</v>
      </c>
      <c r="Z178" s="43">
        <f t="shared" si="108"/>
        <v>195425.97998521212</v>
      </c>
      <c r="AB178" s="43">
        <f t="shared" si="109"/>
        <v>0</v>
      </c>
      <c r="AC178" s="43">
        <f t="shared" si="109"/>
        <v>0</v>
      </c>
      <c r="AD178" s="43">
        <f t="shared" si="109"/>
        <v>0</v>
      </c>
      <c r="AE178" s="43">
        <f t="shared" si="109"/>
        <v>0</v>
      </c>
      <c r="AF178" s="43">
        <f t="shared" si="109"/>
        <v>16703.075212411295</v>
      </c>
      <c r="AH178" s="43">
        <f t="shared" si="95"/>
        <v>0</v>
      </c>
      <c r="AI178" s="43">
        <f t="shared" si="96"/>
        <v>0</v>
      </c>
      <c r="AJ178" s="43">
        <f t="shared" si="97"/>
        <v>0</v>
      </c>
      <c r="AK178" s="43">
        <f t="shared" si="98"/>
        <v>0</v>
      </c>
      <c r="AL178" s="43">
        <f t="shared" si="99"/>
        <v>212129.05519762341</v>
      </c>
      <c r="AN178" s="43">
        <f t="shared" si="60"/>
        <v>0</v>
      </c>
      <c r="AO178" s="43">
        <f t="shared" si="61"/>
        <v>0</v>
      </c>
      <c r="AP178" s="43">
        <f t="shared" si="62"/>
        <v>0</v>
      </c>
      <c r="AQ178" s="43">
        <f t="shared" si="63"/>
        <v>0</v>
      </c>
      <c r="AR178" s="43">
        <f t="shared" si="64"/>
        <v>4798793.5085257646</v>
      </c>
      <c r="AT178" s="43">
        <f t="shared" si="110"/>
        <v>0</v>
      </c>
      <c r="AU178" s="43">
        <f t="shared" si="110"/>
        <v>0</v>
      </c>
      <c r="AV178" s="43">
        <f t="shared" si="110"/>
        <v>0</v>
      </c>
      <c r="AW178" s="43">
        <f t="shared" si="110"/>
        <v>0</v>
      </c>
      <c r="AX178" s="43">
        <f t="shared" si="110"/>
        <v>50109.225637233882</v>
      </c>
      <c r="AZ178" s="47">
        <f t="shared" si="100"/>
        <v>0</v>
      </c>
      <c r="BA178" s="47">
        <f t="shared" si="101"/>
        <v>0</v>
      </c>
      <c r="BB178" s="47">
        <f t="shared" si="102"/>
        <v>0</v>
      </c>
      <c r="BC178" s="47">
        <f t="shared" si="103"/>
        <v>0</v>
      </c>
      <c r="BD178" s="47">
        <f t="shared" si="104"/>
        <v>444592.43415883632</v>
      </c>
    </row>
    <row r="179" spans="2:56">
      <c r="B179" s="37">
        <f>'3. Input (des)investeringen '!B212</f>
        <v>1647</v>
      </c>
      <c r="C179" s="48"/>
      <c r="D179" s="48"/>
      <c r="E179" s="48"/>
      <c r="F179" s="42">
        <f>'3. Input (des)investeringen '!D212</f>
        <v>28421124.056846563</v>
      </c>
      <c r="G179" s="48"/>
      <c r="H179" s="37">
        <f>'3. Input (des)investeringen '!F212</f>
        <v>2026</v>
      </c>
      <c r="I179" s="42" t="str">
        <f>'3. Input (des)investeringen '!G212</f>
        <v>nvt</v>
      </c>
      <c r="J179" s="42">
        <f>'3. Input (des)investeringen '!H212</f>
        <v>30</v>
      </c>
      <c r="K179" s="42">
        <f>'3. Input (des)investeringen '!I212</f>
        <v>0</v>
      </c>
      <c r="M179" s="43">
        <f t="shared" si="90"/>
        <v>0</v>
      </c>
      <c r="N179" s="43">
        <f t="shared" si="91"/>
        <v>0</v>
      </c>
      <c r="P179" s="137">
        <f t="shared" si="93"/>
        <v>0</v>
      </c>
      <c r="Q179" s="137">
        <f t="shared" si="92"/>
        <v>0</v>
      </c>
      <c r="S179" s="43">
        <f t="shared" si="53"/>
        <v>28421124.056846563</v>
      </c>
      <c r="T179" s="38">
        <f t="shared" si="94"/>
        <v>30</v>
      </c>
      <c r="V179" s="43">
        <f t="shared" si="108"/>
        <v>0</v>
      </c>
      <c r="W179" s="43">
        <f t="shared" si="108"/>
        <v>0</v>
      </c>
      <c r="X179" s="43">
        <f t="shared" si="108"/>
        <v>0</v>
      </c>
      <c r="Y179" s="43">
        <f t="shared" si="108"/>
        <v>0</v>
      </c>
      <c r="Z179" s="43">
        <f t="shared" si="108"/>
        <v>554211.91910850792</v>
      </c>
      <c r="AB179" s="43">
        <f t="shared" si="109"/>
        <v>0</v>
      </c>
      <c r="AC179" s="43">
        <f t="shared" si="109"/>
        <v>0</v>
      </c>
      <c r="AD179" s="43">
        <f t="shared" si="109"/>
        <v>0</v>
      </c>
      <c r="AE179" s="43">
        <f t="shared" si="109"/>
        <v>0</v>
      </c>
      <c r="AF179" s="43">
        <f t="shared" si="109"/>
        <v>47368.540094744276</v>
      </c>
      <c r="AH179" s="43">
        <f t="shared" si="95"/>
        <v>0</v>
      </c>
      <c r="AI179" s="43">
        <f t="shared" si="96"/>
        <v>0</v>
      </c>
      <c r="AJ179" s="43">
        <f t="shared" si="97"/>
        <v>0</v>
      </c>
      <c r="AK179" s="43">
        <f t="shared" si="98"/>
        <v>0</v>
      </c>
      <c r="AL179" s="43">
        <f t="shared" si="99"/>
        <v>601580.45920325222</v>
      </c>
      <c r="AN179" s="43">
        <f t="shared" si="60"/>
        <v>0</v>
      </c>
      <c r="AO179" s="43">
        <f t="shared" si="61"/>
        <v>0</v>
      </c>
      <c r="AP179" s="43">
        <f t="shared" si="62"/>
        <v>0</v>
      </c>
      <c r="AQ179" s="43">
        <f t="shared" si="63"/>
        <v>0</v>
      </c>
      <c r="AR179" s="43">
        <f t="shared" si="64"/>
        <v>27819543.597643312</v>
      </c>
      <c r="AT179" s="43">
        <f t="shared" si="110"/>
        <v>0</v>
      </c>
      <c r="AU179" s="43">
        <f t="shared" si="110"/>
        <v>0</v>
      </c>
      <c r="AV179" s="43">
        <f t="shared" si="110"/>
        <v>0</v>
      </c>
      <c r="AW179" s="43">
        <f t="shared" si="110"/>
        <v>0</v>
      </c>
      <c r="AX179" s="43">
        <f t="shared" si="110"/>
        <v>284211.24056846561</v>
      </c>
      <c r="AZ179" s="47">
        <f t="shared" si="100"/>
        <v>0</v>
      </c>
      <c r="BA179" s="47">
        <f t="shared" si="101"/>
        <v>0</v>
      </c>
      <c r="BB179" s="47">
        <f t="shared" si="102"/>
        <v>0</v>
      </c>
      <c r="BC179" s="47">
        <f t="shared" si="103"/>
        <v>0</v>
      </c>
      <c r="BD179" s="47">
        <f t="shared" si="104"/>
        <v>1942934.3564821635</v>
      </c>
    </row>
    <row r="180" spans="2:56">
      <c r="B180" s="37">
        <f>'3. Input (des)investeringen '!B213</f>
        <v>1648</v>
      </c>
      <c r="C180" s="48"/>
      <c r="D180" s="48"/>
      <c r="E180" s="48"/>
      <c r="F180" s="42">
        <f>'3. Input (des)investeringen '!D213</f>
        <v>40148.872615293018</v>
      </c>
      <c r="G180" s="48"/>
      <c r="H180" s="37">
        <f>'3. Input (des)investeringen '!F213</f>
        <v>2026</v>
      </c>
      <c r="I180" s="42" t="str">
        <f>'3. Input (des)investeringen '!G213</f>
        <v>nvt</v>
      </c>
      <c r="J180" s="42">
        <f>'3. Input (des)investeringen '!H213</f>
        <v>55</v>
      </c>
      <c r="K180" s="42">
        <f>'3. Input (des)investeringen '!I213</f>
        <v>0</v>
      </c>
      <c r="M180" s="43">
        <f t="shared" si="90"/>
        <v>0</v>
      </c>
      <c r="N180" s="43">
        <f t="shared" si="91"/>
        <v>0</v>
      </c>
      <c r="P180" s="137">
        <f t="shared" si="93"/>
        <v>0</v>
      </c>
      <c r="Q180" s="137">
        <f t="shared" si="92"/>
        <v>0</v>
      </c>
      <c r="S180" s="43">
        <f t="shared" si="53"/>
        <v>40148.872615293018</v>
      </c>
      <c r="T180" s="38">
        <f t="shared" si="94"/>
        <v>55</v>
      </c>
      <c r="V180" s="43">
        <f t="shared" si="108"/>
        <v>0</v>
      </c>
      <c r="W180" s="43">
        <f t="shared" si="108"/>
        <v>0</v>
      </c>
      <c r="X180" s="43">
        <f t="shared" si="108"/>
        <v>0</v>
      </c>
      <c r="Y180" s="43">
        <f t="shared" si="108"/>
        <v>0</v>
      </c>
      <c r="Z180" s="43">
        <f t="shared" si="108"/>
        <v>427.03800872629847</v>
      </c>
      <c r="AB180" s="43">
        <f t="shared" si="109"/>
        <v>0</v>
      </c>
      <c r="AC180" s="43">
        <f t="shared" si="109"/>
        <v>0</v>
      </c>
      <c r="AD180" s="43">
        <f t="shared" si="109"/>
        <v>0</v>
      </c>
      <c r="AE180" s="43">
        <f t="shared" si="109"/>
        <v>0</v>
      </c>
      <c r="AF180" s="43">
        <f t="shared" si="109"/>
        <v>36.498975104811841</v>
      </c>
      <c r="AH180" s="43">
        <f t="shared" si="95"/>
        <v>0</v>
      </c>
      <c r="AI180" s="43">
        <f t="shared" si="96"/>
        <v>0</v>
      </c>
      <c r="AJ180" s="43">
        <f t="shared" si="97"/>
        <v>0</v>
      </c>
      <c r="AK180" s="43">
        <f t="shared" si="98"/>
        <v>0</v>
      </c>
      <c r="AL180" s="43">
        <f t="shared" si="99"/>
        <v>463.53698383111032</v>
      </c>
      <c r="AN180" s="43">
        <f t="shared" si="60"/>
        <v>0</v>
      </c>
      <c r="AO180" s="43">
        <f t="shared" si="61"/>
        <v>0</v>
      </c>
      <c r="AP180" s="43">
        <f t="shared" si="62"/>
        <v>0</v>
      </c>
      <c r="AQ180" s="43">
        <f t="shared" si="63"/>
        <v>0</v>
      </c>
      <c r="AR180" s="43">
        <f t="shared" si="64"/>
        <v>39685.335631461909</v>
      </c>
      <c r="AT180" s="43">
        <f t="shared" si="110"/>
        <v>0</v>
      </c>
      <c r="AU180" s="43">
        <f t="shared" si="110"/>
        <v>0</v>
      </c>
      <c r="AV180" s="43">
        <f t="shared" si="110"/>
        <v>0</v>
      </c>
      <c r="AW180" s="43">
        <f t="shared" si="110"/>
        <v>0</v>
      </c>
      <c r="AX180" s="43">
        <f t="shared" si="110"/>
        <v>401.48872615293021</v>
      </c>
      <c r="AZ180" s="47">
        <f t="shared" si="100"/>
        <v>0</v>
      </c>
      <c r="BA180" s="47">
        <f t="shared" si="101"/>
        <v>0</v>
      </c>
      <c r="BB180" s="47">
        <f t="shared" si="102"/>
        <v>0</v>
      </c>
      <c r="BC180" s="47">
        <f t="shared" si="103"/>
        <v>0</v>
      </c>
      <c r="BD180" s="47">
        <f t="shared" si="104"/>
        <v>2373.0684639795927</v>
      </c>
    </row>
    <row r="181" spans="2:56">
      <c r="B181" s="37">
        <f>'3. Input (des)investeringen '!B214</f>
        <v>1649</v>
      </c>
      <c r="C181" s="48"/>
      <c r="D181" s="48"/>
      <c r="E181" s="48"/>
      <c r="F181" s="42">
        <f>'3. Input (des)investeringen '!D214</f>
        <v>0</v>
      </c>
      <c r="G181" s="48"/>
      <c r="H181" s="37">
        <f>'3. Input (des)investeringen '!F214</f>
        <v>2026</v>
      </c>
      <c r="I181" s="42" t="str">
        <f>'3. Input (des)investeringen '!G214</f>
        <v>nvt</v>
      </c>
      <c r="J181" s="42">
        <f>'3. Input (des)investeringen '!H214</f>
        <v>0</v>
      </c>
      <c r="K181" s="42">
        <f>'3. Input (des)investeringen '!I214</f>
        <v>0</v>
      </c>
      <c r="M181" s="43">
        <f t="shared" si="90"/>
        <v>0</v>
      </c>
      <c r="N181" s="43">
        <f t="shared" si="91"/>
        <v>0</v>
      </c>
      <c r="P181" s="137">
        <f t="shared" si="93"/>
        <v>0</v>
      </c>
      <c r="Q181" s="137">
        <f t="shared" si="92"/>
        <v>0</v>
      </c>
      <c r="S181" s="43">
        <f t="shared" si="53"/>
        <v>0</v>
      </c>
      <c r="T181" s="38">
        <f t="shared" si="94"/>
        <v>0</v>
      </c>
      <c r="V181" s="43">
        <f t="shared" ref="V181:Z190" si="111">IF($J181=0, 0, IF(OR($H181&gt;V$59,$H181+$J181&lt;V$59),0,
IF(OR($H181=2020,$H181=2021),VDB($S181*(1-$F$28),0,$T181,V$59-2022,MIN($T181,V$59-2021),$F$22,FALSE),
VDB($S181*(1-$F$28),0,$T181,MAX(0,V$59-$H181-0.5),MIN($T181,V$59-$H181+0.5),$F$22,FALSE))))</f>
        <v>0</v>
      </c>
      <c r="W181" s="43">
        <f t="shared" si="111"/>
        <v>0</v>
      </c>
      <c r="X181" s="43">
        <f t="shared" si="111"/>
        <v>0</v>
      </c>
      <c r="Y181" s="43">
        <f t="shared" si="111"/>
        <v>0</v>
      </c>
      <c r="Z181" s="43">
        <f t="shared" si="111"/>
        <v>0</v>
      </c>
      <c r="AB181" s="43">
        <f t="shared" ref="AB181:AF190" si="112">IF($J181=0, 0, IF(OR($H181&gt;AB$59,$H181+$J181&lt;AB$59),0,
IF(OR($H181=2020,$H181=2021),VDB($S181*$F$28,0,$T181,AB$59-2022,MIN($T181,AB$59-2021),1),
VDB($S181*$F$28,0,$T181,MAX(0,AB$59-$H181-0.5),MIN($T181,AB$59-$H181+0.5),1))))</f>
        <v>0</v>
      </c>
      <c r="AC181" s="43">
        <f t="shared" si="112"/>
        <v>0</v>
      </c>
      <c r="AD181" s="43">
        <f t="shared" si="112"/>
        <v>0</v>
      </c>
      <c r="AE181" s="43">
        <f t="shared" si="112"/>
        <v>0</v>
      </c>
      <c r="AF181" s="43">
        <f t="shared" si="112"/>
        <v>0</v>
      </c>
      <c r="AH181" s="43">
        <f t="shared" si="95"/>
        <v>0</v>
      </c>
      <c r="AI181" s="43">
        <f t="shared" si="96"/>
        <v>0</v>
      </c>
      <c r="AJ181" s="43">
        <f t="shared" si="97"/>
        <v>0</v>
      </c>
      <c r="AK181" s="43">
        <f t="shared" si="98"/>
        <v>0</v>
      </c>
      <c r="AL181" s="43">
        <f t="shared" si="99"/>
        <v>0</v>
      </c>
      <c r="AN181" s="43">
        <f t="shared" si="60"/>
        <v>0</v>
      </c>
      <c r="AO181" s="43">
        <f t="shared" si="61"/>
        <v>0</v>
      </c>
      <c r="AP181" s="43">
        <f t="shared" si="62"/>
        <v>0</v>
      </c>
      <c r="AQ181" s="43">
        <f t="shared" si="63"/>
        <v>0</v>
      </c>
      <c r="AR181" s="43">
        <f t="shared" si="64"/>
        <v>0</v>
      </c>
      <c r="AT181" s="43">
        <f t="shared" ref="AT181:AX190" si="113">IF($H181&lt;=AT$59,$F181*INDEX($H$40:$N$46,$H181-2019,AT$59-2019)*INDEX($H$49:$N$55,$H181-2019,AT$59-2019)*$F$19,0)</f>
        <v>0</v>
      </c>
      <c r="AU181" s="43">
        <f t="shared" si="113"/>
        <v>0</v>
      </c>
      <c r="AV181" s="43">
        <f t="shared" si="113"/>
        <v>0</v>
      </c>
      <c r="AW181" s="43">
        <f t="shared" si="113"/>
        <v>0</v>
      </c>
      <c r="AX181" s="43">
        <f t="shared" si="113"/>
        <v>0</v>
      </c>
      <c r="AZ181" s="47">
        <f t="shared" si="100"/>
        <v>0</v>
      </c>
      <c r="BA181" s="47">
        <f t="shared" si="101"/>
        <v>0</v>
      </c>
      <c r="BB181" s="47">
        <f t="shared" si="102"/>
        <v>0</v>
      </c>
      <c r="BC181" s="47">
        <f t="shared" si="103"/>
        <v>0</v>
      </c>
      <c r="BD181" s="47">
        <f t="shared" si="104"/>
        <v>0</v>
      </c>
    </row>
    <row r="182" spans="2:56">
      <c r="B182" s="37">
        <f>'3. Input (des)investeringen '!B215</f>
        <v>1650</v>
      </c>
      <c r="C182" s="48"/>
      <c r="D182" s="48"/>
      <c r="E182" s="48"/>
      <c r="F182" s="42">
        <f>'3. Input (des)investeringen '!D215</f>
        <v>668226.79461700725</v>
      </c>
      <c r="G182" s="48"/>
      <c r="H182" s="37">
        <f>'3. Input (des)investeringen '!F215</f>
        <v>2026</v>
      </c>
      <c r="I182" s="42" t="str">
        <f>'3. Input (des)investeringen '!G215</f>
        <v>nvt</v>
      </c>
      <c r="J182" s="42">
        <f>'3. Input (des)investeringen '!H215</f>
        <v>5</v>
      </c>
      <c r="K182" s="42">
        <f>'3. Input (des)investeringen '!I215</f>
        <v>0</v>
      </c>
      <c r="M182" s="43">
        <f t="shared" si="90"/>
        <v>0</v>
      </c>
      <c r="N182" s="43">
        <f t="shared" si="91"/>
        <v>0</v>
      </c>
      <c r="P182" s="137">
        <f t="shared" si="93"/>
        <v>0</v>
      </c>
      <c r="Q182" s="137">
        <f t="shared" si="92"/>
        <v>0</v>
      </c>
      <c r="S182" s="43">
        <f t="shared" si="53"/>
        <v>668226.79461700725</v>
      </c>
      <c r="T182" s="38">
        <f t="shared" si="94"/>
        <v>5</v>
      </c>
      <c r="V182" s="43">
        <f t="shared" si="111"/>
        <v>0</v>
      </c>
      <c r="W182" s="43">
        <f t="shared" si="111"/>
        <v>0</v>
      </c>
      <c r="X182" s="43">
        <f t="shared" si="111"/>
        <v>0</v>
      </c>
      <c r="Y182" s="43">
        <f t="shared" si="111"/>
        <v>0</v>
      </c>
      <c r="Z182" s="43">
        <f t="shared" si="111"/>
        <v>78182.534970189852</v>
      </c>
      <c r="AB182" s="43">
        <f t="shared" si="112"/>
        <v>0</v>
      </c>
      <c r="AC182" s="43">
        <f t="shared" si="112"/>
        <v>0</v>
      </c>
      <c r="AD182" s="43">
        <f t="shared" si="112"/>
        <v>0</v>
      </c>
      <c r="AE182" s="43">
        <f t="shared" si="112"/>
        <v>0</v>
      </c>
      <c r="AF182" s="43">
        <f t="shared" si="112"/>
        <v>6682.2679461700727</v>
      </c>
      <c r="AH182" s="43">
        <f t="shared" si="95"/>
        <v>0</v>
      </c>
      <c r="AI182" s="43">
        <f t="shared" si="96"/>
        <v>0</v>
      </c>
      <c r="AJ182" s="43">
        <f t="shared" si="97"/>
        <v>0</v>
      </c>
      <c r="AK182" s="43">
        <f t="shared" si="98"/>
        <v>0</v>
      </c>
      <c r="AL182" s="43">
        <f t="shared" si="99"/>
        <v>84864.802916359928</v>
      </c>
      <c r="AN182" s="43">
        <f t="shared" si="60"/>
        <v>0</v>
      </c>
      <c r="AO182" s="43">
        <f t="shared" si="61"/>
        <v>0</v>
      </c>
      <c r="AP182" s="43">
        <f t="shared" si="62"/>
        <v>0</v>
      </c>
      <c r="AQ182" s="43">
        <f t="shared" si="63"/>
        <v>0</v>
      </c>
      <c r="AR182" s="43">
        <f t="shared" si="64"/>
        <v>583361.99170064728</v>
      </c>
      <c r="AT182" s="43">
        <f t="shared" si="113"/>
        <v>0</v>
      </c>
      <c r="AU182" s="43">
        <f t="shared" si="113"/>
        <v>0</v>
      </c>
      <c r="AV182" s="43">
        <f t="shared" si="113"/>
        <v>0</v>
      </c>
      <c r="AW182" s="43">
        <f t="shared" si="113"/>
        <v>0</v>
      </c>
      <c r="AX182" s="43">
        <f t="shared" si="113"/>
        <v>6682.2679461700727</v>
      </c>
      <c r="AZ182" s="47">
        <f t="shared" si="100"/>
        <v>0</v>
      </c>
      <c r="BA182" s="47">
        <f t="shared" si="101"/>
        <v>0</v>
      </c>
      <c r="BB182" s="47">
        <f t="shared" si="102"/>
        <v>0</v>
      </c>
      <c r="BC182" s="47">
        <f t="shared" si="103"/>
        <v>0</v>
      </c>
      <c r="BD182" s="47">
        <f t="shared" si="104"/>
        <v>113714.8265471546</v>
      </c>
    </row>
    <row r="183" spans="2:56">
      <c r="B183" s="37">
        <f>'3. Input (des)investeringen '!B216</f>
        <v>1651</v>
      </c>
      <c r="C183" s="48"/>
      <c r="D183" s="48"/>
      <c r="E183" s="48"/>
      <c r="F183" s="42">
        <f>'3. Input (des)investeringen '!D216</f>
        <v>4946580.6339102844</v>
      </c>
      <c r="G183" s="48"/>
      <c r="H183" s="37">
        <f>'3. Input (des)investeringen '!F216</f>
        <v>2026</v>
      </c>
      <c r="I183" s="42" t="str">
        <f>'3. Input (des)investeringen '!G216</f>
        <v>nvt</v>
      </c>
      <c r="J183" s="42">
        <f>'3. Input (des)investeringen '!H216</f>
        <v>10</v>
      </c>
      <c r="K183" s="42">
        <f>'3. Input (des)investeringen '!I216</f>
        <v>0</v>
      </c>
      <c r="M183" s="43">
        <f t="shared" si="90"/>
        <v>0</v>
      </c>
      <c r="N183" s="43">
        <f t="shared" si="91"/>
        <v>0</v>
      </c>
      <c r="P183" s="137">
        <f t="shared" si="93"/>
        <v>0</v>
      </c>
      <c r="Q183" s="137">
        <f t="shared" si="92"/>
        <v>0</v>
      </c>
      <c r="S183" s="43">
        <f t="shared" si="53"/>
        <v>4946580.6339102844</v>
      </c>
      <c r="T183" s="38">
        <f t="shared" si="94"/>
        <v>10</v>
      </c>
      <c r="V183" s="43">
        <f t="shared" si="111"/>
        <v>0</v>
      </c>
      <c r="W183" s="43">
        <f t="shared" si="111"/>
        <v>0</v>
      </c>
      <c r="X183" s="43">
        <f t="shared" si="111"/>
        <v>0</v>
      </c>
      <c r="Y183" s="43">
        <f t="shared" si="111"/>
        <v>0</v>
      </c>
      <c r="Z183" s="43">
        <f t="shared" si="111"/>
        <v>289374.96708375169</v>
      </c>
      <c r="AB183" s="43">
        <f t="shared" si="112"/>
        <v>0</v>
      </c>
      <c r="AC183" s="43">
        <f t="shared" si="112"/>
        <v>0</v>
      </c>
      <c r="AD183" s="43">
        <f t="shared" si="112"/>
        <v>0</v>
      </c>
      <c r="AE183" s="43">
        <f t="shared" si="112"/>
        <v>0</v>
      </c>
      <c r="AF183" s="43">
        <f t="shared" si="112"/>
        <v>24732.903169551424</v>
      </c>
      <c r="AH183" s="43">
        <f t="shared" si="95"/>
        <v>0</v>
      </c>
      <c r="AI183" s="43">
        <f t="shared" si="96"/>
        <v>0</v>
      </c>
      <c r="AJ183" s="43">
        <f t="shared" si="97"/>
        <v>0</v>
      </c>
      <c r="AK183" s="43">
        <f t="shared" si="98"/>
        <v>0</v>
      </c>
      <c r="AL183" s="43">
        <f t="shared" si="99"/>
        <v>314107.87025330309</v>
      </c>
      <c r="AN183" s="43">
        <f t="shared" si="60"/>
        <v>0</v>
      </c>
      <c r="AO183" s="43">
        <f t="shared" si="61"/>
        <v>0</v>
      </c>
      <c r="AP183" s="43">
        <f t="shared" si="62"/>
        <v>0</v>
      </c>
      <c r="AQ183" s="43">
        <f t="shared" si="63"/>
        <v>0</v>
      </c>
      <c r="AR183" s="43">
        <f t="shared" si="64"/>
        <v>4632472.7636569813</v>
      </c>
      <c r="AT183" s="43">
        <f t="shared" si="113"/>
        <v>0</v>
      </c>
      <c r="AU183" s="43">
        <f t="shared" si="113"/>
        <v>0</v>
      </c>
      <c r="AV183" s="43">
        <f t="shared" si="113"/>
        <v>0</v>
      </c>
      <c r="AW183" s="43">
        <f t="shared" si="113"/>
        <v>0</v>
      </c>
      <c r="AX183" s="43">
        <f t="shared" si="113"/>
        <v>49465.806339102848</v>
      </c>
      <c r="AZ183" s="47">
        <f t="shared" si="100"/>
        <v>0</v>
      </c>
      <c r="BA183" s="47">
        <f t="shared" si="101"/>
        <v>0</v>
      </c>
      <c r="BB183" s="47">
        <f t="shared" si="102"/>
        <v>0</v>
      </c>
      <c r="BC183" s="47">
        <f t="shared" si="103"/>
        <v>0</v>
      </c>
      <c r="BD183" s="47">
        <f t="shared" si="104"/>
        <v>539607.64161137119</v>
      </c>
    </row>
    <row r="184" spans="2:56">
      <c r="B184" s="37">
        <f>'3. Input (des)investeringen '!B217</f>
        <v>1652</v>
      </c>
      <c r="C184" s="48"/>
      <c r="D184" s="48"/>
      <c r="E184" s="48"/>
      <c r="F184" s="42">
        <f>'3. Input (des)investeringen '!D217</f>
        <v>8094567.3314780593</v>
      </c>
      <c r="G184" s="48"/>
      <c r="H184" s="37">
        <f>'3. Input (des)investeringen '!F217</f>
        <v>2026</v>
      </c>
      <c r="I184" s="42" t="str">
        <f>'3. Input (des)investeringen '!G217</f>
        <v>nvt</v>
      </c>
      <c r="J184" s="42">
        <f>'3. Input (des)investeringen '!H217</f>
        <v>15</v>
      </c>
      <c r="K184" s="42">
        <f>'3. Input (des)investeringen '!I217</f>
        <v>0</v>
      </c>
      <c r="M184" s="43">
        <f t="shared" si="90"/>
        <v>0</v>
      </c>
      <c r="N184" s="43">
        <f t="shared" si="91"/>
        <v>0</v>
      </c>
      <c r="P184" s="137">
        <f t="shared" si="93"/>
        <v>0</v>
      </c>
      <c r="Q184" s="137">
        <f t="shared" si="92"/>
        <v>0</v>
      </c>
      <c r="S184" s="43">
        <f t="shared" si="53"/>
        <v>8094567.3314780593</v>
      </c>
      <c r="T184" s="38">
        <f t="shared" si="94"/>
        <v>15</v>
      </c>
      <c r="V184" s="43">
        <f t="shared" si="111"/>
        <v>0</v>
      </c>
      <c r="W184" s="43">
        <f t="shared" si="111"/>
        <v>0</v>
      </c>
      <c r="X184" s="43">
        <f t="shared" si="111"/>
        <v>0</v>
      </c>
      <c r="Y184" s="43">
        <f t="shared" si="111"/>
        <v>0</v>
      </c>
      <c r="Z184" s="43">
        <f t="shared" si="111"/>
        <v>315688.12592764432</v>
      </c>
      <c r="AB184" s="43">
        <f t="shared" si="112"/>
        <v>0</v>
      </c>
      <c r="AC184" s="43">
        <f t="shared" si="112"/>
        <v>0</v>
      </c>
      <c r="AD184" s="43">
        <f t="shared" si="112"/>
        <v>0</v>
      </c>
      <c r="AE184" s="43">
        <f t="shared" si="112"/>
        <v>0</v>
      </c>
      <c r="AF184" s="43">
        <f t="shared" si="112"/>
        <v>26981.891104926868</v>
      </c>
      <c r="AH184" s="43">
        <f t="shared" si="95"/>
        <v>0</v>
      </c>
      <c r="AI184" s="43">
        <f t="shared" si="96"/>
        <v>0</v>
      </c>
      <c r="AJ184" s="43">
        <f t="shared" si="97"/>
        <v>0</v>
      </c>
      <c r="AK184" s="43">
        <f t="shared" si="98"/>
        <v>0</v>
      </c>
      <c r="AL184" s="43">
        <f t="shared" si="99"/>
        <v>342670.0170325712</v>
      </c>
      <c r="AN184" s="43">
        <f t="shared" si="60"/>
        <v>0</v>
      </c>
      <c r="AO184" s="43">
        <f t="shared" si="61"/>
        <v>0</v>
      </c>
      <c r="AP184" s="43">
        <f t="shared" si="62"/>
        <v>0</v>
      </c>
      <c r="AQ184" s="43">
        <f t="shared" si="63"/>
        <v>0</v>
      </c>
      <c r="AR184" s="43">
        <f t="shared" si="64"/>
        <v>7751897.3144454882</v>
      </c>
      <c r="AT184" s="43">
        <f t="shared" si="113"/>
        <v>0</v>
      </c>
      <c r="AU184" s="43">
        <f t="shared" si="113"/>
        <v>0</v>
      </c>
      <c r="AV184" s="43">
        <f t="shared" si="113"/>
        <v>0</v>
      </c>
      <c r="AW184" s="43">
        <f t="shared" si="113"/>
        <v>0</v>
      </c>
      <c r="AX184" s="43">
        <f t="shared" si="113"/>
        <v>80945.673314780594</v>
      </c>
      <c r="AZ184" s="47">
        <f t="shared" si="100"/>
        <v>0</v>
      </c>
      <c r="BA184" s="47">
        <f t="shared" si="101"/>
        <v>0</v>
      </c>
      <c r="BB184" s="47">
        <f t="shared" si="102"/>
        <v>0</v>
      </c>
      <c r="BC184" s="47">
        <f t="shared" si="103"/>
        <v>0</v>
      </c>
      <c r="BD184" s="47">
        <f t="shared" si="104"/>
        <v>718187.78829628031</v>
      </c>
    </row>
    <row r="185" spans="2:56">
      <c r="B185" s="37">
        <f>'3. Input (des)investeringen '!B218</f>
        <v>1653</v>
      </c>
      <c r="C185" s="48"/>
      <c r="D185" s="48"/>
      <c r="E185" s="48"/>
      <c r="F185" s="42">
        <f>'3. Input (des)investeringen '!D218</f>
        <v>8031503.8978528045</v>
      </c>
      <c r="G185" s="48"/>
      <c r="H185" s="37">
        <f>'3. Input (des)investeringen '!F218</f>
        <v>2026</v>
      </c>
      <c r="I185" s="42" t="str">
        <f>'3. Input (des)investeringen '!G218</f>
        <v>nvt</v>
      </c>
      <c r="J185" s="42">
        <f>'3. Input (des)investeringen '!H218</f>
        <v>30</v>
      </c>
      <c r="K185" s="42">
        <f>'3. Input (des)investeringen '!I218</f>
        <v>0</v>
      </c>
      <c r="M185" s="43">
        <f t="shared" si="90"/>
        <v>0</v>
      </c>
      <c r="N185" s="43">
        <f t="shared" si="91"/>
        <v>0</v>
      </c>
      <c r="P185" s="137">
        <f t="shared" si="93"/>
        <v>0</v>
      </c>
      <c r="Q185" s="137">
        <f t="shared" si="92"/>
        <v>0</v>
      </c>
      <c r="S185" s="43">
        <f t="shared" si="53"/>
        <v>8031503.8978528045</v>
      </c>
      <c r="T185" s="38">
        <f t="shared" si="94"/>
        <v>30</v>
      </c>
      <c r="V185" s="43">
        <f t="shared" si="111"/>
        <v>0</v>
      </c>
      <c r="W185" s="43">
        <f t="shared" si="111"/>
        <v>0</v>
      </c>
      <c r="X185" s="43">
        <f t="shared" si="111"/>
        <v>0</v>
      </c>
      <c r="Y185" s="43">
        <f t="shared" si="111"/>
        <v>0</v>
      </c>
      <c r="Z185" s="43">
        <f t="shared" si="111"/>
        <v>156614.32600812969</v>
      </c>
      <c r="AB185" s="43">
        <f t="shared" si="112"/>
        <v>0</v>
      </c>
      <c r="AC185" s="43">
        <f t="shared" si="112"/>
        <v>0</v>
      </c>
      <c r="AD185" s="43">
        <f t="shared" si="112"/>
        <v>0</v>
      </c>
      <c r="AE185" s="43">
        <f t="shared" si="112"/>
        <v>0</v>
      </c>
      <c r="AF185" s="43">
        <f t="shared" si="112"/>
        <v>13385.839829754674</v>
      </c>
      <c r="AH185" s="43">
        <f t="shared" si="95"/>
        <v>0</v>
      </c>
      <c r="AI185" s="43">
        <f t="shared" si="96"/>
        <v>0</v>
      </c>
      <c r="AJ185" s="43">
        <f t="shared" si="97"/>
        <v>0</v>
      </c>
      <c r="AK185" s="43">
        <f t="shared" si="98"/>
        <v>0</v>
      </c>
      <c r="AL185" s="43">
        <f t="shared" si="99"/>
        <v>170000.16583788436</v>
      </c>
      <c r="AN185" s="43">
        <f t="shared" si="60"/>
        <v>0</v>
      </c>
      <c r="AO185" s="43">
        <f t="shared" si="61"/>
        <v>0</v>
      </c>
      <c r="AP185" s="43">
        <f t="shared" si="62"/>
        <v>0</v>
      </c>
      <c r="AQ185" s="43">
        <f t="shared" si="63"/>
        <v>0</v>
      </c>
      <c r="AR185" s="43">
        <f t="shared" si="64"/>
        <v>7861503.7320149206</v>
      </c>
      <c r="AT185" s="43">
        <f t="shared" si="113"/>
        <v>0</v>
      </c>
      <c r="AU185" s="43">
        <f t="shared" si="113"/>
        <v>0</v>
      </c>
      <c r="AV185" s="43">
        <f t="shared" si="113"/>
        <v>0</v>
      </c>
      <c r="AW185" s="43">
        <f t="shared" si="113"/>
        <v>0</v>
      </c>
      <c r="AX185" s="43">
        <f t="shared" si="113"/>
        <v>80315.038978528042</v>
      </c>
      <c r="AZ185" s="47">
        <f t="shared" si="100"/>
        <v>0</v>
      </c>
      <c r="BA185" s="47">
        <f t="shared" si="101"/>
        <v>0</v>
      </c>
      <c r="BB185" s="47">
        <f t="shared" si="102"/>
        <v>0</v>
      </c>
      <c r="BC185" s="47">
        <f t="shared" si="103"/>
        <v>0</v>
      </c>
      <c r="BD185" s="47">
        <f t="shared" si="104"/>
        <v>549052.34663297934</v>
      </c>
    </row>
    <row r="186" spans="2:56">
      <c r="B186" s="37">
        <f>'3. Input (des)investeringen '!B219</f>
        <v>1654</v>
      </c>
      <c r="C186" s="48"/>
      <c r="D186" s="48"/>
      <c r="E186" s="48"/>
      <c r="F186" s="42">
        <f>'3. Input (des)investeringen '!D219</f>
        <v>0</v>
      </c>
      <c r="G186" s="48"/>
      <c r="H186" s="37">
        <f>'3. Input (des)investeringen '!F219</f>
        <v>2026</v>
      </c>
      <c r="I186" s="42" t="str">
        <f>'3. Input (des)investeringen '!G219</f>
        <v>nvt</v>
      </c>
      <c r="J186" s="42">
        <f>'3. Input (des)investeringen '!H219</f>
        <v>55</v>
      </c>
      <c r="K186" s="42">
        <f>'3. Input (des)investeringen '!I219</f>
        <v>0</v>
      </c>
      <c r="M186" s="43">
        <f t="shared" si="90"/>
        <v>0</v>
      </c>
      <c r="N186" s="43">
        <f t="shared" si="91"/>
        <v>0</v>
      </c>
      <c r="P186" s="137">
        <f t="shared" si="93"/>
        <v>0</v>
      </c>
      <c r="Q186" s="137">
        <f t="shared" si="92"/>
        <v>0</v>
      </c>
      <c r="S186" s="43">
        <f t="shared" si="53"/>
        <v>0</v>
      </c>
      <c r="T186" s="38">
        <f t="shared" si="94"/>
        <v>55</v>
      </c>
      <c r="V186" s="43">
        <f t="shared" si="111"/>
        <v>0</v>
      </c>
      <c r="W186" s="43">
        <f t="shared" si="111"/>
        <v>0</v>
      </c>
      <c r="X186" s="43">
        <f t="shared" si="111"/>
        <v>0</v>
      </c>
      <c r="Y186" s="43">
        <f t="shared" si="111"/>
        <v>0</v>
      </c>
      <c r="Z186" s="43">
        <f t="shared" si="111"/>
        <v>0</v>
      </c>
      <c r="AB186" s="43">
        <f t="shared" si="112"/>
        <v>0</v>
      </c>
      <c r="AC186" s="43">
        <f t="shared" si="112"/>
        <v>0</v>
      </c>
      <c r="AD186" s="43">
        <f t="shared" si="112"/>
        <v>0</v>
      </c>
      <c r="AE186" s="43">
        <f t="shared" si="112"/>
        <v>0</v>
      </c>
      <c r="AF186" s="43">
        <f t="shared" si="112"/>
        <v>0</v>
      </c>
      <c r="AH186" s="43">
        <f t="shared" si="95"/>
        <v>0</v>
      </c>
      <c r="AI186" s="43">
        <f t="shared" si="96"/>
        <v>0</v>
      </c>
      <c r="AJ186" s="43">
        <f t="shared" si="97"/>
        <v>0</v>
      </c>
      <c r="AK186" s="43">
        <f t="shared" si="98"/>
        <v>0</v>
      </c>
      <c r="AL186" s="43">
        <f t="shared" si="99"/>
        <v>0</v>
      </c>
      <c r="AN186" s="43">
        <f t="shared" si="60"/>
        <v>0</v>
      </c>
      <c r="AO186" s="43">
        <f t="shared" si="61"/>
        <v>0</v>
      </c>
      <c r="AP186" s="43">
        <f t="shared" si="62"/>
        <v>0</v>
      </c>
      <c r="AQ186" s="43">
        <f t="shared" si="63"/>
        <v>0</v>
      </c>
      <c r="AR186" s="43">
        <f t="shared" si="64"/>
        <v>0</v>
      </c>
      <c r="AT186" s="43">
        <f t="shared" si="113"/>
        <v>0</v>
      </c>
      <c r="AU186" s="43">
        <f t="shared" si="113"/>
        <v>0</v>
      </c>
      <c r="AV186" s="43">
        <f t="shared" si="113"/>
        <v>0</v>
      </c>
      <c r="AW186" s="43">
        <f t="shared" si="113"/>
        <v>0</v>
      </c>
      <c r="AX186" s="43">
        <f t="shared" si="113"/>
        <v>0</v>
      </c>
      <c r="AZ186" s="47">
        <f t="shared" si="100"/>
        <v>0</v>
      </c>
      <c r="BA186" s="47">
        <f t="shared" si="101"/>
        <v>0</v>
      </c>
      <c r="BB186" s="47">
        <f t="shared" si="102"/>
        <v>0</v>
      </c>
      <c r="BC186" s="47">
        <f t="shared" si="103"/>
        <v>0</v>
      </c>
      <c r="BD186" s="47">
        <f t="shared" si="104"/>
        <v>0</v>
      </c>
    </row>
    <row r="187" spans="2:56">
      <c r="B187" s="37">
        <f>'3. Input (des)investeringen '!B220</f>
        <v>1655</v>
      </c>
      <c r="C187" s="48"/>
      <c r="D187" s="48"/>
      <c r="E187" s="48"/>
      <c r="F187" s="42">
        <f>'3. Input (des)investeringen '!D220</f>
        <v>1823110</v>
      </c>
      <c r="G187" s="48"/>
      <c r="H187" s="37">
        <f>'3. Input (des)investeringen '!F220</f>
        <v>2020</v>
      </c>
      <c r="I187" s="42" t="str">
        <f>'3. Input (des)investeringen '!G220</f>
        <v>01 Regionale leidingen</v>
      </c>
      <c r="J187" s="42">
        <f>'3. Input (des)investeringen '!H220</f>
        <v>55</v>
      </c>
      <c r="K187" s="42">
        <f>'3. Input (des)investeringen '!I220</f>
        <v>1</v>
      </c>
      <c r="M187" s="43">
        <f t="shared" si="90"/>
        <v>16573.727272727272</v>
      </c>
      <c r="N187" s="43">
        <f t="shared" si="91"/>
        <v>33677.813818181814</v>
      </c>
      <c r="P187" s="137">
        <f t="shared" si="93"/>
        <v>1806536.2727272727</v>
      </c>
      <c r="Q187" s="137">
        <f t="shared" si="92"/>
        <v>1801763.0392727272</v>
      </c>
      <c r="S187" s="43">
        <f t="shared" si="53"/>
        <v>1801763.0392727272</v>
      </c>
      <c r="T187" s="38">
        <f t="shared" si="94"/>
        <v>53.5</v>
      </c>
      <c r="V187" s="43">
        <f t="shared" si="111"/>
        <v>39403.042167272724</v>
      </c>
      <c r="W187" s="43">
        <f t="shared" si="111"/>
        <v>38445.585067881053</v>
      </c>
      <c r="X187" s="43">
        <f t="shared" si="111"/>
        <v>37511.393281184879</v>
      </c>
      <c r="Y187" s="43">
        <f t="shared" si="111"/>
        <v>36599.901481828987</v>
      </c>
      <c r="Z187" s="43">
        <f t="shared" si="111"/>
        <v>35710.558081335948</v>
      </c>
      <c r="AB187" s="43">
        <f t="shared" si="112"/>
        <v>3367.7813818181821</v>
      </c>
      <c r="AC187" s="43">
        <f t="shared" si="112"/>
        <v>3367.7813818181821</v>
      </c>
      <c r="AD187" s="43">
        <f t="shared" si="112"/>
        <v>3367.7813818181821</v>
      </c>
      <c r="AE187" s="43">
        <f t="shared" si="112"/>
        <v>3367.7813818181821</v>
      </c>
      <c r="AF187" s="43">
        <f t="shared" si="112"/>
        <v>3367.7813818181821</v>
      </c>
      <c r="AH187" s="43">
        <f t="shared" si="95"/>
        <v>42770.823549090906</v>
      </c>
      <c r="AI187" s="43">
        <f t="shared" si="96"/>
        <v>41813.366449699235</v>
      </c>
      <c r="AJ187" s="43">
        <f t="shared" si="97"/>
        <v>40879.174663003061</v>
      </c>
      <c r="AK187" s="43">
        <f t="shared" si="98"/>
        <v>39967.682863647169</v>
      </c>
      <c r="AL187" s="43">
        <f t="shared" si="99"/>
        <v>39078.33946315413</v>
      </c>
      <c r="AN187" s="43">
        <f t="shared" si="60"/>
        <v>1758992.2157236363</v>
      </c>
      <c r="AO187" s="43">
        <f t="shared" si="61"/>
        <v>1717178.8492739371</v>
      </c>
      <c r="AP187" s="43">
        <f t="shared" si="62"/>
        <v>1676299.674610934</v>
      </c>
      <c r="AQ187" s="43">
        <f t="shared" si="63"/>
        <v>1636331.9917472869</v>
      </c>
      <c r="AR187" s="43">
        <f t="shared" si="64"/>
        <v>1597253.6522841328</v>
      </c>
      <c r="AT187" s="43">
        <f t="shared" si="113"/>
        <v>18762.00234184783</v>
      </c>
      <c r="AU187" s="43">
        <f t="shared" si="113"/>
        <v>19845.545501094224</v>
      </c>
      <c r="AV187" s="43">
        <f t="shared" si="113"/>
        <v>21347.456384617039</v>
      </c>
      <c r="AW187" s="43">
        <f t="shared" si="113"/>
        <v>21857.404422732769</v>
      </c>
      <c r="AX187" s="43">
        <f t="shared" si="113"/>
        <v>22597.233847633433</v>
      </c>
      <c r="AZ187" s="47">
        <f t="shared" si="100"/>
        <v>121338.56122554239</v>
      </c>
      <c r="BA187" s="47">
        <f t="shared" si="101"/>
        <v>118325.81397683339</v>
      </c>
      <c r="BB187" s="47">
        <f t="shared" si="102"/>
        <v>125926.01868283558</v>
      </c>
      <c r="BC187" s="47">
        <f t="shared" si="103"/>
        <v>124005.70297277684</v>
      </c>
      <c r="BD187" s="47">
        <f t="shared" si="104"/>
        <v>122371.21209758462</v>
      </c>
    </row>
    <row r="188" spans="2:56">
      <c r="B188" s="37">
        <f>'3. Input (des)investeringen '!B221</f>
        <v>1656</v>
      </c>
      <c r="C188" s="48"/>
      <c r="D188" s="48"/>
      <c r="E188" s="48"/>
      <c r="F188" s="42">
        <f>'3. Input (des)investeringen '!D221</f>
        <v>1850427.4802399999</v>
      </c>
      <c r="G188" s="48"/>
      <c r="H188" s="37">
        <f>'3. Input (des)investeringen '!F221</f>
        <v>2021</v>
      </c>
      <c r="I188" s="42" t="str">
        <f>'3. Input (des)investeringen '!G221</f>
        <v>01 Regionale leidingen</v>
      </c>
      <c r="J188" s="42">
        <f>'3. Input (des)investeringen '!H221</f>
        <v>55</v>
      </c>
      <c r="K188" s="42">
        <f>'3. Input (des)investeringen '!I221</f>
        <v>1</v>
      </c>
      <c r="M188" s="43">
        <f t="shared" si="90"/>
        <v>0</v>
      </c>
      <c r="N188" s="43">
        <f t="shared" si="91"/>
        <v>16822.068002181819</v>
      </c>
      <c r="P188" s="137">
        <f t="shared" si="93"/>
        <v>0</v>
      </c>
      <c r="Q188" s="137">
        <f t="shared" si="92"/>
        <v>1833605.4122378181</v>
      </c>
      <c r="S188" s="43">
        <f t="shared" si="53"/>
        <v>1833605.4122378181</v>
      </c>
      <c r="T188" s="38">
        <f t="shared" si="94"/>
        <v>54.5</v>
      </c>
      <c r="V188" s="43">
        <f t="shared" si="111"/>
        <v>39363.639125105452</v>
      </c>
      <c r="W188" s="43">
        <f t="shared" si="111"/>
        <v>38424.689934965325</v>
      </c>
      <c r="X188" s="43">
        <f t="shared" si="111"/>
        <v>37508.137697984501</v>
      </c>
      <c r="Y188" s="43">
        <f t="shared" si="111"/>
        <v>36613.448174913312</v>
      </c>
      <c r="Z188" s="43">
        <f t="shared" si="111"/>
        <v>35740.099869823636</v>
      </c>
      <c r="AB188" s="43">
        <f t="shared" si="112"/>
        <v>3364.413600436364</v>
      </c>
      <c r="AC188" s="43">
        <f t="shared" si="112"/>
        <v>3364.413600436364</v>
      </c>
      <c r="AD188" s="43">
        <f t="shared" si="112"/>
        <v>3364.413600436364</v>
      </c>
      <c r="AE188" s="43">
        <f t="shared" si="112"/>
        <v>3364.413600436364</v>
      </c>
      <c r="AF188" s="43">
        <f t="shared" si="112"/>
        <v>3364.413600436364</v>
      </c>
      <c r="AH188" s="43">
        <f t="shared" si="95"/>
        <v>42728.052725541813</v>
      </c>
      <c r="AI188" s="43">
        <f t="shared" si="96"/>
        <v>41789.103535401686</v>
      </c>
      <c r="AJ188" s="43">
        <f t="shared" si="97"/>
        <v>40872.551298420862</v>
      </c>
      <c r="AK188" s="43">
        <f t="shared" si="98"/>
        <v>39977.861775349673</v>
      </c>
      <c r="AL188" s="43">
        <f t="shared" si="99"/>
        <v>39104.513470259997</v>
      </c>
      <c r="AN188" s="43">
        <f t="shared" si="60"/>
        <v>1790877.3595122762</v>
      </c>
      <c r="AO188" s="43">
        <f t="shared" si="61"/>
        <v>1749088.2559768746</v>
      </c>
      <c r="AP188" s="43">
        <f t="shared" si="62"/>
        <v>1708215.7046784537</v>
      </c>
      <c r="AQ188" s="43">
        <f t="shared" si="63"/>
        <v>1668237.8429031041</v>
      </c>
      <c r="AR188" s="43">
        <f t="shared" si="64"/>
        <v>1629133.3294328442</v>
      </c>
      <c r="AT188" s="43">
        <f t="shared" si="113"/>
        <v>18762.002341847827</v>
      </c>
      <c r="AU188" s="43">
        <f t="shared" si="113"/>
        <v>19845.545501094221</v>
      </c>
      <c r="AV188" s="43">
        <f t="shared" si="113"/>
        <v>21347.456384617035</v>
      </c>
      <c r="AW188" s="43">
        <f t="shared" si="113"/>
        <v>21857.404422732765</v>
      </c>
      <c r="AX188" s="43">
        <f t="shared" si="113"/>
        <v>22597.233847633423</v>
      </c>
      <c r="AZ188" s="47">
        <f t="shared" si="100"/>
        <v>122379.88529080704</v>
      </c>
      <c r="BA188" s="47">
        <f t="shared" si="101"/>
        <v>119354.56148373277</v>
      </c>
      <c r="BB188" s="47">
        <f t="shared" si="102"/>
        <v>127132.20446081914</v>
      </c>
      <c r="BC188" s="47">
        <f t="shared" si="103"/>
        <v>125228.3042284004</v>
      </c>
      <c r="BD188" s="47">
        <f t="shared" si="104"/>
        <v>123608.81383634151</v>
      </c>
    </row>
    <row r="189" spans="2:56">
      <c r="B189" s="37">
        <f>'3. Input (des)investeringen '!B222</f>
        <v>1657</v>
      </c>
      <c r="C189" s="48"/>
      <c r="D189" s="48"/>
      <c r="E189" s="48"/>
      <c r="F189" s="42">
        <f>'3. Input (des)investeringen '!D222</f>
        <v>1874357.2084144636</v>
      </c>
      <c r="G189" s="48"/>
      <c r="H189" s="37">
        <f>'3. Input (des)investeringen '!F222</f>
        <v>2022</v>
      </c>
      <c r="I189" s="42" t="str">
        <f>'3. Input (des)investeringen '!G222</f>
        <v>01 Regionale leidingen</v>
      </c>
      <c r="J189" s="42">
        <f>'3. Input (des)investeringen '!H222</f>
        <v>55</v>
      </c>
      <c r="K189" s="42">
        <f>'3. Input (des)investeringen '!I222</f>
        <v>1</v>
      </c>
      <c r="M189" s="43">
        <f t="shared" ref="M189:M200" si="114">IF($J189=0, 0, IF($H189&lt;=M$59,
VDB($F189,0,$J189,MAX(0,M$59-$H189-0.5),MIN($J189,M$59-$H189+0.5),1)*INDEX(H$40:H$46,$H189-2019,1),
0))</f>
        <v>0</v>
      </c>
      <c r="N189" s="43">
        <f t="shared" ref="N189:N200" si="115">IF($J189=0, 0, IF($H189&lt;=N$59,
VDB($F189,0,$J189,MAX(0,N$59-$H189-0.5),MIN($J189,N$59-$H189+0.5),1)*INDEX(I$40:I$46,$H189-2019,1),
0))</f>
        <v>0</v>
      </c>
      <c r="P189" s="137">
        <f t="shared" si="93"/>
        <v>0</v>
      </c>
      <c r="Q189" s="137">
        <f t="shared" ref="Q189:Q200" si="116">IF($J189=0,IF($H189=N$59,$F189,$P189*I$40),IF(OR($H189&gt;Q$59,$H189+$J189&lt;=Q$59),0,
IF($H189=Q$59,F189-N189,P189*I$40-N189)))</f>
        <v>0</v>
      </c>
      <c r="S189" s="43">
        <f t="shared" si="53"/>
        <v>1874357.2084144636</v>
      </c>
      <c r="T189" s="38">
        <f t="shared" si="94"/>
        <v>55</v>
      </c>
      <c r="V189" s="43">
        <f t="shared" si="111"/>
        <v>19936.344853135655</v>
      </c>
      <c r="W189" s="43">
        <f t="shared" si="111"/>
        <v>39401.46700974265</v>
      </c>
      <c r="X189" s="43">
        <f t="shared" si="111"/>
        <v>38470.159607694186</v>
      </c>
      <c r="Y189" s="43">
        <f t="shared" si="111"/>
        <v>37560.864926057773</v>
      </c>
      <c r="Z189" s="43">
        <f t="shared" si="111"/>
        <v>36673.062664169134</v>
      </c>
      <c r="AB189" s="43">
        <f t="shared" si="112"/>
        <v>1703.9610985586035</v>
      </c>
      <c r="AC189" s="43">
        <f t="shared" si="112"/>
        <v>3407.9221971172069</v>
      </c>
      <c r="AD189" s="43">
        <f t="shared" si="112"/>
        <v>3407.9221971172069</v>
      </c>
      <c r="AE189" s="43">
        <f t="shared" si="112"/>
        <v>3407.9221971172069</v>
      </c>
      <c r="AF189" s="43">
        <f t="shared" si="112"/>
        <v>3407.9221971172069</v>
      </c>
      <c r="AH189" s="43">
        <f t="shared" si="95"/>
        <v>21640.305951694259</v>
      </c>
      <c r="AI189" s="43">
        <f t="shared" si="96"/>
        <v>42809.389206859858</v>
      </c>
      <c r="AJ189" s="43">
        <f t="shared" si="97"/>
        <v>41878.081804811394</v>
      </c>
      <c r="AK189" s="43">
        <f t="shared" si="98"/>
        <v>40968.787123174981</v>
      </c>
      <c r="AL189" s="43">
        <f t="shared" si="99"/>
        <v>40080.984861286342</v>
      </c>
      <c r="AN189" s="43">
        <f t="shared" si="60"/>
        <v>1852716.9024627693</v>
      </c>
      <c r="AO189" s="43">
        <f t="shared" si="61"/>
        <v>1809907.5132559096</v>
      </c>
      <c r="AP189" s="43">
        <f t="shared" si="62"/>
        <v>1768029.4314510981</v>
      </c>
      <c r="AQ189" s="43">
        <f t="shared" si="63"/>
        <v>1727060.6443279232</v>
      </c>
      <c r="AR189" s="43">
        <f t="shared" si="64"/>
        <v>1686979.6594666368</v>
      </c>
      <c r="AT189" s="43">
        <f t="shared" si="113"/>
        <v>18743.572084144635</v>
      </c>
      <c r="AU189" s="43">
        <f t="shared" si="113"/>
        <v>19826.050859148159</v>
      </c>
      <c r="AV189" s="43">
        <f t="shared" si="113"/>
        <v>21326.486388168494</v>
      </c>
      <c r="AW189" s="43">
        <f t="shared" si="113"/>
        <v>21835.933495009063</v>
      </c>
      <c r="AX189" s="43">
        <f t="shared" si="113"/>
        <v>22575.036171948126</v>
      </c>
      <c r="AZ189" s="47">
        <f t="shared" si="100"/>
        <v>103376.25271957305</v>
      </c>
      <c r="BA189" s="47">
        <f t="shared" si="101"/>
        <v>122362.38800345304</v>
      </c>
      <c r="BB189" s="47">
        <f t="shared" si="102"/>
        <v>130389.68658812161</v>
      </c>
      <c r="BC189" s="47">
        <f t="shared" si="103"/>
        <v>128433.02510264513</v>
      </c>
      <c r="BD189" s="47">
        <f t="shared" si="104"/>
        <v>126761.24809296668</v>
      </c>
    </row>
    <row r="190" spans="2:56">
      <c r="B190" s="37">
        <f>'3. Input (des)investeringen '!B223</f>
        <v>1658</v>
      </c>
      <c r="C190" s="48"/>
      <c r="D190" s="48"/>
      <c r="E190" s="48"/>
      <c r="F190" s="42">
        <f>'3. Input (des)investeringen '!D223</f>
        <v>1898596.3958336795</v>
      </c>
      <c r="G190" s="48"/>
      <c r="H190" s="37">
        <f>'3. Input (des)investeringen '!F223</f>
        <v>2023</v>
      </c>
      <c r="I190" s="42" t="str">
        <f>'3. Input (des)investeringen '!G223</f>
        <v>01 Regionale leidingen</v>
      </c>
      <c r="J190" s="42">
        <f>'3. Input (des)investeringen '!H223</f>
        <v>55</v>
      </c>
      <c r="K190" s="42">
        <f>'3. Input (des)investeringen '!I223</f>
        <v>1</v>
      </c>
      <c r="M190" s="43">
        <f t="shared" si="114"/>
        <v>0</v>
      </c>
      <c r="N190" s="43">
        <f t="shared" si="115"/>
        <v>0</v>
      </c>
      <c r="P190" s="137">
        <f t="shared" si="93"/>
        <v>0</v>
      </c>
      <c r="Q190" s="137">
        <f t="shared" si="116"/>
        <v>0</v>
      </c>
      <c r="S190" s="43">
        <f t="shared" ref="S190:S200" si="117">IF($P190=0, IF(H190&lt;=2021, $Q190, IF(H190&gt;=2022, $F190,0)), IF(H190&lt;=2021,Q190,F190))</f>
        <v>1898596.3958336795</v>
      </c>
      <c r="T190" s="38">
        <f t="shared" si="94"/>
        <v>55</v>
      </c>
      <c r="V190" s="43">
        <f t="shared" si="111"/>
        <v>0</v>
      </c>
      <c r="W190" s="43">
        <f t="shared" si="111"/>
        <v>20194.161664776409</v>
      </c>
      <c r="X190" s="43">
        <f t="shared" si="111"/>
        <v>39911.00678111265</v>
      </c>
      <c r="Y190" s="43">
        <f t="shared" si="111"/>
        <v>38967.655711740896</v>
      </c>
      <c r="Z190" s="43">
        <f t="shared" si="111"/>
        <v>38046.60203128156</v>
      </c>
      <c r="AB190" s="43">
        <f t="shared" si="112"/>
        <v>0</v>
      </c>
      <c r="AC190" s="43">
        <f t="shared" si="112"/>
        <v>1725.9967234851633</v>
      </c>
      <c r="AD190" s="43">
        <f t="shared" si="112"/>
        <v>3451.9934469703271</v>
      </c>
      <c r="AE190" s="43">
        <f t="shared" si="112"/>
        <v>3451.9934469703271</v>
      </c>
      <c r="AF190" s="43">
        <f t="shared" si="112"/>
        <v>3451.9934469703271</v>
      </c>
      <c r="AH190" s="43">
        <f t="shared" si="95"/>
        <v>0</v>
      </c>
      <c r="AI190" s="43">
        <f t="shared" si="96"/>
        <v>21920.158388261574</v>
      </c>
      <c r="AJ190" s="43">
        <f t="shared" si="97"/>
        <v>43363.000228082979</v>
      </c>
      <c r="AK190" s="43">
        <f t="shared" si="98"/>
        <v>42419.649158711225</v>
      </c>
      <c r="AL190" s="43">
        <f t="shared" si="99"/>
        <v>41498.595478251889</v>
      </c>
      <c r="AN190" s="43">
        <f t="shared" ref="AN190:AN200" si="118">IF($J190=0, IF($H190&gt;AN$59,0, $S190), IF(OR($H190&gt;AN$59,$H190+$J190&lt;=AN$59),0,
IF($H190=AN$59,$S190-AH190,
S190-AH190)))</f>
        <v>0</v>
      </c>
      <c r="AO190" s="43">
        <f t="shared" ref="AO190:AO200" si="119">IF($J190=0, IF($H190 &gt; AO$59, 0, IF($H190=AO$59, $F190, AN190)), IF(OR($H190&gt;AO$59,$H190+$J190&lt;=AO$59),0,
IF($H190=AO$59,$S190-AI190,
AN190-AI190)))</f>
        <v>1876676.2374454178</v>
      </c>
      <c r="AP190" s="43">
        <f t="shared" ref="AP190:AP200" si="120">IF($J190=0, IF($H190 &gt; AP$59, 0, IF($H190=AP$59, $F190, AO190)), IF(OR($H190&gt;AP$59,$H190+$J190&lt;=AP$59),0,
IF($H190=AP$59,$S190-AJ190,
AO190-AJ190)))</f>
        <v>1833313.2372173348</v>
      </c>
      <c r="AQ190" s="43">
        <f t="shared" ref="AQ190:AQ200" si="121">IF($J190=0, IF($H190 &gt; AQ$59, 0, IF($H190=AQ$59, $F190, AP190)), IF(OR($H190&gt;AQ$59,$H190+$J190&lt;=AQ$59),0,
IF($H190=AQ$59,$S190-AK190,
AP190-AK190)))</f>
        <v>1790893.5880586235</v>
      </c>
      <c r="AR190" s="43">
        <f t="shared" ref="AR190:AR200" si="122">IF($J190=0, IF($H190 &gt; AR$59, 0, IF($H190=AR$59, $F190, AQ190)), IF(OR($H190&gt;AR$59,$H190+$J190&lt;=AR$59),0,
IF($H190=AR$59,$S190-AL190,
AQ190-AL190)))</f>
        <v>1749394.9925803717</v>
      </c>
      <c r="AT190" s="43">
        <f t="shared" si="113"/>
        <v>0</v>
      </c>
      <c r="AU190" s="43">
        <f t="shared" si="113"/>
        <v>18985.963958336793</v>
      </c>
      <c r="AV190" s="43">
        <f t="shared" si="113"/>
        <v>20422.821710703724</v>
      </c>
      <c r="AW190" s="43">
        <f t="shared" si="113"/>
        <v>20910.682075729015</v>
      </c>
      <c r="AX190" s="43">
        <f t="shared" si="113"/>
        <v>21618.466842628288</v>
      </c>
      <c r="AZ190" s="47">
        <f t="shared" si="100"/>
        <v>0</v>
      </c>
      <c r="BA190" s="47">
        <f t="shared" si="101"/>
        <v>102836.43818229716</v>
      </c>
      <c r="BB190" s="47">
        <f t="shared" si="102"/>
        <v>133451.72495304543</v>
      </c>
      <c r="BC190" s="47">
        <f t="shared" si="103"/>
        <v>131384.28758066794</v>
      </c>
      <c r="BD190" s="47">
        <f t="shared" si="104"/>
        <v>129594.0720389343</v>
      </c>
    </row>
    <row r="191" spans="2:56">
      <c r="B191" s="37">
        <f>'3. Input (des)investeringen '!B224</f>
        <v>1659</v>
      </c>
      <c r="C191" s="48"/>
      <c r="D191" s="48"/>
      <c r="E191" s="48"/>
      <c r="F191" s="42">
        <f>'3. Input (des)investeringen '!D224</f>
        <v>1923149.0444246007</v>
      </c>
      <c r="G191" s="48"/>
      <c r="H191" s="37">
        <f>'3. Input (des)investeringen '!F224</f>
        <v>2024</v>
      </c>
      <c r="I191" s="42" t="str">
        <f>'3. Input (des)investeringen '!G224</f>
        <v>01 Regionale leidingen</v>
      </c>
      <c r="J191" s="42">
        <f>'3. Input (des)investeringen '!H224</f>
        <v>55</v>
      </c>
      <c r="K191" s="42">
        <f>'3. Input (des)investeringen '!I224</f>
        <v>1</v>
      </c>
      <c r="M191" s="43">
        <f t="shared" si="114"/>
        <v>0</v>
      </c>
      <c r="N191" s="43">
        <f t="shared" si="115"/>
        <v>0</v>
      </c>
      <c r="P191" s="137">
        <f t="shared" si="93"/>
        <v>0</v>
      </c>
      <c r="Q191" s="137">
        <f t="shared" si="116"/>
        <v>0</v>
      </c>
      <c r="S191" s="43">
        <f t="shared" si="117"/>
        <v>1923149.0444246007</v>
      </c>
      <c r="T191" s="38">
        <f t="shared" si="94"/>
        <v>55</v>
      </c>
      <c r="V191" s="43">
        <f t="shared" ref="V191:Z200" si="123">IF($J191=0, 0, IF(OR($H191&gt;V$59,$H191+$J191&lt;V$59),0,
IF(OR($H191=2020,$H191=2021),VDB($S191*(1-$F$28),0,$T191,V$59-2022,MIN($T191,V$59-2021),$F$22,FALSE),
VDB($S191*(1-$F$28),0,$T191,MAX(0,V$59-$H191-0.5),MIN($T191,V$59-$H191+0.5),$F$22,FALSE))))</f>
        <v>0</v>
      </c>
      <c r="W191" s="43">
        <f t="shared" si="123"/>
        <v>0</v>
      </c>
      <c r="X191" s="43">
        <f t="shared" si="123"/>
        <v>20455.312563425297</v>
      </c>
      <c r="Y191" s="43">
        <f t="shared" si="123"/>
        <v>40427.135920805995</v>
      </c>
      <c r="Z191" s="43">
        <f t="shared" si="123"/>
        <v>39471.585435405126</v>
      </c>
      <c r="AB191" s="43">
        <f t="shared" ref="AB191:AF200" si="124">IF($J191=0, 0, IF(OR($H191&gt;AB$59,$H191+$J191&lt;AB$59),0,
IF(OR($H191=2020,$H191=2021),VDB($S191*$F$28,0,$T191,AB$59-2022,MIN($T191,AB$59-2021),1),
VDB($S191*$F$28,0,$T191,MAX(0,AB$59-$H191-0.5),MIN($T191,AB$59-$H191+0.5),1))))</f>
        <v>0</v>
      </c>
      <c r="AC191" s="43">
        <f t="shared" si="124"/>
        <v>0</v>
      </c>
      <c r="AD191" s="43">
        <f t="shared" si="124"/>
        <v>1748.3173131132735</v>
      </c>
      <c r="AE191" s="43">
        <f t="shared" si="124"/>
        <v>3496.634626226547</v>
      </c>
      <c r="AF191" s="43">
        <f t="shared" si="124"/>
        <v>3496.634626226547</v>
      </c>
      <c r="AH191" s="43">
        <f t="shared" si="95"/>
        <v>0</v>
      </c>
      <c r="AI191" s="43">
        <f t="shared" si="96"/>
        <v>0</v>
      </c>
      <c r="AJ191" s="43">
        <f t="shared" si="97"/>
        <v>22203.629876538573</v>
      </c>
      <c r="AK191" s="43">
        <f t="shared" si="98"/>
        <v>43923.770547032545</v>
      </c>
      <c r="AL191" s="43">
        <f t="shared" si="99"/>
        <v>42968.22006163167</v>
      </c>
      <c r="AN191" s="43">
        <f t="shared" si="118"/>
        <v>0</v>
      </c>
      <c r="AO191" s="43">
        <f t="shared" si="119"/>
        <v>0</v>
      </c>
      <c r="AP191" s="43">
        <f t="shared" si="120"/>
        <v>1900945.414548062</v>
      </c>
      <c r="AQ191" s="43">
        <f t="shared" si="121"/>
        <v>1857021.6440010294</v>
      </c>
      <c r="AR191" s="43">
        <f t="shared" si="122"/>
        <v>1814053.4239393978</v>
      </c>
      <c r="AT191" s="43">
        <f t="shared" ref="AT191:AX200" si="125">IF($H191&lt;=AT$59,$F191*INDEX($H$40:$N$46,$H191-2019,AT$59-2019)*INDEX($H$49:$N$55,$H191-2019,AT$59-2019)*$F$19,0)</f>
        <v>0</v>
      </c>
      <c r="AU191" s="43">
        <f t="shared" si="125"/>
        <v>0</v>
      </c>
      <c r="AV191" s="43">
        <f t="shared" si="125"/>
        <v>19231.490444246007</v>
      </c>
      <c r="AW191" s="43">
        <f t="shared" si="125"/>
        <v>19690.892287978157</v>
      </c>
      <c r="AX191" s="43">
        <f t="shared" si="125"/>
        <v>20357.389610141643</v>
      </c>
      <c r="AZ191" s="47">
        <f t="shared" si="100"/>
        <v>0</v>
      </c>
      <c r="BA191" s="47">
        <f t="shared" si="101"/>
        <v>0</v>
      </c>
      <c r="BB191" s="47">
        <f t="shared" si="102"/>
        <v>113671.04607361094</v>
      </c>
      <c r="BC191" s="47">
        <f t="shared" si="103"/>
        <v>134181.48530704982</v>
      </c>
      <c r="BD191" s="47">
        <f t="shared" si="104"/>
        <v>132259.63978147041</v>
      </c>
    </row>
    <row r="192" spans="2:56">
      <c r="B192" s="37">
        <f>'3. Input (des)investeringen '!B225</f>
        <v>1660</v>
      </c>
      <c r="C192" s="48"/>
      <c r="D192" s="48"/>
      <c r="E192" s="48"/>
      <c r="F192" s="42">
        <f>'3. Input (des)investeringen '!D225</f>
        <v>1948019.2078670992</v>
      </c>
      <c r="G192" s="48"/>
      <c r="H192" s="37">
        <f>'3. Input (des)investeringen '!F225</f>
        <v>2025</v>
      </c>
      <c r="I192" s="42" t="str">
        <f>'3. Input (des)investeringen '!G225</f>
        <v>01 Regionale leidingen</v>
      </c>
      <c r="J192" s="42">
        <f>'3. Input (des)investeringen '!H225</f>
        <v>55</v>
      </c>
      <c r="K192" s="42">
        <f>'3. Input (des)investeringen '!I225</f>
        <v>1</v>
      </c>
      <c r="M192" s="43">
        <f t="shared" si="114"/>
        <v>0</v>
      </c>
      <c r="N192" s="43">
        <f t="shared" si="115"/>
        <v>0</v>
      </c>
      <c r="P192" s="137">
        <f t="shared" si="93"/>
        <v>0</v>
      </c>
      <c r="Q192" s="137">
        <f t="shared" si="116"/>
        <v>0</v>
      </c>
      <c r="S192" s="43">
        <f t="shared" si="117"/>
        <v>1948019.2078670992</v>
      </c>
      <c r="T192" s="38">
        <f t="shared" si="94"/>
        <v>55</v>
      </c>
      <c r="V192" s="43">
        <f t="shared" si="123"/>
        <v>0</v>
      </c>
      <c r="W192" s="43">
        <f t="shared" si="123"/>
        <v>0</v>
      </c>
      <c r="X192" s="43">
        <f t="shared" si="123"/>
        <v>0</v>
      </c>
      <c r="Y192" s="43">
        <f t="shared" si="123"/>
        <v>20719.840665495507</v>
      </c>
      <c r="Z192" s="43">
        <f t="shared" si="123"/>
        <v>40949.939642533849</v>
      </c>
      <c r="AB192" s="43">
        <f t="shared" si="124"/>
        <v>0</v>
      </c>
      <c r="AC192" s="43">
        <f t="shared" si="124"/>
        <v>0</v>
      </c>
      <c r="AD192" s="43">
        <f t="shared" si="124"/>
        <v>0</v>
      </c>
      <c r="AE192" s="43">
        <f t="shared" si="124"/>
        <v>1770.9265526064539</v>
      </c>
      <c r="AF192" s="43">
        <f t="shared" si="124"/>
        <v>3541.8531052129078</v>
      </c>
      <c r="AH192" s="43">
        <f t="shared" si="95"/>
        <v>0</v>
      </c>
      <c r="AI192" s="43">
        <f t="shared" si="96"/>
        <v>0</v>
      </c>
      <c r="AJ192" s="43">
        <f t="shared" si="97"/>
        <v>0</v>
      </c>
      <c r="AK192" s="43">
        <f t="shared" si="98"/>
        <v>22490.767218101962</v>
      </c>
      <c r="AL192" s="43">
        <f t="shared" si="99"/>
        <v>44491.79274774676</v>
      </c>
      <c r="AN192" s="43">
        <f t="shared" si="118"/>
        <v>0</v>
      </c>
      <c r="AO192" s="43">
        <f t="shared" si="119"/>
        <v>0</v>
      </c>
      <c r="AP192" s="43">
        <f t="shared" si="120"/>
        <v>0</v>
      </c>
      <c r="AQ192" s="43">
        <f t="shared" si="121"/>
        <v>1925528.4406489972</v>
      </c>
      <c r="AR192" s="43">
        <f t="shared" si="122"/>
        <v>1881036.6479012505</v>
      </c>
      <c r="AT192" s="43">
        <f t="shared" si="125"/>
        <v>0</v>
      </c>
      <c r="AU192" s="43">
        <f t="shared" si="125"/>
        <v>0</v>
      </c>
      <c r="AV192" s="43">
        <f t="shared" si="125"/>
        <v>0</v>
      </c>
      <c r="AW192" s="43">
        <f t="shared" si="125"/>
        <v>19480.192078670992</v>
      </c>
      <c r="AX192" s="43">
        <f t="shared" si="125"/>
        <v>20139.557620149848</v>
      </c>
      <c r="AZ192" s="47">
        <f t="shared" si="100"/>
        <v>0</v>
      </c>
      <c r="BA192" s="47">
        <f t="shared" si="101"/>
        <v>0</v>
      </c>
      <c r="BB192" s="47">
        <f t="shared" si="102"/>
        <v>0</v>
      </c>
      <c r="BC192" s="47">
        <f t="shared" si="103"/>
        <v>115141.04004143484</v>
      </c>
      <c r="BD192" s="47">
        <f t="shared" si="104"/>
        <v>136110.74298814411</v>
      </c>
    </row>
    <row r="193" spans="1:56">
      <c r="B193" s="37">
        <f>'3. Input (des)investeringen '!B226</f>
        <v>1661</v>
      </c>
      <c r="C193" s="48"/>
      <c r="D193" s="48"/>
      <c r="E193" s="48"/>
      <c r="F193" s="42">
        <f>'3. Input (des)investeringen '!D226</f>
        <v>1973210.9922632365</v>
      </c>
      <c r="G193" s="48"/>
      <c r="H193" s="37">
        <f>'3. Input (des)investeringen '!F226</f>
        <v>2026</v>
      </c>
      <c r="I193" s="42" t="str">
        <f>'3. Input (des)investeringen '!G226</f>
        <v>01 Regionale leidingen</v>
      </c>
      <c r="J193" s="42">
        <f>'3. Input (des)investeringen '!H226</f>
        <v>55</v>
      </c>
      <c r="K193" s="42">
        <f>'3. Input (des)investeringen '!I226</f>
        <v>1</v>
      </c>
      <c r="M193" s="43">
        <f t="shared" si="114"/>
        <v>0</v>
      </c>
      <c r="N193" s="43">
        <f t="shared" si="115"/>
        <v>0</v>
      </c>
      <c r="P193" s="137">
        <f t="shared" si="93"/>
        <v>0</v>
      </c>
      <c r="Q193" s="137">
        <f t="shared" si="116"/>
        <v>0</v>
      </c>
      <c r="S193" s="43">
        <f t="shared" si="117"/>
        <v>1973210.9922632365</v>
      </c>
      <c r="T193" s="38">
        <f t="shared" si="94"/>
        <v>55</v>
      </c>
      <c r="V193" s="43">
        <f t="shared" si="123"/>
        <v>0</v>
      </c>
      <c r="W193" s="43">
        <f t="shared" si="123"/>
        <v>0</v>
      </c>
      <c r="X193" s="43">
        <f t="shared" si="123"/>
        <v>0</v>
      </c>
      <c r="Y193" s="43">
        <f t="shared" si="123"/>
        <v>0</v>
      </c>
      <c r="Z193" s="43">
        <f t="shared" si="123"/>
        <v>20987.789644981698</v>
      </c>
      <c r="AB193" s="43">
        <f t="shared" si="124"/>
        <v>0</v>
      </c>
      <c r="AC193" s="43">
        <f t="shared" si="124"/>
        <v>0</v>
      </c>
      <c r="AD193" s="43">
        <f t="shared" si="124"/>
        <v>0</v>
      </c>
      <c r="AE193" s="43">
        <f t="shared" si="124"/>
        <v>0</v>
      </c>
      <c r="AF193" s="43">
        <f t="shared" si="124"/>
        <v>1793.8281747847604</v>
      </c>
      <c r="AH193" s="43">
        <f t="shared" si="95"/>
        <v>0</v>
      </c>
      <c r="AI193" s="43">
        <f t="shared" si="96"/>
        <v>0</v>
      </c>
      <c r="AJ193" s="43">
        <f t="shared" si="97"/>
        <v>0</v>
      </c>
      <c r="AK193" s="43">
        <f t="shared" si="98"/>
        <v>0</v>
      </c>
      <c r="AL193" s="43">
        <f t="shared" si="99"/>
        <v>22781.617819766459</v>
      </c>
      <c r="AN193" s="43">
        <f t="shared" si="118"/>
        <v>0</v>
      </c>
      <c r="AO193" s="43">
        <f t="shared" si="119"/>
        <v>0</v>
      </c>
      <c r="AP193" s="43">
        <f t="shared" si="120"/>
        <v>0</v>
      </c>
      <c r="AQ193" s="43">
        <f t="shared" si="121"/>
        <v>0</v>
      </c>
      <c r="AR193" s="43">
        <f t="shared" si="122"/>
        <v>1950429.37444347</v>
      </c>
      <c r="AT193" s="43">
        <f t="shared" si="125"/>
        <v>0</v>
      </c>
      <c r="AU193" s="43">
        <f t="shared" si="125"/>
        <v>0</v>
      </c>
      <c r="AV193" s="43">
        <f t="shared" si="125"/>
        <v>0</v>
      </c>
      <c r="AW193" s="43">
        <f t="shared" si="125"/>
        <v>0</v>
      </c>
      <c r="AX193" s="43">
        <f t="shared" si="125"/>
        <v>19732.109922632368</v>
      </c>
      <c r="AZ193" s="47">
        <f t="shared" si="100"/>
        <v>0</v>
      </c>
      <c r="BA193" s="47">
        <f t="shared" si="101"/>
        <v>0</v>
      </c>
      <c r="BB193" s="47">
        <f t="shared" si="102"/>
        <v>0</v>
      </c>
      <c r="BC193" s="47">
        <f t="shared" si="103"/>
        <v>0</v>
      </c>
      <c r="BD193" s="47">
        <f t="shared" si="104"/>
        <v>116630.04397125069</v>
      </c>
    </row>
    <row r="194" spans="1:56">
      <c r="B194" s="37">
        <f>'3. Input (des)investeringen '!B227</f>
        <v>1662</v>
      </c>
      <c r="C194" s="48"/>
      <c r="D194" s="48"/>
      <c r="E194" s="48"/>
      <c r="F194" s="42">
        <f>'3. Input (des)investeringen '!D227</f>
        <v>463333.33333333337</v>
      </c>
      <c r="G194" s="48"/>
      <c r="H194" s="37">
        <f>'3. Input (des)investeringen '!F227</f>
        <v>2020</v>
      </c>
      <c r="I194" s="42" t="str">
        <f>'3. Input (des)investeringen '!G227</f>
        <v>02 Gasontvangststations</v>
      </c>
      <c r="J194" s="42">
        <f>'3. Input (des)investeringen '!H227</f>
        <v>30</v>
      </c>
      <c r="K194" s="42">
        <f>'3. Input (des)investeringen '!I227</f>
        <v>0</v>
      </c>
      <c r="M194" s="43">
        <f t="shared" si="114"/>
        <v>7722.2222222222226</v>
      </c>
      <c r="N194" s="43">
        <f t="shared" si="115"/>
        <v>15691.555555555557</v>
      </c>
      <c r="P194" s="137">
        <f t="shared" si="93"/>
        <v>455611.11111111112</v>
      </c>
      <c r="Q194" s="137">
        <f t="shared" si="116"/>
        <v>447209.33333333337</v>
      </c>
      <c r="S194" s="43">
        <f t="shared" si="117"/>
        <v>447209.33333333337</v>
      </c>
      <c r="T194" s="38">
        <f t="shared" si="94"/>
        <v>28.5</v>
      </c>
      <c r="V194" s="43">
        <f t="shared" si="123"/>
        <v>18359.120000000003</v>
      </c>
      <c r="W194" s="43">
        <f t="shared" si="123"/>
        <v>17521.686456140353</v>
      </c>
      <c r="X194" s="43">
        <f t="shared" si="123"/>
        <v>16722.45163533395</v>
      </c>
      <c r="Y194" s="43">
        <f t="shared" si="123"/>
        <v>15959.67313968714</v>
      </c>
      <c r="Z194" s="43">
        <f t="shared" si="123"/>
        <v>15231.688049104918</v>
      </c>
      <c r="AB194" s="43">
        <f t="shared" si="124"/>
        <v>1569.1555555555558</v>
      </c>
      <c r="AC194" s="43">
        <f t="shared" si="124"/>
        <v>1569.155555555556</v>
      </c>
      <c r="AD194" s="43">
        <f t="shared" si="124"/>
        <v>1569.155555555556</v>
      </c>
      <c r="AE194" s="43">
        <f t="shared" si="124"/>
        <v>1569.155555555556</v>
      </c>
      <c r="AF194" s="43">
        <f t="shared" si="124"/>
        <v>1569.155555555556</v>
      </c>
      <c r="AH194" s="43">
        <f t="shared" si="95"/>
        <v>19928.27555555556</v>
      </c>
      <c r="AI194" s="43">
        <f t="shared" si="96"/>
        <v>19090.84201169591</v>
      </c>
      <c r="AJ194" s="43">
        <f t="shared" si="97"/>
        <v>18291.607190889506</v>
      </c>
      <c r="AK194" s="43">
        <f t="shared" si="98"/>
        <v>17528.828695242697</v>
      </c>
      <c r="AL194" s="43">
        <f t="shared" si="99"/>
        <v>16800.843604660473</v>
      </c>
      <c r="AN194" s="43">
        <f t="shared" si="118"/>
        <v>427281.05777777784</v>
      </c>
      <c r="AO194" s="43">
        <f t="shared" si="119"/>
        <v>408190.21576608194</v>
      </c>
      <c r="AP194" s="43">
        <f t="shared" si="120"/>
        <v>389898.60857519245</v>
      </c>
      <c r="AQ194" s="43">
        <f t="shared" si="121"/>
        <v>372369.77987994975</v>
      </c>
      <c r="AR194" s="43">
        <f t="shared" si="122"/>
        <v>355568.93627528928</v>
      </c>
      <c r="AT194" s="43">
        <f t="shared" si="125"/>
        <v>4768.2592301376008</v>
      </c>
      <c r="AU194" s="43">
        <f t="shared" si="125"/>
        <v>5043.6357371965078</v>
      </c>
      <c r="AV194" s="43">
        <f t="shared" si="125"/>
        <v>5425.3380897875395</v>
      </c>
      <c r="AW194" s="43">
        <f t="shared" si="125"/>
        <v>5554.9385660763855</v>
      </c>
      <c r="AX194" s="43">
        <f t="shared" si="125"/>
        <v>5742.9621266609383</v>
      </c>
      <c r="AZ194" s="47">
        <f t="shared" si="100"/>
        <v>39224.090750137606</v>
      </c>
      <c r="BA194" s="47">
        <f t="shared" si="101"/>
        <v>37604.754869173121</v>
      </c>
      <c r="BB194" s="47">
        <f t="shared" si="102"/>
        <v>38533.092406534357</v>
      </c>
      <c r="BC194" s="47">
        <f t="shared" si="103"/>
        <v>37233.818896757177</v>
      </c>
      <c r="BD194" s="47">
        <f t="shared" si="104"/>
        <v>36055.425309782404</v>
      </c>
    </row>
    <row r="195" spans="1:56">
      <c r="B195" s="37">
        <f>'3. Input (des)investeringen '!B228</f>
        <v>1663</v>
      </c>
      <c r="C195" s="48"/>
      <c r="D195" s="48"/>
      <c r="E195" s="48"/>
      <c r="F195" s="42">
        <f>'3. Input (des)investeringen '!D228</f>
        <v>470275.92000000004</v>
      </c>
      <c r="G195" s="48"/>
      <c r="H195" s="37">
        <f>'3. Input (des)investeringen '!F228</f>
        <v>2021</v>
      </c>
      <c r="I195" s="42" t="str">
        <f>'3. Input (des)investeringen '!G228</f>
        <v>02 Gasontvangststations</v>
      </c>
      <c r="J195" s="42">
        <f>'3. Input (des)investeringen '!H228</f>
        <v>30</v>
      </c>
      <c r="K195" s="42">
        <f>'3. Input (des)investeringen '!I228</f>
        <v>0</v>
      </c>
      <c r="M195" s="43">
        <f t="shared" si="114"/>
        <v>0</v>
      </c>
      <c r="N195" s="43">
        <f t="shared" si="115"/>
        <v>7837.9320000000007</v>
      </c>
      <c r="P195" s="137">
        <f t="shared" si="93"/>
        <v>0</v>
      </c>
      <c r="Q195" s="137">
        <f t="shared" si="116"/>
        <v>462437.98800000001</v>
      </c>
      <c r="S195" s="43">
        <f t="shared" si="117"/>
        <v>462437.98800000001</v>
      </c>
      <c r="T195" s="38">
        <f t="shared" si="94"/>
        <v>29.5</v>
      </c>
      <c r="V195" s="43">
        <f t="shared" si="123"/>
        <v>18340.760880000002</v>
      </c>
      <c r="W195" s="43">
        <f t="shared" si="123"/>
        <v>17532.523959864408</v>
      </c>
      <c r="X195" s="43">
        <f t="shared" si="123"/>
        <v>16759.904259938179</v>
      </c>
      <c r="Y195" s="43">
        <f t="shared" si="123"/>
        <v>16021.332207805312</v>
      </c>
      <c r="Z195" s="43">
        <f t="shared" si="123"/>
        <v>15315.307398647788</v>
      </c>
      <c r="AB195" s="43">
        <f t="shared" si="124"/>
        <v>1567.5864000000001</v>
      </c>
      <c r="AC195" s="43">
        <f t="shared" si="124"/>
        <v>1567.5864000000001</v>
      </c>
      <c r="AD195" s="43">
        <f t="shared" si="124"/>
        <v>1567.5864000000001</v>
      </c>
      <c r="AE195" s="43">
        <f t="shared" si="124"/>
        <v>1567.5864000000001</v>
      </c>
      <c r="AF195" s="43">
        <f t="shared" si="124"/>
        <v>1567.5864000000001</v>
      </c>
      <c r="AH195" s="43">
        <f t="shared" si="95"/>
        <v>19908.347280000002</v>
      </c>
      <c r="AI195" s="43">
        <f t="shared" si="96"/>
        <v>19100.110359864408</v>
      </c>
      <c r="AJ195" s="43">
        <f t="shared" si="97"/>
        <v>18327.490659938179</v>
      </c>
      <c r="AK195" s="43">
        <f t="shared" si="98"/>
        <v>17588.91860780531</v>
      </c>
      <c r="AL195" s="43">
        <f t="shared" si="99"/>
        <v>16882.89379864779</v>
      </c>
      <c r="AN195" s="43">
        <f t="shared" si="118"/>
        <v>442529.64072000002</v>
      </c>
      <c r="AO195" s="43">
        <f t="shared" si="119"/>
        <v>423429.5303601356</v>
      </c>
      <c r="AP195" s="43">
        <f t="shared" si="120"/>
        <v>405102.03970019741</v>
      </c>
      <c r="AQ195" s="43">
        <f t="shared" si="121"/>
        <v>387513.12109239207</v>
      </c>
      <c r="AR195" s="43">
        <f t="shared" si="122"/>
        <v>370630.22729374428</v>
      </c>
      <c r="AT195" s="43">
        <f t="shared" si="125"/>
        <v>4768.2592301376008</v>
      </c>
      <c r="AU195" s="43">
        <f t="shared" si="125"/>
        <v>5043.6357371965069</v>
      </c>
      <c r="AV195" s="43">
        <f t="shared" si="125"/>
        <v>5425.3380897875386</v>
      </c>
      <c r="AW195" s="43">
        <f t="shared" si="125"/>
        <v>5554.9385660763828</v>
      </c>
      <c r="AX195" s="43">
        <f t="shared" si="125"/>
        <v>5742.9621266609374</v>
      </c>
      <c r="AZ195" s="47">
        <f t="shared" si="100"/>
        <v>39722.614294617604</v>
      </c>
      <c r="BA195" s="47">
        <f t="shared" si="101"/>
        <v>38116.920598945391</v>
      </c>
      <c r="BB195" s="47">
        <f t="shared" si="102"/>
        <v>39146.706258333223</v>
      </c>
      <c r="BC195" s="47">
        <f t="shared" si="103"/>
        <v>37869.355775392592</v>
      </c>
      <c r="BD195" s="47">
        <f t="shared" si="104"/>
        <v>36709.804562471014</v>
      </c>
    </row>
    <row r="196" spans="1:56">
      <c r="B196" s="37">
        <f>'3. Input (des)investeringen '!B229</f>
        <v>1664</v>
      </c>
      <c r="C196" s="48"/>
      <c r="D196" s="48"/>
      <c r="E196" s="48"/>
      <c r="F196" s="42">
        <f>'3. Input (des)investeringen '!D229</f>
        <v>476357.52819743997</v>
      </c>
      <c r="G196" s="48"/>
      <c r="H196" s="37">
        <f>'3. Input (des)investeringen '!F229</f>
        <v>2022</v>
      </c>
      <c r="I196" s="42" t="str">
        <f>'3. Input (des)investeringen '!G229</f>
        <v>02 Gasontvangststations</v>
      </c>
      <c r="J196" s="42">
        <f>'3. Input (des)investeringen '!H229</f>
        <v>30</v>
      </c>
      <c r="K196" s="42">
        <f>'3. Input (des)investeringen '!I229</f>
        <v>0</v>
      </c>
      <c r="M196" s="43">
        <f t="shared" si="114"/>
        <v>0</v>
      </c>
      <c r="N196" s="43">
        <f t="shared" si="115"/>
        <v>0</v>
      </c>
      <c r="P196" s="137">
        <f t="shared" si="93"/>
        <v>0</v>
      </c>
      <c r="Q196" s="137">
        <f t="shared" si="116"/>
        <v>0</v>
      </c>
      <c r="S196" s="43">
        <f t="shared" si="117"/>
        <v>476357.52819743997</v>
      </c>
      <c r="T196" s="38">
        <f t="shared" si="94"/>
        <v>30</v>
      </c>
      <c r="V196" s="43">
        <f t="shared" si="123"/>
        <v>9288.9717998500801</v>
      </c>
      <c r="W196" s="43">
        <f t="shared" si="123"/>
        <v>18175.421488373322</v>
      </c>
      <c r="X196" s="43">
        <f t="shared" si="123"/>
        <v>17387.819890543815</v>
      </c>
      <c r="Y196" s="43">
        <f t="shared" si="123"/>
        <v>16634.347695286913</v>
      </c>
      <c r="Z196" s="43">
        <f t="shared" si="123"/>
        <v>15913.525961824482</v>
      </c>
      <c r="AB196" s="43">
        <f t="shared" si="124"/>
        <v>793.9292136624</v>
      </c>
      <c r="AC196" s="43">
        <f t="shared" si="124"/>
        <v>1587.8584273248</v>
      </c>
      <c r="AD196" s="43">
        <f t="shared" si="124"/>
        <v>1587.8584273248</v>
      </c>
      <c r="AE196" s="43">
        <f t="shared" si="124"/>
        <v>1587.8584273248</v>
      </c>
      <c r="AF196" s="43">
        <f t="shared" si="124"/>
        <v>1587.8584273248</v>
      </c>
      <c r="AH196" s="43">
        <f t="shared" si="95"/>
        <v>10082.901013512481</v>
      </c>
      <c r="AI196" s="43">
        <f t="shared" si="96"/>
        <v>19763.279915698124</v>
      </c>
      <c r="AJ196" s="43">
        <f t="shared" si="97"/>
        <v>18975.678317868616</v>
      </c>
      <c r="AK196" s="43">
        <f t="shared" si="98"/>
        <v>18222.206122611715</v>
      </c>
      <c r="AL196" s="43">
        <f t="shared" si="99"/>
        <v>17501.384389149283</v>
      </c>
      <c r="AN196" s="43">
        <f t="shared" si="118"/>
        <v>466274.62718392751</v>
      </c>
      <c r="AO196" s="43">
        <f t="shared" si="119"/>
        <v>446511.34726822941</v>
      </c>
      <c r="AP196" s="43">
        <f t="shared" si="120"/>
        <v>427535.66895036079</v>
      </c>
      <c r="AQ196" s="43">
        <f t="shared" si="121"/>
        <v>409313.46282774908</v>
      </c>
      <c r="AR196" s="43">
        <f t="shared" si="122"/>
        <v>391812.07843859983</v>
      </c>
      <c r="AT196" s="43">
        <f t="shared" si="125"/>
        <v>4763.5752819744002</v>
      </c>
      <c r="AU196" s="43">
        <f t="shared" si="125"/>
        <v>5038.6812816589854</v>
      </c>
      <c r="AV196" s="43">
        <f t="shared" si="125"/>
        <v>5420.0086810549383</v>
      </c>
      <c r="AW196" s="43">
        <f t="shared" si="125"/>
        <v>5549.4818484279785</v>
      </c>
      <c r="AX196" s="43">
        <f t="shared" si="125"/>
        <v>5737.3207100335685</v>
      </c>
      <c r="AZ196" s="47">
        <f t="shared" si="100"/>
        <v>30699.813619740416</v>
      </c>
      <c r="BA196" s="47">
        <f t="shared" si="101"/>
        <v>39536.835657208685</v>
      </c>
      <c r="BB196" s="47">
        <f t="shared" si="102"/>
        <v>40642.042419037265</v>
      </c>
      <c r="BC196" s="47">
        <f t="shared" si="103"/>
        <v>39325.599558494156</v>
      </c>
      <c r="BD196" s="47">
        <f t="shared" si="104"/>
        <v>38127.564079849646</v>
      </c>
    </row>
    <row r="197" spans="1:56">
      <c r="B197" s="37">
        <f>'3. Input (des)investeringen '!B230</f>
        <v>1665</v>
      </c>
      <c r="C197" s="48"/>
      <c r="D197" s="48"/>
      <c r="E197" s="48"/>
      <c r="F197" s="42">
        <f>'3. Input (des)investeringen '!D230</f>
        <v>482517.78375208931</v>
      </c>
      <c r="G197" s="48"/>
      <c r="H197" s="37">
        <f>'3. Input (des)investeringen '!F230</f>
        <v>2023</v>
      </c>
      <c r="I197" s="42" t="str">
        <f>'3. Input (des)investeringen '!G230</f>
        <v>02 Gasontvangststations</v>
      </c>
      <c r="J197" s="42">
        <f>'3. Input (des)investeringen '!H230</f>
        <v>30</v>
      </c>
      <c r="K197" s="42">
        <f>'3. Input (des)investeringen '!I230</f>
        <v>0</v>
      </c>
      <c r="M197" s="43">
        <f t="shared" si="114"/>
        <v>0</v>
      </c>
      <c r="N197" s="43">
        <f t="shared" si="115"/>
        <v>0</v>
      </c>
      <c r="P197" s="137">
        <f t="shared" si="93"/>
        <v>0</v>
      </c>
      <c r="Q197" s="137">
        <f t="shared" si="116"/>
        <v>0</v>
      </c>
      <c r="S197" s="43">
        <f t="shared" si="117"/>
        <v>482517.78375208931</v>
      </c>
      <c r="T197" s="38">
        <f t="shared" si="94"/>
        <v>30</v>
      </c>
      <c r="V197" s="43">
        <f t="shared" si="123"/>
        <v>0</v>
      </c>
      <c r="W197" s="43">
        <f t="shared" si="123"/>
        <v>9409.0967831657417</v>
      </c>
      <c r="X197" s="43">
        <f t="shared" si="123"/>
        <v>18410.466039060968</v>
      </c>
      <c r="Y197" s="43">
        <f t="shared" si="123"/>
        <v>17612.679177368325</v>
      </c>
      <c r="Z197" s="43">
        <f t="shared" si="123"/>
        <v>16849.463079682366</v>
      </c>
      <c r="AB197" s="43">
        <f t="shared" si="124"/>
        <v>0</v>
      </c>
      <c r="AC197" s="43">
        <f t="shared" si="124"/>
        <v>804.19630625348213</v>
      </c>
      <c r="AD197" s="43">
        <f t="shared" si="124"/>
        <v>1608.3926125069643</v>
      </c>
      <c r="AE197" s="43">
        <f t="shared" si="124"/>
        <v>1608.3926125069643</v>
      </c>
      <c r="AF197" s="43">
        <f t="shared" si="124"/>
        <v>1608.3926125069643</v>
      </c>
      <c r="AH197" s="43">
        <f t="shared" si="95"/>
        <v>0</v>
      </c>
      <c r="AI197" s="43">
        <f t="shared" si="96"/>
        <v>10213.293089419223</v>
      </c>
      <c r="AJ197" s="43">
        <f t="shared" si="97"/>
        <v>20018.858651567931</v>
      </c>
      <c r="AK197" s="43">
        <f t="shared" si="98"/>
        <v>19221.071789875288</v>
      </c>
      <c r="AL197" s="43">
        <f t="shared" si="99"/>
        <v>18457.855692189329</v>
      </c>
      <c r="AN197" s="43">
        <f t="shared" si="118"/>
        <v>0</v>
      </c>
      <c r="AO197" s="43">
        <f t="shared" si="119"/>
        <v>472304.49066267011</v>
      </c>
      <c r="AP197" s="43">
        <f t="shared" si="120"/>
        <v>452285.63201110216</v>
      </c>
      <c r="AQ197" s="43">
        <f t="shared" si="121"/>
        <v>433064.56022122689</v>
      </c>
      <c r="AR197" s="43">
        <f t="shared" si="122"/>
        <v>414606.70452903758</v>
      </c>
      <c r="AT197" s="43">
        <f t="shared" si="125"/>
        <v>0</v>
      </c>
      <c r="AU197" s="43">
        <f t="shared" si="125"/>
        <v>4825.1778375208933</v>
      </c>
      <c r="AV197" s="43">
        <f t="shared" si="125"/>
        <v>5190.3472962644746</v>
      </c>
      <c r="AW197" s="43">
        <f t="shared" si="125"/>
        <v>5314.3343124776402</v>
      </c>
      <c r="AX197" s="43">
        <f t="shared" si="125"/>
        <v>5494.2139002863833</v>
      </c>
      <c r="AZ197" s="47">
        <f t="shared" si="100"/>
        <v>0</v>
      </c>
      <c r="BA197" s="47">
        <f t="shared" si="101"/>
        <v>30624.519118808228</v>
      </c>
      <c r="BB197" s="47">
        <f t="shared" si="102"/>
        <v>42396.059964254287</v>
      </c>
      <c r="BC197" s="47">
        <f t="shared" si="103"/>
        <v>40991.85939075955</v>
      </c>
      <c r="BD197" s="47">
        <f t="shared" si="104"/>
        <v>39707.12436457914</v>
      </c>
    </row>
    <row r="198" spans="1:56">
      <c r="B198" s="37">
        <f>'3. Input (des)investeringen '!B231</f>
        <v>1666</v>
      </c>
      <c r="C198" s="48"/>
      <c r="D198" s="48"/>
      <c r="E198" s="48"/>
      <c r="F198" s="42">
        <f>'3. Input (des)investeringen '!D231</f>
        <v>488757.70373157132</v>
      </c>
      <c r="G198" s="48"/>
      <c r="H198" s="37">
        <f>'3. Input (des)investeringen '!F231</f>
        <v>2024</v>
      </c>
      <c r="I198" s="42" t="str">
        <f>'3. Input (des)investeringen '!G231</f>
        <v>02 Gasontvangststations</v>
      </c>
      <c r="J198" s="42">
        <f>'3. Input (des)investeringen '!H231</f>
        <v>30</v>
      </c>
      <c r="K198" s="42">
        <f>'3. Input (des)investeringen '!I231</f>
        <v>0</v>
      </c>
      <c r="M198" s="43">
        <f t="shared" si="114"/>
        <v>0</v>
      </c>
      <c r="N198" s="43">
        <f t="shared" si="115"/>
        <v>0</v>
      </c>
      <c r="P198" s="137">
        <f t="shared" si="93"/>
        <v>0</v>
      </c>
      <c r="Q198" s="137">
        <f t="shared" si="116"/>
        <v>0</v>
      </c>
      <c r="S198" s="43">
        <f t="shared" si="117"/>
        <v>488757.70373157132</v>
      </c>
      <c r="T198" s="38">
        <f t="shared" si="94"/>
        <v>30</v>
      </c>
      <c r="V198" s="43">
        <f t="shared" si="123"/>
        <v>0</v>
      </c>
      <c r="W198" s="43">
        <f t="shared" si="123"/>
        <v>0</v>
      </c>
      <c r="X198" s="43">
        <f t="shared" si="123"/>
        <v>9530.775222765642</v>
      </c>
      <c r="Y198" s="43">
        <f t="shared" si="123"/>
        <v>18648.550185878106</v>
      </c>
      <c r="Z198" s="43">
        <f t="shared" si="123"/>
        <v>17840.446344490054</v>
      </c>
      <c r="AB198" s="43">
        <f t="shared" si="124"/>
        <v>0</v>
      </c>
      <c r="AC198" s="43">
        <f t="shared" si="124"/>
        <v>0</v>
      </c>
      <c r="AD198" s="43">
        <f t="shared" si="124"/>
        <v>814.59617288595234</v>
      </c>
      <c r="AE198" s="43">
        <f t="shared" si="124"/>
        <v>1629.1923457719045</v>
      </c>
      <c r="AF198" s="43">
        <f t="shared" si="124"/>
        <v>1629.1923457719045</v>
      </c>
      <c r="AH198" s="43">
        <f t="shared" si="95"/>
        <v>0</v>
      </c>
      <c r="AI198" s="43">
        <f t="shared" si="96"/>
        <v>0</v>
      </c>
      <c r="AJ198" s="43">
        <f t="shared" si="97"/>
        <v>10345.371395651595</v>
      </c>
      <c r="AK198" s="43">
        <f t="shared" si="98"/>
        <v>20277.742531650012</v>
      </c>
      <c r="AL198" s="43">
        <f t="shared" si="99"/>
        <v>19469.63869026196</v>
      </c>
      <c r="AN198" s="43">
        <f t="shared" si="118"/>
        <v>0</v>
      </c>
      <c r="AO198" s="43">
        <f t="shared" si="119"/>
        <v>0</v>
      </c>
      <c r="AP198" s="43">
        <f t="shared" si="120"/>
        <v>478412.33233591972</v>
      </c>
      <c r="AQ198" s="43">
        <f t="shared" si="121"/>
        <v>458134.58980426972</v>
      </c>
      <c r="AR198" s="43">
        <f t="shared" si="122"/>
        <v>438664.95111400774</v>
      </c>
      <c r="AT198" s="43">
        <f t="shared" si="125"/>
        <v>0</v>
      </c>
      <c r="AU198" s="43">
        <f t="shared" si="125"/>
        <v>0</v>
      </c>
      <c r="AV198" s="43">
        <f t="shared" si="125"/>
        <v>4887.5770373157129</v>
      </c>
      <c r="AW198" s="43">
        <f t="shared" si="125"/>
        <v>5004.3314775831113</v>
      </c>
      <c r="AX198" s="43">
        <f t="shared" si="125"/>
        <v>5173.7180894363446</v>
      </c>
      <c r="AZ198" s="47">
        <f t="shared" si="100"/>
        <v>0</v>
      </c>
      <c r="BA198" s="47">
        <f t="shared" si="101"/>
        <v>0</v>
      </c>
      <c r="BB198" s="47">
        <f t="shared" si="102"/>
        <v>33412.617061732257</v>
      </c>
      <c r="BC198" s="47">
        <f t="shared" si="103"/>
        <v>42691.18842179537</v>
      </c>
      <c r="BD198" s="47">
        <f t="shared" si="104"/>
        <v>41312.624922030591</v>
      </c>
    </row>
    <row r="199" spans="1:56">
      <c r="B199" s="37">
        <f>'3. Input (des)investeringen '!B232</f>
        <v>1667</v>
      </c>
      <c r="C199" s="48"/>
      <c r="D199" s="48"/>
      <c r="E199" s="48"/>
      <c r="F199" s="42">
        <f>'3. Input (des)investeringen '!D232</f>
        <v>495078.31835622794</v>
      </c>
      <c r="G199" s="48"/>
      <c r="H199" s="37">
        <f>'3. Input (des)investeringen '!F232</f>
        <v>2025</v>
      </c>
      <c r="I199" s="42" t="str">
        <f>'3. Input (des)investeringen '!G232</f>
        <v>02 Gasontvangststations</v>
      </c>
      <c r="J199" s="42">
        <f>'3. Input (des)investeringen '!H232</f>
        <v>30</v>
      </c>
      <c r="K199" s="42">
        <f>'3. Input (des)investeringen '!I232</f>
        <v>0</v>
      </c>
      <c r="M199" s="43">
        <f t="shared" si="114"/>
        <v>0</v>
      </c>
      <c r="N199" s="43">
        <f t="shared" si="115"/>
        <v>0</v>
      </c>
      <c r="P199" s="137">
        <f t="shared" si="93"/>
        <v>0</v>
      </c>
      <c r="Q199" s="137">
        <f t="shared" si="116"/>
        <v>0</v>
      </c>
      <c r="S199" s="43">
        <f t="shared" si="117"/>
        <v>495078.31835622794</v>
      </c>
      <c r="T199" s="38">
        <f t="shared" si="94"/>
        <v>30</v>
      </c>
      <c r="V199" s="43">
        <f t="shared" si="123"/>
        <v>0</v>
      </c>
      <c r="W199" s="43">
        <f t="shared" si="123"/>
        <v>0</v>
      </c>
      <c r="X199" s="43">
        <f t="shared" si="123"/>
        <v>0</v>
      </c>
      <c r="Y199" s="43">
        <f t="shared" si="123"/>
        <v>9654.0272079464448</v>
      </c>
      <c r="Z199" s="43">
        <f t="shared" si="123"/>
        <v>18889.713236881878</v>
      </c>
      <c r="AB199" s="43">
        <f t="shared" si="124"/>
        <v>0</v>
      </c>
      <c r="AC199" s="43">
        <f t="shared" si="124"/>
        <v>0</v>
      </c>
      <c r="AD199" s="43">
        <f t="shared" si="124"/>
        <v>0</v>
      </c>
      <c r="AE199" s="43">
        <f t="shared" si="124"/>
        <v>825.13053059371327</v>
      </c>
      <c r="AF199" s="43">
        <f t="shared" si="124"/>
        <v>1650.2610611874265</v>
      </c>
      <c r="AH199" s="43">
        <f t="shared" si="95"/>
        <v>0</v>
      </c>
      <c r="AI199" s="43">
        <f t="shared" si="96"/>
        <v>0</v>
      </c>
      <c r="AJ199" s="43">
        <f t="shared" si="97"/>
        <v>0</v>
      </c>
      <c r="AK199" s="43">
        <f t="shared" si="98"/>
        <v>10479.157738540158</v>
      </c>
      <c r="AL199" s="43">
        <f t="shared" si="99"/>
        <v>20539.974298069304</v>
      </c>
      <c r="AN199" s="43">
        <f t="shared" si="118"/>
        <v>0</v>
      </c>
      <c r="AO199" s="43">
        <f t="shared" si="119"/>
        <v>0</v>
      </c>
      <c r="AP199" s="43">
        <f t="shared" si="120"/>
        <v>0</v>
      </c>
      <c r="AQ199" s="43">
        <f t="shared" si="121"/>
        <v>484599.1606176878</v>
      </c>
      <c r="AR199" s="43">
        <f t="shared" si="122"/>
        <v>464059.18631961849</v>
      </c>
      <c r="AT199" s="43">
        <f t="shared" si="125"/>
        <v>0</v>
      </c>
      <c r="AU199" s="43">
        <f t="shared" si="125"/>
        <v>0</v>
      </c>
      <c r="AV199" s="43">
        <f t="shared" si="125"/>
        <v>0</v>
      </c>
      <c r="AW199" s="43">
        <f t="shared" si="125"/>
        <v>4950.7831835622792</v>
      </c>
      <c r="AX199" s="43">
        <f t="shared" si="125"/>
        <v>5118.357292759496</v>
      </c>
      <c r="AZ199" s="47">
        <f t="shared" si="100"/>
        <v>0</v>
      </c>
      <c r="BA199" s="47">
        <f t="shared" si="101"/>
        <v>0</v>
      </c>
      <c r="BB199" s="47">
        <f t="shared" si="102"/>
        <v>0</v>
      </c>
      <c r="BC199" s="47">
        <f t="shared" si="103"/>
        <v>33844.709025574572</v>
      </c>
      <c r="BD199" s="47">
        <f t="shared" si="104"/>
        <v>43292.580670974305</v>
      </c>
    </row>
    <row r="200" spans="1:56">
      <c r="B200" s="37">
        <f>'3. Input (des)investeringen '!B233</f>
        <v>1668</v>
      </c>
      <c r="C200" s="48"/>
      <c r="D200" s="48"/>
      <c r="E200" s="48"/>
      <c r="F200" s="42">
        <f>'3. Input (des)investeringen '!D233</f>
        <v>501480.67116921069</v>
      </c>
      <c r="G200" s="48"/>
      <c r="H200" s="37">
        <f>'3. Input (des)investeringen '!F233</f>
        <v>2026</v>
      </c>
      <c r="I200" s="42" t="str">
        <f>'3. Input (des)investeringen '!G233</f>
        <v>02 Gasontvangststations</v>
      </c>
      <c r="J200" s="42">
        <f>'3. Input (des)investeringen '!H233</f>
        <v>30</v>
      </c>
      <c r="K200" s="42">
        <f>'3. Input (des)investeringen '!I233</f>
        <v>0</v>
      </c>
      <c r="M200" s="43">
        <f t="shared" si="114"/>
        <v>0</v>
      </c>
      <c r="N200" s="43">
        <f t="shared" si="115"/>
        <v>0</v>
      </c>
      <c r="P200" s="137">
        <f t="shared" si="93"/>
        <v>0</v>
      </c>
      <c r="Q200" s="137">
        <f t="shared" si="116"/>
        <v>0</v>
      </c>
      <c r="S200" s="43">
        <f t="shared" si="117"/>
        <v>501480.67116921069</v>
      </c>
      <c r="T200" s="38">
        <f t="shared" si="94"/>
        <v>30</v>
      </c>
      <c r="V200" s="43">
        <f t="shared" si="123"/>
        <v>0</v>
      </c>
      <c r="W200" s="43">
        <f t="shared" si="123"/>
        <v>0</v>
      </c>
      <c r="X200" s="43">
        <f t="shared" si="123"/>
        <v>0</v>
      </c>
      <c r="Y200" s="43">
        <f t="shared" si="123"/>
        <v>0</v>
      </c>
      <c r="Z200" s="43">
        <f t="shared" si="123"/>
        <v>9778.8730877996095</v>
      </c>
      <c r="AB200" s="43">
        <f t="shared" si="124"/>
        <v>0</v>
      </c>
      <c r="AC200" s="43">
        <f t="shared" si="124"/>
        <v>0</v>
      </c>
      <c r="AD200" s="43">
        <f t="shared" si="124"/>
        <v>0</v>
      </c>
      <c r="AE200" s="43">
        <f t="shared" si="124"/>
        <v>0</v>
      </c>
      <c r="AF200" s="43">
        <f t="shared" si="124"/>
        <v>835.80111861535113</v>
      </c>
      <c r="AH200" s="43">
        <f t="shared" si="95"/>
        <v>0</v>
      </c>
      <c r="AI200" s="43">
        <f t="shared" si="96"/>
        <v>0</v>
      </c>
      <c r="AJ200" s="43">
        <f t="shared" si="97"/>
        <v>0</v>
      </c>
      <c r="AK200" s="43">
        <f t="shared" si="98"/>
        <v>0</v>
      </c>
      <c r="AL200" s="43">
        <f t="shared" si="99"/>
        <v>10614.67420641496</v>
      </c>
      <c r="AN200" s="43">
        <f t="shared" si="118"/>
        <v>0</v>
      </c>
      <c r="AO200" s="43">
        <f t="shared" si="119"/>
        <v>0</v>
      </c>
      <c r="AP200" s="43">
        <f t="shared" si="120"/>
        <v>0</v>
      </c>
      <c r="AQ200" s="43">
        <f t="shared" si="121"/>
        <v>0</v>
      </c>
      <c r="AR200" s="43">
        <f t="shared" si="122"/>
        <v>490865.99696279573</v>
      </c>
      <c r="AT200" s="43">
        <f t="shared" si="125"/>
        <v>0</v>
      </c>
      <c r="AU200" s="43">
        <f t="shared" si="125"/>
        <v>0</v>
      </c>
      <c r="AV200" s="43">
        <f t="shared" si="125"/>
        <v>0</v>
      </c>
      <c r="AW200" s="43">
        <f t="shared" si="125"/>
        <v>0</v>
      </c>
      <c r="AX200" s="43">
        <f t="shared" si="125"/>
        <v>5014.8067116921075</v>
      </c>
      <c r="AZ200" s="47">
        <f t="shared" si="100"/>
        <v>0</v>
      </c>
      <c r="BA200" s="47">
        <f t="shared" si="101"/>
        <v>0</v>
      </c>
      <c r="BB200" s="47">
        <f t="shared" si="102"/>
        <v>0</v>
      </c>
      <c r="BC200" s="47">
        <f t="shared" si="103"/>
        <v>0</v>
      </c>
      <c r="BD200" s="47">
        <f t="shared" si="104"/>
        <v>34282.388802693305</v>
      </c>
    </row>
    <row r="201" spans="1:56">
      <c r="C201" s="48"/>
      <c r="E201" s="48"/>
      <c r="F201" s="88"/>
      <c r="AR201" s="88"/>
    </row>
    <row r="202" spans="1:56" s="33" customFormat="1">
      <c r="A202" s="97"/>
      <c r="B202" s="33" t="s">
        <v>933</v>
      </c>
      <c r="J202" s="33" t="s">
        <v>934</v>
      </c>
    </row>
    <row r="203" spans="1:56" s="34" customFormat="1">
      <c r="A203" s="98"/>
      <c r="D203" s="35" t="s">
        <v>935</v>
      </c>
      <c r="J203" s="100">
        <v>2022</v>
      </c>
      <c r="K203" s="100">
        <v>2023</v>
      </c>
      <c r="L203" s="100">
        <v>2024</v>
      </c>
      <c r="M203" s="100">
        <v>2025</v>
      </c>
      <c r="N203" s="100">
        <v>2026</v>
      </c>
    </row>
    <row r="204" spans="1:56">
      <c r="C204" s="48"/>
      <c r="E204" s="48"/>
      <c r="AR204" s="88"/>
    </row>
    <row r="205" spans="1:56">
      <c r="B205" s="3" t="s">
        <v>936</v>
      </c>
      <c r="C205" s="48"/>
      <c r="D205" s="3">
        <v>2020</v>
      </c>
      <c r="E205" s="48"/>
      <c r="J205" s="47">
        <f>SUMIFS(AZ$61:AZ$200, $H$61:$H$200, $D205)</f>
        <v>21990120.139256205</v>
      </c>
      <c r="K205" s="47">
        <f>SUMIFS(BA$61:BA$200, $H$61:$H$200, $D205)</f>
        <v>19574368.053275164</v>
      </c>
      <c r="L205" s="47">
        <f t="shared" ref="K205:N208" si="126">SUMIFS(BB$61:BB$200, $H$61:$H$200, $D205)</f>
        <v>19617691.262175359</v>
      </c>
      <c r="M205" s="47">
        <f t="shared" si="126"/>
        <v>17378152.410195991</v>
      </c>
      <c r="N205" s="47">
        <f>SUMIFS(BD$61:BD$200, $H$61:$H$200, $D205)</f>
        <v>15433761.295532579</v>
      </c>
      <c r="AR205" s="88"/>
    </row>
    <row r="206" spans="1:56">
      <c r="B206" s="3" t="s">
        <v>936</v>
      </c>
      <c r="C206" s="48"/>
      <c r="D206" s="3">
        <v>2021</v>
      </c>
      <c r="E206" s="48"/>
      <c r="J206" s="47">
        <f t="shared" ref="J206:J207" si="127">SUMIFS(AZ$61:AZ$200, $H$61:$H$200, $D206)</f>
        <v>22334903.307706617</v>
      </c>
      <c r="K206" s="47">
        <f t="shared" si="126"/>
        <v>20091289.146433253</v>
      </c>
      <c r="L206" s="47">
        <f t="shared" si="126"/>
        <v>20164533.816520229</v>
      </c>
      <c r="M206" s="47">
        <f t="shared" si="126"/>
        <v>19430467.548645984</v>
      </c>
      <c r="N206" s="47">
        <f t="shared" si="126"/>
        <v>17335883.818620697</v>
      </c>
      <c r="AR206" s="88"/>
    </row>
    <row r="207" spans="1:56">
      <c r="B207" s="3" t="s">
        <v>936</v>
      </c>
      <c r="C207" s="48"/>
      <c r="D207" s="3">
        <v>2022</v>
      </c>
      <c r="E207" s="48"/>
      <c r="J207" s="47">
        <f t="shared" si="127"/>
        <v>16115081.204780744</v>
      </c>
      <c r="K207" s="47">
        <f>SUMIFS(BA$61:BA$200, $H$61:$H$200, $D207)</f>
        <v>21668465.173387919</v>
      </c>
      <c r="L207" s="47">
        <f t="shared" si="126"/>
        <v>21138189.715652924</v>
      </c>
      <c r="M207" s="47">
        <f t="shared" si="126"/>
        <v>20292445.650625445</v>
      </c>
      <c r="N207" s="47">
        <f t="shared" si="126"/>
        <v>19633514.136990339</v>
      </c>
      <c r="AR207" s="88"/>
    </row>
    <row r="208" spans="1:56">
      <c r="B208" s="3" t="s">
        <v>936</v>
      </c>
      <c r="C208" s="48"/>
      <c r="D208" s="3">
        <v>2023</v>
      </c>
      <c r="E208" s="48"/>
      <c r="J208" s="96"/>
      <c r="K208" s="47">
        <f t="shared" si="126"/>
        <v>16112879.875548553</v>
      </c>
      <c r="L208" s="47">
        <f t="shared" si="126"/>
        <v>22975045.909280386</v>
      </c>
      <c r="M208" s="47">
        <f t="shared" si="126"/>
        <v>21332288.124319293</v>
      </c>
      <c r="N208" s="47">
        <f>SUMIFS(BD$61:BD$200, $H$61:$H$200, $D208)</f>
        <v>20497582.353496894</v>
      </c>
      <c r="AR208" s="88"/>
    </row>
    <row r="209" spans="2:56">
      <c r="B209" s="3" t="s">
        <v>936</v>
      </c>
      <c r="C209" s="48"/>
      <c r="D209" s="3">
        <v>2024</v>
      </c>
      <c r="E209" s="48"/>
      <c r="J209" s="96"/>
      <c r="K209" s="96"/>
      <c r="L209" s="47">
        <f t="shared" ref="L209" si="128">SUMIFS(BB$61:BB$200, $H$61:$H$200, $D209)</f>
        <v>17387876.931790221</v>
      </c>
      <c r="M209" s="47">
        <f t="shared" ref="M209:M210" si="129">SUMIFS(BC$61:BC$200, $H$61:$H$200, $D209)</f>
        <v>23158008.310212679</v>
      </c>
      <c r="N209" s="47">
        <f>SUMIFS(BD$61:BD$200, $H$61:$H$200, $D209)</f>
        <v>21513756.031452548</v>
      </c>
      <c r="AR209" s="88"/>
    </row>
    <row r="210" spans="2:56">
      <c r="B210" s="3" t="s">
        <v>936</v>
      </c>
      <c r="C210" s="48"/>
      <c r="D210" s="3">
        <v>2025</v>
      </c>
      <c r="E210" s="48"/>
      <c r="J210" s="96"/>
      <c r="K210" s="96"/>
      <c r="L210" s="96"/>
      <c r="M210" s="47">
        <f t="shared" si="129"/>
        <v>17612736.956272129</v>
      </c>
      <c r="N210" s="47">
        <f>SUMIFS(BD$61:BD$200, $H$61:$H$200, $D210)</f>
        <v>23479723.652932618</v>
      </c>
      <c r="AR210" s="88"/>
    </row>
    <row r="211" spans="2:56">
      <c r="B211" s="3" t="s">
        <v>936</v>
      </c>
      <c r="C211" s="48"/>
      <c r="D211" s="3">
        <v>2026</v>
      </c>
      <c r="E211" s="48"/>
      <c r="J211" s="96"/>
      <c r="K211" s="96"/>
      <c r="L211" s="96"/>
      <c r="M211" s="96"/>
      <c r="N211" s="96"/>
      <c r="AR211" s="88"/>
    </row>
    <row r="212" spans="2:56">
      <c r="C212" s="48"/>
      <c r="E212" s="48"/>
      <c r="AR212" s="88"/>
    </row>
    <row r="213" spans="2:56" s="33" customFormat="1">
      <c r="B213" s="33" t="s">
        <v>937</v>
      </c>
    </row>
    <row r="214" spans="2:56" s="36" customFormat="1">
      <c r="M214" s="36" t="s">
        <v>908</v>
      </c>
      <c r="P214" s="36" t="s">
        <v>909</v>
      </c>
      <c r="S214" s="36" t="s">
        <v>910</v>
      </c>
      <c r="V214" s="36" t="s">
        <v>911</v>
      </c>
      <c r="AB214" s="36" t="s">
        <v>912</v>
      </c>
      <c r="AH214" s="36" t="s">
        <v>913</v>
      </c>
      <c r="AN214" s="36" t="s">
        <v>914</v>
      </c>
      <c r="AT214" s="36" t="s">
        <v>931</v>
      </c>
      <c r="AZ214" s="36" t="s">
        <v>932</v>
      </c>
    </row>
    <row r="215" spans="2:56" s="39" customFormat="1">
      <c r="B215" s="39" t="s">
        <v>918</v>
      </c>
      <c r="F215" s="39" t="s">
        <v>389</v>
      </c>
      <c r="H215" s="40" t="s">
        <v>390</v>
      </c>
      <c r="I215" s="39" t="s">
        <v>302</v>
      </c>
      <c r="J215" s="40" t="s">
        <v>303</v>
      </c>
      <c r="K215" s="41"/>
      <c r="M215" s="45">
        <v>2020</v>
      </c>
      <c r="N215" s="45">
        <v>2021</v>
      </c>
      <c r="P215" s="45">
        <v>2020</v>
      </c>
      <c r="Q215" s="45">
        <v>2021</v>
      </c>
      <c r="S215" s="39" t="s">
        <v>923</v>
      </c>
      <c r="T215" s="39" t="s">
        <v>924</v>
      </c>
      <c r="V215" s="45">
        <v>2022</v>
      </c>
      <c r="W215" s="45">
        <v>2023</v>
      </c>
      <c r="X215" s="45">
        <v>2024</v>
      </c>
      <c r="Y215" s="45">
        <v>2025</v>
      </c>
      <c r="Z215" s="45">
        <v>2026</v>
      </c>
      <c r="AB215" s="45">
        <v>2022</v>
      </c>
      <c r="AC215" s="45">
        <v>2023</v>
      </c>
      <c r="AD215" s="45">
        <v>2024</v>
      </c>
      <c r="AE215" s="45">
        <v>2025</v>
      </c>
      <c r="AF215" s="45">
        <v>2026</v>
      </c>
      <c r="AH215" s="45">
        <v>2022</v>
      </c>
      <c r="AI215" s="45">
        <v>2023</v>
      </c>
      <c r="AJ215" s="45">
        <v>2024</v>
      </c>
      <c r="AK215" s="45">
        <v>2025</v>
      </c>
      <c r="AL215" s="45">
        <v>2026</v>
      </c>
      <c r="AN215" s="45">
        <v>2022</v>
      </c>
      <c r="AO215" s="45">
        <v>2023</v>
      </c>
      <c r="AP215" s="45">
        <v>2024</v>
      </c>
      <c r="AQ215" s="45">
        <v>2025</v>
      </c>
      <c r="AR215" s="45">
        <v>2026</v>
      </c>
      <c r="AT215" s="45">
        <v>2022</v>
      </c>
      <c r="AU215" s="45">
        <v>2023</v>
      </c>
      <c r="AV215" s="45">
        <v>2024</v>
      </c>
      <c r="AW215" s="45">
        <v>2025</v>
      </c>
      <c r="AX215" s="45">
        <v>2026</v>
      </c>
      <c r="AZ215" s="45">
        <v>2022</v>
      </c>
      <c r="BA215" s="45">
        <v>2023</v>
      </c>
      <c r="BB215" s="45">
        <v>2024</v>
      </c>
      <c r="BC215" s="45">
        <v>2025</v>
      </c>
      <c r="BD215" s="45">
        <v>2026</v>
      </c>
    </row>
    <row r="216" spans="2:56">
      <c r="C216" s="48"/>
      <c r="E216" s="48"/>
      <c r="AR216" s="88"/>
      <c r="AT216" s="48"/>
      <c r="AU216" s="48"/>
      <c r="AV216" s="48"/>
      <c r="AW216" s="48"/>
      <c r="AX216" s="48"/>
    </row>
    <row r="217" spans="2:56">
      <c r="B217" s="37">
        <f>'12. Investeringen (bijschatten)'!B20</f>
        <v>1</v>
      </c>
      <c r="C217" s="48"/>
      <c r="E217" s="48"/>
      <c r="F217" s="168">
        <f>'12. Investeringen (bijschatten)'!C20</f>
        <v>31360107.14852399</v>
      </c>
      <c r="H217" s="37">
        <f>'12. Investeringen (bijschatten)'!D20</f>
        <v>2020</v>
      </c>
      <c r="I217" s="37" t="str">
        <f>'12. Investeringen (bijschatten)'!E20</f>
        <v>01 Regionale leidingen</v>
      </c>
      <c r="J217" s="168">
        <f>_xlfn.XLOOKUP(I217,'3. Input (des)investeringen '!$B$11:$B$89,'3. Input (des)investeringen '!$D$11:$D$89)</f>
        <v>55</v>
      </c>
      <c r="K217" s="154"/>
      <c r="L217" s="154"/>
      <c r="M217" s="43">
        <f t="shared" ref="M217:M248" si="130">IF($J217 = 0, 0, IF($H217&lt;=M$215,
VDB(ABS($F217),0,$J217,MAX(0,M$59-$H217-0.5),MIN($J217,M$59-$H217+0.5),1)*IF($F217&lt;0,-1,1)*INDEX(H$40:H$46,$H217-2019,1),
0))</f>
        <v>285091.88316839992</v>
      </c>
      <c r="N217" s="43">
        <f t="shared" ref="N217:N248" si="131">IF($J217 = 0, 0, IF($H217&lt;=N$215,
VDB(ABS($F217),0,$J217,MAX(0,N$59-$H217-0.5),MIN($J217,N$59-$H217+0.5),1)*IF($F217&lt;0,-1,1)*INDEX(I$40:I$46,$H217-2019,1),
0))</f>
        <v>579306.70659818861</v>
      </c>
      <c r="P217" s="137">
        <f t="shared" ref="P217:P248" si="132">IF($J217=0, IF($H217 = M$215, $F217, 0), IF(OR($H217&gt;P$59,$H217+$J217&lt;=P$59),0,
F217-M217))</f>
        <v>31075015.265355591</v>
      </c>
      <c r="Q217" s="137">
        <f t="shared" ref="Q217:Q248" si="133">IF($J217=0, IF($H217 &gt; N$215, 0, IF($H217=N$215, $F217, $P217*I$40)), IF(OR($H217&gt;Q$59,$H217+$J217&lt;=Q$59),0,
IF($H217=Q$59,F217-N217,P217*I$40-N217)))</f>
        <v>30992908.803003091</v>
      </c>
      <c r="S217" s="43">
        <f>IF($J217=0, IF(H217&lt;=2021, $Q217, IF(H217&gt;=2022, $F217,0)), IF(H217&lt;=2021,Q217,F217))</f>
        <v>30992908.803003091</v>
      </c>
      <c r="T217" s="38">
        <f>IF($J217=0, 0, IF(H217&lt;2022,J217-2021+H217-0.5,J217))</f>
        <v>53.5</v>
      </c>
      <c r="V217" s="43">
        <f t="shared" ref="V217:Z226" si="134">IF($J217=0, 0, IF(OR($H217&gt;V$59,$H217+$J217&lt;V$59),0,
IF(OR($H217=2020,$H217=2021),VDB(ABS($S217)*(1-$F$28),0,$T217,V$59-2022,MIN($T217,V$59-2021),$F$22),
VDB(ABS($S217)*(1-$F$28),0,$T217,MAX(0,V$59-$H217-0.5),MIN($T217,V$59-$H217+0.5),$F$22,FALSE))))*IF($F217&lt;0,-1,1)</f>
        <v>677788.8467198807</v>
      </c>
      <c r="W217" s="43">
        <f t="shared" si="134"/>
        <v>661319.21119210788</v>
      </c>
      <c r="X217" s="43">
        <f t="shared" si="134"/>
        <v>645249.7724154772</v>
      </c>
      <c r="Y217" s="43">
        <f t="shared" si="134"/>
        <v>629570.80598295154</v>
      </c>
      <c r="Z217" s="43">
        <f t="shared" si="134"/>
        <v>614272.82378149673</v>
      </c>
      <c r="AB217" s="43">
        <f t="shared" ref="AB217:AF226" si="135">IF($J217 = 0, 0, IF(OR($H217&gt;AB$59,$H217+$J217&lt;AB$59),0,
IF(OR($H217=2020,$H217=2021),VDB(ABS($S217)*$F$28,0,$T217,AB$59-2022,MIN($T217,AB$59-2021),1),
VDB(ABS($S217)*$F$28,0,$T217,MAX(0,AB$59-$H217-0.5),MIN($T217,AB$59-$H217+0.5),1))))*IF($F217&lt;0,-1,1)</f>
        <v>57930.670659818868</v>
      </c>
      <c r="AC217" s="43">
        <f t="shared" si="135"/>
        <v>57930.670659818876</v>
      </c>
      <c r="AD217" s="43">
        <f t="shared" si="135"/>
        <v>57930.670659818876</v>
      </c>
      <c r="AE217" s="43">
        <f t="shared" si="135"/>
        <v>57930.670659818876</v>
      </c>
      <c r="AF217" s="43">
        <f t="shared" si="135"/>
        <v>57930.670659818876</v>
      </c>
      <c r="AH217" s="43">
        <f>V217+AB217</f>
        <v>735719.51737969962</v>
      </c>
      <c r="AI217" s="43">
        <f t="shared" ref="AI217:AL217" si="136">W217+AC217</f>
        <v>719249.8818519268</v>
      </c>
      <c r="AJ217" s="43">
        <f t="shared" si="136"/>
        <v>703180.44307529612</v>
      </c>
      <c r="AK217" s="43">
        <f t="shared" si="136"/>
        <v>687501.47664277046</v>
      </c>
      <c r="AL217" s="43">
        <f t="shared" si="136"/>
        <v>672203.49444131565</v>
      </c>
      <c r="AN217" s="43">
        <f t="shared" ref="AN217:AN248" si="137">IF($J217=0,IF($H217 &gt; AN$215, 0,$S217),IF(OR($H217&gt;AN$59,$H217+$J217&lt;=AN$59),0,
IF($H217=AN$59,$S217-AH217,
S217-AH217)))</f>
        <v>30257189.28562339</v>
      </c>
      <c r="AO217" s="43">
        <f t="shared" ref="AO217:AO248" si="138">IF($J217 = 0, IF($H217 &gt; AO$215, 0, IF($H217=AO$215, $F217, AN217)), IF(OR($H217&gt;AO$59,$H217+$J217&lt;=AO$59),0,
IF($H217=AO$59,$S217-AI217,
AN217-AI217)))</f>
        <v>29537939.403771464</v>
      </c>
      <c r="AP217" s="43">
        <f t="shared" ref="AP217:AP248" si="139">IF($J217 = 0, IF($H217 &gt; AP$215, 0, IF($H217=AP$215, $F217, AO217)), IF(OR($H217&gt;AP$59,$H217+$J217&lt;=AP$59),0,
IF($H217=AP$59,$S217-AJ217,
AO217-AJ217)))</f>
        <v>28834758.960696168</v>
      </c>
      <c r="AQ217" s="43">
        <f t="shared" ref="AQ217:AQ248" si="140">IF($J217 = 0, IF($H217 &gt; AQ$215, 0, IF($H217=AQ$215, $F217, AP217)), IF(OR($H217&gt;AQ$59,$H217+$J217&lt;=AQ$59),0,
IF($H217=AQ$59,$S217-AK217,
AP217-AK217)))</f>
        <v>28147257.484053399</v>
      </c>
      <c r="AR217" s="43">
        <f t="shared" ref="AR217:AR248" si="141">IF($J217 = 0, IF($H217 &gt; AR$215, 0, IF($H217=AR$215, $F217, AQ217)), IF(OR($H217&gt;AR$59,$H217+$J217&lt;=AR$59),0,
IF($H217=AR$59,$S217-AL217,
AQ217-AL217)))</f>
        <v>27475053.989612084</v>
      </c>
      <c r="AT217" s="43">
        <f t="shared" ref="AT217:AX226" si="142">IF($H217&lt;=AT$215,$F217*INDEX($H$40:$N$46,$H217-2019,AT$215-2019)*INDEX($H$49:$N$55,$H217-2019,AT$215-2019)*$F$19,0)</f>
        <v>322733.35331450432</v>
      </c>
      <c r="AU217" s="43">
        <f t="shared" si="142"/>
        <v>341371.84993512358</v>
      </c>
      <c r="AV217" s="43">
        <f t="shared" si="142"/>
        <v>367206.8715382138</v>
      </c>
      <c r="AW217" s="43">
        <f t="shared" si="142"/>
        <v>375978.70928551862</v>
      </c>
      <c r="AX217" s="43">
        <f t="shared" si="142"/>
        <v>388704.83663741493</v>
      </c>
      <c r="AZ217" s="47">
        <f>AH217+AN217*J$16+AT217</f>
        <v>2087197.3064053992</v>
      </c>
      <c r="BA217" s="47">
        <f t="shared" ref="BA217:BD217" si="143">AI217+AO217*K$16+AU217</f>
        <v>2035373.732111509</v>
      </c>
      <c r="BB217" s="47">
        <f t="shared" si="143"/>
        <v>2166108.1551199644</v>
      </c>
      <c r="BC217" s="47">
        <f t="shared" si="143"/>
        <v>2133075.9703223184</v>
      </c>
      <c r="BD217" s="47">
        <f t="shared" si="143"/>
        <v>2104960.3826839896</v>
      </c>
    </row>
    <row r="218" spans="2:56">
      <c r="B218" s="37">
        <f>'12. Investeringen (bijschatten)'!B21</f>
        <v>2</v>
      </c>
      <c r="C218" s="48"/>
      <c r="E218" s="48"/>
      <c r="F218" s="168">
        <f>'12. Investeringen (bijschatten)'!C21</f>
        <v>4529775.5276718521</v>
      </c>
      <c r="H218" s="37">
        <f>'12. Investeringen (bijschatten)'!D21</f>
        <v>2020</v>
      </c>
      <c r="I218" s="37" t="str">
        <f>'12. Investeringen (bijschatten)'!E21</f>
        <v>02 Gasontvangststations</v>
      </c>
      <c r="J218" s="168">
        <f>_xlfn.XLOOKUP(I218,'3. Input (des)investeringen '!$B$11:$B$89,'3. Input (des)investeringen '!$D$11:$D$89)</f>
        <v>30</v>
      </c>
      <c r="K218" s="154"/>
      <c r="L218" s="154"/>
      <c r="M218" s="43">
        <f t="shared" si="130"/>
        <v>75496.258794530862</v>
      </c>
      <c r="N218" s="43">
        <f t="shared" si="131"/>
        <v>153408.39787048672</v>
      </c>
      <c r="P218" s="137">
        <f t="shared" si="132"/>
        <v>4454279.2688773209</v>
      </c>
      <c r="Q218" s="137">
        <f t="shared" si="133"/>
        <v>4372139.3393088719</v>
      </c>
      <c r="S218" s="43">
        <f t="shared" ref="S218:S281" si="144">IF($J218=0, IF(H218&lt;=2021, $Q218, IF(H218&gt;=2022, $F218,0)), IF(H218&lt;=2021,Q218,F218))</f>
        <v>4372139.3393088719</v>
      </c>
      <c r="T218" s="38">
        <f t="shared" ref="T218:T281" si="145">IF($J218=0, 0, IF(H218&lt;2022,J218-2021+H218-0.5,J218))</f>
        <v>28.5</v>
      </c>
      <c r="V218" s="43">
        <f t="shared" si="134"/>
        <v>179487.82550846951</v>
      </c>
      <c r="W218" s="43">
        <f t="shared" si="134"/>
        <v>171300.66153790773</v>
      </c>
      <c r="X218" s="43">
        <f t="shared" si="134"/>
        <v>163486.94715196808</v>
      </c>
      <c r="Y218" s="43">
        <f t="shared" si="134"/>
        <v>156029.6478081941</v>
      </c>
      <c r="Z218" s="43">
        <f t="shared" si="134"/>
        <v>148912.50597834663</v>
      </c>
      <c r="AB218" s="43">
        <f t="shared" si="135"/>
        <v>15340.839787048673</v>
      </c>
      <c r="AC218" s="43">
        <f t="shared" si="135"/>
        <v>15340.839787048673</v>
      </c>
      <c r="AD218" s="43">
        <f t="shared" si="135"/>
        <v>15340.839787048673</v>
      </c>
      <c r="AE218" s="43">
        <f t="shared" si="135"/>
        <v>15340.839787048673</v>
      </c>
      <c r="AF218" s="43">
        <f t="shared" si="135"/>
        <v>15340.839787048673</v>
      </c>
      <c r="AH218" s="43">
        <f t="shared" ref="AH218:AH281" si="146">V218+AB218</f>
        <v>194828.66529551818</v>
      </c>
      <c r="AI218" s="43">
        <f t="shared" ref="AI218:AI281" si="147">W218+AC218</f>
        <v>186641.50132495639</v>
      </c>
      <c r="AJ218" s="43">
        <f t="shared" ref="AJ218:AJ281" si="148">X218+AD218</f>
        <v>178827.78693901675</v>
      </c>
      <c r="AK218" s="43">
        <f t="shared" ref="AK218:AK281" si="149">Y218+AE218</f>
        <v>171370.48759524277</v>
      </c>
      <c r="AL218" s="43">
        <f t="shared" ref="AL218:AL281" si="150">Z218+AF218</f>
        <v>164253.34576539529</v>
      </c>
      <c r="AN218" s="43">
        <f t="shared" si="137"/>
        <v>4177310.6740133539</v>
      </c>
      <c r="AO218" s="43">
        <f t="shared" si="138"/>
        <v>3990669.1726883976</v>
      </c>
      <c r="AP218" s="43">
        <f t="shared" si="139"/>
        <v>3811841.385749381</v>
      </c>
      <c r="AQ218" s="43">
        <f t="shared" si="140"/>
        <v>3640470.8981541381</v>
      </c>
      <c r="AR218" s="43">
        <f t="shared" si="141"/>
        <v>3476217.552388743</v>
      </c>
      <c r="AT218" s="43">
        <f t="shared" si="142"/>
        <v>46616.85748979725</v>
      </c>
      <c r="AU218" s="43">
        <f t="shared" si="142"/>
        <v>49309.074243548028</v>
      </c>
      <c r="AV218" s="43">
        <f t="shared" si="142"/>
        <v>53040.784982299752</v>
      </c>
      <c r="AW218" s="43">
        <f t="shared" si="142"/>
        <v>54307.823253956922</v>
      </c>
      <c r="AX218" s="43">
        <f t="shared" si="142"/>
        <v>56146.034455456866</v>
      </c>
      <c r="AZ218" s="47">
        <f t="shared" ref="AZ218:AZ281" si="151">AH218+AN218*J$16+AT218</f>
        <v>383474.08570176945</v>
      </c>
      <c r="BA218" s="47">
        <f t="shared" ref="BA218:BA281" si="152">AI218+AO218*K$16+AU218</f>
        <v>367642.65826722159</v>
      </c>
      <c r="BB218" s="47">
        <f t="shared" ref="BB218:BB281" si="153">AJ218+AP218*L$16+AV218</f>
        <v>376718.544579793</v>
      </c>
      <c r="BC218" s="47">
        <f t="shared" ref="BC218:BC281" si="154">AK218+AQ218*M$16+AW218</f>
        <v>364016.2049790569</v>
      </c>
      <c r="BD218" s="47">
        <f t="shared" ref="BD218:BD281" si="155">AL218+AR218*N$16+AX218</f>
        <v>352495.64721162443</v>
      </c>
    </row>
    <row r="219" spans="2:56">
      <c r="B219" s="37">
        <f>'12. Investeringen (bijschatten)'!B22</f>
        <v>3</v>
      </c>
      <c r="C219" s="48"/>
      <c r="E219" s="48"/>
      <c r="F219" s="168">
        <f>'12. Investeringen (bijschatten)'!C22</f>
        <v>1155721.8280173452</v>
      </c>
      <c r="H219" s="37">
        <f>'12. Investeringen (bijschatten)'!D22</f>
        <v>2020</v>
      </c>
      <c r="I219" s="37" t="str">
        <f>'12. Investeringen (bijschatten)'!E22</f>
        <v>04 Terreinen</v>
      </c>
      <c r="J219" s="168">
        <f>_xlfn.XLOOKUP(I219,'3. Input (des)investeringen '!$B$11:$B$89,'3. Input (des)investeringen '!$D$11:$D$89)</f>
        <v>0</v>
      </c>
      <c r="K219" s="154"/>
      <c r="L219" s="154"/>
      <c r="M219" s="43">
        <f t="shared" si="130"/>
        <v>0</v>
      </c>
      <c r="N219" s="43">
        <f t="shared" si="131"/>
        <v>0</v>
      </c>
      <c r="P219" s="137">
        <f t="shared" si="132"/>
        <v>1155721.8280173452</v>
      </c>
      <c r="Q219" s="137">
        <f t="shared" si="133"/>
        <v>1174213.3772656226</v>
      </c>
      <c r="S219" s="43">
        <f t="shared" si="144"/>
        <v>1174213.3772656226</v>
      </c>
      <c r="T219" s="38">
        <f t="shared" si="145"/>
        <v>0</v>
      </c>
      <c r="V219" s="43">
        <f t="shared" si="134"/>
        <v>0</v>
      </c>
      <c r="W219" s="43">
        <f t="shared" si="134"/>
        <v>0</v>
      </c>
      <c r="X219" s="43">
        <f t="shared" si="134"/>
        <v>0</v>
      </c>
      <c r="Y219" s="43">
        <f t="shared" si="134"/>
        <v>0</v>
      </c>
      <c r="Z219" s="43">
        <f t="shared" si="134"/>
        <v>0</v>
      </c>
      <c r="AB219" s="43">
        <f t="shared" si="135"/>
        <v>0</v>
      </c>
      <c r="AC219" s="43">
        <f t="shared" si="135"/>
        <v>0</v>
      </c>
      <c r="AD219" s="43">
        <f t="shared" si="135"/>
        <v>0</v>
      </c>
      <c r="AE219" s="43">
        <f t="shared" si="135"/>
        <v>0</v>
      </c>
      <c r="AF219" s="43">
        <f t="shared" si="135"/>
        <v>0</v>
      </c>
      <c r="AH219" s="43">
        <f t="shared" si="146"/>
        <v>0</v>
      </c>
      <c r="AI219" s="43">
        <f t="shared" si="147"/>
        <v>0</v>
      </c>
      <c r="AJ219" s="43">
        <f t="shared" si="148"/>
        <v>0</v>
      </c>
      <c r="AK219" s="43">
        <f t="shared" si="149"/>
        <v>0</v>
      </c>
      <c r="AL219" s="43">
        <f t="shared" si="150"/>
        <v>0</v>
      </c>
      <c r="AN219" s="43">
        <f t="shared" si="137"/>
        <v>1174213.3772656226</v>
      </c>
      <c r="AO219" s="43">
        <f t="shared" si="138"/>
        <v>1174213.3772656226</v>
      </c>
      <c r="AP219" s="43">
        <f t="shared" si="139"/>
        <v>1174213.3772656226</v>
      </c>
      <c r="AQ219" s="43">
        <f t="shared" si="140"/>
        <v>1174213.3772656226</v>
      </c>
      <c r="AR219" s="43">
        <f t="shared" si="141"/>
        <v>1174213.3772656226</v>
      </c>
      <c r="AT219" s="43">
        <f t="shared" si="142"/>
        <v>11893.772533629943</v>
      </c>
      <c r="AU219" s="43">
        <f t="shared" si="142"/>
        <v>12580.661684992139</v>
      </c>
      <c r="AV219" s="43">
        <f t="shared" si="142"/>
        <v>13532.766161312346</v>
      </c>
      <c r="AW219" s="43">
        <f t="shared" si="142"/>
        <v>13856.036879373774</v>
      </c>
      <c r="AX219" s="43">
        <f t="shared" si="142"/>
        <v>14325.036015666819</v>
      </c>
      <c r="AZ219" s="47">
        <f t="shared" si="151"/>
        <v>51817.027360661115</v>
      </c>
      <c r="BA219" s="47">
        <f t="shared" si="152"/>
        <v>51329.703134757692</v>
      </c>
      <c r="BB219" s="47">
        <f t="shared" si="153"/>
        <v>58152.87449740601</v>
      </c>
      <c r="BC219" s="47">
        <f t="shared" si="154"/>
        <v>58476.145215467433</v>
      </c>
      <c r="BD219" s="47">
        <f t="shared" si="155"/>
        <v>58945.144351760478</v>
      </c>
    </row>
    <row r="220" spans="2:56">
      <c r="B220" s="37">
        <f>'12. Investeringen (bijschatten)'!B23</f>
        <v>4</v>
      </c>
      <c r="C220" s="48"/>
      <c r="E220" s="48"/>
      <c r="F220" s="168">
        <f>'12. Investeringen (bijschatten)'!C23</f>
        <v>320593.27893508447</v>
      </c>
      <c r="H220" s="37">
        <f>'12. Investeringen (bijschatten)'!D23</f>
        <v>2020</v>
      </c>
      <c r="I220" s="37" t="str">
        <f>'12. Investeringen (bijschatten)'!E23</f>
        <v>05 Wegen en terreinvoorzieningen</v>
      </c>
      <c r="J220" s="168">
        <f>_xlfn.XLOOKUP(I220,'3. Input (des)investeringen '!$B$11:$B$89,'3. Input (des)investeringen '!$D$11:$D$89)</f>
        <v>10</v>
      </c>
      <c r="K220" s="154"/>
      <c r="L220" s="154"/>
      <c r="M220" s="43">
        <f t="shared" si="130"/>
        <v>16029.663946754225</v>
      </c>
      <c r="N220" s="43">
        <f t="shared" si="131"/>
        <v>32572.277139804581</v>
      </c>
      <c r="P220" s="137">
        <f t="shared" si="132"/>
        <v>304563.61498833023</v>
      </c>
      <c r="Q220" s="137">
        <f t="shared" si="133"/>
        <v>276864.35568833898</v>
      </c>
      <c r="S220" s="43">
        <f t="shared" si="144"/>
        <v>276864.35568833898</v>
      </c>
      <c r="T220" s="38">
        <f t="shared" si="145"/>
        <v>8.5</v>
      </c>
      <c r="V220" s="43">
        <f t="shared" si="134"/>
        <v>38109.564253571371</v>
      </c>
      <c r="W220" s="43">
        <f t="shared" si="134"/>
        <v>32281.042661848685</v>
      </c>
      <c r="X220" s="43">
        <f t="shared" si="134"/>
        <v>27505.740492936158</v>
      </c>
      <c r="Y220" s="43">
        <f t="shared" si="134"/>
        <v>27505.740492936158</v>
      </c>
      <c r="Z220" s="43">
        <f t="shared" si="134"/>
        <v>27505.740492936158</v>
      </c>
      <c r="AB220" s="43">
        <f t="shared" si="135"/>
        <v>3257.2277139804587</v>
      </c>
      <c r="AC220" s="43">
        <f t="shared" si="135"/>
        <v>3257.2277139804587</v>
      </c>
      <c r="AD220" s="43">
        <f t="shared" si="135"/>
        <v>3257.2277139804587</v>
      </c>
      <c r="AE220" s="43">
        <f t="shared" si="135"/>
        <v>3257.2277139804587</v>
      </c>
      <c r="AF220" s="43">
        <f t="shared" si="135"/>
        <v>3257.2277139804587</v>
      </c>
      <c r="AH220" s="43">
        <f t="shared" si="146"/>
        <v>41366.791967551828</v>
      </c>
      <c r="AI220" s="43">
        <f t="shared" si="147"/>
        <v>35538.270375829146</v>
      </c>
      <c r="AJ220" s="43">
        <f t="shared" si="148"/>
        <v>30762.968206916616</v>
      </c>
      <c r="AK220" s="43">
        <f t="shared" si="149"/>
        <v>30762.968206916616</v>
      </c>
      <c r="AL220" s="43">
        <f t="shared" si="150"/>
        <v>30762.968206916616</v>
      </c>
      <c r="AN220" s="43">
        <f t="shared" si="137"/>
        <v>235497.56372078715</v>
      </c>
      <c r="AO220" s="43">
        <f t="shared" si="138"/>
        <v>199959.29334495799</v>
      </c>
      <c r="AP220" s="43">
        <f t="shared" si="139"/>
        <v>169196.32513804137</v>
      </c>
      <c r="AQ220" s="43">
        <f t="shared" si="140"/>
        <v>138433.35693112476</v>
      </c>
      <c r="AR220" s="43">
        <f t="shared" si="141"/>
        <v>107670.38872420814</v>
      </c>
      <c r="AT220" s="43">
        <f t="shared" si="142"/>
        <v>3299.2917871991976</v>
      </c>
      <c r="AU220" s="43">
        <f t="shared" si="142"/>
        <v>3489.8324864935257</v>
      </c>
      <c r="AV220" s="43">
        <f t="shared" si="142"/>
        <v>3753.9430090713558</v>
      </c>
      <c r="AW220" s="43">
        <f t="shared" si="142"/>
        <v>3843.6171996720532</v>
      </c>
      <c r="AX220" s="43">
        <f t="shared" si="142"/>
        <v>3973.7159546465527</v>
      </c>
      <c r="AZ220" s="47">
        <f t="shared" si="151"/>
        <v>52673.000921257786</v>
      </c>
      <c r="BA220" s="47">
        <f t="shared" si="152"/>
        <v>45626.759542706292</v>
      </c>
      <c r="BB220" s="47">
        <f t="shared" si="153"/>
        <v>40946.371571233547</v>
      </c>
      <c r="BC220" s="47">
        <f t="shared" si="154"/>
        <v>39867.05296997141</v>
      </c>
      <c r="BD220" s="47">
        <f t="shared" si="155"/>
        <v>38828.158933083083</v>
      </c>
    </row>
    <row r="221" spans="2:56">
      <c r="B221" s="37">
        <f>'12. Investeringen (bijschatten)'!B24</f>
        <v>5</v>
      </c>
      <c r="C221" s="48"/>
      <c r="E221" s="48"/>
      <c r="F221" s="168">
        <f>'12. Investeringen (bijschatten)'!C24</f>
        <v>1555027.7495395842</v>
      </c>
      <c r="H221" s="37">
        <f>'12. Investeringen (bijschatten)'!D24</f>
        <v>2020</v>
      </c>
      <c r="I221" s="37" t="str">
        <f>'12. Investeringen (bijschatten)'!E24</f>
        <v>06 Utiliteitsgebouwen</v>
      </c>
      <c r="J221" s="168">
        <f>_xlfn.XLOOKUP(I221,'3. Input (des)investeringen '!$B$11:$B$89,'3. Input (des)investeringen '!$D$11:$D$89)</f>
        <v>30</v>
      </c>
      <c r="K221" s="154"/>
      <c r="L221" s="154"/>
      <c r="M221" s="43">
        <f t="shared" si="130"/>
        <v>25917.12915899307</v>
      </c>
      <c r="N221" s="43">
        <f t="shared" si="131"/>
        <v>52663.606451073916</v>
      </c>
      <c r="P221" s="137">
        <f t="shared" si="132"/>
        <v>1529110.6203805911</v>
      </c>
      <c r="Q221" s="137">
        <f t="shared" si="133"/>
        <v>1500912.7838556068</v>
      </c>
      <c r="S221" s="43">
        <f t="shared" si="144"/>
        <v>1500912.7838556068</v>
      </c>
      <c r="T221" s="38">
        <f t="shared" si="145"/>
        <v>28.5</v>
      </c>
      <c r="V221" s="43">
        <f t="shared" si="134"/>
        <v>61616.419547756494</v>
      </c>
      <c r="W221" s="43">
        <f t="shared" si="134"/>
        <v>58805.846024525497</v>
      </c>
      <c r="X221" s="43">
        <f t="shared" si="134"/>
        <v>56123.474100599771</v>
      </c>
      <c r="Y221" s="43">
        <f t="shared" si="134"/>
        <v>53563.455983730302</v>
      </c>
      <c r="Z221" s="43">
        <f t="shared" si="134"/>
        <v>51120.210623068924</v>
      </c>
      <c r="AB221" s="43">
        <f t="shared" si="135"/>
        <v>5266.3606451073929</v>
      </c>
      <c r="AC221" s="43">
        <f t="shared" si="135"/>
        <v>5266.3606451073929</v>
      </c>
      <c r="AD221" s="43">
        <f t="shared" si="135"/>
        <v>5266.3606451073929</v>
      </c>
      <c r="AE221" s="43">
        <f t="shared" si="135"/>
        <v>5266.3606451073929</v>
      </c>
      <c r="AF221" s="43">
        <f t="shared" si="135"/>
        <v>5266.3606451073929</v>
      </c>
      <c r="AH221" s="43">
        <f t="shared" si="146"/>
        <v>66882.78019286388</v>
      </c>
      <c r="AI221" s="43">
        <f t="shared" si="147"/>
        <v>64072.206669632891</v>
      </c>
      <c r="AJ221" s="43">
        <f t="shared" si="148"/>
        <v>61389.834745707165</v>
      </c>
      <c r="AK221" s="43">
        <f t="shared" si="149"/>
        <v>58829.816628837696</v>
      </c>
      <c r="AL221" s="43">
        <f t="shared" si="150"/>
        <v>56386.571268176318</v>
      </c>
      <c r="AN221" s="43">
        <f t="shared" si="137"/>
        <v>1434030.0036627429</v>
      </c>
      <c r="AO221" s="43">
        <f t="shared" si="138"/>
        <v>1369957.7969931101</v>
      </c>
      <c r="AP221" s="43">
        <f t="shared" si="139"/>
        <v>1308567.9622474029</v>
      </c>
      <c r="AQ221" s="43">
        <f t="shared" si="140"/>
        <v>1249738.1456185651</v>
      </c>
      <c r="AR221" s="43">
        <f t="shared" si="141"/>
        <v>1193351.5743503887</v>
      </c>
      <c r="AT221" s="43">
        <f t="shared" si="142"/>
        <v>16003.112416968826</v>
      </c>
      <c r="AU221" s="43">
        <f t="shared" si="142"/>
        <v>16927.324165273611</v>
      </c>
      <c r="AV221" s="43">
        <f t="shared" si="142"/>
        <v>18208.384058101521</v>
      </c>
      <c r="AW221" s="43">
        <f t="shared" si="142"/>
        <v>18643.345936481452</v>
      </c>
      <c r="AX221" s="43">
        <f t="shared" si="142"/>
        <v>19274.385909739474</v>
      </c>
      <c r="AZ221" s="47">
        <f t="shared" si="151"/>
        <v>131642.91273436596</v>
      </c>
      <c r="BA221" s="47">
        <f t="shared" si="152"/>
        <v>126208.13813567912</v>
      </c>
      <c r="BB221" s="47">
        <f t="shared" si="153"/>
        <v>129323.80136920999</v>
      </c>
      <c r="BC221" s="47">
        <f t="shared" si="154"/>
        <v>124963.21209882462</v>
      </c>
      <c r="BD221" s="47">
        <f t="shared" si="155"/>
        <v>121008.31700323056</v>
      </c>
    </row>
    <row r="222" spans="2:56">
      <c r="B222" s="37">
        <f>'12. Investeringen (bijschatten)'!B25</f>
        <v>6</v>
      </c>
      <c r="C222" s="48"/>
      <c r="E222" s="48"/>
      <c r="F222" s="168">
        <f>'12. Investeringen (bijschatten)'!C25</f>
        <v>227358.20364143242</v>
      </c>
      <c r="H222" s="37">
        <f>'12. Investeringen (bijschatten)'!D25</f>
        <v>2020</v>
      </c>
      <c r="I222" s="37" t="str">
        <f>'12. Investeringen (bijschatten)'!E25</f>
        <v>08 Inrichting gebouwen</v>
      </c>
      <c r="J222" s="168">
        <f>_xlfn.XLOOKUP(I222,'3. Input (des)investeringen '!$B$11:$B$89,'3. Input (des)investeringen '!$D$11:$D$89)</f>
        <v>10</v>
      </c>
      <c r="K222" s="154"/>
      <c r="L222" s="154"/>
      <c r="M222" s="43">
        <f t="shared" si="130"/>
        <v>11367.910182071622</v>
      </c>
      <c r="N222" s="43">
        <f t="shared" si="131"/>
        <v>23099.593489969538</v>
      </c>
      <c r="P222" s="137">
        <f t="shared" si="132"/>
        <v>215990.29345936081</v>
      </c>
      <c r="Q222" s="137">
        <f t="shared" si="133"/>
        <v>196346.54466474106</v>
      </c>
      <c r="S222" s="43">
        <f t="shared" si="144"/>
        <v>196346.54466474106</v>
      </c>
      <c r="T222" s="38">
        <f t="shared" si="145"/>
        <v>8.5</v>
      </c>
      <c r="V222" s="43">
        <f t="shared" si="134"/>
        <v>27026.524383264357</v>
      </c>
      <c r="W222" s="43">
        <f t="shared" si="134"/>
        <v>22893.055948176869</v>
      </c>
      <c r="X222" s="43">
        <f t="shared" si="134"/>
        <v>19506.509210280878</v>
      </c>
      <c r="Y222" s="43">
        <f t="shared" si="134"/>
        <v>19506.509210280878</v>
      </c>
      <c r="Z222" s="43">
        <f t="shared" si="134"/>
        <v>19506.509210280878</v>
      </c>
      <c r="AB222" s="43">
        <f t="shared" si="135"/>
        <v>2309.9593489969534</v>
      </c>
      <c r="AC222" s="43">
        <f t="shared" si="135"/>
        <v>2309.9593489969538</v>
      </c>
      <c r="AD222" s="43">
        <f t="shared" si="135"/>
        <v>2309.9593489969538</v>
      </c>
      <c r="AE222" s="43">
        <f t="shared" si="135"/>
        <v>2309.9593489969538</v>
      </c>
      <c r="AF222" s="43">
        <f t="shared" si="135"/>
        <v>2309.9593489969538</v>
      </c>
      <c r="AH222" s="43">
        <f t="shared" si="146"/>
        <v>29336.483732261309</v>
      </c>
      <c r="AI222" s="43">
        <f t="shared" si="147"/>
        <v>25203.015297173821</v>
      </c>
      <c r="AJ222" s="43">
        <f t="shared" si="148"/>
        <v>21816.468559277833</v>
      </c>
      <c r="AK222" s="43">
        <f t="shared" si="149"/>
        <v>21816.468559277833</v>
      </c>
      <c r="AL222" s="43">
        <f t="shared" si="150"/>
        <v>21816.468559277833</v>
      </c>
      <c r="AN222" s="43">
        <f t="shared" si="137"/>
        <v>167010.06093247974</v>
      </c>
      <c r="AO222" s="43">
        <f t="shared" si="138"/>
        <v>141807.04563530593</v>
      </c>
      <c r="AP222" s="43">
        <f t="shared" si="139"/>
        <v>119990.5770760281</v>
      </c>
      <c r="AQ222" s="43">
        <f t="shared" si="140"/>
        <v>98174.108516750275</v>
      </c>
      <c r="AR222" s="43">
        <f t="shared" si="141"/>
        <v>76357.639957472449</v>
      </c>
      <c r="AT222" s="43">
        <f t="shared" si="142"/>
        <v>2339.7903303469734</v>
      </c>
      <c r="AU222" s="43">
        <f t="shared" si="142"/>
        <v>2474.9179015051718</v>
      </c>
      <c r="AV222" s="43">
        <f t="shared" si="142"/>
        <v>2662.2196882910835</v>
      </c>
      <c r="AW222" s="43">
        <f t="shared" si="142"/>
        <v>2725.8147922049811</v>
      </c>
      <c r="AX222" s="43">
        <f t="shared" si="142"/>
        <v>2818.0781712915355</v>
      </c>
      <c r="AZ222" s="47">
        <f t="shared" si="151"/>
        <v>37354.616134312593</v>
      </c>
      <c r="BA222" s="47">
        <f t="shared" si="152"/>
        <v>32357.565704644087</v>
      </c>
      <c r="BB222" s="47">
        <f t="shared" si="153"/>
        <v>29038.330176457985</v>
      </c>
      <c r="BC222" s="47">
        <f t="shared" si="154"/>
        <v>28272.899475119324</v>
      </c>
      <c r="BD222" s="47">
        <f t="shared" si="155"/>
        <v>27536.137048953322</v>
      </c>
    </row>
    <row r="223" spans="2:56">
      <c r="B223" s="37">
        <f>'12. Investeringen (bijschatten)'!B26</f>
        <v>7</v>
      </c>
      <c r="C223" s="48"/>
      <c r="E223" s="48"/>
      <c r="F223" s="168">
        <f>'12. Investeringen (bijschatten)'!C26</f>
        <v>-2031.2069601401199</v>
      </c>
      <c r="H223" s="37">
        <f>'12. Investeringen (bijschatten)'!D26</f>
        <v>2020</v>
      </c>
      <c r="I223" s="37" t="str">
        <f>'12. Investeringen (bijschatten)'!E26</f>
        <v>09 Bedrijfsinventaris</v>
      </c>
      <c r="J223" s="168">
        <f>_xlfn.XLOOKUP(I223,'3. Input (des)investeringen '!$B$11:$B$89,'3. Input (des)investeringen '!$D$11:$D$89)</f>
        <v>10</v>
      </c>
      <c r="K223" s="154"/>
      <c r="L223" s="154"/>
      <c r="M223" s="43">
        <f t="shared" si="130"/>
        <v>-101.560348007006</v>
      </c>
      <c r="N223" s="43">
        <f t="shared" si="131"/>
        <v>-206.3706271502362</v>
      </c>
      <c r="P223" s="137">
        <f t="shared" si="132"/>
        <v>-1929.6466121331139</v>
      </c>
      <c r="Q223" s="137">
        <f t="shared" si="133"/>
        <v>-1754.1503307770074</v>
      </c>
      <c r="S223" s="43">
        <f t="shared" si="144"/>
        <v>-1754.1503307770074</v>
      </c>
      <c r="T223" s="38">
        <f t="shared" si="145"/>
        <v>8.5</v>
      </c>
      <c r="V223" s="43">
        <f t="shared" si="134"/>
        <v>-241.45363376577635</v>
      </c>
      <c r="W223" s="43">
        <f t="shared" si="134"/>
        <v>-204.52543095453996</v>
      </c>
      <c r="X223" s="43">
        <f t="shared" si="134"/>
        <v>-174.27018968907544</v>
      </c>
      <c r="Y223" s="43">
        <f t="shared" si="134"/>
        <v>-174.27018968907544</v>
      </c>
      <c r="Z223" s="43">
        <f t="shared" si="134"/>
        <v>-174.27018968907544</v>
      </c>
      <c r="AB223" s="43">
        <f t="shared" si="135"/>
        <v>-20.637062715023617</v>
      </c>
      <c r="AC223" s="43">
        <f t="shared" si="135"/>
        <v>-20.637062715023617</v>
      </c>
      <c r="AD223" s="43">
        <f t="shared" si="135"/>
        <v>-20.637062715023617</v>
      </c>
      <c r="AE223" s="43">
        <f t="shared" si="135"/>
        <v>-20.637062715023617</v>
      </c>
      <c r="AF223" s="43">
        <f t="shared" si="135"/>
        <v>-20.637062715023617</v>
      </c>
      <c r="AH223" s="43">
        <f t="shared" si="146"/>
        <v>-262.09069648079998</v>
      </c>
      <c r="AI223" s="43">
        <f t="shared" si="147"/>
        <v>-225.16249366956356</v>
      </c>
      <c r="AJ223" s="43">
        <f t="shared" si="148"/>
        <v>-194.90725240409904</v>
      </c>
      <c r="AK223" s="43">
        <f t="shared" si="149"/>
        <v>-194.90725240409904</v>
      </c>
      <c r="AL223" s="43">
        <f t="shared" si="150"/>
        <v>-194.90725240409904</v>
      </c>
      <c r="AN223" s="43">
        <f t="shared" si="137"/>
        <v>-1492.0596342962074</v>
      </c>
      <c r="AO223" s="43">
        <f t="shared" si="138"/>
        <v>-1266.8971406266437</v>
      </c>
      <c r="AP223" s="43">
        <f t="shared" si="139"/>
        <v>-1071.9898882225448</v>
      </c>
      <c r="AQ223" s="43">
        <f t="shared" si="140"/>
        <v>-877.08263581844574</v>
      </c>
      <c r="AR223" s="43">
        <f t="shared" si="141"/>
        <v>-682.1753834143467</v>
      </c>
      <c r="AT223" s="43">
        <f t="shared" si="142"/>
        <v>-20.90357122879395</v>
      </c>
      <c r="AU223" s="43">
        <f t="shared" si="142"/>
        <v>-22.110794274399261</v>
      </c>
      <c r="AV223" s="43">
        <f t="shared" si="142"/>
        <v>-23.784139185085802</v>
      </c>
      <c r="AW223" s="43">
        <f t="shared" si="142"/>
        <v>-24.352294701939133</v>
      </c>
      <c r="AX223" s="43">
        <f t="shared" si="142"/>
        <v>-25.176571173010366</v>
      </c>
      <c r="AZ223" s="47">
        <f t="shared" si="151"/>
        <v>-333.72429527566499</v>
      </c>
      <c r="BA223" s="47">
        <f t="shared" si="152"/>
        <v>-289.08089358464207</v>
      </c>
      <c r="BB223" s="47">
        <f t="shared" si="153"/>
        <v>-259.42700734164157</v>
      </c>
      <c r="BC223" s="47">
        <f t="shared" si="154"/>
        <v>-252.58868726713914</v>
      </c>
      <c r="BD223" s="47">
        <f t="shared" si="155"/>
        <v>-246.00648814685457</v>
      </c>
    </row>
    <row r="224" spans="2:56">
      <c r="B224" s="37">
        <f>'12. Investeringen (bijschatten)'!B27</f>
        <v>8</v>
      </c>
      <c r="C224" s="48"/>
      <c r="E224" s="48"/>
      <c r="F224" s="168">
        <f>'12. Investeringen (bijschatten)'!C27</f>
        <v>971.16619787636887</v>
      </c>
      <c r="H224" s="37">
        <f>'12. Investeringen (bijschatten)'!D27</f>
        <v>2020</v>
      </c>
      <c r="I224" s="37" t="str">
        <f>'12. Investeringen (bijschatten)'!E27</f>
        <v>10 Gereedschap</v>
      </c>
      <c r="J224" s="168">
        <f>_xlfn.XLOOKUP(I224,'3. Input (des)investeringen '!$B$11:$B$89,'3. Input (des)investeringen '!$D$11:$D$89)</f>
        <v>10</v>
      </c>
      <c r="K224" s="154"/>
      <c r="L224" s="154"/>
      <c r="M224" s="43">
        <f t="shared" si="130"/>
        <v>48.558309893818446</v>
      </c>
      <c r="N224" s="43">
        <f t="shared" si="131"/>
        <v>98.670485704239084</v>
      </c>
      <c r="P224" s="137">
        <f t="shared" si="132"/>
        <v>922.60788798255044</v>
      </c>
      <c r="Q224" s="137">
        <f t="shared" si="133"/>
        <v>838.69912848603212</v>
      </c>
      <c r="S224" s="43">
        <f t="shared" si="144"/>
        <v>838.69912848603212</v>
      </c>
      <c r="T224" s="38">
        <f t="shared" si="145"/>
        <v>8.5</v>
      </c>
      <c r="V224" s="43">
        <f t="shared" si="134"/>
        <v>115.44446827395971</v>
      </c>
      <c r="W224" s="43">
        <f t="shared" si="134"/>
        <v>97.788255479118817</v>
      </c>
      <c r="X224" s="43">
        <f t="shared" si="134"/>
        <v>83.322537212976982</v>
      </c>
      <c r="Y224" s="43">
        <f t="shared" si="134"/>
        <v>83.322537212976982</v>
      </c>
      <c r="Z224" s="43">
        <f t="shared" si="134"/>
        <v>83.322537212976982</v>
      </c>
      <c r="AB224" s="43">
        <f t="shared" si="135"/>
        <v>9.8670485704239077</v>
      </c>
      <c r="AC224" s="43">
        <f t="shared" si="135"/>
        <v>9.8670485704239095</v>
      </c>
      <c r="AD224" s="43">
        <f t="shared" si="135"/>
        <v>9.8670485704239095</v>
      </c>
      <c r="AE224" s="43">
        <f t="shared" si="135"/>
        <v>9.8670485704239095</v>
      </c>
      <c r="AF224" s="43">
        <f t="shared" si="135"/>
        <v>9.8670485704239095</v>
      </c>
      <c r="AH224" s="43">
        <f t="shared" si="146"/>
        <v>125.31151684438362</v>
      </c>
      <c r="AI224" s="43">
        <f t="shared" si="147"/>
        <v>107.65530404954272</v>
      </c>
      <c r="AJ224" s="43">
        <f t="shared" si="148"/>
        <v>93.189585783400886</v>
      </c>
      <c r="AK224" s="43">
        <f t="shared" si="149"/>
        <v>93.189585783400886</v>
      </c>
      <c r="AL224" s="43">
        <f t="shared" si="150"/>
        <v>93.189585783400886</v>
      </c>
      <c r="AN224" s="43">
        <f t="shared" si="137"/>
        <v>713.3876116416485</v>
      </c>
      <c r="AO224" s="43">
        <f t="shared" si="138"/>
        <v>605.73230759210583</v>
      </c>
      <c r="AP224" s="43">
        <f t="shared" si="139"/>
        <v>512.54272180870498</v>
      </c>
      <c r="AQ224" s="43">
        <f t="shared" si="140"/>
        <v>419.35313602530408</v>
      </c>
      <c r="AR224" s="43">
        <f t="shared" si="141"/>
        <v>326.16355024190318</v>
      </c>
      <c r="AT224" s="43">
        <f t="shared" si="142"/>
        <v>9.9944723460898608</v>
      </c>
      <c r="AU224" s="43">
        <f t="shared" si="142"/>
        <v>10.571673113021241</v>
      </c>
      <c r="AV224" s="43">
        <f t="shared" si="142"/>
        <v>11.371737334214693</v>
      </c>
      <c r="AW224" s="43">
        <f t="shared" si="142"/>
        <v>11.643385395654411</v>
      </c>
      <c r="AX224" s="43">
        <f t="shared" si="142"/>
        <v>12.037490704526524</v>
      </c>
      <c r="AZ224" s="47">
        <f t="shared" si="151"/>
        <v>159.56116798628952</v>
      </c>
      <c r="BA224" s="47">
        <f t="shared" si="152"/>
        <v>138.21614331310346</v>
      </c>
      <c r="BB224" s="47">
        <f t="shared" si="153"/>
        <v>124.03794654634638</v>
      </c>
      <c r="BC224" s="47">
        <f t="shared" si="154"/>
        <v>120.76839034801685</v>
      </c>
      <c r="BD224" s="47">
        <f t="shared" si="155"/>
        <v>117.62129139711972</v>
      </c>
    </row>
    <row r="225" spans="2:56">
      <c r="B225" s="37">
        <f>'12. Investeringen (bijschatten)'!B28</f>
        <v>9</v>
      </c>
      <c r="C225" s="48"/>
      <c r="E225" s="48"/>
      <c r="F225" s="168">
        <f>'12. Investeringen (bijschatten)'!C28</f>
        <v>897693.90315601986</v>
      </c>
      <c r="H225" s="37">
        <f>'12. Investeringen (bijschatten)'!D28</f>
        <v>2020</v>
      </c>
      <c r="I225" s="37" t="str">
        <f>'12. Investeringen (bijschatten)'!E28</f>
        <v>11 Werktuigen</v>
      </c>
      <c r="J225" s="168">
        <f>_xlfn.XLOOKUP(I225,'3. Input (des)investeringen '!$B$11:$B$89,'3. Input (des)investeringen '!$D$11:$D$89)</f>
        <v>10</v>
      </c>
      <c r="K225" s="154"/>
      <c r="L225" s="154"/>
      <c r="M225" s="43">
        <f t="shared" si="130"/>
        <v>44884.695157800998</v>
      </c>
      <c r="N225" s="43">
        <f t="shared" si="131"/>
        <v>91205.700560651618</v>
      </c>
      <c r="P225" s="137">
        <f t="shared" si="132"/>
        <v>852809.20799821883</v>
      </c>
      <c r="Q225" s="137">
        <f t="shared" si="133"/>
        <v>775248.45476553869</v>
      </c>
      <c r="S225" s="43">
        <f t="shared" si="144"/>
        <v>775248.45476553869</v>
      </c>
      <c r="T225" s="38">
        <f t="shared" si="145"/>
        <v>8.5</v>
      </c>
      <c r="V225" s="43">
        <f t="shared" si="134"/>
        <v>106710.66965596238</v>
      </c>
      <c r="W225" s="43">
        <f t="shared" si="134"/>
        <v>90390.214296815204</v>
      </c>
      <c r="X225" s="43">
        <f t="shared" si="134"/>
        <v>77018.880820954946</v>
      </c>
      <c r="Y225" s="43">
        <f t="shared" si="134"/>
        <v>77018.880820954946</v>
      </c>
      <c r="Z225" s="43">
        <f t="shared" si="134"/>
        <v>77018.880820954946</v>
      </c>
      <c r="AB225" s="43">
        <f t="shared" si="135"/>
        <v>9120.5700560651621</v>
      </c>
      <c r="AC225" s="43">
        <f t="shared" si="135"/>
        <v>9120.5700560651621</v>
      </c>
      <c r="AD225" s="43">
        <f t="shared" si="135"/>
        <v>9120.5700560651621</v>
      </c>
      <c r="AE225" s="43">
        <f t="shared" si="135"/>
        <v>9120.5700560651621</v>
      </c>
      <c r="AF225" s="43">
        <f t="shared" si="135"/>
        <v>9120.5700560651621</v>
      </c>
      <c r="AH225" s="43">
        <f t="shared" si="146"/>
        <v>115831.23971202754</v>
      </c>
      <c r="AI225" s="43">
        <f t="shared" si="147"/>
        <v>99510.784352880364</v>
      </c>
      <c r="AJ225" s="43">
        <f t="shared" si="148"/>
        <v>86139.450877020106</v>
      </c>
      <c r="AK225" s="43">
        <f t="shared" si="149"/>
        <v>86139.450877020106</v>
      </c>
      <c r="AL225" s="43">
        <f t="shared" si="150"/>
        <v>86139.450877020106</v>
      </c>
      <c r="AN225" s="43">
        <f t="shared" si="137"/>
        <v>659417.21505351108</v>
      </c>
      <c r="AO225" s="43">
        <f t="shared" si="138"/>
        <v>559906.43070063076</v>
      </c>
      <c r="AP225" s="43">
        <f t="shared" si="139"/>
        <v>473766.97982361063</v>
      </c>
      <c r="AQ225" s="43">
        <f t="shared" si="140"/>
        <v>387627.52894659049</v>
      </c>
      <c r="AR225" s="43">
        <f t="shared" si="141"/>
        <v>301488.07806957036</v>
      </c>
      <c r="AT225" s="43">
        <f t="shared" si="142"/>
        <v>9238.3537544502324</v>
      </c>
      <c r="AU225" s="43">
        <f t="shared" si="142"/>
        <v>9771.8871604772412</v>
      </c>
      <c r="AV225" s="43">
        <f t="shared" si="142"/>
        <v>10511.423580782162</v>
      </c>
      <c r="AW225" s="43">
        <f t="shared" si="142"/>
        <v>10762.520467279886</v>
      </c>
      <c r="AX225" s="43">
        <f t="shared" si="142"/>
        <v>11126.810260056376</v>
      </c>
      <c r="AZ225" s="47">
        <f t="shared" si="151"/>
        <v>147489.77877829713</v>
      </c>
      <c r="BA225" s="47">
        <f>AI225+AO225*K$16+AU225</f>
        <v>127759.58372647842</v>
      </c>
      <c r="BB225" s="47">
        <f t="shared" si="153"/>
        <v>114654.01969109947</v>
      </c>
      <c r="BC225" s="47">
        <f t="shared" si="154"/>
        <v>111631.81744427043</v>
      </c>
      <c r="BD225" s="47">
        <f t="shared" si="155"/>
        <v>108722.80810372015</v>
      </c>
    </row>
    <row r="226" spans="2:56">
      <c r="B226" s="37">
        <f>'12. Investeringen (bijschatten)'!B29</f>
        <v>10</v>
      </c>
      <c r="C226" s="48"/>
      <c r="E226" s="48"/>
      <c r="F226" s="168">
        <f>'12. Investeringen (bijschatten)'!C29</f>
        <v>119157.79156970895</v>
      </c>
      <c r="H226" s="37">
        <f>'12. Investeringen (bijschatten)'!D29</f>
        <v>2020</v>
      </c>
      <c r="I226" s="37" t="str">
        <f>'12. Investeringen (bijschatten)'!E29</f>
        <v>14 Overig rollend materieel</v>
      </c>
      <c r="J226" s="168">
        <f>_xlfn.XLOOKUP(I226,'3. Input (des)investeringen '!$B$11:$B$89,'3. Input (des)investeringen '!$D$11:$D$89)</f>
        <v>10</v>
      </c>
      <c r="K226" s="154"/>
      <c r="L226" s="154"/>
      <c r="M226" s="43">
        <f t="shared" si="130"/>
        <v>5957.8895784854476</v>
      </c>
      <c r="N226" s="43">
        <f t="shared" si="131"/>
        <v>12106.431623482427</v>
      </c>
      <c r="P226" s="137">
        <f t="shared" si="132"/>
        <v>113199.90199122349</v>
      </c>
      <c r="Q226" s="137">
        <f t="shared" si="133"/>
        <v>102904.66879960065</v>
      </c>
      <c r="S226" s="43">
        <f t="shared" si="144"/>
        <v>102904.66879960065</v>
      </c>
      <c r="T226" s="38">
        <f t="shared" si="145"/>
        <v>8.5</v>
      </c>
      <c r="V226" s="43">
        <f t="shared" si="134"/>
        <v>14164.524999474444</v>
      </c>
      <c r="W226" s="43">
        <f t="shared" si="134"/>
        <v>11998.185881907766</v>
      </c>
      <c r="X226" s="43">
        <f t="shared" si="134"/>
        <v>10223.306313578214</v>
      </c>
      <c r="Y226" s="43">
        <f t="shared" si="134"/>
        <v>10223.306313578214</v>
      </c>
      <c r="Z226" s="43">
        <f t="shared" si="134"/>
        <v>10223.306313578214</v>
      </c>
      <c r="AB226" s="43">
        <f t="shared" si="135"/>
        <v>1210.6431623482431</v>
      </c>
      <c r="AC226" s="43">
        <f t="shared" si="135"/>
        <v>1210.6431623482431</v>
      </c>
      <c r="AD226" s="43">
        <f t="shared" si="135"/>
        <v>1210.6431623482431</v>
      </c>
      <c r="AE226" s="43">
        <f t="shared" si="135"/>
        <v>1210.6431623482431</v>
      </c>
      <c r="AF226" s="43">
        <f t="shared" si="135"/>
        <v>1210.6431623482431</v>
      </c>
      <c r="AH226" s="43">
        <f t="shared" si="146"/>
        <v>15375.168161822687</v>
      </c>
      <c r="AI226" s="43">
        <f t="shared" si="147"/>
        <v>13208.82904425601</v>
      </c>
      <c r="AJ226" s="43">
        <f t="shared" si="148"/>
        <v>11433.949475926456</v>
      </c>
      <c r="AK226" s="43">
        <f t="shared" si="149"/>
        <v>11433.949475926456</v>
      </c>
      <c r="AL226" s="43">
        <f t="shared" si="150"/>
        <v>11433.949475926456</v>
      </c>
      <c r="AN226" s="43">
        <f t="shared" si="137"/>
        <v>87529.500637777965</v>
      </c>
      <c r="AO226" s="43">
        <f t="shared" si="138"/>
        <v>74320.671593521954</v>
      </c>
      <c r="AP226" s="43">
        <f t="shared" si="139"/>
        <v>62886.722117595498</v>
      </c>
      <c r="AQ226" s="43">
        <f t="shared" si="140"/>
        <v>51452.772641669042</v>
      </c>
      <c r="AR226" s="43">
        <f t="shared" si="141"/>
        <v>40018.823165742586</v>
      </c>
      <c r="AT226" s="43">
        <f t="shared" si="142"/>
        <v>1226.2774953131159</v>
      </c>
      <c r="AU226" s="43">
        <f t="shared" si="142"/>
        <v>1297.097473222439</v>
      </c>
      <c r="AV226" s="43">
        <f t="shared" si="142"/>
        <v>1395.2618099959134</v>
      </c>
      <c r="AW226" s="43">
        <f t="shared" si="142"/>
        <v>1428.591824113096</v>
      </c>
      <c r="AX226" s="43">
        <f t="shared" si="142"/>
        <v>1476.9468001756759</v>
      </c>
      <c r="AZ226" s="47">
        <f t="shared" si="151"/>
        <v>19577.448678820252</v>
      </c>
      <c r="BA226" s="47">
        <f t="shared" si="152"/>
        <v>16958.508680064675</v>
      </c>
      <c r="BB226" s="47">
        <f t="shared" si="153"/>
        <v>15218.906726390998</v>
      </c>
      <c r="BC226" s="47">
        <f t="shared" si="154"/>
        <v>14817.746660422976</v>
      </c>
      <c r="BD226" s="47">
        <f t="shared" si="155"/>
        <v>14431.61155640035</v>
      </c>
    </row>
    <row r="227" spans="2:56">
      <c r="B227" s="37">
        <f>'12. Investeringen (bijschatten)'!B30</f>
        <v>11</v>
      </c>
      <c r="C227" s="48"/>
      <c r="E227" s="48"/>
      <c r="F227" s="168">
        <f>'12. Investeringen (bijschatten)'!C30</f>
        <v>847435.58289065212</v>
      </c>
      <c r="H227" s="37">
        <f>'12. Investeringen (bijschatten)'!D30</f>
        <v>2020</v>
      </c>
      <c r="I227" s="37" t="str">
        <f>'12. Investeringen (bijschatten)'!E30</f>
        <v>15 Compressorstations (KC)</v>
      </c>
      <c r="J227" s="168">
        <f>_xlfn.XLOOKUP(I227,'3. Input (des)investeringen '!$B$11:$B$89,'3. Input (des)investeringen '!$D$11:$D$89)</f>
        <v>30</v>
      </c>
      <c r="K227" s="154"/>
      <c r="L227" s="154"/>
      <c r="M227" s="43">
        <f t="shared" si="130"/>
        <v>14123.926381510868</v>
      </c>
      <c r="N227" s="43">
        <f t="shared" si="131"/>
        <v>28699.818407230083</v>
      </c>
      <c r="P227" s="137">
        <f t="shared" si="132"/>
        <v>833311.6565091412</v>
      </c>
      <c r="Q227" s="137">
        <f t="shared" si="133"/>
        <v>817944.82460605737</v>
      </c>
      <c r="S227" s="43">
        <f t="shared" si="144"/>
        <v>817944.82460605737</v>
      </c>
      <c r="T227" s="38">
        <f t="shared" si="145"/>
        <v>28.5</v>
      </c>
      <c r="V227" s="43">
        <f t="shared" ref="V227:Z236" si="156">IF($J227=0, 0, IF(OR($H227&gt;V$59,$H227+$J227&lt;V$59),0,
IF(OR($H227=2020,$H227=2021),VDB(ABS($S227)*(1-$F$28),0,$T227,V$59-2022,MIN($T227,V$59-2021),$F$22),
VDB(ABS($S227)*(1-$F$28),0,$T227,MAX(0,V$59-$H227-0.5),MIN($T227,V$59-$H227+0.5),$F$22,FALSE))))*IF($F227&lt;0,-1,1)</f>
        <v>33578.787536459204</v>
      </c>
      <c r="W227" s="43">
        <f t="shared" si="156"/>
        <v>32047.123543568083</v>
      </c>
      <c r="X227" s="43">
        <f t="shared" si="156"/>
        <v>30585.324925791294</v>
      </c>
      <c r="Y227" s="43">
        <f t="shared" si="156"/>
        <v>29190.204841456954</v>
      </c>
      <c r="Z227" s="43">
        <f t="shared" si="156"/>
        <v>27858.721813601023</v>
      </c>
      <c r="AB227" s="43">
        <f t="shared" ref="AB227:AF236" si="157">IF($J227 = 0, 0, IF(OR($H227&gt;AB$59,$H227+$J227&lt;AB$59),0,
IF(OR($H227=2020,$H227=2021),VDB(ABS($S227)*$F$28,0,$T227,AB$59-2022,MIN($T227,AB$59-2021),1),
VDB(ABS($S227)*$F$28,0,$T227,MAX(0,AB$59-$H227-0.5),MIN($T227,AB$59-$H227+0.5),1))))*IF($F227&lt;0,-1,1)</f>
        <v>2869.9818407230082</v>
      </c>
      <c r="AC227" s="43">
        <f t="shared" si="157"/>
        <v>2869.9818407230086</v>
      </c>
      <c r="AD227" s="43">
        <f t="shared" si="157"/>
        <v>2869.9818407230086</v>
      </c>
      <c r="AE227" s="43">
        <f t="shared" si="157"/>
        <v>2869.9818407230086</v>
      </c>
      <c r="AF227" s="43">
        <f t="shared" si="157"/>
        <v>2869.9818407230086</v>
      </c>
      <c r="AH227" s="43">
        <f t="shared" si="146"/>
        <v>36448.769377182209</v>
      </c>
      <c r="AI227" s="43">
        <f t="shared" si="147"/>
        <v>34917.105384291091</v>
      </c>
      <c r="AJ227" s="43">
        <f t="shared" si="148"/>
        <v>33455.306766514303</v>
      </c>
      <c r="AK227" s="43">
        <f t="shared" si="149"/>
        <v>32060.186682179963</v>
      </c>
      <c r="AL227" s="43">
        <f t="shared" si="150"/>
        <v>30728.703654324032</v>
      </c>
      <c r="AN227" s="43">
        <f t="shared" si="137"/>
        <v>781496.05522887514</v>
      </c>
      <c r="AO227" s="43">
        <f t="shared" si="138"/>
        <v>746578.9498445841</v>
      </c>
      <c r="AP227" s="43">
        <f t="shared" si="139"/>
        <v>713123.64307806978</v>
      </c>
      <c r="AQ227" s="43">
        <f t="shared" si="140"/>
        <v>681063.45639588987</v>
      </c>
      <c r="AR227" s="43">
        <f t="shared" si="141"/>
        <v>650334.75274156581</v>
      </c>
      <c r="AT227" s="43">
        <f t="shared" ref="AT227:AX236" si="158">IF($H227&lt;=AT$215,$F227*INDEX($H$40:$N$46,$H227-2019,AT$215-2019)*INDEX($H$49:$N$55,$H227-2019,AT$215-2019)*$F$19,0)</f>
        <v>8721.1349785583952</v>
      </c>
      <c r="AU227" s="43">
        <f t="shared" si="158"/>
        <v>9224.7979658401</v>
      </c>
      <c r="AV227" s="43">
        <f t="shared" si="158"/>
        <v>9922.9306758948787</v>
      </c>
      <c r="AW227" s="43">
        <f t="shared" si="158"/>
        <v>10159.969643880657</v>
      </c>
      <c r="AX227" s="43">
        <f t="shared" si="158"/>
        <v>10503.864296386731</v>
      </c>
      <c r="AZ227" s="47">
        <f t="shared" si="151"/>
        <v>71740.770233522373</v>
      </c>
      <c r="BA227" s="47">
        <f t="shared" si="152"/>
        <v>68779.008695002471</v>
      </c>
      <c r="BB227" s="47">
        <f t="shared" si="153"/>
        <v>70476.935879375829</v>
      </c>
      <c r="BC227" s="47">
        <f t="shared" si="154"/>
        <v>68100.567669104435</v>
      </c>
      <c r="BD227" s="47">
        <f t="shared" si="155"/>
        <v>65945.288554890256</v>
      </c>
    </row>
    <row r="228" spans="2:56">
      <c r="B228" s="37">
        <f>'12. Investeringen (bijschatten)'!B31</f>
        <v>12</v>
      </c>
      <c r="C228" s="48"/>
      <c r="E228" s="48"/>
      <c r="F228" s="168">
        <f>'12. Investeringen (bijschatten)'!C31</f>
        <v>9057966.2936882433</v>
      </c>
      <c r="H228" s="37">
        <f>'12. Investeringen (bijschatten)'!D31</f>
        <v>2020</v>
      </c>
      <c r="I228" s="37" t="str">
        <f>'12. Investeringen (bijschatten)'!E31</f>
        <v>15 Compressorstations (TT-BT-AT)</v>
      </c>
      <c r="J228" s="168">
        <f>_xlfn.XLOOKUP(I228,'3. Input (des)investeringen '!$B$11:$B$89,'3. Input (des)investeringen '!$D$11:$D$89)</f>
        <v>30</v>
      </c>
      <c r="K228" s="154"/>
      <c r="L228" s="154"/>
      <c r="M228" s="43">
        <f t="shared" si="130"/>
        <v>150966.10489480404</v>
      </c>
      <c r="N228" s="43">
        <f t="shared" si="131"/>
        <v>306763.12514624186</v>
      </c>
      <c r="P228" s="137">
        <f t="shared" si="132"/>
        <v>8907000.1887934394</v>
      </c>
      <c r="Q228" s="137">
        <f t="shared" si="133"/>
        <v>8742749.066667892</v>
      </c>
      <c r="S228" s="43">
        <f t="shared" si="144"/>
        <v>8742749.066667892</v>
      </c>
      <c r="T228" s="38">
        <f t="shared" si="145"/>
        <v>28.5</v>
      </c>
      <c r="V228" s="43">
        <f t="shared" si="156"/>
        <v>358912.85642110294</v>
      </c>
      <c r="W228" s="43">
        <f t="shared" si="156"/>
        <v>342541.39279487723</v>
      </c>
      <c r="X228" s="43">
        <f t="shared" si="156"/>
        <v>326916.69768493547</v>
      </c>
      <c r="Y228" s="43">
        <f t="shared" si="156"/>
        <v>312004.70796597347</v>
      </c>
      <c r="Z228" s="43">
        <f t="shared" si="156"/>
        <v>297772.91426927992</v>
      </c>
      <c r="AB228" s="43">
        <f t="shared" si="157"/>
        <v>30676.312514624184</v>
      </c>
      <c r="AC228" s="43">
        <f t="shared" si="157"/>
        <v>30676.312514624184</v>
      </c>
      <c r="AD228" s="43">
        <f t="shared" si="157"/>
        <v>30676.312514624184</v>
      </c>
      <c r="AE228" s="43">
        <f t="shared" si="157"/>
        <v>30676.312514624184</v>
      </c>
      <c r="AF228" s="43">
        <f t="shared" si="157"/>
        <v>30676.312514624184</v>
      </c>
      <c r="AH228" s="43">
        <f t="shared" si="146"/>
        <v>389589.16893572715</v>
      </c>
      <c r="AI228" s="43">
        <f t="shared" si="147"/>
        <v>373217.70530950144</v>
      </c>
      <c r="AJ228" s="43">
        <f t="shared" si="148"/>
        <v>357593.01019955968</v>
      </c>
      <c r="AK228" s="43">
        <f t="shared" si="149"/>
        <v>342681.02048059768</v>
      </c>
      <c r="AL228" s="43">
        <f t="shared" si="150"/>
        <v>328449.22678390413</v>
      </c>
      <c r="AN228" s="43">
        <f t="shared" si="137"/>
        <v>8353159.8977321647</v>
      </c>
      <c r="AO228" s="43">
        <f t="shared" si="138"/>
        <v>7979942.1924226629</v>
      </c>
      <c r="AP228" s="43">
        <f t="shared" si="139"/>
        <v>7622349.182223103</v>
      </c>
      <c r="AQ228" s="43">
        <f t="shared" si="140"/>
        <v>7279668.1617425056</v>
      </c>
      <c r="AR228" s="43">
        <f t="shared" si="141"/>
        <v>6951218.9349586014</v>
      </c>
      <c r="AT228" s="43">
        <f t="shared" si="158"/>
        <v>93217.40586939764</v>
      </c>
      <c r="AU228" s="43">
        <f t="shared" si="158"/>
        <v>98600.897493167082</v>
      </c>
      <c r="AV228" s="43">
        <f t="shared" si="158"/>
        <v>106063.01341545</v>
      </c>
      <c r="AW228" s="43">
        <f t="shared" si="158"/>
        <v>108596.64667991827</v>
      </c>
      <c r="AX228" s="43">
        <f t="shared" si="158"/>
        <v>112272.42597674012</v>
      </c>
      <c r="AZ228" s="47">
        <f t="shared" si="151"/>
        <v>766814.01132801839</v>
      </c>
      <c r="BA228" s="47">
        <f t="shared" si="152"/>
        <v>735156.69515261636</v>
      </c>
      <c r="BB228" s="47">
        <f t="shared" si="153"/>
        <v>753305.29253948759</v>
      </c>
      <c r="BC228" s="47">
        <f t="shared" si="154"/>
        <v>727905.05730673112</v>
      </c>
      <c r="BD228" s="47">
        <f t="shared" si="155"/>
        <v>704867.97228907107</v>
      </c>
    </row>
    <row r="229" spans="2:56">
      <c r="B229" s="37">
        <f>'12. Investeringen (bijschatten)'!B32</f>
        <v>13</v>
      </c>
      <c r="C229" s="48"/>
      <c r="E229" s="48"/>
      <c r="F229" s="168">
        <f>'12. Investeringen (bijschatten)'!C32</f>
        <v>505581.67726689682</v>
      </c>
      <c r="H229" s="37">
        <f>'12. Investeringen (bijschatten)'!D32</f>
        <v>2020</v>
      </c>
      <c r="I229" s="37" t="str">
        <f>'12. Investeringen (bijschatten)'!E32</f>
        <v>16 LNG installaties</v>
      </c>
      <c r="J229" s="168">
        <f>_xlfn.XLOOKUP(I229,'3. Input (des)investeringen '!$B$11:$B$89,'3. Input (des)investeringen '!$D$11:$D$89)</f>
        <v>30</v>
      </c>
      <c r="K229" s="154"/>
      <c r="L229" s="154"/>
      <c r="M229" s="43">
        <f t="shared" si="130"/>
        <v>8426.361287781614</v>
      </c>
      <c r="N229" s="43">
        <f t="shared" si="131"/>
        <v>17122.366136772242</v>
      </c>
      <c r="P229" s="137">
        <f t="shared" si="132"/>
        <v>497155.3159791152</v>
      </c>
      <c r="Q229" s="137">
        <f t="shared" si="133"/>
        <v>487987.43489800877</v>
      </c>
      <c r="S229" s="43">
        <f t="shared" si="144"/>
        <v>487987.43489800877</v>
      </c>
      <c r="T229" s="38">
        <f t="shared" si="145"/>
        <v>28.5</v>
      </c>
      <c r="V229" s="43">
        <f t="shared" si="156"/>
        <v>20033.168380023519</v>
      </c>
      <c r="W229" s="43">
        <f t="shared" si="156"/>
        <v>19119.374734618938</v>
      </c>
      <c r="X229" s="43">
        <f t="shared" si="156"/>
        <v>18247.262904618776</v>
      </c>
      <c r="Y229" s="43">
        <f t="shared" si="156"/>
        <v>17414.931614232657</v>
      </c>
      <c r="Z229" s="43">
        <f t="shared" si="156"/>
        <v>16620.566312530817</v>
      </c>
      <c r="AB229" s="43">
        <f t="shared" si="157"/>
        <v>1712.2366136772239</v>
      </c>
      <c r="AC229" s="43">
        <f t="shared" si="157"/>
        <v>1712.2366136772239</v>
      </c>
      <c r="AD229" s="43">
        <f t="shared" si="157"/>
        <v>1712.2366136772239</v>
      </c>
      <c r="AE229" s="43">
        <f t="shared" si="157"/>
        <v>1712.2366136772239</v>
      </c>
      <c r="AF229" s="43">
        <f t="shared" si="157"/>
        <v>1712.2366136772239</v>
      </c>
      <c r="AH229" s="43">
        <f t="shared" si="146"/>
        <v>21745.404993700744</v>
      </c>
      <c r="AI229" s="43">
        <f t="shared" si="147"/>
        <v>20831.611348296163</v>
      </c>
      <c r="AJ229" s="43">
        <f t="shared" si="148"/>
        <v>19959.499518296001</v>
      </c>
      <c r="AK229" s="43">
        <f t="shared" si="149"/>
        <v>19127.168227909882</v>
      </c>
      <c r="AL229" s="43">
        <f t="shared" si="150"/>
        <v>18332.802926208042</v>
      </c>
      <c r="AN229" s="43">
        <f t="shared" si="137"/>
        <v>466242.02990430803</v>
      </c>
      <c r="AO229" s="43">
        <f t="shared" si="138"/>
        <v>445410.41855601186</v>
      </c>
      <c r="AP229" s="43">
        <f t="shared" si="139"/>
        <v>425450.91903771588</v>
      </c>
      <c r="AQ229" s="43">
        <f t="shared" si="140"/>
        <v>406323.75080980599</v>
      </c>
      <c r="AR229" s="43">
        <f t="shared" si="141"/>
        <v>387990.94788359792</v>
      </c>
      <c r="AT229" s="43">
        <f t="shared" si="158"/>
        <v>5203.0456817618642</v>
      </c>
      <c r="AU229" s="43">
        <f t="shared" si="158"/>
        <v>5503.5319759749755</v>
      </c>
      <c r="AV229" s="43">
        <f t="shared" si="158"/>
        <v>5920.0392759167617</v>
      </c>
      <c r="AW229" s="43">
        <f t="shared" si="158"/>
        <v>6061.4571741398622</v>
      </c>
      <c r="AX229" s="43">
        <f t="shared" si="158"/>
        <v>6266.6253765701476</v>
      </c>
      <c r="AZ229" s="47">
        <f t="shared" si="151"/>
        <v>42800.67969220908</v>
      </c>
      <c r="BA229" s="47">
        <f t="shared" si="152"/>
        <v>41033.687136619534</v>
      </c>
      <c r="BB229" s="47">
        <f t="shared" si="153"/>
        <v>42046.673717645965</v>
      </c>
      <c r="BC229" s="47">
        <f t="shared" si="154"/>
        <v>40628.927932822371</v>
      </c>
      <c r="BD229" s="47">
        <f t="shared" si="155"/>
        <v>39343.084322354909</v>
      </c>
    </row>
    <row r="230" spans="2:56">
      <c r="B230" s="37">
        <f>'12. Investeringen (bijschatten)'!B33</f>
        <v>14</v>
      </c>
      <c r="C230" s="48"/>
      <c r="E230" s="48"/>
      <c r="F230" s="168">
        <f>'12. Investeringen (bijschatten)'!C33</f>
        <v>26405484.075497396</v>
      </c>
      <c r="H230" s="37">
        <f>'12. Investeringen (bijschatten)'!D33</f>
        <v>2020</v>
      </c>
      <c r="I230" s="37" t="str">
        <f>'12. Investeringen (bijschatten)'!E33</f>
        <v>17 Mengstations</v>
      </c>
      <c r="J230" s="168">
        <f>_xlfn.XLOOKUP(I230,'3. Input (des)investeringen '!$B$11:$B$89,'3. Input (des)investeringen '!$D$11:$D$89)</f>
        <v>30</v>
      </c>
      <c r="K230" s="154"/>
      <c r="L230" s="154"/>
      <c r="M230" s="43">
        <f t="shared" si="130"/>
        <v>440091.40125828993</v>
      </c>
      <c r="N230" s="43">
        <f t="shared" si="131"/>
        <v>894265.72735684516</v>
      </c>
      <c r="P230" s="137">
        <f t="shared" si="132"/>
        <v>25965392.674239106</v>
      </c>
      <c r="Q230" s="137">
        <f t="shared" si="133"/>
        <v>25486573.229670089</v>
      </c>
      <c r="S230" s="43">
        <f t="shared" si="144"/>
        <v>25486573.229670089</v>
      </c>
      <c r="T230" s="38">
        <f t="shared" si="145"/>
        <v>28.5</v>
      </c>
      <c r="V230" s="43">
        <f t="shared" si="156"/>
        <v>1046290.901007509</v>
      </c>
      <c r="W230" s="43">
        <f t="shared" si="156"/>
        <v>998565.35113699094</v>
      </c>
      <c r="X230" s="43">
        <f t="shared" si="156"/>
        <v>953016.75617284758</v>
      </c>
      <c r="Y230" s="43">
        <f t="shared" si="156"/>
        <v>909545.81641759491</v>
      </c>
      <c r="Z230" s="43">
        <f t="shared" si="156"/>
        <v>868057.76163363445</v>
      </c>
      <c r="AB230" s="43">
        <f t="shared" si="157"/>
        <v>89426.572735684531</v>
      </c>
      <c r="AC230" s="43">
        <f t="shared" si="157"/>
        <v>89426.572735684531</v>
      </c>
      <c r="AD230" s="43">
        <f t="shared" si="157"/>
        <v>89426.572735684531</v>
      </c>
      <c r="AE230" s="43">
        <f t="shared" si="157"/>
        <v>89426.572735684531</v>
      </c>
      <c r="AF230" s="43">
        <f t="shared" si="157"/>
        <v>89426.572735684531</v>
      </c>
      <c r="AH230" s="43">
        <f t="shared" si="146"/>
        <v>1135717.4737431936</v>
      </c>
      <c r="AI230" s="43">
        <f t="shared" si="147"/>
        <v>1087991.9238726755</v>
      </c>
      <c r="AJ230" s="43">
        <f t="shared" si="148"/>
        <v>1042443.3289085322</v>
      </c>
      <c r="AK230" s="43">
        <f t="shared" si="149"/>
        <v>998972.38915327948</v>
      </c>
      <c r="AL230" s="43">
        <f t="shared" si="150"/>
        <v>957484.33436931903</v>
      </c>
      <c r="AN230" s="43">
        <f t="shared" si="137"/>
        <v>24350855.755926896</v>
      </c>
      <c r="AO230" s="43">
        <f t="shared" si="138"/>
        <v>23262863.83205422</v>
      </c>
      <c r="AP230" s="43">
        <f t="shared" si="139"/>
        <v>22220420.503145687</v>
      </c>
      <c r="AQ230" s="43">
        <f t="shared" si="140"/>
        <v>21221448.113992408</v>
      </c>
      <c r="AR230" s="43">
        <f t="shared" si="141"/>
        <v>20263963.779623087</v>
      </c>
      <c r="AT230" s="43">
        <f t="shared" si="158"/>
        <v>271744.30180411914</v>
      </c>
      <c r="AU230" s="43">
        <f t="shared" si="158"/>
        <v>287438.07872191066</v>
      </c>
      <c r="AV230" s="43">
        <f t="shared" si="158"/>
        <v>309191.39251958492</v>
      </c>
      <c r="AW230" s="43">
        <f t="shared" si="158"/>
        <v>316577.35650409281</v>
      </c>
      <c r="AX230" s="43">
        <f t="shared" si="158"/>
        <v>327292.86686704331</v>
      </c>
      <c r="AZ230" s="47">
        <f t="shared" si="151"/>
        <v>2235390.8712488273</v>
      </c>
      <c r="BA230" s="47">
        <f t="shared" si="152"/>
        <v>2143104.5090523753</v>
      </c>
      <c r="BB230" s="47">
        <f t="shared" si="153"/>
        <v>2196010.7005476533</v>
      </c>
      <c r="BC230" s="47">
        <f t="shared" si="154"/>
        <v>2121964.7739890837</v>
      </c>
      <c r="BD230" s="47">
        <f t="shared" si="155"/>
        <v>2054807.8248620396</v>
      </c>
    </row>
    <row r="231" spans="2:56">
      <c r="B231" s="37">
        <f>'12. Investeringen (bijschatten)'!B34</f>
        <v>15</v>
      </c>
      <c r="C231" s="48"/>
      <c r="E231" s="48"/>
      <c r="F231" s="168">
        <f>'12. Investeringen (bijschatten)'!C34</f>
        <v>756400.94229177735</v>
      </c>
      <c r="H231" s="37">
        <f>'12. Investeringen (bijschatten)'!D34</f>
        <v>2020</v>
      </c>
      <c r="I231" s="37" t="str">
        <f>'12. Investeringen (bijschatten)'!E34</f>
        <v>20 Kantoorgebouwen</v>
      </c>
      <c r="J231" s="168">
        <f>_xlfn.XLOOKUP(I231,'3. Input (des)investeringen '!$B$11:$B$89,'3. Input (des)investeringen '!$D$11:$D$89)</f>
        <v>30</v>
      </c>
      <c r="K231" s="154"/>
      <c r="L231" s="154"/>
      <c r="M231" s="43">
        <f t="shared" si="130"/>
        <v>12606.682371529623</v>
      </c>
      <c r="N231" s="43">
        <f t="shared" si="131"/>
        <v>25616.77857894819</v>
      </c>
      <c r="P231" s="137">
        <f t="shared" si="132"/>
        <v>743794.25992024771</v>
      </c>
      <c r="Q231" s="137">
        <f t="shared" si="133"/>
        <v>730078.18950002349</v>
      </c>
      <c r="S231" s="43">
        <f t="shared" si="144"/>
        <v>730078.18950002349</v>
      </c>
      <c r="T231" s="38">
        <f t="shared" si="145"/>
        <v>28.5</v>
      </c>
      <c r="V231" s="43">
        <f t="shared" si="156"/>
        <v>29971.630937369388</v>
      </c>
      <c r="W231" s="43">
        <f t="shared" si="156"/>
        <v>28604.503912156048</v>
      </c>
      <c r="X231" s="43">
        <f t="shared" si="156"/>
        <v>27299.737067040154</v>
      </c>
      <c r="Y231" s="43">
        <f t="shared" si="156"/>
        <v>26054.485902578672</v>
      </c>
      <c r="Z231" s="43">
        <f t="shared" si="156"/>
        <v>24866.03566842596</v>
      </c>
      <c r="AB231" s="43">
        <f t="shared" si="157"/>
        <v>2561.6778578948197</v>
      </c>
      <c r="AC231" s="43">
        <f t="shared" si="157"/>
        <v>2561.6778578948197</v>
      </c>
      <c r="AD231" s="43">
        <f t="shared" si="157"/>
        <v>2561.6778578948197</v>
      </c>
      <c r="AE231" s="43">
        <f t="shared" si="157"/>
        <v>2561.6778578948197</v>
      </c>
      <c r="AF231" s="43">
        <f t="shared" si="157"/>
        <v>2561.6778578948197</v>
      </c>
      <c r="AH231" s="43">
        <f t="shared" si="146"/>
        <v>32533.308795264209</v>
      </c>
      <c r="AI231" s="43">
        <f t="shared" si="147"/>
        <v>31166.181770050869</v>
      </c>
      <c r="AJ231" s="43">
        <f t="shared" si="148"/>
        <v>29861.414924934972</v>
      </c>
      <c r="AK231" s="43">
        <f t="shared" si="149"/>
        <v>28616.163760473493</v>
      </c>
      <c r="AL231" s="43">
        <f t="shared" si="150"/>
        <v>27427.713526320782</v>
      </c>
      <c r="AN231" s="43">
        <f t="shared" si="137"/>
        <v>697544.88070475927</v>
      </c>
      <c r="AO231" s="43">
        <f t="shared" si="138"/>
        <v>666378.69893470837</v>
      </c>
      <c r="AP231" s="43">
        <f t="shared" si="139"/>
        <v>636517.2840097734</v>
      </c>
      <c r="AQ231" s="43">
        <f t="shared" si="140"/>
        <v>607901.12024929991</v>
      </c>
      <c r="AR231" s="43">
        <f t="shared" si="141"/>
        <v>580473.40672297915</v>
      </c>
      <c r="AT231" s="43">
        <f t="shared" si="158"/>
        <v>7784.2786505774366</v>
      </c>
      <c r="AU231" s="43">
        <f t="shared" si="158"/>
        <v>8233.8363112055868</v>
      </c>
      <c r="AV231" s="43">
        <f t="shared" si="158"/>
        <v>8856.9730432376236</v>
      </c>
      <c r="AW231" s="43">
        <f t="shared" si="158"/>
        <v>9068.5484152944846</v>
      </c>
      <c r="AX231" s="43">
        <f t="shared" si="158"/>
        <v>9375.5006420553727</v>
      </c>
      <c r="AZ231" s="47">
        <f t="shared" si="151"/>
        <v>64034.11338980346</v>
      </c>
      <c r="BA231" s="47">
        <f t="shared" si="152"/>
        <v>61390.515146101832</v>
      </c>
      <c r="BB231" s="47">
        <f t="shared" si="153"/>
        <v>62906.044760543984</v>
      </c>
      <c r="BC231" s="47">
        <f t="shared" si="154"/>
        <v>60784.954745241375</v>
      </c>
      <c r="BD231" s="47">
        <f t="shared" si="155"/>
        <v>58861.20362384936</v>
      </c>
    </row>
    <row r="232" spans="2:56">
      <c r="B232" s="37">
        <f>'12. Investeringen (bijschatten)'!B35</f>
        <v>16</v>
      </c>
      <c r="C232" s="48"/>
      <c r="E232" s="48"/>
      <c r="F232" s="168">
        <f>'12. Investeringen (bijschatten)'!C35</f>
        <v>12922329.119819744</v>
      </c>
      <c r="H232" s="37">
        <f>'12. Investeringen (bijschatten)'!D35</f>
        <v>2020</v>
      </c>
      <c r="I232" s="37" t="str">
        <f>'12. Investeringen (bijschatten)'!E35</f>
        <v>21 Hoofdtransportleiding</v>
      </c>
      <c r="J232" s="168">
        <f>_xlfn.XLOOKUP(I232,'3. Input (des)investeringen '!$B$11:$B$89,'3. Input (des)investeringen '!$D$11:$D$89)</f>
        <v>55</v>
      </c>
      <c r="K232" s="154"/>
      <c r="L232" s="154"/>
      <c r="M232" s="43">
        <f t="shared" si="130"/>
        <v>117475.71927108857</v>
      </c>
      <c r="N232" s="43">
        <f t="shared" si="131"/>
        <v>238710.66155885201</v>
      </c>
      <c r="P232" s="137">
        <f t="shared" si="132"/>
        <v>12804853.400548656</v>
      </c>
      <c r="Q232" s="137">
        <f t="shared" si="133"/>
        <v>12771020.393398583</v>
      </c>
      <c r="S232" s="43">
        <f t="shared" si="144"/>
        <v>12771020.393398583</v>
      </c>
      <c r="T232" s="38">
        <f t="shared" si="145"/>
        <v>53.5</v>
      </c>
      <c r="V232" s="43">
        <f t="shared" si="156"/>
        <v>279291.47402385686</v>
      </c>
      <c r="W232" s="43">
        <f t="shared" si="156"/>
        <v>272504.95222514635</v>
      </c>
      <c r="X232" s="43">
        <f t="shared" si="156"/>
        <v>265883.33656360075</v>
      </c>
      <c r="Y232" s="43">
        <f t="shared" si="156"/>
        <v>259422.61997420483</v>
      </c>
      <c r="Z232" s="43">
        <f t="shared" si="156"/>
        <v>253118.89275987836</v>
      </c>
      <c r="AB232" s="43">
        <f t="shared" si="157"/>
        <v>23871.066155885204</v>
      </c>
      <c r="AC232" s="43">
        <f t="shared" si="157"/>
        <v>23871.066155885204</v>
      </c>
      <c r="AD232" s="43">
        <f t="shared" si="157"/>
        <v>23871.066155885204</v>
      </c>
      <c r="AE232" s="43">
        <f t="shared" si="157"/>
        <v>23871.066155885204</v>
      </c>
      <c r="AF232" s="43">
        <f t="shared" si="157"/>
        <v>23871.066155885204</v>
      </c>
      <c r="AH232" s="43">
        <f t="shared" si="146"/>
        <v>303162.54017974209</v>
      </c>
      <c r="AI232" s="43">
        <f t="shared" si="147"/>
        <v>296376.01838103158</v>
      </c>
      <c r="AJ232" s="43">
        <f t="shared" si="148"/>
        <v>289754.40271948598</v>
      </c>
      <c r="AK232" s="43">
        <f t="shared" si="149"/>
        <v>283293.68613009003</v>
      </c>
      <c r="AL232" s="43">
        <f t="shared" si="150"/>
        <v>276989.95891576359</v>
      </c>
      <c r="AN232" s="43">
        <f t="shared" si="137"/>
        <v>12467857.85321884</v>
      </c>
      <c r="AO232" s="43">
        <f t="shared" si="138"/>
        <v>12171481.834837809</v>
      </c>
      <c r="AP232" s="43">
        <f t="shared" si="139"/>
        <v>11881727.432118323</v>
      </c>
      <c r="AQ232" s="43">
        <f t="shared" si="140"/>
        <v>11598433.745988233</v>
      </c>
      <c r="AR232" s="43">
        <f t="shared" si="141"/>
        <v>11321443.787072469</v>
      </c>
      <c r="AT232" s="43">
        <f t="shared" si="158"/>
        <v>132986.36352616485</v>
      </c>
      <c r="AU232" s="43">
        <f t="shared" si="158"/>
        <v>140666.59199252794</v>
      </c>
      <c r="AV232" s="43">
        <f t="shared" si="158"/>
        <v>151312.23967452248</v>
      </c>
      <c r="AW232" s="43">
        <f t="shared" si="158"/>
        <v>154926.78645586746</v>
      </c>
      <c r="AX232" s="43">
        <f t="shared" si="158"/>
        <v>160170.74832382568</v>
      </c>
      <c r="AZ232" s="47">
        <f t="shared" si="151"/>
        <v>860056.07071534754</v>
      </c>
      <c r="BA232" s="47">
        <f t="shared" si="152"/>
        <v>838701.51092320727</v>
      </c>
      <c r="BB232" s="47">
        <f t="shared" si="153"/>
        <v>892572.28481450467</v>
      </c>
      <c r="BC232" s="47">
        <f t="shared" si="154"/>
        <v>878960.95493351028</v>
      </c>
      <c r="BD232" s="47">
        <f t="shared" si="155"/>
        <v>867375.57114834304</v>
      </c>
    </row>
    <row r="233" spans="2:56">
      <c r="B233" s="37">
        <f>'12. Investeringen (bijschatten)'!B36</f>
        <v>17</v>
      </c>
      <c r="C233" s="48"/>
      <c r="E233" s="48"/>
      <c r="F233" s="168">
        <f>'12. Investeringen (bijschatten)'!C36</f>
        <v>686952.98173478153</v>
      </c>
      <c r="H233" s="37">
        <f>'12. Investeringen (bijschatten)'!D36</f>
        <v>2020</v>
      </c>
      <c r="I233" s="37" t="str">
        <f>'12. Investeringen (bijschatten)'!E36</f>
        <v>32 M&amp;R stations</v>
      </c>
      <c r="J233" s="168">
        <f>_xlfn.XLOOKUP(I233,'3. Input (des)investeringen '!$B$11:$B$89,'3. Input (des)investeringen '!$D$11:$D$89)</f>
        <v>30</v>
      </c>
      <c r="K233" s="154"/>
      <c r="L233" s="154"/>
      <c r="M233" s="43">
        <f t="shared" si="130"/>
        <v>11449.216362246359</v>
      </c>
      <c r="N233" s="43">
        <f t="shared" si="131"/>
        <v>23264.807648084603</v>
      </c>
      <c r="P233" s="137">
        <f t="shared" si="132"/>
        <v>675503.76537253521</v>
      </c>
      <c r="Q233" s="137">
        <f t="shared" si="133"/>
        <v>663047.01797041122</v>
      </c>
      <c r="S233" s="43">
        <f t="shared" si="144"/>
        <v>663047.01797041122</v>
      </c>
      <c r="T233" s="38">
        <f t="shared" si="145"/>
        <v>28.5</v>
      </c>
      <c r="V233" s="43">
        <f t="shared" si="156"/>
        <v>27219.824948258989</v>
      </c>
      <c r="W233" s="43">
        <f t="shared" si="156"/>
        <v>25978.218897987525</v>
      </c>
      <c r="X233" s="43">
        <f t="shared" si="156"/>
        <v>24793.247509658268</v>
      </c>
      <c r="Y233" s="43">
        <f t="shared" si="156"/>
        <v>23662.327447814208</v>
      </c>
      <c r="Z233" s="43">
        <f t="shared" si="156"/>
        <v>22582.993213352507</v>
      </c>
      <c r="AB233" s="43">
        <f t="shared" si="157"/>
        <v>2326.4807648084607</v>
      </c>
      <c r="AC233" s="43">
        <f t="shared" si="157"/>
        <v>2326.4807648084607</v>
      </c>
      <c r="AD233" s="43">
        <f t="shared" si="157"/>
        <v>2326.4807648084607</v>
      </c>
      <c r="AE233" s="43">
        <f t="shared" si="157"/>
        <v>2326.4807648084607</v>
      </c>
      <c r="AF233" s="43">
        <f t="shared" si="157"/>
        <v>2326.4807648084607</v>
      </c>
      <c r="AH233" s="43">
        <f t="shared" si="146"/>
        <v>29546.30571306745</v>
      </c>
      <c r="AI233" s="43">
        <f t="shared" si="147"/>
        <v>28304.699662795985</v>
      </c>
      <c r="AJ233" s="43">
        <f t="shared" si="148"/>
        <v>27119.728274466728</v>
      </c>
      <c r="AK233" s="43">
        <f t="shared" si="149"/>
        <v>25988.808212622669</v>
      </c>
      <c r="AL233" s="43">
        <f t="shared" si="150"/>
        <v>24909.473978160968</v>
      </c>
      <c r="AN233" s="43">
        <f t="shared" si="137"/>
        <v>633500.71225734381</v>
      </c>
      <c r="AO233" s="43">
        <f t="shared" si="138"/>
        <v>605196.01259454782</v>
      </c>
      <c r="AP233" s="43">
        <f t="shared" si="139"/>
        <v>578076.28432008112</v>
      </c>
      <c r="AQ233" s="43">
        <f t="shared" si="140"/>
        <v>552087.47610745847</v>
      </c>
      <c r="AR233" s="43">
        <f t="shared" si="141"/>
        <v>527178.00212929747</v>
      </c>
      <c r="AT233" s="43">
        <f t="shared" si="158"/>
        <v>7069.5753147354353</v>
      </c>
      <c r="AU233" s="43">
        <f t="shared" si="158"/>
        <v>7477.8574283120361</v>
      </c>
      <c r="AV233" s="43">
        <f t="shared" si="158"/>
        <v>8043.7816784866936</v>
      </c>
      <c r="AW233" s="43">
        <f t="shared" si="158"/>
        <v>8235.9315352223821</v>
      </c>
      <c r="AX233" s="43">
        <f t="shared" si="158"/>
        <v>8514.7013458265919</v>
      </c>
      <c r="AZ233" s="47">
        <f t="shared" si="151"/>
        <v>58154.905244552574</v>
      </c>
      <c r="BA233" s="47">
        <f t="shared" si="152"/>
        <v>55754.025506728096</v>
      </c>
      <c r="BB233" s="47">
        <f t="shared" si="153"/>
        <v>57130.408757116507</v>
      </c>
      <c r="BC233" s="47">
        <f t="shared" si="154"/>
        <v>55204.063839928465</v>
      </c>
      <c r="BD233" s="47">
        <f t="shared" si="155"/>
        <v>53456.939404900862</v>
      </c>
    </row>
    <row r="234" spans="2:56">
      <c r="B234" s="37">
        <f>'12. Investeringen (bijschatten)'!B37</f>
        <v>18</v>
      </c>
      <c r="C234" s="48"/>
      <c r="E234" s="48"/>
      <c r="F234" s="168">
        <f>'12. Investeringen (bijschatten)'!C37</f>
        <v>975839.82625029294</v>
      </c>
      <c r="H234" s="37">
        <f>'12. Investeringen (bijschatten)'!D37</f>
        <v>2020</v>
      </c>
      <c r="I234" s="37" t="str">
        <f>'12. Investeringen (bijschatten)'!E37</f>
        <v>33 Exportstations</v>
      </c>
      <c r="J234" s="168">
        <f>_xlfn.XLOOKUP(I234,'3. Input (des)investeringen '!$B$11:$B$89,'3. Input (des)investeringen '!$D$11:$D$89)</f>
        <v>30</v>
      </c>
      <c r="K234" s="154"/>
      <c r="L234" s="154"/>
      <c r="M234" s="43">
        <f t="shared" si="130"/>
        <v>16263.997104171549</v>
      </c>
      <c r="N234" s="43">
        <f t="shared" si="131"/>
        <v>33048.442115676589</v>
      </c>
      <c r="P234" s="137">
        <f t="shared" si="132"/>
        <v>959575.8291461214</v>
      </c>
      <c r="Q234" s="137">
        <f t="shared" si="133"/>
        <v>941880.6002967828</v>
      </c>
      <c r="S234" s="43">
        <f t="shared" si="144"/>
        <v>941880.6002967828</v>
      </c>
      <c r="T234" s="38">
        <f t="shared" si="145"/>
        <v>28.5</v>
      </c>
      <c r="V234" s="43">
        <f t="shared" si="156"/>
        <v>38666.677275341615</v>
      </c>
      <c r="W234" s="43">
        <f t="shared" si="156"/>
        <v>36902.934101378662</v>
      </c>
      <c r="X234" s="43">
        <f t="shared" si="156"/>
        <v>35219.642370438582</v>
      </c>
      <c r="Y234" s="43">
        <f t="shared" si="156"/>
        <v>33613.132367576472</v>
      </c>
      <c r="Z234" s="43">
        <f t="shared" si="156"/>
        <v>32079.901768353688</v>
      </c>
      <c r="AB234" s="43">
        <f t="shared" si="157"/>
        <v>3304.8442115676589</v>
      </c>
      <c r="AC234" s="43">
        <f t="shared" si="157"/>
        <v>3304.8442115676589</v>
      </c>
      <c r="AD234" s="43">
        <f t="shared" si="157"/>
        <v>3304.8442115676589</v>
      </c>
      <c r="AE234" s="43">
        <f t="shared" si="157"/>
        <v>3304.8442115676589</v>
      </c>
      <c r="AF234" s="43">
        <f t="shared" si="157"/>
        <v>3304.8442115676589</v>
      </c>
      <c r="AH234" s="43">
        <f t="shared" si="146"/>
        <v>41971.521486909274</v>
      </c>
      <c r="AI234" s="43">
        <f t="shared" si="147"/>
        <v>40207.778312946321</v>
      </c>
      <c r="AJ234" s="43">
        <f t="shared" si="148"/>
        <v>38524.48658200624</v>
      </c>
      <c r="AK234" s="43">
        <f t="shared" si="149"/>
        <v>36917.976579144131</v>
      </c>
      <c r="AL234" s="43">
        <f t="shared" si="150"/>
        <v>35384.745979921347</v>
      </c>
      <c r="AN234" s="43">
        <f t="shared" si="137"/>
        <v>899909.07880987355</v>
      </c>
      <c r="AO234" s="43">
        <f t="shared" si="138"/>
        <v>859701.30049692723</v>
      </c>
      <c r="AP234" s="43">
        <f t="shared" si="139"/>
        <v>821176.81391492102</v>
      </c>
      <c r="AQ234" s="43">
        <f t="shared" si="140"/>
        <v>784258.83733577689</v>
      </c>
      <c r="AR234" s="43">
        <f t="shared" si="141"/>
        <v>748874.09135585558</v>
      </c>
      <c r="AT234" s="43">
        <f t="shared" si="158"/>
        <v>10042.569622993882</v>
      </c>
      <c r="AU234" s="43">
        <f t="shared" si="158"/>
        <v>10622.548103861025</v>
      </c>
      <c r="AV234" s="43">
        <f t="shared" si="158"/>
        <v>11426.462544361228</v>
      </c>
      <c r="AW234" s="43">
        <f t="shared" si="158"/>
        <v>11699.41788162093</v>
      </c>
      <c r="AX234" s="43">
        <f t="shared" si="158"/>
        <v>12095.419778078036</v>
      </c>
      <c r="AZ234" s="47">
        <f t="shared" si="151"/>
        <v>82610.999789438851</v>
      </c>
      <c r="BA234" s="47">
        <f t="shared" si="152"/>
        <v>79200.469333205954</v>
      </c>
      <c r="BB234" s="47">
        <f t="shared" si="153"/>
        <v>81155.668055134462</v>
      </c>
      <c r="BC234" s="47">
        <f t="shared" si="154"/>
        <v>78419.230279524578</v>
      </c>
      <c r="BD234" s="47">
        <f t="shared" si="155"/>
        <v>75937.381229521896</v>
      </c>
    </row>
    <row r="235" spans="2:56">
      <c r="B235" s="37">
        <f>'12. Investeringen (bijschatten)'!B38</f>
        <v>19</v>
      </c>
      <c r="C235" s="48"/>
      <c r="E235" s="48"/>
      <c r="F235" s="168">
        <f>'12. Investeringen (bijschatten)'!C38</f>
        <v>31012.676750044764</v>
      </c>
      <c r="H235" s="37">
        <f>'12. Investeringen (bijschatten)'!D38</f>
        <v>2020</v>
      </c>
      <c r="I235" s="37" t="str">
        <f>'12. Investeringen (bijschatten)'!E38</f>
        <v>34 Reduceerstations</v>
      </c>
      <c r="J235" s="168">
        <f>_xlfn.XLOOKUP(I235,'3. Input (des)investeringen '!$B$11:$B$89,'3. Input (des)investeringen '!$D$11:$D$89)</f>
        <v>30</v>
      </c>
      <c r="K235" s="154"/>
      <c r="L235" s="154"/>
      <c r="M235" s="43">
        <f t="shared" si="130"/>
        <v>516.87794583407936</v>
      </c>
      <c r="N235" s="43">
        <f t="shared" si="131"/>
        <v>1050.2959859348493</v>
      </c>
      <c r="P235" s="137">
        <f t="shared" si="132"/>
        <v>30495.798804210684</v>
      </c>
      <c r="Q235" s="137">
        <f t="shared" si="133"/>
        <v>29933.435599143206</v>
      </c>
      <c r="S235" s="43">
        <f t="shared" si="144"/>
        <v>29933.435599143206</v>
      </c>
      <c r="T235" s="38">
        <f t="shared" si="145"/>
        <v>28.5</v>
      </c>
      <c r="V235" s="43">
        <f t="shared" si="156"/>
        <v>1228.8463035437737</v>
      </c>
      <c r="W235" s="43">
        <f t="shared" si="156"/>
        <v>1172.7936651365139</v>
      </c>
      <c r="X235" s="43">
        <f t="shared" si="156"/>
        <v>1119.2978137443222</v>
      </c>
      <c r="Y235" s="43">
        <f t="shared" si="156"/>
        <v>1068.2421239945811</v>
      </c>
      <c r="Z235" s="43">
        <f t="shared" si="156"/>
        <v>1019.5152902685127</v>
      </c>
      <c r="AB235" s="43">
        <f t="shared" si="157"/>
        <v>105.02959859348495</v>
      </c>
      <c r="AC235" s="43">
        <f t="shared" si="157"/>
        <v>105.02959859348495</v>
      </c>
      <c r="AD235" s="43">
        <f t="shared" si="157"/>
        <v>105.02959859348495</v>
      </c>
      <c r="AE235" s="43">
        <f t="shared" si="157"/>
        <v>105.02959859348495</v>
      </c>
      <c r="AF235" s="43">
        <f t="shared" si="157"/>
        <v>105.02959859348495</v>
      </c>
      <c r="AH235" s="43">
        <f t="shared" si="146"/>
        <v>1333.8759021372587</v>
      </c>
      <c r="AI235" s="43">
        <f t="shared" si="147"/>
        <v>1277.8232637299989</v>
      </c>
      <c r="AJ235" s="43">
        <f t="shared" si="148"/>
        <v>1224.3274123378071</v>
      </c>
      <c r="AK235" s="43">
        <f t="shared" si="149"/>
        <v>1173.271722588066</v>
      </c>
      <c r="AL235" s="43">
        <f t="shared" si="150"/>
        <v>1124.5448888619976</v>
      </c>
      <c r="AN235" s="43">
        <f t="shared" si="137"/>
        <v>28599.559697005949</v>
      </c>
      <c r="AO235" s="43">
        <f t="shared" si="138"/>
        <v>27321.73643327595</v>
      </c>
      <c r="AP235" s="43">
        <f t="shared" si="139"/>
        <v>26097.409020938143</v>
      </c>
      <c r="AQ235" s="43">
        <f t="shared" si="140"/>
        <v>24924.137298350077</v>
      </c>
      <c r="AR235" s="43">
        <f t="shared" si="141"/>
        <v>23799.592409488079</v>
      </c>
      <c r="AT235" s="43">
        <f t="shared" si="158"/>
        <v>319.15787517555697</v>
      </c>
      <c r="AU235" s="43">
        <f t="shared" si="158"/>
        <v>337.58988078269567</v>
      </c>
      <c r="AV235" s="43">
        <f t="shared" si="158"/>
        <v>363.13868296033019</v>
      </c>
      <c r="AW235" s="43">
        <f t="shared" si="158"/>
        <v>371.8133398188865</v>
      </c>
      <c r="AX235" s="43">
        <f t="shared" si="158"/>
        <v>384.39847774507626</v>
      </c>
      <c r="AZ235" s="47">
        <f t="shared" si="151"/>
        <v>2625.4188070110176</v>
      </c>
      <c r="BA235" s="47">
        <f t="shared" si="152"/>
        <v>2517.0304468108011</v>
      </c>
      <c r="BB235" s="47">
        <f t="shared" si="153"/>
        <v>2579.1676380937865</v>
      </c>
      <c r="BC235" s="47">
        <f t="shared" si="154"/>
        <v>2492.2022797442555</v>
      </c>
      <c r="BD235" s="47">
        <f t="shared" si="155"/>
        <v>2413.3278781676208</v>
      </c>
    </row>
    <row r="236" spans="2:56">
      <c r="B236" s="37">
        <f>'12. Investeringen (bijschatten)'!B39</f>
        <v>20</v>
      </c>
      <c r="C236" s="48"/>
      <c r="E236" s="48"/>
      <c r="F236" s="168">
        <f>'12. Investeringen (bijschatten)'!C39</f>
        <v>12132.747993912169</v>
      </c>
      <c r="H236" s="37">
        <f>'12. Investeringen (bijschatten)'!D39</f>
        <v>2020</v>
      </c>
      <c r="I236" s="37" t="str">
        <f>'12. Investeringen (bijschatten)'!E39</f>
        <v>35 Injectiestations</v>
      </c>
      <c r="J236" s="168">
        <f>_xlfn.XLOOKUP(I236,'3. Input (des)investeringen '!$B$11:$B$89,'3. Input (des)investeringen '!$D$11:$D$89)</f>
        <v>30</v>
      </c>
      <c r="K236" s="154"/>
      <c r="L236" s="154"/>
      <c r="M236" s="43">
        <f t="shared" si="130"/>
        <v>202.21246656520282</v>
      </c>
      <c r="N236" s="43">
        <f t="shared" si="131"/>
        <v>410.89573206049215</v>
      </c>
      <c r="P236" s="137">
        <f t="shared" si="132"/>
        <v>11930.535527346967</v>
      </c>
      <c r="Q236" s="137">
        <f t="shared" si="133"/>
        <v>11710.528363724026</v>
      </c>
      <c r="S236" s="43">
        <f t="shared" si="144"/>
        <v>11710.528363724026</v>
      </c>
      <c r="T236" s="38">
        <f t="shared" si="145"/>
        <v>28.5</v>
      </c>
      <c r="V236" s="43">
        <f t="shared" si="156"/>
        <v>480.74800651077584</v>
      </c>
      <c r="W236" s="43">
        <f t="shared" si="156"/>
        <v>458.81915007344224</v>
      </c>
      <c r="X236" s="43">
        <f t="shared" si="156"/>
        <v>437.89055726307464</v>
      </c>
      <c r="Y236" s="43">
        <f t="shared" si="156"/>
        <v>417.91660201949583</v>
      </c>
      <c r="Z236" s="43">
        <f t="shared" si="156"/>
        <v>398.85373947123816</v>
      </c>
      <c r="AB236" s="43">
        <f t="shared" si="157"/>
        <v>41.089573206049216</v>
      </c>
      <c r="AC236" s="43">
        <f t="shared" si="157"/>
        <v>41.089573206049216</v>
      </c>
      <c r="AD236" s="43">
        <f t="shared" si="157"/>
        <v>41.089573206049216</v>
      </c>
      <c r="AE236" s="43">
        <f t="shared" si="157"/>
        <v>41.089573206049216</v>
      </c>
      <c r="AF236" s="43">
        <f t="shared" si="157"/>
        <v>41.089573206049216</v>
      </c>
      <c r="AH236" s="43">
        <f t="shared" si="146"/>
        <v>521.83757971682508</v>
      </c>
      <c r="AI236" s="43">
        <f t="shared" si="147"/>
        <v>499.90872327949148</v>
      </c>
      <c r="AJ236" s="43">
        <f t="shared" si="148"/>
        <v>478.98013046912388</v>
      </c>
      <c r="AK236" s="43">
        <f t="shared" si="149"/>
        <v>459.00617522554506</v>
      </c>
      <c r="AL236" s="43">
        <f t="shared" si="150"/>
        <v>439.94331267728739</v>
      </c>
      <c r="AN236" s="43">
        <f t="shared" si="137"/>
        <v>11188.690784007202</v>
      </c>
      <c r="AO236" s="43">
        <f t="shared" si="138"/>
        <v>10688.78206072771</v>
      </c>
      <c r="AP236" s="43">
        <f t="shared" si="139"/>
        <v>10209.801930258585</v>
      </c>
      <c r="AQ236" s="43">
        <f t="shared" si="140"/>
        <v>9750.7957550330411</v>
      </c>
      <c r="AR236" s="43">
        <f t="shared" si="141"/>
        <v>9310.8524423557537</v>
      </c>
      <c r="AT236" s="43">
        <f t="shared" si="158"/>
        <v>124.86062073864423</v>
      </c>
      <c r="AU236" s="43">
        <f t="shared" si="158"/>
        <v>132.07157130754243</v>
      </c>
      <c r="AV236" s="43">
        <f t="shared" si="158"/>
        <v>142.06674782409723</v>
      </c>
      <c r="AW236" s="43">
        <f t="shared" si="158"/>
        <v>145.46043829611929</v>
      </c>
      <c r="AX236" s="43">
        <f t="shared" si="158"/>
        <v>150.38398321156632</v>
      </c>
      <c r="AZ236" s="47">
        <f t="shared" si="151"/>
        <v>1027.1136871117142</v>
      </c>
      <c r="BA236" s="47">
        <f t="shared" si="152"/>
        <v>984.71010259104833</v>
      </c>
      <c r="BB236" s="47">
        <f t="shared" si="153"/>
        <v>1009.0193516430473</v>
      </c>
      <c r="BC236" s="47">
        <f t="shared" si="154"/>
        <v>974.99685221291986</v>
      </c>
      <c r="BD236" s="47">
        <f t="shared" si="155"/>
        <v>944.13968869837231</v>
      </c>
    </row>
    <row r="237" spans="2:56">
      <c r="B237" s="37">
        <f>'12. Investeringen (bijschatten)'!B40</f>
        <v>21</v>
      </c>
      <c r="C237" s="48"/>
      <c r="E237" s="48"/>
      <c r="F237" s="168">
        <f>'12. Investeringen (bijschatten)'!C40</f>
        <v>6654019.8779814392</v>
      </c>
      <c r="H237" s="37">
        <f>'12. Investeringen (bijschatten)'!D40</f>
        <v>2020</v>
      </c>
      <c r="I237" s="37" t="str">
        <f>'12. Investeringen (bijschatten)'!E40</f>
        <v>36 Luchtscheidingsunit</v>
      </c>
      <c r="J237" s="168">
        <f>_xlfn.XLOOKUP(I237,'3. Input (des)investeringen '!$B$11:$B$89,'3. Input (des)investeringen '!$D$11:$D$89)</f>
        <v>30</v>
      </c>
      <c r="K237" s="154"/>
      <c r="L237" s="154"/>
      <c r="M237" s="43">
        <f t="shared" si="130"/>
        <v>110900.33129969066</v>
      </c>
      <c r="N237" s="43">
        <f t="shared" si="131"/>
        <v>225349.47320097144</v>
      </c>
      <c r="P237" s="137">
        <f t="shared" si="132"/>
        <v>6543119.5466817487</v>
      </c>
      <c r="Q237" s="137">
        <f t="shared" si="133"/>
        <v>6422459.9862276856</v>
      </c>
      <c r="S237" s="43">
        <f t="shared" si="144"/>
        <v>6422459.9862276856</v>
      </c>
      <c r="T237" s="38">
        <f t="shared" si="145"/>
        <v>28.5</v>
      </c>
      <c r="V237" s="43">
        <f t="shared" ref="V237:Z246" si="159">IF($J237=0, 0, IF(OR($H237&gt;V$59,$H237+$J237&lt;V$59),0,
IF(OR($H237=2020,$H237=2021),VDB(ABS($S237)*(1-$F$28),0,$T237,V$59-2022,MIN($T237,V$59-2021),$F$22),
VDB(ABS($S237)*(1-$F$28),0,$T237,MAX(0,V$59-$H237-0.5),MIN($T237,V$59-$H237+0.5),$F$22,FALSE))))*IF($F237&lt;0,-1,1)</f>
        <v>263658.88364513661</v>
      </c>
      <c r="W237" s="43">
        <f t="shared" si="159"/>
        <v>251632.33807535842</v>
      </c>
      <c r="X237" s="43">
        <f t="shared" si="159"/>
        <v>240154.37177718416</v>
      </c>
      <c r="Y237" s="43">
        <f t="shared" si="159"/>
        <v>229199.96183647049</v>
      </c>
      <c r="Z237" s="43">
        <f t="shared" si="159"/>
        <v>218745.2267351578</v>
      </c>
      <c r="AB237" s="43">
        <f t="shared" ref="AB237:AF246" si="160">IF($J237 = 0, 0, IF(OR($H237&gt;AB$59,$H237+$J237&lt;AB$59),0,
IF(OR($H237=2020,$H237=2021),VDB(ABS($S237)*$F$28,0,$T237,AB$59-2022,MIN($T237,AB$59-2021),1),
VDB(ABS($S237)*$F$28,0,$T237,MAX(0,AB$59-$H237-0.5),MIN($T237,AB$59-$H237+0.5),1))))*IF($F237&lt;0,-1,1)</f>
        <v>22534.947320097141</v>
      </c>
      <c r="AC237" s="43">
        <f t="shared" si="160"/>
        <v>22534.947320097144</v>
      </c>
      <c r="AD237" s="43">
        <f t="shared" si="160"/>
        <v>22534.947320097144</v>
      </c>
      <c r="AE237" s="43">
        <f t="shared" si="160"/>
        <v>22534.947320097144</v>
      </c>
      <c r="AF237" s="43">
        <f t="shared" si="160"/>
        <v>22534.947320097144</v>
      </c>
      <c r="AH237" s="43">
        <f t="shared" si="146"/>
        <v>286193.83096523373</v>
      </c>
      <c r="AI237" s="43">
        <f t="shared" si="147"/>
        <v>274167.28539545555</v>
      </c>
      <c r="AJ237" s="43">
        <f t="shared" si="148"/>
        <v>262689.31909728132</v>
      </c>
      <c r="AK237" s="43">
        <f t="shared" si="149"/>
        <v>251734.90915656765</v>
      </c>
      <c r="AL237" s="43">
        <f t="shared" si="150"/>
        <v>241280.17405525496</v>
      </c>
      <c r="AN237" s="43">
        <f t="shared" si="137"/>
        <v>6136266.1552624516</v>
      </c>
      <c r="AO237" s="43">
        <f t="shared" si="138"/>
        <v>5862098.8698669961</v>
      </c>
      <c r="AP237" s="43">
        <f t="shared" si="139"/>
        <v>5599409.5507697146</v>
      </c>
      <c r="AQ237" s="43">
        <f t="shared" si="140"/>
        <v>5347674.6416131472</v>
      </c>
      <c r="AR237" s="43">
        <f t="shared" si="141"/>
        <v>5106394.4675578922</v>
      </c>
      <c r="AT237" s="43">
        <f t="shared" ref="AT237:AX246" si="161">IF($H237&lt;=AT$215,$F237*INDEX($H$40:$N$46,$H237-2019,AT$215-2019)*INDEX($H$49:$N$55,$H237-2019,AT$215-2019)*$F$19,0)</f>
        <v>68477.895756915255</v>
      </c>
      <c r="AU237" s="43">
        <f t="shared" si="161"/>
        <v>72432.631192668618</v>
      </c>
      <c r="AV237" s="43">
        <f t="shared" si="161"/>
        <v>77914.332721329803</v>
      </c>
      <c r="AW237" s="43">
        <f t="shared" si="161"/>
        <v>79775.550301376934</v>
      </c>
      <c r="AX237" s="43">
        <f t="shared" si="161"/>
        <v>82475.793127977944</v>
      </c>
      <c r="AZ237" s="47">
        <f t="shared" si="151"/>
        <v>563304.77600107237</v>
      </c>
      <c r="BA237" s="47">
        <f t="shared" si="152"/>
        <v>540049.17929373507</v>
      </c>
      <c r="BB237" s="47">
        <f t="shared" si="153"/>
        <v>553381.21474786021</v>
      </c>
      <c r="BC237" s="47">
        <f t="shared" si="154"/>
        <v>534722.0958392442</v>
      </c>
      <c r="BD237" s="47">
        <f t="shared" si="155"/>
        <v>517798.9569504328</v>
      </c>
    </row>
    <row r="238" spans="2:56">
      <c r="B238" s="37">
        <f>'12. Investeringen (bijschatten)'!B41</f>
        <v>22</v>
      </c>
      <c r="C238" s="48"/>
      <c r="E238" s="48"/>
      <c r="F238" s="168">
        <f>'12. Investeringen (bijschatten)'!C41</f>
        <v>4047998.6160165961</v>
      </c>
      <c r="H238" s="37">
        <f>'12. Investeringen (bijschatten)'!D41</f>
        <v>2020</v>
      </c>
      <c r="I238" s="37" t="str">
        <f>'12. Investeringen (bijschatten)'!E41</f>
        <v>37 ICT middelen 1</v>
      </c>
      <c r="J238" s="168">
        <f>_xlfn.XLOOKUP(I238,'3. Input (des)investeringen '!$B$11:$B$89,'3. Input (des)investeringen '!$D$11:$D$89)</f>
        <v>5</v>
      </c>
      <c r="K238" s="154"/>
      <c r="L238" s="154"/>
      <c r="M238" s="43">
        <f t="shared" si="130"/>
        <v>404799.86160165962</v>
      </c>
      <c r="N238" s="43">
        <f t="shared" si="131"/>
        <v>822553.31877457234</v>
      </c>
      <c r="P238" s="137">
        <f t="shared" si="132"/>
        <v>3643198.7544149365</v>
      </c>
      <c r="Q238" s="137">
        <f t="shared" si="133"/>
        <v>2878936.6157110035</v>
      </c>
      <c r="S238" s="43">
        <f t="shared" si="144"/>
        <v>2878936.6157110035</v>
      </c>
      <c r="T238" s="38">
        <f t="shared" si="145"/>
        <v>3.5</v>
      </c>
      <c r="V238" s="43">
        <f t="shared" si="159"/>
        <v>962387.38296624983</v>
      </c>
      <c r="W238" s="43">
        <f t="shared" si="159"/>
        <v>651462.22846946144</v>
      </c>
      <c r="X238" s="43">
        <f t="shared" si="159"/>
        <v>651462.22846946144</v>
      </c>
      <c r="Y238" s="43">
        <f t="shared" si="159"/>
        <v>325731.11423473072</v>
      </c>
      <c r="Z238" s="43">
        <f t="shared" si="159"/>
        <v>0</v>
      </c>
      <c r="AB238" s="43">
        <f t="shared" si="160"/>
        <v>82255.33187745724</v>
      </c>
      <c r="AC238" s="43">
        <f t="shared" si="160"/>
        <v>82255.33187745724</v>
      </c>
      <c r="AD238" s="43">
        <f t="shared" si="160"/>
        <v>82255.33187745724</v>
      </c>
      <c r="AE238" s="43">
        <f t="shared" si="160"/>
        <v>41127.66593872862</v>
      </c>
      <c r="AF238" s="43">
        <f t="shared" si="160"/>
        <v>0</v>
      </c>
      <c r="AH238" s="43">
        <f t="shared" si="146"/>
        <v>1044642.714843707</v>
      </c>
      <c r="AI238" s="43">
        <f t="shared" si="147"/>
        <v>733717.56034691865</v>
      </c>
      <c r="AJ238" s="43">
        <f t="shared" si="148"/>
        <v>733717.56034691865</v>
      </c>
      <c r="AK238" s="43">
        <f t="shared" si="149"/>
        <v>366858.78017345932</v>
      </c>
      <c r="AL238" s="43">
        <f t="shared" si="150"/>
        <v>0</v>
      </c>
      <c r="AN238" s="43">
        <f t="shared" si="137"/>
        <v>1834293.9008672964</v>
      </c>
      <c r="AO238" s="43">
        <f t="shared" si="138"/>
        <v>1100576.3405203777</v>
      </c>
      <c r="AP238" s="43">
        <f t="shared" si="139"/>
        <v>366858.78017345909</v>
      </c>
      <c r="AQ238" s="43">
        <f t="shared" si="140"/>
        <v>0</v>
      </c>
      <c r="AR238" s="43">
        <f t="shared" si="141"/>
        <v>0</v>
      </c>
      <c r="AT238" s="43">
        <f t="shared" si="161"/>
        <v>41658.791577853313</v>
      </c>
      <c r="AU238" s="43">
        <f t="shared" si="161"/>
        <v>44064.670109057501</v>
      </c>
      <c r="AV238" s="43">
        <f t="shared" si="161"/>
        <v>47399.484342910975</v>
      </c>
      <c r="AW238" s="43">
        <f t="shared" si="161"/>
        <v>48531.763224894436</v>
      </c>
      <c r="AX238" s="43">
        <f t="shared" si="161"/>
        <v>50174.466346530666</v>
      </c>
      <c r="AZ238" s="47">
        <f t="shared" si="151"/>
        <v>1148667.4990510484</v>
      </c>
      <c r="BA238" s="47">
        <f t="shared" si="152"/>
        <v>814101.24969314854</v>
      </c>
      <c r="BB238" s="47">
        <f t="shared" si="153"/>
        <v>795057.67833642103</v>
      </c>
      <c r="BC238" s="47">
        <f t="shared" si="154"/>
        <v>415390.54339835374</v>
      </c>
      <c r="BD238" s="47">
        <f t="shared" si="155"/>
        <v>50174.466346530666</v>
      </c>
    </row>
    <row r="239" spans="2:56">
      <c r="B239" s="37">
        <f>'12. Investeringen (bijschatten)'!B42</f>
        <v>23</v>
      </c>
      <c r="C239" s="48"/>
      <c r="E239" s="48"/>
      <c r="F239" s="168">
        <f>'12. Investeringen (bijschatten)'!C42</f>
        <v>2403625.2498371834</v>
      </c>
      <c r="H239" s="37">
        <f>'12. Investeringen (bijschatten)'!D42</f>
        <v>2020</v>
      </c>
      <c r="I239" s="37" t="str">
        <f>'12. Investeringen (bijschatten)'!E42</f>
        <v>38 ICT middelen 2</v>
      </c>
      <c r="J239" s="168">
        <f>_xlfn.XLOOKUP(I239,'3. Input (des)investeringen '!$B$11:$B$89,'3. Input (des)investeringen '!$D$11:$D$89)</f>
        <v>10</v>
      </c>
      <c r="K239" s="154"/>
      <c r="L239" s="154"/>
      <c r="M239" s="43">
        <f t="shared" si="130"/>
        <v>120181.26249185918</v>
      </c>
      <c r="N239" s="43">
        <f t="shared" si="131"/>
        <v>244208.32538345785</v>
      </c>
      <c r="P239" s="137">
        <f t="shared" si="132"/>
        <v>2283443.9873453244</v>
      </c>
      <c r="Q239" s="137">
        <f t="shared" si="133"/>
        <v>2075770.7657593917</v>
      </c>
      <c r="S239" s="43">
        <f t="shared" si="144"/>
        <v>2075770.7657593917</v>
      </c>
      <c r="T239" s="38">
        <f t="shared" si="145"/>
        <v>8.5</v>
      </c>
      <c r="V239" s="43">
        <f t="shared" si="159"/>
        <v>285723.74069864571</v>
      </c>
      <c r="W239" s="43">
        <f t="shared" si="159"/>
        <v>242024.81565061753</v>
      </c>
      <c r="X239" s="43">
        <f t="shared" si="159"/>
        <v>206222.32812833681</v>
      </c>
      <c r="Y239" s="43">
        <f t="shared" si="159"/>
        <v>206222.32812833681</v>
      </c>
      <c r="Z239" s="43">
        <f t="shared" si="159"/>
        <v>206222.32812833681</v>
      </c>
      <c r="AB239" s="43">
        <f t="shared" si="160"/>
        <v>24420.832538345789</v>
      </c>
      <c r="AC239" s="43">
        <f t="shared" si="160"/>
        <v>24420.832538345785</v>
      </c>
      <c r="AD239" s="43">
        <f t="shared" si="160"/>
        <v>24420.832538345785</v>
      </c>
      <c r="AE239" s="43">
        <f t="shared" si="160"/>
        <v>24420.832538345785</v>
      </c>
      <c r="AF239" s="43">
        <f t="shared" si="160"/>
        <v>24420.832538345785</v>
      </c>
      <c r="AH239" s="43">
        <f t="shared" si="146"/>
        <v>310144.57323699148</v>
      </c>
      <c r="AI239" s="43">
        <f t="shared" si="147"/>
        <v>266445.6481889633</v>
      </c>
      <c r="AJ239" s="43">
        <f t="shared" si="148"/>
        <v>230643.16066668258</v>
      </c>
      <c r="AK239" s="43">
        <f t="shared" si="149"/>
        <v>230643.16066668258</v>
      </c>
      <c r="AL239" s="43">
        <f t="shared" si="150"/>
        <v>230643.16066668258</v>
      </c>
      <c r="AN239" s="43">
        <f t="shared" si="137"/>
        <v>1765626.1925224003</v>
      </c>
      <c r="AO239" s="43">
        <f t="shared" si="138"/>
        <v>1499180.544333437</v>
      </c>
      <c r="AP239" s="43">
        <f t="shared" si="139"/>
        <v>1268537.3836667545</v>
      </c>
      <c r="AQ239" s="43">
        <f t="shared" si="140"/>
        <v>1037894.2230000719</v>
      </c>
      <c r="AR239" s="43">
        <f t="shared" si="141"/>
        <v>807251.06233338942</v>
      </c>
      <c r="AT239" s="43">
        <f t="shared" si="161"/>
        <v>24736.204928045925</v>
      </c>
      <c r="AU239" s="43">
        <f t="shared" si="161"/>
        <v>26164.770235050433</v>
      </c>
      <c r="AV239" s="43">
        <f t="shared" si="161"/>
        <v>28144.920046439056</v>
      </c>
      <c r="AW239" s="43">
        <f t="shared" si="161"/>
        <v>28817.245896508393</v>
      </c>
      <c r="AX239" s="43">
        <f t="shared" si="161"/>
        <v>29792.65203561341</v>
      </c>
      <c r="AZ239" s="47">
        <f t="shared" si="151"/>
        <v>394912.06871079904</v>
      </c>
      <c r="BA239" s="47">
        <f t="shared" si="152"/>
        <v>342083.37638701714</v>
      </c>
      <c r="BB239" s="47">
        <f t="shared" si="153"/>
        <v>306992.50129245827</v>
      </c>
      <c r="BC239" s="47">
        <f t="shared" si="154"/>
        <v>298900.38703719369</v>
      </c>
      <c r="BD239" s="47">
        <f t="shared" si="155"/>
        <v>291111.3530709648</v>
      </c>
    </row>
    <row r="240" spans="2:56">
      <c r="B240" s="37">
        <f>'12. Investeringen (bijschatten)'!B43</f>
        <v>24</v>
      </c>
      <c r="C240" s="48"/>
      <c r="E240" s="48"/>
      <c r="F240" s="168">
        <f>'12. Investeringen (bijschatten)'!C43</f>
        <v>437.7361508808076</v>
      </c>
      <c r="H240" s="37">
        <f>'12. Investeringen (bijschatten)'!D43</f>
        <v>2020</v>
      </c>
      <c r="I240" s="37" t="str">
        <f>'12. Investeringen (bijschatten)'!E43</f>
        <v>39 ICT middelen 3</v>
      </c>
      <c r="J240" s="168">
        <f>_xlfn.XLOOKUP(I240,'3. Input (des)investeringen '!$B$11:$B$89,'3. Input (des)investeringen '!$D$11:$D$89)</f>
        <v>15</v>
      </c>
      <c r="K240" s="154"/>
      <c r="L240" s="154"/>
      <c r="M240" s="43">
        <f t="shared" si="130"/>
        <v>14.591205029360253</v>
      </c>
      <c r="N240" s="43">
        <f t="shared" si="131"/>
        <v>29.649328619660036</v>
      </c>
      <c r="P240" s="137">
        <f t="shared" si="132"/>
        <v>423.14494585144735</v>
      </c>
      <c r="Q240" s="137">
        <f t="shared" si="133"/>
        <v>400.26593636541048</v>
      </c>
      <c r="S240" s="43">
        <f t="shared" si="144"/>
        <v>400.26593636541048</v>
      </c>
      <c r="T240" s="38">
        <f t="shared" si="145"/>
        <v>13.5</v>
      </c>
      <c r="V240" s="43">
        <f t="shared" si="159"/>
        <v>34.689714485002241</v>
      </c>
      <c r="W240" s="43">
        <f t="shared" si="159"/>
        <v>31.349223460520545</v>
      </c>
      <c r="X240" s="43">
        <f t="shared" si="159"/>
        <v>28.330409349507455</v>
      </c>
      <c r="Y240" s="43">
        <f t="shared" si="159"/>
        <v>25.602295856591919</v>
      </c>
      <c r="Z240" s="43">
        <f t="shared" si="159"/>
        <v>25.291336797604973</v>
      </c>
      <c r="AB240" s="43">
        <f t="shared" si="160"/>
        <v>2.9649328619660036</v>
      </c>
      <c r="AC240" s="43">
        <f t="shared" si="160"/>
        <v>2.9649328619660036</v>
      </c>
      <c r="AD240" s="43">
        <f t="shared" si="160"/>
        <v>2.9649328619660036</v>
      </c>
      <c r="AE240" s="43">
        <f t="shared" si="160"/>
        <v>2.9649328619660036</v>
      </c>
      <c r="AF240" s="43">
        <f t="shared" si="160"/>
        <v>2.9649328619660036</v>
      </c>
      <c r="AH240" s="43">
        <f t="shared" si="146"/>
        <v>37.654647346968247</v>
      </c>
      <c r="AI240" s="43">
        <f t="shared" si="147"/>
        <v>34.314156322486546</v>
      </c>
      <c r="AJ240" s="43">
        <f t="shared" si="148"/>
        <v>31.295342211473461</v>
      </c>
      <c r="AK240" s="43">
        <f t="shared" si="149"/>
        <v>28.567228718557921</v>
      </c>
      <c r="AL240" s="43">
        <f t="shared" si="150"/>
        <v>28.256269659570975</v>
      </c>
      <c r="AN240" s="43">
        <f t="shared" si="137"/>
        <v>362.61128901844222</v>
      </c>
      <c r="AO240" s="43">
        <f t="shared" si="138"/>
        <v>328.29713269595567</v>
      </c>
      <c r="AP240" s="43">
        <f t="shared" si="139"/>
        <v>297.00179048448223</v>
      </c>
      <c r="AQ240" s="43">
        <f t="shared" si="140"/>
        <v>268.43456176592429</v>
      </c>
      <c r="AR240" s="43">
        <f t="shared" si="141"/>
        <v>240.1782921063533</v>
      </c>
      <c r="AT240" s="43">
        <f t="shared" si="161"/>
        <v>4.5048333276308981</v>
      </c>
      <c r="AU240" s="43">
        <f t="shared" si="161"/>
        <v>4.7649964619682379</v>
      </c>
      <c r="AV240" s="43">
        <f t="shared" si="161"/>
        <v>5.1256113942099946</v>
      </c>
      <c r="AW240" s="43">
        <f t="shared" si="161"/>
        <v>5.2480519991948835</v>
      </c>
      <c r="AX240" s="43">
        <f t="shared" si="161"/>
        <v>5.4256880632636317</v>
      </c>
      <c r="AZ240" s="47">
        <f t="shared" si="151"/>
        <v>54.488264501226183</v>
      </c>
      <c r="BA240" s="47">
        <f t="shared" si="152"/>
        <v>49.912958163421322</v>
      </c>
      <c r="BB240" s="47">
        <f t="shared" si="153"/>
        <v>47.707021644093786</v>
      </c>
      <c r="BC240" s="47">
        <f t="shared" si="154"/>
        <v>44.015794064857928</v>
      </c>
      <c r="BD240" s="47">
        <f t="shared" si="155"/>
        <v>42.808732822876038</v>
      </c>
    </row>
    <row r="241" spans="2:56">
      <c r="B241" s="37">
        <f>'12. Investeringen (bijschatten)'!B44</f>
        <v>25</v>
      </c>
      <c r="C241" s="48"/>
      <c r="E241" s="48"/>
      <c r="F241" s="168">
        <f>'12. Investeringen (bijschatten)'!C44</f>
        <v>11388.804547887481</v>
      </c>
      <c r="H241" s="37">
        <f>'12. Investeringen (bijschatten)'!D44</f>
        <v>2020</v>
      </c>
      <c r="I241" s="37" t="str">
        <f>'12. Investeringen (bijschatten)'!E44</f>
        <v>41 Stikstofbuffer</v>
      </c>
      <c r="J241" s="168">
        <f>_xlfn.XLOOKUP(I241,'3. Input (des)investeringen '!$B$11:$B$89,'3. Input (des)investeringen '!$D$11:$D$89)</f>
        <v>30</v>
      </c>
      <c r="K241" s="154"/>
      <c r="L241" s="154"/>
      <c r="M241" s="43">
        <f t="shared" si="130"/>
        <v>189.81340913145803</v>
      </c>
      <c r="N241" s="43">
        <f t="shared" si="131"/>
        <v>385.70084735512273</v>
      </c>
      <c r="P241" s="137">
        <f t="shared" si="132"/>
        <v>11198.991138756022</v>
      </c>
      <c r="Q241" s="137">
        <f t="shared" si="133"/>
        <v>10992.474149620995</v>
      </c>
      <c r="S241" s="43">
        <f t="shared" si="144"/>
        <v>10992.474149620995</v>
      </c>
      <c r="T241" s="38">
        <f t="shared" si="145"/>
        <v>28.5</v>
      </c>
      <c r="V241" s="43">
        <f t="shared" si="159"/>
        <v>451.26999140549356</v>
      </c>
      <c r="W241" s="43">
        <f t="shared" si="159"/>
        <v>430.68574618348856</v>
      </c>
      <c r="X241" s="43">
        <f t="shared" si="159"/>
        <v>411.04043144529436</v>
      </c>
      <c r="Y241" s="43">
        <f t="shared" si="159"/>
        <v>392.29121878287748</v>
      </c>
      <c r="Z241" s="43">
        <f t="shared" si="159"/>
        <v>374.39723336471116</v>
      </c>
      <c r="AB241" s="43">
        <f t="shared" si="160"/>
        <v>38.570084735512268</v>
      </c>
      <c r="AC241" s="43">
        <f t="shared" si="160"/>
        <v>38.570084735512268</v>
      </c>
      <c r="AD241" s="43">
        <f t="shared" si="160"/>
        <v>38.570084735512268</v>
      </c>
      <c r="AE241" s="43">
        <f t="shared" si="160"/>
        <v>38.570084735512268</v>
      </c>
      <c r="AF241" s="43">
        <f t="shared" si="160"/>
        <v>38.570084735512268</v>
      </c>
      <c r="AH241" s="43">
        <f t="shared" si="146"/>
        <v>489.84007614100585</v>
      </c>
      <c r="AI241" s="43">
        <f t="shared" si="147"/>
        <v>469.2558309190008</v>
      </c>
      <c r="AJ241" s="43">
        <f t="shared" si="148"/>
        <v>449.6105161808066</v>
      </c>
      <c r="AK241" s="43">
        <f t="shared" si="149"/>
        <v>430.86130351838972</v>
      </c>
      <c r="AL241" s="43">
        <f t="shared" si="150"/>
        <v>412.96731810022345</v>
      </c>
      <c r="AN241" s="43">
        <f t="shared" si="137"/>
        <v>10502.634073479989</v>
      </c>
      <c r="AO241" s="43">
        <f t="shared" si="138"/>
        <v>10033.378242560988</v>
      </c>
      <c r="AP241" s="43">
        <f t="shared" si="139"/>
        <v>9583.7677263801816</v>
      </c>
      <c r="AQ241" s="43">
        <f t="shared" si="140"/>
        <v>9152.9064228617917</v>
      </c>
      <c r="AR241" s="43">
        <f t="shared" si="141"/>
        <v>8739.9391047615682</v>
      </c>
      <c r="AT241" s="43">
        <f t="shared" si="161"/>
        <v>117.20454476049834</v>
      </c>
      <c r="AU241" s="43">
        <f t="shared" si="161"/>
        <v>123.97334162950663</v>
      </c>
      <c r="AV241" s="43">
        <f t="shared" si="161"/>
        <v>133.35564412402772</v>
      </c>
      <c r="AW241" s="43">
        <f t="shared" si="161"/>
        <v>136.54124375086252</v>
      </c>
      <c r="AX241" s="43">
        <f t="shared" si="161"/>
        <v>141.16289176934171</v>
      </c>
      <c r="AZ241" s="47">
        <f t="shared" si="151"/>
        <v>964.13417939982389</v>
      </c>
      <c r="BA241" s="47">
        <f t="shared" si="152"/>
        <v>924.33065455302005</v>
      </c>
      <c r="BB241" s="47">
        <f t="shared" si="153"/>
        <v>947.14933390728129</v>
      </c>
      <c r="BC241" s="47">
        <f t="shared" si="154"/>
        <v>915.21299133800039</v>
      </c>
      <c r="BD241" s="47">
        <f t="shared" si="155"/>
        <v>886.24789585050485</v>
      </c>
    </row>
    <row r="242" spans="2:56">
      <c r="B242" s="37">
        <f>'12. Investeringen (bijschatten)'!B45</f>
        <v>26</v>
      </c>
      <c r="C242" s="48"/>
      <c r="E242" s="48"/>
      <c r="F242" s="168">
        <f>'12. Investeringen (bijschatten)'!C45</f>
        <v>629346.76893527061</v>
      </c>
      <c r="H242" s="37">
        <f>'12. Investeringen (bijschatten)'!D45</f>
        <v>2020</v>
      </c>
      <c r="I242" s="37" t="str">
        <f>'12. Investeringen (bijschatten)'!E45</f>
        <v>42 Vulgas</v>
      </c>
      <c r="J242" s="168">
        <f>_xlfn.XLOOKUP(I242,'3. Input (des)investeringen '!$B$11:$B$89,'3. Input (des)investeringen '!$D$11:$D$89)</f>
        <v>0</v>
      </c>
      <c r="K242" s="154"/>
      <c r="L242" s="154"/>
      <c r="M242" s="43">
        <f t="shared" si="130"/>
        <v>0</v>
      </c>
      <c r="N242" s="43">
        <f t="shared" si="131"/>
        <v>0</v>
      </c>
      <c r="P242" s="137">
        <f t="shared" si="132"/>
        <v>629346.76893527061</v>
      </c>
      <c r="Q242" s="137">
        <f t="shared" si="133"/>
        <v>639416.31723823491</v>
      </c>
      <c r="S242" s="43">
        <f t="shared" si="144"/>
        <v>639416.31723823491</v>
      </c>
      <c r="T242" s="38">
        <f t="shared" si="145"/>
        <v>0</v>
      </c>
      <c r="V242" s="43">
        <f t="shared" si="159"/>
        <v>0</v>
      </c>
      <c r="W242" s="43">
        <f t="shared" si="159"/>
        <v>0</v>
      </c>
      <c r="X242" s="43">
        <f t="shared" si="159"/>
        <v>0</v>
      </c>
      <c r="Y242" s="43">
        <f t="shared" si="159"/>
        <v>0</v>
      </c>
      <c r="Z242" s="43">
        <f t="shared" si="159"/>
        <v>0</v>
      </c>
      <c r="AB242" s="43">
        <f t="shared" si="160"/>
        <v>0</v>
      </c>
      <c r="AC242" s="43">
        <f t="shared" si="160"/>
        <v>0</v>
      </c>
      <c r="AD242" s="43">
        <f t="shared" si="160"/>
        <v>0</v>
      </c>
      <c r="AE242" s="43">
        <f t="shared" si="160"/>
        <v>0</v>
      </c>
      <c r="AF242" s="43">
        <f t="shared" si="160"/>
        <v>0</v>
      </c>
      <c r="AH242" s="43">
        <f t="shared" si="146"/>
        <v>0</v>
      </c>
      <c r="AI242" s="43">
        <f t="shared" si="147"/>
        <v>0</v>
      </c>
      <c r="AJ242" s="43">
        <f t="shared" si="148"/>
        <v>0</v>
      </c>
      <c r="AK242" s="43">
        <f t="shared" si="149"/>
        <v>0</v>
      </c>
      <c r="AL242" s="43">
        <f t="shared" si="150"/>
        <v>0</v>
      </c>
      <c r="AN242" s="43">
        <f t="shared" si="137"/>
        <v>639416.31723823491</v>
      </c>
      <c r="AO242" s="43">
        <f t="shared" si="138"/>
        <v>639416.31723823491</v>
      </c>
      <c r="AP242" s="43">
        <f t="shared" si="139"/>
        <v>639416.31723823491</v>
      </c>
      <c r="AQ242" s="43">
        <f t="shared" si="140"/>
        <v>639416.31723823491</v>
      </c>
      <c r="AR242" s="43">
        <f t="shared" si="141"/>
        <v>639416.31723823491</v>
      </c>
      <c r="AT242" s="43">
        <f t="shared" si="161"/>
        <v>6476.7378559702438</v>
      </c>
      <c r="AU242" s="43">
        <f t="shared" si="161"/>
        <v>6850.7824206282376</v>
      </c>
      <c r="AV242" s="43">
        <f t="shared" si="161"/>
        <v>7369.2496342213835</v>
      </c>
      <c r="AW242" s="43">
        <f t="shared" si="161"/>
        <v>7545.2862694836658</v>
      </c>
      <c r="AX242" s="43">
        <f t="shared" si="161"/>
        <v>7800.6791191331486</v>
      </c>
      <c r="AZ242" s="47">
        <f t="shared" si="151"/>
        <v>28216.892642070234</v>
      </c>
      <c r="BA242" s="47">
        <f t="shared" si="152"/>
        <v>27951.520889489992</v>
      </c>
      <c r="BB242" s="47">
        <f t="shared" si="153"/>
        <v>31667.069689274307</v>
      </c>
      <c r="BC242" s="47">
        <f t="shared" si="154"/>
        <v>31843.106324536591</v>
      </c>
      <c r="BD242" s="47">
        <f t="shared" si="155"/>
        <v>32098.499174186072</v>
      </c>
    </row>
    <row r="243" spans="2:56">
      <c r="B243" s="37">
        <f>'12. Investeringen (bijschatten)'!B46</f>
        <v>27</v>
      </c>
      <c r="C243" s="48"/>
      <c r="E243" s="48"/>
      <c r="F243" s="168">
        <f>'12. Investeringen (bijschatten)'!C46</f>
        <v>17036.436079166462</v>
      </c>
      <c r="H243" s="37">
        <f>'12. Investeringen (bijschatten)'!D46</f>
        <v>2020</v>
      </c>
      <c r="I243" s="37" t="str">
        <f>'12. Investeringen (bijschatten)'!E46</f>
        <v>44 Stikstofleiding</v>
      </c>
      <c r="J243" s="168">
        <f>_xlfn.XLOOKUP(I243,'3. Input (des)investeringen '!$B$11:$B$89,'3. Input (des)investeringen '!$D$11:$D$89)</f>
        <v>55</v>
      </c>
      <c r="K243" s="154"/>
      <c r="L243" s="154"/>
      <c r="M243" s="43">
        <f t="shared" si="130"/>
        <v>154.87669162878601</v>
      </c>
      <c r="N243" s="43">
        <f t="shared" si="131"/>
        <v>314.70943738969322</v>
      </c>
      <c r="P243" s="137">
        <f t="shared" si="132"/>
        <v>16881.559387537676</v>
      </c>
      <c r="Q243" s="137">
        <f t="shared" si="133"/>
        <v>16836.954900348584</v>
      </c>
      <c r="S243" s="43">
        <f t="shared" si="144"/>
        <v>16836.954900348584</v>
      </c>
      <c r="T243" s="38">
        <f t="shared" si="145"/>
        <v>53.5</v>
      </c>
      <c r="V243" s="43">
        <f t="shared" si="159"/>
        <v>368.21004174594106</v>
      </c>
      <c r="W243" s="43">
        <f t="shared" si="159"/>
        <v>359.26288185304901</v>
      </c>
      <c r="X243" s="43">
        <f t="shared" si="159"/>
        <v>350.5331295837226</v>
      </c>
      <c r="Y243" s="43">
        <f t="shared" si="159"/>
        <v>342.01550213589383</v>
      </c>
      <c r="Z243" s="43">
        <f t="shared" si="159"/>
        <v>333.70484507464784</v>
      </c>
      <c r="AB243" s="43">
        <f t="shared" si="160"/>
        <v>31.470943738969318</v>
      </c>
      <c r="AC243" s="43">
        <f t="shared" si="160"/>
        <v>31.470943738969318</v>
      </c>
      <c r="AD243" s="43">
        <f t="shared" si="160"/>
        <v>31.470943738969318</v>
      </c>
      <c r="AE243" s="43">
        <f t="shared" si="160"/>
        <v>31.470943738969318</v>
      </c>
      <c r="AF243" s="43">
        <f t="shared" si="160"/>
        <v>31.470943738969318</v>
      </c>
      <c r="AH243" s="43">
        <f t="shared" si="146"/>
        <v>399.68098548491037</v>
      </c>
      <c r="AI243" s="43">
        <f t="shared" si="147"/>
        <v>390.73382559201832</v>
      </c>
      <c r="AJ243" s="43">
        <f t="shared" si="148"/>
        <v>382.00407332269191</v>
      </c>
      <c r="AK243" s="43">
        <f t="shared" si="149"/>
        <v>373.48644587486314</v>
      </c>
      <c r="AL243" s="43">
        <f t="shared" si="150"/>
        <v>365.17578881361715</v>
      </c>
      <c r="AN243" s="43">
        <f t="shared" si="137"/>
        <v>16437.273914863676</v>
      </c>
      <c r="AO243" s="43">
        <f t="shared" si="138"/>
        <v>16046.540089271657</v>
      </c>
      <c r="AP243" s="43">
        <f t="shared" si="139"/>
        <v>15664.536015948965</v>
      </c>
      <c r="AQ243" s="43">
        <f t="shared" si="140"/>
        <v>15291.049570074101</v>
      </c>
      <c r="AR243" s="43">
        <f t="shared" si="141"/>
        <v>14925.873781260485</v>
      </c>
      <c r="AT243" s="43">
        <f t="shared" si="161"/>
        <v>175.32548974777274</v>
      </c>
      <c r="AU243" s="43">
        <f t="shared" si="161"/>
        <v>185.45088743168614</v>
      </c>
      <c r="AV243" s="43">
        <f t="shared" si="161"/>
        <v>199.4858105925162</v>
      </c>
      <c r="AW243" s="43">
        <f t="shared" si="161"/>
        <v>204.25112763595021</v>
      </c>
      <c r="AX243" s="43">
        <f t="shared" si="161"/>
        <v>211.16461980417185</v>
      </c>
      <c r="AZ243" s="47">
        <f t="shared" si="151"/>
        <v>1133.8737883380481</v>
      </c>
      <c r="BA243" s="47">
        <f t="shared" si="152"/>
        <v>1105.7205359696691</v>
      </c>
      <c r="BB243" s="47">
        <f t="shared" si="153"/>
        <v>1176.7422525212687</v>
      </c>
      <c r="BC243" s="47">
        <f t="shared" si="154"/>
        <v>1158.7974571736293</v>
      </c>
      <c r="BD243" s="47">
        <f t="shared" si="155"/>
        <v>1143.5236123056875</v>
      </c>
    </row>
    <row r="244" spans="2:56">
      <c r="B244" s="37">
        <f>'12. Investeringen (bijschatten)'!B47</f>
        <v>28</v>
      </c>
      <c r="C244" s="48"/>
      <c r="E244" s="48"/>
      <c r="F244" s="168">
        <f>'12. Investeringen (bijschatten)'!C47</f>
        <v>25706134.090591587</v>
      </c>
      <c r="H244" s="37">
        <f>'12. Investeringen (bijschatten)'!D47</f>
        <v>2021</v>
      </c>
      <c r="I244" s="37" t="str">
        <f>'12. Investeringen (bijschatten)'!E47</f>
        <v>01 Regionale leidingen</v>
      </c>
      <c r="J244" s="168">
        <f>_xlfn.XLOOKUP(I244,'3. Input (des)investeringen '!$B$11:$B$89,'3. Input (des)investeringen '!$D$11:$D$89)</f>
        <v>55</v>
      </c>
      <c r="K244" s="154"/>
      <c r="L244" s="154"/>
      <c r="M244" s="43">
        <f t="shared" si="130"/>
        <v>0</v>
      </c>
      <c r="N244" s="43">
        <f t="shared" si="131"/>
        <v>233692.12809628717</v>
      </c>
      <c r="P244" s="137">
        <f t="shared" si="132"/>
        <v>0</v>
      </c>
      <c r="Q244" s="137">
        <f t="shared" si="133"/>
        <v>25472441.962495301</v>
      </c>
      <c r="S244" s="43">
        <f t="shared" si="144"/>
        <v>25472441.962495301</v>
      </c>
      <c r="T244" s="38">
        <f t="shared" si="145"/>
        <v>54.5</v>
      </c>
      <c r="V244" s="43">
        <f t="shared" si="159"/>
        <v>546839.57974531199</v>
      </c>
      <c r="W244" s="43">
        <f t="shared" si="159"/>
        <v>533795.69986147888</v>
      </c>
      <c r="X244" s="43">
        <f t="shared" si="159"/>
        <v>521062.95839689317</v>
      </c>
      <c r="Y244" s="43">
        <f t="shared" si="159"/>
        <v>508633.93370118749</v>
      </c>
      <c r="Z244" s="43">
        <f t="shared" si="159"/>
        <v>496501.38115418667</v>
      </c>
      <c r="AB244" s="43">
        <f t="shared" si="160"/>
        <v>46738.425619257439</v>
      </c>
      <c r="AC244" s="43">
        <f t="shared" si="160"/>
        <v>46738.425619257432</v>
      </c>
      <c r="AD244" s="43">
        <f t="shared" si="160"/>
        <v>46738.425619257432</v>
      </c>
      <c r="AE244" s="43">
        <f t="shared" si="160"/>
        <v>46738.425619257432</v>
      </c>
      <c r="AF244" s="43">
        <f t="shared" si="160"/>
        <v>46738.425619257432</v>
      </c>
      <c r="AH244" s="43">
        <f t="shared" si="146"/>
        <v>593578.00536456937</v>
      </c>
      <c r="AI244" s="43">
        <f t="shared" si="147"/>
        <v>580534.12548073626</v>
      </c>
      <c r="AJ244" s="43">
        <f t="shared" si="148"/>
        <v>567801.38401615061</v>
      </c>
      <c r="AK244" s="43">
        <f t="shared" si="149"/>
        <v>555372.35932044487</v>
      </c>
      <c r="AL244" s="43">
        <f t="shared" si="150"/>
        <v>543239.80677344406</v>
      </c>
      <c r="AN244" s="43">
        <f t="shared" si="137"/>
        <v>24878863.95713073</v>
      </c>
      <c r="AO244" s="43">
        <f t="shared" si="138"/>
        <v>24298329.831649993</v>
      </c>
      <c r="AP244" s="43">
        <f t="shared" si="139"/>
        <v>23730528.44763384</v>
      </c>
      <c r="AQ244" s="43">
        <f t="shared" si="140"/>
        <v>23175156.088313397</v>
      </c>
      <c r="AR244" s="43">
        <f t="shared" si="141"/>
        <v>22631916.281539954</v>
      </c>
      <c r="AT244" s="43">
        <f t="shared" si="161"/>
        <v>260641.69126205347</v>
      </c>
      <c r="AU244" s="43">
        <f t="shared" si="161"/>
        <v>275694.27021581959</v>
      </c>
      <c r="AV244" s="43">
        <f t="shared" si="161"/>
        <v>296558.81258575281</v>
      </c>
      <c r="AW244" s="43">
        <f t="shared" si="161"/>
        <v>303643.00950080133</v>
      </c>
      <c r="AX244" s="43">
        <f t="shared" si="161"/>
        <v>313920.71808638441</v>
      </c>
      <c r="AZ244" s="47">
        <f t="shared" si="151"/>
        <v>1700101.0711690679</v>
      </c>
      <c r="BA244" s="47">
        <f t="shared" si="152"/>
        <v>1658073.2801410058</v>
      </c>
      <c r="BB244" s="47">
        <f t="shared" si="153"/>
        <v>1766120.2776119895</v>
      </c>
      <c r="BC244" s="47">
        <f t="shared" si="154"/>
        <v>1739671.3001771553</v>
      </c>
      <c r="BD244" s="47">
        <f t="shared" si="155"/>
        <v>1717173.3435583466</v>
      </c>
    </row>
    <row r="245" spans="2:56">
      <c r="B245" s="37">
        <f>'12. Investeringen (bijschatten)'!B48</f>
        <v>29</v>
      </c>
      <c r="C245" s="48"/>
      <c r="E245" s="48"/>
      <c r="F245" s="168">
        <f>'12. Investeringen (bijschatten)'!C48</f>
        <v>4851611.3998010792</v>
      </c>
      <c r="H245" s="37">
        <f>'12. Investeringen (bijschatten)'!D48</f>
        <v>2021</v>
      </c>
      <c r="I245" s="37" t="str">
        <f>'12. Investeringen (bijschatten)'!E48</f>
        <v>02 Gasontvangststations</v>
      </c>
      <c r="J245" s="168">
        <f>_xlfn.XLOOKUP(I245,'3. Input (des)investeringen '!$B$11:$B$89,'3. Input (des)investeringen '!$D$11:$D$89)</f>
        <v>30</v>
      </c>
      <c r="K245" s="154"/>
      <c r="L245" s="154"/>
      <c r="M245" s="43">
        <f t="shared" si="130"/>
        <v>0</v>
      </c>
      <c r="N245" s="43">
        <f t="shared" si="131"/>
        <v>80860.189996684654</v>
      </c>
      <c r="P245" s="137">
        <f t="shared" si="132"/>
        <v>0</v>
      </c>
      <c r="Q245" s="137">
        <f t="shared" si="133"/>
        <v>4770751.2098043943</v>
      </c>
      <c r="S245" s="43">
        <f t="shared" si="144"/>
        <v>4770751.2098043943</v>
      </c>
      <c r="T245" s="38">
        <f t="shared" si="145"/>
        <v>29.5</v>
      </c>
      <c r="V245" s="43">
        <f t="shared" si="159"/>
        <v>189212.84459224207</v>
      </c>
      <c r="W245" s="43">
        <f t="shared" si="159"/>
        <v>180874.65144071952</v>
      </c>
      <c r="X245" s="43">
        <f t="shared" si="159"/>
        <v>172903.90408909461</v>
      </c>
      <c r="Y245" s="43">
        <f t="shared" si="159"/>
        <v>165284.41001059214</v>
      </c>
      <c r="Z245" s="43">
        <f t="shared" si="159"/>
        <v>158000.6902474135</v>
      </c>
      <c r="AB245" s="43">
        <f t="shared" si="160"/>
        <v>16172.037999336932</v>
      </c>
      <c r="AC245" s="43">
        <f t="shared" si="160"/>
        <v>16172.03799933693</v>
      </c>
      <c r="AD245" s="43">
        <f t="shared" si="160"/>
        <v>16172.03799933693</v>
      </c>
      <c r="AE245" s="43">
        <f t="shared" si="160"/>
        <v>16172.03799933693</v>
      </c>
      <c r="AF245" s="43">
        <f t="shared" si="160"/>
        <v>16172.03799933693</v>
      </c>
      <c r="AH245" s="43">
        <f t="shared" si="146"/>
        <v>205384.88259157899</v>
      </c>
      <c r="AI245" s="43">
        <f t="shared" si="147"/>
        <v>197046.68944005645</v>
      </c>
      <c r="AJ245" s="43">
        <f t="shared" si="148"/>
        <v>189075.94208843153</v>
      </c>
      <c r="AK245" s="43">
        <f t="shared" si="149"/>
        <v>181456.44800992907</v>
      </c>
      <c r="AL245" s="43">
        <f t="shared" si="150"/>
        <v>174172.72824675043</v>
      </c>
      <c r="AN245" s="43">
        <f t="shared" si="137"/>
        <v>4565366.3272128152</v>
      </c>
      <c r="AO245" s="43">
        <f t="shared" si="138"/>
        <v>4368319.6377727585</v>
      </c>
      <c r="AP245" s="43">
        <f t="shared" si="139"/>
        <v>4179243.6956843268</v>
      </c>
      <c r="AQ245" s="43">
        <f t="shared" si="140"/>
        <v>3997787.2476743977</v>
      </c>
      <c r="AR245" s="43">
        <f t="shared" si="141"/>
        <v>3823614.5194276473</v>
      </c>
      <c r="AT245" s="43">
        <f t="shared" si="161"/>
        <v>49191.846433775092</v>
      </c>
      <c r="AU245" s="43">
        <f t="shared" si="161"/>
        <v>52032.773949018469</v>
      </c>
      <c r="AV245" s="43">
        <f t="shared" si="161"/>
        <v>55970.614281480186</v>
      </c>
      <c r="AW245" s="43">
        <f t="shared" si="161"/>
        <v>57307.640315436183</v>
      </c>
      <c r="AX245" s="43">
        <f t="shared" si="161"/>
        <v>59247.389324833064</v>
      </c>
      <c r="AZ245" s="47">
        <f t="shared" si="151"/>
        <v>409799.1841505898</v>
      </c>
      <c r="BA245" s="47">
        <f t="shared" si="152"/>
        <v>393234.0114355759</v>
      </c>
      <c r="BB245" s="47">
        <f t="shared" si="153"/>
        <v>403857.81680591614</v>
      </c>
      <c r="BC245" s="47">
        <f t="shared" si="154"/>
        <v>390680.00373699237</v>
      </c>
      <c r="BD245" s="47">
        <f t="shared" si="155"/>
        <v>378717.46930983406</v>
      </c>
    </row>
    <row r="246" spans="2:56">
      <c r="B246" s="37">
        <f>'12. Investeringen (bijschatten)'!B49</f>
        <v>30</v>
      </c>
      <c r="C246" s="48"/>
      <c r="E246" s="48"/>
      <c r="F246" s="168">
        <f>'12. Investeringen (bijschatten)'!C49</f>
        <v>1383899.1314390239</v>
      </c>
      <c r="H246" s="37">
        <f>'12. Investeringen (bijschatten)'!D49</f>
        <v>2021</v>
      </c>
      <c r="I246" s="37" t="str">
        <f>'12. Investeringen (bijschatten)'!E49</f>
        <v>02 Gasontvangststations (EHD)</v>
      </c>
      <c r="J246" s="168">
        <f>_xlfn.XLOOKUP(I246,'3. Input (des)investeringen '!$B$11:$B$89,'3. Input (des)investeringen '!$D$11:$D$89)</f>
        <v>30</v>
      </c>
      <c r="K246" s="154"/>
      <c r="L246" s="154"/>
      <c r="M246" s="43">
        <f t="shared" si="130"/>
        <v>0</v>
      </c>
      <c r="N246" s="43">
        <f t="shared" si="131"/>
        <v>23064.985523983731</v>
      </c>
      <c r="P246" s="137">
        <f t="shared" si="132"/>
        <v>0</v>
      </c>
      <c r="Q246" s="137">
        <f t="shared" si="133"/>
        <v>1360834.14591504</v>
      </c>
      <c r="S246" s="43">
        <f t="shared" si="144"/>
        <v>1360834.14591504</v>
      </c>
      <c r="T246" s="38">
        <f t="shared" si="145"/>
        <v>29.5</v>
      </c>
      <c r="V246" s="43">
        <f t="shared" si="159"/>
        <v>53972.066126121928</v>
      </c>
      <c r="W246" s="43">
        <f t="shared" si="159"/>
        <v>51593.63609344537</v>
      </c>
      <c r="X246" s="43">
        <f t="shared" si="159"/>
        <v>49320.01823170032</v>
      </c>
      <c r="Y246" s="43">
        <f t="shared" si="159"/>
        <v>47146.593699455894</v>
      </c>
      <c r="Z246" s="43">
        <f t="shared" si="159"/>
        <v>45068.947197445974</v>
      </c>
      <c r="AB246" s="43">
        <f t="shared" si="160"/>
        <v>4612.9971047967456</v>
      </c>
      <c r="AC246" s="43">
        <f t="shared" si="160"/>
        <v>4612.9971047967456</v>
      </c>
      <c r="AD246" s="43">
        <f t="shared" si="160"/>
        <v>4612.9971047967456</v>
      </c>
      <c r="AE246" s="43">
        <f t="shared" si="160"/>
        <v>4612.9971047967456</v>
      </c>
      <c r="AF246" s="43">
        <f t="shared" si="160"/>
        <v>4612.9971047967456</v>
      </c>
      <c r="AH246" s="43">
        <f t="shared" si="146"/>
        <v>58585.063230918677</v>
      </c>
      <c r="AI246" s="43">
        <f t="shared" si="147"/>
        <v>56206.633198242118</v>
      </c>
      <c r="AJ246" s="43">
        <f t="shared" si="148"/>
        <v>53933.015336497068</v>
      </c>
      <c r="AK246" s="43">
        <f t="shared" si="149"/>
        <v>51759.590804252643</v>
      </c>
      <c r="AL246" s="43">
        <f t="shared" si="150"/>
        <v>49681.944302242722</v>
      </c>
      <c r="AN246" s="43">
        <f t="shared" si="137"/>
        <v>1302249.0826841213</v>
      </c>
      <c r="AO246" s="43">
        <f t="shared" si="138"/>
        <v>1246042.4494858792</v>
      </c>
      <c r="AP246" s="43">
        <f t="shared" si="139"/>
        <v>1192109.4341493822</v>
      </c>
      <c r="AQ246" s="43">
        <f t="shared" si="140"/>
        <v>1140349.8433451296</v>
      </c>
      <c r="AR246" s="43">
        <f t="shared" si="141"/>
        <v>1090667.8990428869</v>
      </c>
      <c r="AT246" s="43">
        <f t="shared" si="161"/>
        <v>14031.740785417069</v>
      </c>
      <c r="AU246" s="43">
        <f t="shared" si="161"/>
        <v>14842.10187925647</v>
      </c>
      <c r="AV246" s="43">
        <f t="shared" si="161"/>
        <v>15965.352149478602</v>
      </c>
      <c r="AW246" s="43">
        <f t="shared" si="161"/>
        <v>16346.732481625348</v>
      </c>
      <c r="AX246" s="43">
        <f t="shared" si="161"/>
        <v>16900.036682663402</v>
      </c>
      <c r="AZ246" s="47">
        <f t="shared" si="151"/>
        <v>116893.27282759588</v>
      </c>
      <c r="BA246" s="47">
        <f t="shared" si="152"/>
        <v>112168.1359105326</v>
      </c>
      <c r="BB246" s="47">
        <f t="shared" si="153"/>
        <v>115198.52598365219</v>
      </c>
      <c r="BC246" s="47">
        <f t="shared" si="154"/>
        <v>111439.61733299292</v>
      </c>
      <c r="BD246" s="47">
        <f t="shared" si="155"/>
        <v>108027.36114853583</v>
      </c>
    </row>
    <row r="247" spans="2:56">
      <c r="B247" s="37">
        <f>'12. Investeringen (bijschatten)'!B50</f>
        <v>31</v>
      </c>
      <c r="C247" s="48"/>
      <c r="E247" s="48"/>
      <c r="F247" s="168">
        <f>'12. Investeringen (bijschatten)'!C50</f>
        <v>36.126161654819548</v>
      </c>
      <c r="H247" s="37">
        <f>'12. Investeringen (bijschatten)'!D50</f>
        <v>2021</v>
      </c>
      <c r="I247" s="37" t="str">
        <f>'12. Investeringen (bijschatten)'!E50</f>
        <v>04 Terreinen (EHD)</v>
      </c>
      <c r="J247" s="168">
        <f>_xlfn.XLOOKUP(I247,'3. Input (des)investeringen '!$B$11:$B$89,'3. Input (des)investeringen '!$D$11:$D$89)</f>
        <v>0</v>
      </c>
      <c r="K247" s="154"/>
      <c r="L247" s="154"/>
      <c r="M247" s="43">
        <f t="shared" si="130"/>
        <v>0</v>
      </c>
      <c r="N247" s="43">
        <f t="shared" si="131"/>
        <v>0</v>
      </c>
      <c r="P247" s="137">
        <f t="shared" si="132"/>
        <v>0</v>
      </c>
      <c r="Q247" s="137">
        <f t="shared" si="133"/>
        <v>36.126161654819548</v>
      </c>
      <c r="S247" s="43">
        <f t="shared" si="144"/>
        <v>36.126161654819548</v>
      </c>
      <c r="T247" s="38">
        <f t="shared" si="145"/>
        <v>0</v>
      </c>
      <c r="V247" s="43">
        <f t="shared" ref="V247:Z256" si="162">IF($J247=0, 0, IF(OR($H247&gt;V$59,$H247+$J247&lt;V$59),0,
IF(OR($H247=2020,$H247=2021),VDB(ABS($S247)*(1-$F$28),0,$T247,V$59-2022,MIN($T247,V$59-2021),$F$22),
VDB(ABS($S247)*(1-$F$28),0,$T247,MAX(0,V$59-$H247-0.5),MIN($T247,V$59-$H247+0.5),$F$22,FALSE))))*IF($F247&lt;0,-1,1)</f>
        <v>0</v>
      </c>
      <c r="W247" s="43">
        <f t="shared" si="162"/>
        <v>0</v>
      </c>
      <c r="X247" s="43">
        <f t="shared" si="162"/>
        <v>0</v>
      </c>
      <c r="Y247" s="43">
        <f t="shared" si="162"/>
        <v>0</v>
      </c>
      <c r="Z247" s="43">
        <f t="shared" si="162"/>
        <v>0</v>
      </c>
      <c r="AB247" s="43">
        <f t="shared" ref="AB247:AF256" si="163">IF($J247 = 0, 0, IF(OR($H247&gt;AB$59,$H247+$J247&lt;AB$59),0,
IF(OR($H247=2020,$H247=2021),VDB(ABS($S247)*$F$28,0,$T247,AB$59-2022,MIN($T247,AB$59-2021),1),
VDB(ABS($S247)*$F$28,0,$T247,MAX(0,AB$59-$H247-0.5),MIN($T247,AB$59-$H247+0.5),1))))*IF($F247&lt;0,-1,1)</f>
        <v>0</v>
      </c>
      <c r="AC247" s="43">
        <f t="shared" si="163"/>
        <v>0</v>
      </c>
      <c r="AD247" s="43">
        <f t="shared" si="163"/>
        <v>0</v>
      </c>
      <c r="AE247" s="43">
        <f t="shared" si="163"/>
        <v>0</v>
      </c>
      <c r="AF247" s="43">
        <f t="shared" si="163"/>
        <v>0</v>
      </c>
      <c r="AH247" s="43">
        <f t="shared" si="146"/>
        <v>0</v>
      </c>
      <c r="AI247" s="43">
        <f t="shared" si="147"/>
        <v>0</v>
      </c>
      <c r="AJ247" s="43">
        <f t="shared" si="148"/>
        <v>0</v>
      </c>
      <c r="AK247" s="43">
        <f t="shared" si="149"/>
        <v>0</v>
      </c>
      <c r="AL247" s="43">
        <f t="shared" si="150"/>
        <v>0</v>
      </c>
      <c r="AN247" s="43">
        <f t="shared" si="137"/>
        <v>36.126161654819548</v>
      </c>
      <c r="AO247" s="43">
        <f t="shared" si="138"/>
        <v>36.126161654819548</v>
      </c>
      <c r="AP247" s="43">
        <f t="shared" si="139"/>
        <v>36.126161654819548</v>
      </c>
      <c r="AQ247" s="43">
        <f t="shared" si="140"/>
        <v>36.126161654819548</v>
      </c>
      <c r="AR247" s="43">
        <f t="shared" si="141"/>
        <v>36.126161654819548</v>
      </c>
      <c r="AT247" s="43">
        <f t="shared" ref="AT247:AX256" si="164">IF($H247&lt;=AT$215,$F247*INDEX($H$40:$N$46,$H247-2019,AT$215-2019)*INDEX($H$49:$N$55,$H247-2019,AT$215-2019)*$F$19,0)</f>
        <v>0.36629326834347881</v>
      </c>
      <c r="AU247" s="43">
        <f t="shared" si="164"/>
        <v>0.38744743717685132</v>
      </c>
      <c r="AV247" s="43">
        <f t="shared" si="164"/>
        <v>0.4167694592223955</v>
      </c>
      <c r="AW247" s="43">
        <f t="shared" si="164"/>
        <v>0.42672524806430007</v>
      </c>
      <c r="AX247" s="43">
        <f t="shared" si="164"/>
        <v>0.44116904426078046</v>
      </c>
      <c r="AZ247" s="47">
        <f t="shared" si="151"/>
        <v>1.5945827646073434</v>
      </c>
      <c r="BA247" s="47">
        <f t="shared" si="152"/>
        <v>1.5796107717858965</v>
      </c>
      <c r="BB247" s="47">
        <f t="shared" si="153"/>
        <v>1.7895636021055381</v>
      </c>
      <c r="BC247" s="47">
        <f t="shared" si="154"/>
        <v>1.7995193909474427</v>
      </c>
      <c r="BD247" s="47">
        <f t="shared" si="155"/>
        <v>1.8139631871439232</v>
      </c>
    </row>
    <row r="248" spans="2:56">
      <c r="B248" s="37">
        <f>'12. Investeringen (bijschatten)'!B51</f>
        <v>32</v>
      </c>
      <c r="C248" s="48"/>
      <c r="E248" s="48"/>
      <c r="F248" s="168">
        <f>'12. Investeringen (bijschatten)'!C51</f>
        <v>1248204.1157067127</v>
      </c>
      <c r="H248" s="37">
        <f>'12. Investeringen (bijschatten)'!D51</f>
        <v>2021</v>
      </c>
      <c r="I248" s="37" t="str">
        <f>'12. Investeringen (bijschatten)'!E51</f>
        <v>05 Wegen en terreinvoorzieningen</v>
      </c>
      <c r="J248" s="168">
        <f>_xlfn.XLOOKUP(I248,'3. Input (des)investeringen '!$B$11:$B$89,'3. Input (des)investeringen '!$D$11:$D$89)</f>
        <v>10</v>
      </c>
      <c r="K248" s="154"/>
      <c r="L248" s="154"/>
      <c r="M248" s="43">
        <f t="shared" si="130"/>
        <v>0</v>
      </c>
      <c r="N248" s="43">
        <f t="shared" si="131"/>
        <v>62410.205785335638</v>
      </c>
      <c r="P248" s="137">
        <f t="shared" si="132"/>
        <v>0</v>
      </c>
      <c r="Q248" s="137">
        <f t="shared" si="133"/>
        <v>1185793.909921377</v>
      </c>
      <c r="S248" s="43">
        <f t="shared" si="144"/>
        <v>1185793.909921377</v>
      </c>
      <c r="T248" s="38">
        <f t="shared" si="145"/>
        <v>9.5</v>
      </c>
      <c r="V248" s="43">
        <f t="shared" si="162"/>
        <v>146039.8815376854</v>
      </c>
      <c r="W248" s="43">
        <f t="shared" si="162"/>
        <v>126055.47669568635</v>
      </c>
      <c r="X248" s="43">
        <f t="shared" si="162"/>
        <v>108805.77988469768</v>
      </c>
      <c r="Y248" s="43">
        <f t="shared" si="162"/>
        <v>105586.67397094922</v>
      </c>
      <c r="Z248" s="43">
        <f t="shared" si="162"/>
        <v>105586.67397094922</v>
      </c>
      <c r="AB248" s="43">
        <f t="shared" si="163"/>
        <v>12482.041157067128</v>
      </c>
      <c r="AC248" s="43">
        <f t="shared" si="163"/>
        <v>12482.041157067128</v>
      </c>
      <c r="AD248" s="43">
        <f t="shared" si="163"/>
        <v>12482.041157067128</v>
      </c>
      <c r="AE248" s="43">
        <f t="shared" si="163"/>
        <v>12482.041157067128</v>
      </c>
      <c r="AF248" s="43">
        <f t="shared" si="163"/>
        <v>12482.041157067128</v>
      </c>
      <c r="AH248" s="43">
        <f t="shared" si="146"/>
        <v>158521.92269475252</v>
      </c>
      <c r="AI248" s="43">
        <f t="shared" si="147"/>
        <v>138537.51785275346</v>
      </c>
      <c r="AJ248" s="43">
        <f t="shared" si="148"/>
        <v>121287.82104176481</v>
      </c>
      <c r="AK248" s="43">
        <f t="shared" si="149"/>
        <v>118068.71512801635</v>
      </c>
      <c r="AL248" s="43">
        <f t="shared" si="150"/>
        <v>118068.71512801635</v>
      </c>
      <c r="AN248" s="43">
        <f t="shared" si="137"/>
        <v>1027271.9872266245</v>
      </c>
      <c r="AO248" s="43">
        <f t="shared" si="138"/>
        <v>888734.46937387111</v>
      </c>
      <c r="AP248" s="43">
        <f t="shared" si="139"/>
        <v>767446.6483321063</v>
      </c>
      <c r="AQ248" s="43">
        <f t="shared" si="140"/>
        <v>649377.93320408999</v>
      </c>
      <c r="AR248" s="43">
        <f t="shared" si="141"/>
        <v>531309.21807607368</v>
      </c>
      <c r="AT248" s="43">
        <f t="shared" si="164"/>
        <v>12655.891026302757</v>
      </c>
      <c r="AU248" s="43">
        <f t="shared" si="164"/>
        <v>13386.794044853796</v>
      </c>
      <c r="AV248" s="43">
        <f t="shared" si="164"/>
        <v>14399.90661816833</v>
      </c>
      <c r="AW248" s="43">
        <f t="shared" si="164"/>
        <v>14743.891587463135</v>
      </c>
      <c r="AX248" s="43">
        <f t="shared" si="164"/>
        <v>15242.942829915586</v>
      </c>
      <c r="AZ248" s="47">
        <f t="shared" si="151"/>
        <v>206105.06128676052</v>
      </c>
      <c r="BA248" s="47">
        <f t="shared" si="152"/>
        <v>181252.549386945</v>
      </c>
      <c r="BB248" s="47">
        <f t="shared" si="153"/>
        <v>164850.7002965532</v>
      </c>
      <c r="BC248" s="47">
        <f t="shared" si="154"/>
        <v>157488.96817723493</v>
      </c>
      <c r="BD248" s="47">
        <f t="shared" si="155"/>
        <v>153501.40824482273</v>
      </c>
    </row>
    <row r="249" spans="2:56">
      <c r="B249" s="37">
        <f>'12. Investeringen (bijschatten)'!B52</f>
        <v>33</v>
      </c>
      <c r="C249" s="48"/>
      <c r="E249" s="48"/>
      <c r="F249" s="168">
        <f>'12. Investeringen (bijschatten)'!C52</f>
        <v>23454.576356302689</v>
      </c>
      <c r="H249" s="37">
        <f>'12. Investeringen (bijschatten)'!D52</f>
        <v>2021</v>
      </c>
      <c r="I249" s="37" t="str">
        <f>'12. Investeringen (bijschatten)'!E52</f>
        <v>05 Wegen en terreinvoorzieningen (EHD)</v>
      </c>
      <c r="J249" s="168">
        <f>_xlfn.XLOOKUP(I249,'3. Input (des)investeringen '!$B$11:$B$89,'3. Input (des)investeringen '!$D$11:$D$89)</f>
        <v>10</v>
      </c>
      <c r="K249" s="154"/>
      <c r="L249" s="154"/>
      <c r="M249" s="43">
        <f t="shared" ref="M249:M280" si="165">IF($J249 = 0, 0, IF($H249&lt;=M$215,
VDB(ABS($F249),0,$J249,MAX(0,M$59-$H249-0.5),MIN($J249,M$59-$H249+0.5),1)*IF($F249&lt;0,-1,1)*INDEX(H$40:H$46,$H249-2019,1),
0))</f>
        <v>0</v>
      </c>
      <c r="N249" s="43">
        <f t="shared" ref="N249:N280" si="166">IF($J249 = 0, 0, IF($H249&lt;=N$215,
VDB(ABS($F249),0,$J249,MAX(0,N$59-$H249-0.5),MIN($J249,N$59-$H249+0.5),1)*IF($F249&lt;0,-1,1)*INDEX(I$40:I$46,$H249-2019,1),
0))</f>
        <v>1172.7288178151346</v>
      </c>
      <c r="P249" s="137">
        <f t="shared" ref="P249:P280" si="167">IF($J249=0, IF($H249 = M$215, $F249, 0), IF(OR($H249&gt;P$59,$H249+$J249&lt;=P$59),0,
F249-M249))</f>
        <v>0</v>
      </c>
      <c r="Q249" s="137">
        <f t="shared" ref="Q249:Q280" si="168">IF($J249=0, IF($H249 &gt; N$215, 0, IF($H249=N$215, $F249, $P249*I$40)), IF(OR($H249&gt;Q$59,$H249+$J249&lt;=Q$59),0,
IF($H249=Q$59,F249-N249,P249*I$40-N249)))</f>
        <v>22281.847538487553</v>
      </c>
      <c r="S249" s="43">
        <f t="shared" si="144"/>
        <v>22281.847538487553</v>
      </c>
      <c r="T249" s="38">
        <f t="shared" si="145"/>
        <v>9.5</v>
      </c>
      <c r="V249" s="43">
        <f t="shared" si="162"/>
        <v>2744.1854336874144</v>
      </c>
      <c r="W249" s="43">
        <f t="shared" si="162"/>
        <v>2368.6653217091371</v>
      </c>
      <c r="X249" s="43">
        <f t="shared" si="162"/>
        <v>2044.5321724226233</v>
      </c>
      <c r="Y249" s="43">
        <f t="shared" si="162"/>
        <v>1984.0430548953266</v>
      </c>
      <c r="Z249" s="43">
        <f t="shared" si="162"/>
        <v>1984.0430548953266</v>
      </c>
      <c r="AB249" s="43">
        <f t="shared" si="163"/>
        <v>234.5457635630269</v>
      </c>
      <c r="AC249" s="43">
        <f t="shared" si="163"/>
        <v>234.5457635630269</v>
      </c>
      <c r="AD249" s="43">
        <f t="shared" si="163"/>
        <v>234.5457635630269</v>
      </c>
      <c r="AE249" s="43">
        <f t="shared" si="163"/>
        <v>234.5457635630269</v>
      </c>
      <c r="AF249" s="43">
        <f t="shared" si="163"/>
        <v>234.5457635630269</v>
      </c>
      <c r="AH249" s="43">
        <f t="shared" si="146"/>
        <v>2978.7311972504413</v>
      </c>
      <c r="AI249" s="43">
        <f t="shared" si="147"/>
        <v>2603.2110852721639</v>
      </c>
      <c r="AJ249" s="43">
        <f t="shared" si="148"/>
        <v>2279.0779359856501</v>
      </c>
      <c r="AK249" s="43">
        <f t="shared" si="149"/>
        <v>2218.5888184583537</v>
      </c>
      <c r="AL249" s="43">
        <f t="shared" si="150"/>
        <v>2218.5888184583537</v>
      </c>
      <c r="AN249" s="43">
        <f t="shared" ref="AN249:AN280" si="169">IF($J249=0,IF($H249 &gt; AN$215, 0,$S249),IF(OR($H249&gt;AN$59,$H249+$J249&lt;=AN$59),0,
IF($H249=AN$59,$S249-AH249,
S249-AH249)))</f>
        <v>19303.11634123711</v>
      </c>
      <c r="AO249" s="43">
        <f t="shared" ref="AO249:AO280" si="170">IF($J249 = 0, IF($H249 &gt; AO$215, 0, IF($H249=AO$215, $F249, AN249)), IF(OR($H249&gt;AO$59,$H249+$J249&lt;=AO$59),0,
IF($H249=AO$59,$S249-AI249,
AN249-AI249)))</f>
        <v>16699.905255964946</v>
      </c>
      <c r="AP249" s="43">
        <f t="shared" ref="AP249:AP280" si="171">IF($J249 = 0, IF($H249 &gt; AP$215, 0, IF($H249=AP$215, $F249, AO249)), IF(OR($H249&gt;AP$59,$H249+$J249&lt;=AP$59),0,
IF($H249=AP$59,$S249-AJ249,
AO249-AJ249)))</f>
        <v>14420.827319979297</v>
      </c>
      <c r="AQ249" s="43">
        <f t="shared" ref="AQ249:AQ280" si="172">IF($J249 = 0, IF($H249 &gt; AQ$215, 0, IF($H249=AQ$215, $F249, AP249)), IF(OR($H249&gt;AQ$59,$H249+$J249&lt;=AQ$59),0,
IF($H249=AQ$59,$S249-AK249,
AP249-AK249)))</f>
        <v>12202.238501520944</v>
      </c>
      <c r="AR249" s="43">
        <f t="shared" ref="AR249:AR280" si="173">IF($J249 = 0, IF($H249 &gt; AR$215, 0, IF($H249=AR$215, $F249, AQ249)), IF(OR($H249&gt;AR$59,$H249+$J249&lt;=AR$59),0,
IF($H249=AR$59,$S249-AL249,
AQ249-AL249)))</f>
        <v>9983.6496830625911</v>
      </c>
      <c r="AT249" s="43">
        <f t="shared" si="164"/>
        <v>237.81251695793273</v>
      </c>
      <c r="AU249" s="43">
        <f t="shared" si="164"/>
        <v>251.54666543728726</v>
      </c>
      <c r="AV249" s="43">
        <f t="shared" si="164"/>
        <v>270.58371707758118</v>
      </c>
      <c r="AW249" s="43">
        <f t="shared" si="164"/>
        <v>277.04742091113042</v>
      </c>
      <c r="AX249" s="43">
        <f t="shared" si="164"/>
        <v>286.42492201413035</v>
      </c>
      <c r="AZ249" s="47">
        <f t="shared" si="151"/>
        <v>3872.8496698104354</v>
      </c>
      <c r="BA249" s="47">
        <f t="shared" si="152"/>
        <v>3405.8546241562944</v>
      </c>
      <c r="BB249" s="47">
        <f t="shared" si="153"/>
        <v>3097.6530912224443</v>
      </c>
      <c r="BC249" s="47">
        <f t="shared" si="154"/>
        <v>2959.32130242728</v>
      </c>
      <c r="BD249" s="47">
        <f t="shared" si="155"/>
        <v>2884.3924284288628</v>
      </c>
    </row>
    <row r="250" spans="2:56">
      <c r="B250" s="37">
        <f>'12. Investeringen (bijschatten)'!B53</f>
        <v>34</v>
      </c>
      <c r="C250" s="48"/>
      <c r="E250" s="48"/>
      <c r="F250" s="168">
        <f>'12. Investeringen (bijschatten)'!C53</f>
        <v>1097396.6149389972</v>
      </c>
      <c r="H250" s="37">
        <f>'12. Investeringen (bijschatten)'!D53</f>
        <v>2021</v>
      </c>
      <c r="I250" s="37" t="str">
        <f>'12. Investeringen (bijschatten)'!E53</f>
        <v>06 Utiliteitsgebouwen</v>
      </c>
      <c r="J250" s="168">
        <f>_xlfn.XLOOKUP(I250,'3. Input (des)investeringen '!$B$11:$B$89,'3. Input (des)investeringen '!$D$11:$D$89)</f>
        <v>30</v>
      </c>
      <c r="K250" s="154"/>
      <c r="L250" s="154"/>
      <c r="M250" s="43">
        <f t="shared" si="165"/>
        <v>0</v>
      </c>
      <c r="N250" s="43">
        <f t="shared" si="166"/>
        <v>18289.94358231662</v>
      </c>
      <c r="P250" s="137">
        <f t="shared" si="167"/>
        <v>0</v>
      </c>
      <c r="Q250" s="137">
        <f t="shared" si="168"/>
        <v>1079106.6713566806</v>
      </c>
      <c r="S250" s="43">
        <f t="shared" si="144"/>
        <v>1079106.6713566806</v>
      </c>
      <c r="T250" s="38">
        <f t="shared" si="145"/>
        <v>29.5</v>
      </c>
      <c r="V250" s="43">
        <f t="shared" si="162"/>
        <v>42798.467982620896</v>
      </c>
      <c r="W250" s="43">
        <f t="shared" si="162"/>
        <v>40912.433800335901</v>
      </c>
      <c r="X250" s="43">
        <f t="shared" si="162"/>
        <v>39109.512988795679</v>
      </c>
      <c r="Y250" s="43">
        <f t="shared" si="162"/>
        <v>37386.042924882648</v>
      </c>
      <c r="Z250" s="43">
        <f t="shared" si="162"/>
        <v>35738.522389209858</v>
      </c>
      <c r="AB250" s="43">
        <f t="shared" si="163"/>
        <v>3657.9887164633242</v>
      </c>
      <c r="AC250" s="43">
        <f t="shared" si="163"/>
        <v>3657.9887164633242</v>
      </c>
      <c r="AD250" s="43">
        <f t="shared" si="163"/>
        <v>3657.9887164633242</v>
      </c>
      <c r="AE250" s="43">
        <f t="shared" si="163"/>
        <v>3657.9887164633242</v>
      </c>
      <c r="AF250" s="43">
        <f t="shared" si="163"/>
        <v>3657.9887164633242</v>
      </c>
      <c r="AH250" s="43">
        <f t="shared" si="146"/>
        <v>46456.456699084221</v>
      </c>
      <c r="AI250" s="43">
        <f t="shared" si="147"/>
        <v>44570.422516799226</v>
      </c>
      <c r="AJ250" s="43">
        <f t="shared" si="148"/>
        <v>42767.501705259005</v>
      </c>
      <c r="AK250" s="43">
        <f t="shared" si="149"/>
        <v>41044.031641345973</v>
      </c>
      <c r="AL250" s="43">
        <f t="shared" si="150"/>
        <v>39396.511105673184</v>
      </c>
      <c r="AN250" s="43">
        <f t="shared" si="169"/>
        <v>1032650.2146575963</v>
      </c>
      <c r="AO250" s="43">
        <f t="shared" si="170"/>
        <v>988079.79214079713</v>
      </c>
      <c r="AP250" s="43">
        <f t="shared" si="171"/>
        <v>945312.29043553816</v>
      </c>
      <c r="AQ250" s="43">
        <f t="shared" si="172"/>
        <v>904268.25879419222</v>
      </c>
      <c r="AR250" s="43">
        <f t="shared" si="173"/>
        <v>864871.74768851907</v>
      </c>
      <c r="AT250" s="43">
        <f t="shared" si="164"/>
        <v>11126.811549918675</v>
      </c>
      <c r="AU250" s="43">
        <f t="shared" si="164"/>
        <v>11769.407170549581</v>
      </c>
      <c r="AV250" s="43">
        <f t="shared" si="164"/>
        <v>12660.115905216771</v>
      </c>
      <c r="AW250" s="43">
        <f t="shared" si="164"/>
        <v>12962.540753960591</v>
      </c>
      <c r="AX250" s="43">
        <f t="shared" si="164"/>
        <v>13401.296833400647</v>
      </c>
      <c r="AZ250" s="47">
        <f t="shared" si="151"/>
        <v>92693.375547361182</v>
      </c>
      <c r="BA250" s="47">
        <f t="shared" si="152"/>
        <v>88946.462827995128</v>
      </c>
      <c r="BB250" s="47">
        <f t="shared" si="153"/>
        <v>91349.484647026227</v>
      </c>
      <c r="BC250" s="47">
        <f t="shared" si="154"/>
        <v>88368.766229485875</v>
      </c>
      <c r="BD250" s="47">
        <f t="shared" si="155"/>
        <v>85662.934351237549</v>
      </c>
    </row>
    <row r="251" spans="2:56">
      <c r="B251" s="37">
        <f>'12. Investeringen (bijschatten)'!B54</f>
        <v>35</v>
      </c>
      <c r="C251" s="48"/>
      <c r="E251" s="48"/>
      <c r="F251" s="168">
        <f>'12. Investeringen (bijschatten)'!C54</f>
        <v>21.673674251477685</v>
      </c>
      <c r="H251" s="37">
        <f>'12. Investeringen (bijschatten)'!D54</f>
        <v>2021</v>
      </c>
      <c r="I251" s="37" t="str">
        <f>'12. Investeringen (bijschatten)'!E54</f>
        <v>06 Utiliteitsgebouwen (EHD)</v>
      </c>
      <c r="J251" s="168">
        <f>_xlfn.XLOOKUP(I251,'3. Input (des)investeringen '!$B$11:$B$89,'3. Input (des)investeringen '!$D$11:$D$89)</f>
        <v>30</v>
      </c>
      <c r="K251" s="154"/>
      <c r="L251" s="154"/>
      <c r="M251" s="43">
        <f t="shared" si="165"/>
        <v>0</v>
      </c>
      <c r="N251" s="43">
        <f t="shared" si="166"/>
        <v>0.36122790419129475</v>
      </c>
      <c r="P251" s="137">
        <f t="shared" si="167"/>
        <v>0</v>
      </c>
      <c r="Q251" s="137">
        <f t="shared" si="168"/>
        <v>21.312446347286389</v>
      </c>
      <c r="S251" s="43">
        <f t="shared" si="144"/>
        <v>21.312446347286389</v>
      </c>
      <c r="T251" s="38">
        <f t="shared" si="145"/>
        <v>29.5</v>
      </c>
      <c r="V251" s="43">
        <f t="shared" si="162"/>
        <v>0.84527329580762967</v>
      </c>
      <c r="W251" s="43">
        <f t="shared" si="162"/>
        <v>0.80802396412797139</v>
      </c>
      <c r="X251" s="43">
        <f t="shared" si="162"/>
        <v>0.77241612842063712</v>
      </c>
      <c r="Y251" s="43">
        <f t="shared" si="162"/>
        <v>0.7383774515749818</v>
      </c>
      <c r="Z251" s="43">
        <f t="shared" si="162"/>
        <v>0.70583878421744017</v>
      </c>
      <c r="AB251" s="43">
        <f t="shared" si="163"/>
        <v>7.2245580838258952E-2</v>
      </c>
      <c r="AC251" s="43">
        <f t="shared" si="163"/>
        <v>7.2245580838258952E-2</v>
      </c>
      <c r="AD251" s="43">
        <f t="shared" si="163"/>
        <v>7.2245580838258952E-2</v>
      </c>
      <c r="AE251" s="43">
        <f t="shared" si="163"/>
        <v>7.2245580838258952E-2</v>
      </c>
      <c r="AF251" s="43">
        <f t="shared" si="163"/>
        <v>7.2245580838258952E-2</v>
      </c>
      <c r="AH251" s="43">
        <f t="shared" si="146"/>
        <v>0.9175188766458886</v>
      </c>
      <c r="AI251" s="43">
        <f t="shared" si="147"/>
        <v>0.88026954496623033</v>
      </c>
      <c r="AJ251" s="43">
        <f t="shared" si="148"/>
        <v>0.84466170925889605</v>
      </c>
      <c r="AK251" s="43">
        <f t="shared" si="149"/>
        <v>0.81062303241324074</v>
      </c>
      <c r="AL251" s="43">
        <f t="shared" si="150"/>
        <v>0.77808436505569911</v>
      </c>
      <c r="AN251" s="43">
        <f t="shared" si="169"/>
        <v>20.3949274706405</v>
      </c>
      <c r="AO251" s="43">
        <f t="shared" si="170"/>
        <v>19.514657925674271</v>
      </c>
      <c r="AP251" s="43">
        <f t="shared" si="171"/>
        <v>18.669996216415374</v>
      </c>
      <c r="AQ251" s="43">
        <f t="shared" si="172"/>
        <v>17.859373184002134</v>
      </c>
      <c r="AR251" s="43">
        <f t="shared" si="173"/>
        <v>17.081288818946437</v>
      </c>
      <c r="AT251" s="43">
        <f t="shared" si="164"/>
        <v>0.21975545186452269</v>
      </c>
      <c r="AU251" s="43">
        <f t="shared" si="164"/>
        <v>0.23244676872060258</v>
      </c>
      <c r="AV251" s="43">
        <f t="shared" si="164"/>
        <v>0.2500383401773778</v>
      </c>
      <c r="AW251" s="43">
        <f t="shared" si="164"/>
        <v>0.256011256047535</v>
      </c>
      <c r="AX251" s="43">
        <f t="shared" si="164"/>
        <v>0.26467672504223194</v>
      </c>
      <c r="AZ251" s="47">
        <f t="shared" si="151"/>
        <v>1.8307018625121882</v>
      </c>
      <c r="BA251" s="47">
        <f t="shared" si="152"/>
        <v>1.7567000252340841</v>
      </c>
      <c r="BB251" s="47">
        <f t="shared" si="153"/>
        <v>1.8041599056600579</v>
      </c>
      <c r="BC251" s="47">
        <f t="shared" si="154"/>
        <v>1.7452904694528566</v>
      </c>
      <c r="BD251" s="47">
        <f t="shared" si="155"/>
        <v>1.6918500652178956</v>
      </c>
    </row>
    <row r="252" spans="2:56">
      <c r="B252" s="37">
        <f>'12. Investeringen (bijschatten)'!B55</f>
        <v>36</v>
      </c>
      <c r="C252" s="48"/>
      <c r="E252" s="48"/>
      <c r="F252" s="168">
        <f>'12. Investeringen (bijschatten)'!C55</f>
        <v>396020.07371979632</v>
      </c>
      <c r="H252" s="37">
        <f>'12. Investeringen (bijschatten)'!D55</f>
        <v>2021</v>
      </c>
      <c r="I252" s="37" t="str">
        <f>'12. Investeringen (bijschatten)'!E55</f>
        <v>08 Inrichting gebouwen</v>
      </c>
      <c r="J252" s="168">
        <f>_xlfn.XLOOKUP(I252,'3. Input (des)investeringen '!$B$11:$B$89,'3. Input (des)investeringen '!$D$11:$D$89)</f>
        <v>10</v>
      </c>
      <c r="K252" s="154"/>
      <c r="L252" s="154"/>
      <c r="M252" s="43">
        <f t="shared" si="165"/>
        <v>0</v>
      </c>
      <c r="N252" s="43">
        <f t="shared" si="166"/>
        <v>19801.003685989817</v>
      </c>
      <c r="P252" s="137">
        <f t="shared" si="167"/>
        <v>0</v>
      </c>
      <c r="Q252" s="137">
        <f t="shared" si="168"/>
        <v>376219.07003380649</v>
      </c>
      <c r="S252" s="43">
        <f t="shared" si="144"/>
        <v>376219.07003380649</v>
      </c>
      <c r="T252" s="38">
        <f t="shared" si="145"/>
        <v>9.5</v>
      </c>
      <c r="V252" s="43">
        <f t="shared" si="162"/>
        <v>46334.348625216175</v>
      </c>
      <c r="W252" s="43">
        <f t="shared" si="162"/>
        <v>39993.858813344486</v>
      </c>
      <c r="X252" s="43">
        <f t="shared" si="162"/>
        <v>34521.014975728918</v>
      </c>
      <c r="Y252" s="43">
        <f t="shared" si="162"/>
        <v>33499.683171713266</v>
      </c>
      <c r="Z252" s="43">
        <f t="shared" si="162"/>
        <v>33499.683171713266</v>
      </c>
      <c r="AB252" s="43">
        <f t="shared" si="163"/>
        <v>3960.200737197963</v>
      </c>
      <c r="AC252" s="43">
        <f t="shared" si="163"/>
        <v>3960.200737197963</v>
      </c>
      <c r="AD252" s="43">
        <f t="shared" si="163"/>
        <v>3960.200737197963</v>
      </c>
      <c r="AE252" s="43">
        <f t="shared" si="163"/>
        <v>3960.200737197963</v>
      </c>
      <c r="AF252" s="43">
        <f t="shared" si="163"/>
        <v>3960.200737197963</v>
      </c>
      <c r="AH252" s="43">
        <f t="shared" si="146"/>
        <v>50294.549362414138</v>
      </c>
      <c r="AI252" s="43">
        <f t="shared" si="147"/>
        <v>43954.05955054245</v>
      </c>
      <c r="AJ252" s="43">
        <f t="shared" si="148"/>
        <v>38481.215712926882</v>
      </c>
      <c r="AK252" s="43">
        <f t="shared" si="149"/>
        <v>37459.88390891123</v>
      </c>
      <c r="AL252" s="43">
        <f t="shared" si="150"/>
        <v>37459.88390891123</v>
      </c>
      <c r="AN252" s="43">
        <f t="shared" si="169"/>
        <v>325924.52067139233</v>
      </c>
      <c r="AO252" s="43">
        <f t="shared" si="170"/>
        <v>281970.46112084988</v>
      </c>
      <c r="AP252" s="43">
        <f t="shared" si="171"/>
        <v>243489.24540792301</v>
      </c>
      <c r="AQ252" s="43">
        <f t="shared" si="172"/>
        <v>206029.36149901178</v>
      </c>
      <c r="AR252" s="43">
        <f t="shared" si="173"/>
        <v>168569.47759010055</v>
      </c>
      <c r="AT252" s="43">
        <f t="shared" si="164"/>
        <v>4015.3584130656568</v>
      </c>
      <c r="AU252" s="43">
        <f t="shared" si="164"/>
        <v>4247.2533921370241</v>
      </c>
      <c r="AV252" s="43">
        <f t="shared" si="164"/>
        <v>4568.6855288539546</v>
      </c>
      <c r="AW252" s="43">
        <f t="shared" si="164"/>
        <v>4677.8222887672173</v>
      </c>
      <c r="AX252" s="43">
        <f t="shared" si="164"/>
        <v>4836.1572175974106</v>
      </c>
      <c r="AZ252" s="47">
        <f t="shared" si="151"/>
        <v>65391.341478307142</v>
      </c>
      <c r="BA252" s="47">
        <f t="shared" si="152"/>
        <v>57506.338159667524</v>
      </c>
      <c r="BB252" s="47">
        <f t="shared" si="153"/>
        <v>52302.492567281908</v>
      </c>
      <c r="BC252" s="47">
        <f t="shared" si="154"/>
        <v>49966.821934640895</v>
      </c>
      <c r="BD252" s="47">
        <f t="shared" si="155"/>
        <v>48701.68127493246</v>
      </c>
    </row>
    <row r="253" spans="2:56">
      <c r="B253" s="37">
        <f>'12. Investeringen (bijschatten)'!B56</f>
        <v>37</v>
      </c>
      <c r="C253" s="48"/>
      <c r="E253" s="48"/>
      <c r="F253" s="168">
        <f>'12. Investeringen (bijschatten)'!C56</f>
        <v>467492.18719026912</v>
      </c>
      <c r="H253" s="37">
        <f>'12. Investeringen (bijschatten)'!D56</f>
        <v>2021</v>
      </c>
      <c r="I253" s="37" t="str">
        <f>'12. Investeringen (bijschatten)'!E56</f>
        <v>10 Gereedschap</v>
      </c>
      <c r="J253" s="168">
        <f>_xlfn.XLOOKUP(I253,'3. Input (des)investeringen '!$B$11:$B$89,'3. Input (des)investeringen '!$D$11:$D$89)</f>
        <v>10</v>
      </c>
      <c r="K253" s="154"/>
      <c r="L253" s="154"/>
      <c r="M253" s="43">
        <f t="shared" si="165"/>
        <v>0</v>
      </c>
      <c r="N253" s="43">
        <f t="shared" si="166"/>
        <v>23374.609359513459</v>
      </c>
      <c r="P253" s="137">
        <f t="shared" si="167"/>
        <v>0</v>
      </c>
      <c r="Q253" s="137">
        <f t="shared" si="168"/>
        <v>444117.57783075568</v>
      </c>
      <c r="S253" s="43">
        <f t="shared" si="144"/>
        <v>444117.57783075568</v>
      </c>
      <c r="T253" s="38">
        <f t="shared" si="145"/>
        <v>9.5</v>
      </c>
      <c r="V253" s="43">
        <f t="shared" si="162"/>
        <v>54696.585901261496</v>
      </c>
      <c r="W253" s="43">
        <f t="shared" si="162"/>
        <v>47211.789935825713</v>
      </c>
      <c r="X253" s="43">
        <f t="shared" si="162"/>
        <v>40751.229207765347</v>
      </c>
      <c r="Y253" s="43">
        <f t="shared" si="162"/>
        <v>39545.571538896547</v>
      </c>
      <c r="Z253" s="43">
        <f t="shared" si="162"/>
        <v>39545.571538896547</v>
      </c>
      <c r="AB253" s="43">
        <f t="shared" si="163"/>
        <v>4674.9218719026912</v>
      </c>
      <c r="AC253" s="43">
        <f t="shared" si="163"/>
        <v>4674.9218719026912</v>
      </c>
      <c r="AD253" s="43">
        <f t="shared" si="163"/>
        <v>4674.9218719026912</v>
      </c>
      <c r="AE253" s="43">
        <f t="shared" si="163"/>
        <v>4674.9218719026912</v>
      </c>
      <c r="AF253" s="43">
        <f t="shared" si="163"/>
        <v>4674.9218719026912</v>
      </c>
      <c r="AH253" s="43">
        <f t="shared" si="146"/>
        <v>59371.507773164187</v>
      </c>
      <c r="AI253" s="43">
        <f t="shared" si="147"/>
        <v>51886.711807728403</v>
      </c>
      <c r="AJ253" s="43">
        <f t="shared" si="148"/>
        <v>45426.151079668038</v>
      </c>
      <c r="AK253" s="43">
        <f t="shared" si="149"/>
        <v>44220.493410799238</v>
      </c>
      <c r="AL253" s="43">
        <f t="shared" si="150"/>
        <v>44220.493410799238</v>
      </c>
      <c r="AN253" s="43">
        <f t="shared" si="169"/>
        <v>384746.07005759148</v>
      </c>
      <c r="AO253" s="43">
        <f t="shared" si="170"/>
        <v>332859.35824986309</v>
      </c>
      <c r="AP253" s="43">
        <f t="shared" si="171"/>
        <v>287433.20717019506</v>
      </c>
      <c r="AQ253" s="43">
        <f t="shared" si="172"/>
        <v>243212.71375939582</v>
      </c>
      <c r="AR253" s="43">
        <f t="shared" si="173"/>
        <v>198992.22034859657</v>
      </c>
      <c r="AT253" s="43">
        <f t="shared" si="164"/>
        <v>4740.0341837345522</v>
      </c>
      <c r="AU253" s="43">
        <f t="shared" si="164"/>
        <v>5013.78063791359</v>
      </c>
      <c r="AV253" s="43">
        <f t="shared" si="164"/>
        <v>5393.2235565908904</v>
      </c>
      <c r="AW253" s="43">
        <f t="shared" si="164"/>
        <v>5522.0568809107335</v>
      </c>
      <c r="AX253" s="43">
        <f t="shared" si="164"/>
        <v>5708.9674622158009</v>
      </c>
      <c r="AZ253" s="47">
        <f t="shared" si="151"/>
        <v>77192.90833885684</v>
      </c>
      <c r="BA253" s="47">
        <f t="shared" si="152"/>
        <v>67884.851267887469</v>
      </c>
      <c r="BB253" s="47">
        <f t="shared" si="153"/>
        <v>61741.836508726345</v>
      </c>
      <c r="BC253" s="47">
        <f t="shared" si="154"/>
        <v>58984.633414567012</v>
      </c>
      <c r="BD253" s="47">
        <f t="shared" si="155"/>
        <v>57491.165246261706</v>
      </c>
    </row>
    <row r="254" spans="2:56" s="227" customFormat="1">
      <c r="B254" s="37">
        <f>'12. Investeringen (bijschatten)'!B57</f>
        <v>38</v>
      </c>
      <c r="C254" s="48"/>
      <c r="D254" s="3"/>
      <c r="E254" s="48"/>
      <c r="F254" s="168">
        <f>'12. Investeringen (bijschatten)'!C57</f>
        <v>2674366.8931494337</v>
      </c>
      <c r="G254" s="3"/>
      <c r="H254" s="37">
        <f>'12. Investeringen (bijschatten)'!D57</f>
        <v>2021</v>
      </c>
      <c r="I254" s="37" t="str">
        <f>'12. Investeringen (bijschatten)'!E57</f>
        <v>11 Werktuigen</v>
      </c>
      <c r="J254" s="168">
        <f>_xlfn.XLOOKUP(I254,'3. Input (des)investeringen '!$B$11:$B$89,'3. Input (des)investeringen '!$D$11:$D$89)</f>
        <v>10</v>
      </c>
      <c r="M254" s="43">
        <f t="shared" si="165"/>
        <v>0</v>
      </c>
      <c r="N254" s="43">
        <f t="shared" si="166"/>
        <v>133718.34465747169</v>
      </c>
      <c r="O254" s="3"/>
      <c r="P254" s="137">
        <f t="shared" si="167"/>
        <v>0</v>
      </c>
      <c r="Q254" s="137">
        <f t="shared" si="168"/>
        <v>2540648.5484919618</v>
      </c>
      <c r="R254" s="3"/>
      <c r="S254" s="43">
        <f t="shared" si="144"/>
        <v>2540648.5484919618</v>
      </c>
      <c r="T254" s="38">
        <f t="shared" si="145"/>
        <v>9.5</v>
      </c>
      <c r="U254" s="3"/>
      <c r="V254" s="43">
        <f t="shared" si="162"/>
        <v>312900.92649848375</v>
      </c>
      <c r="W254" s="43">
        <f t="shared" si="162"/>
        <v>270082.90497763857</v>
      </c>
      <c r="X254" s="43">
        <f t="shared" si="162"/>
        <v>233124.1916649091</v>
      </c>
      <c r="Y254" s="43">
        <f t="shared" si="162"/>
        <v>226227.02623103606</v>
      </c>
      <c r="Z254" s="43">
        <f t="shared" si="162"/>
        <v>226227.02623103606</v>
      </c>
      <c r="AA254" s="3"/>
      <c r="AB254" s="43">
        <f t="shared" si="163"/>
        <v>26743.668931494336</v>
      </c>
      <c r="AC254" s="43">
        <f t="shared" si="163"/>
        <v>26743.668931494336</v>
      </c>
      <c r="AD254" s="43">
        <f t="shared" si="163"/>
        <v>26743.668931494336</v>
      </c>
      <c r="AE254" s="43">
        <f t="shared" si="163"/>
        <v>26743.668931494336</v>
      </c>
      <c r="AF254" s="43">
        <f t="shared" si="163"/>
        <v>26743.668931494336</v>
      </c>
      <c r="AG254" s="3"/>
      <c r="AH254" s="43">
        <f t="shared" si="146"/>
        <v>339644.5954299781</v>
      </c>
      <c r="AI254" s="43">
        <f t="shared" si="147"/>
        <v>296826.57390913292</v>
      </c>
      <c r="AJ254" s="43">
        <f t="shared" si="148"/>
        <v>259867.86059640342</v>
      </c>
      <c r="AK254" s="43">
        <f t="shared" si="149"/>
        <v>252970.69516253041</v>
      </c>
      <c r="AL254" s="43">
        <f t="shared" si="150"/>
        <v>252970.69516253041</v>
      </c>
      <c r="AM254" s="3"/>
      <c r="AN254" s="43">
        <f t="shared" si="169"/>
        <v>2201003.9530619839</v>
      </c>
      <c r="AO254" s="43">
        <f t="shared" si="170"/>
        <v>1904177.3791528509</v>
      </c>
      <c r="AP254" s="43">
        <f t="shared" si="171"/>
        <v>1644309.5185564475</v>
      </c>
      <c r="AQ254" s="43">
        <f t="shared" si="172"/>
        <v>1391338.8233939172</v>
      </c>
      <c r="AR254" s="43">
        <f t="shared" si="173"/>
        <v>1138368.1282313867</v>
      </c>
      <c r="AS254" s="3"/>
      <c r="AT254" s="43">
        <f t="shared" si="164"/>
        <v>27116.154752372193</v>
      </c>
      <c r="AU254" s="43">
        <f t="shared" si="164"/>
        <v>28682.166921631186</v>
      </c>
      <c r="AV254" s="43">
        <f t="shared" si="164"/>
        <v>30852.833314260235</v>
      </c>
      <c r="AW254" s="43">
        <f t="shared" si="164"/>
        <v>31589.845796471287</v>
      </c>
      <c r="AX254" s="43">
        <f t="shared" si="164"/>
        <v>32659.098896990243</v>
      </c>
      <c r="AY254" s="3"/>
      <c r="AZ254" s="47">
        <f t="shared" si="151"/>
        <v>441594.88458645775</v>
      </c>
      <c r="BA254" s="47">
        <f t="shared" si="152"/>
        <v>388346.59434280818</v>
      </c>
      <c r="BB254" s="47">
        <f t="shared" si="153"/>
        <v>353204.45561580866</v>
      </c>
      <c r="BC254" s="47">
        <f t="shared" si="154"/>
        <v>337431.41624797054</v>
      </c>
      <c r="BD254" s="47">
        <f t="shared" si="155"/>
        <v>328887.78293231333</v>
      </c>
    </row>
    <row r="255" spans="2:56" s="227" customFormat="1">
      <c r="B255" s="37">
        <f>'12. Investeringen (bijschatten)'!B58</f>
        <v>39</v>
      </c>
      <c r="C255" s="48"/>
      <c r="D255" s="3"/>
      <c r="E255" s="48"/>
      <c r="F255" s="168">
        <f>'12. Investeringen (bijschatten)'!C58</f>
        <v>49.981940341018536</v>
      </c>
      <c r="G255" s="3"/>
      <c r="H255" s="37">
        <f>'12. Investeringen (bijschatten)'!D58</f>
        <v>2021</v>
      </c>
      <c r="I255" s="37" t="str">
        <f>'12. Investeringen (bijschatten)'!E58</f>
        <v>14 Overig rollend materieel</v>
      </c>
      <c r="J255" s="168">
        <f>_xlfn.XLOOKUP(I255,'3. Input (des)investeringen '!$B$11:$B$89,'3. Input (des)investeringen '!$D$11:$D$89)</f>
        <v>10</v>
      </c>
      <c r="M255" s="43">
        <f t="shared" si="165"/>
        <v>0</v>
      </c>
      <c r="N255" s="43">
        <f t="shared" si="166"/>
        <v>2.4990970170509268</v>
      </c>
      <c r="O255" s="3"/>
      <c r="P255" s="137">
        <f t="shared" si="167"/>
        <v>0</v>
      </c>
      <c r="Q255" s="137">
        <f t="shared" si="168"/>
        <v>47.482843323967607</v>
      </c>
      <c r="R255" s="3"/>
      <c r="S255" s="43">
        <f t="shared" si="144"/>
        <v>47.482843323967607</v>
      </c>
      <c r="T255" s="38">
        <f t="shared" si="145"/>
        <v>9.5</v>
      </c>
      <c r="U255" s="3"/>
      <c r="V255" s="43">
        <f t="shared" si="162"/>
        <v>5.8478870198991695</v>
      </c>
      <c r="W255" s="43">
        <f t="shared" si="162"/>
        <v>5.0476498487550723</v>
      </c>
      <c r="X255" s="43">
        <f t="shared" si="162"/>
        <v>4.3569188168201682</v>
      </c>
      <c r="Y255" s="43">
        <f t="shared" si="162"/>
        <v>4.2280158932456064</v>
      </c>
      <c r="Z255" s="43">
        <f t="shared" si="162"/>
        <v>4.2280158932456064</v>
      </c>
      <c r="AA255" s="3"/>
      <c r="AB255" s="43">
        <f t="shared" si="163"/>
        <v>0.49981940341018533</v>
      </c>
      <c r="AC255" s="43">
        <f t="shared" si="163"/>
        <v>0.49981940341018527</v>
      </c>
      <c r="AD255" s="43">
        <f t="shared" si="163"/>
        <v>0.49981940341018527</v>
      </c>
      <c r="AE255" s="43">
        <f t="shared" si="163"/>
        <v>0.49981940341018527</v>
      </c>
      <c r="AF255" s="43">
        <f t="shared" si="163"/>
        <v>0.49981940341018527</v>
      </c>
      <c r="AG255" s="3"/>
      <c r="AH255" s="43">
        <f t="shared" si="146"/>
        <v>6.3477064233093552</v>
      </c>
      <c r="AI255" s="43">
        <f t="shared" si="147"/>
        <v>5.5474692521652571</v>
      </c>
      <c r="AJ255" s="43">
        <f t="shared" si="148"/>
        <v>4.8567382202303531</v>
      </c>
      <c r="AK255" s="43">
        <f t="shared" si="149"/>
        <v>4.7278352966557922</v>
      </c>
      <c r="AL255" s="43">
        <f t="shared" si="150"/>
        <v>4.7278352966557922</v>
      </c>
      <c r="AM255" s="3"/>
      <c r="AN255" s="43">
        <f t="shared" si="169"/>
        <v>41.135136900658253</v>
      </c>
      <c r="AO255" s="43">
        <f t="shared" si="170"/>
        <v>35.587667648492996</v>
      </c>
      <c r="AP255" s="43">
        <f t="shared" si="171"/>
        <v>30.730929428262641</v>
      </c>
      <c r="AQ255" s="43">
        <f t="shared" si="172"/>
        <v>26.003094131606851</v>
      </c>
      <c r="AR255" s="43">
        <f t="shared" si="173"/>
        <v>21.27525883495106</v>
      </c>
      <c r="AS255" s="3"/>
      <c r="AT255" s="43">
        <f t="shared" si="164"/>
        <v>0.5067808880608824</v>
      </c>
      <c r="AU255" s="43">
        <f t="shared" si="164"/>
        <v>0.53604849790817455</v>
      </c>
      <c r="AV255" s="43">
        <f t="shared" si="164"/>
        <v>0.57661664822986514</v>
      </c>
      <c r="AW255" s="43">
        <f t="shared" si="164"/>
        <v>0.59039086672278018</v>
      </c>
      <c r="AX255" s="43">
        <f t="shared" si="164"/>
        <v>0.61037441677961279</v>
      </c>
      <c r="AY255" s="3"/>
      <c r="AZ255" s="47">
        <f t="shared" si="151"/>
        <v>8.2530819659926173</v>
      </c>
      <c r="BA255" s="47">
        <f t="shared" si="152"/>
        <v>7.2579107824737008</v>
      </c>
      <c r="BB255" s="47">
        <f t="shared" si="153"/>
        <v>6.6011301867341983</v>
      </c>
      <c r="BC255" s="47">
        <f t="shared" si="154"/>
        <v>6.3063437403796323</v>
      </c>
      <c r="BD255" s="47">
        <f t="shared" si="155"/>
        <v>6.146669549163545</v>
      </c>
    </row>
    <row r="256" spans="2:56" s="227" customFormat="1">
      <c r="B256" s="37">
        <f>'12. Investeringen (bijschatten)'!B59</f>
        <v>40</v>
      </c>
      <c r="C256" s="48"/>
      <c r="D256" s="3"/>
      <c r="E256" s="48"/>
      <c r="F256" s="168">
        <f>'12. Investeringen (bijschatten)'!C59</f>
        <v>503372.15987408569</v>
      </c>
      <c r="G256" s="3"/>
      <c r="H256" s="37">
        <f>'12. Investeringen (bijschatten)'!D59</f>
        <v>2021</v>
      </c>
      <c r="I256" s="37" t="str">
        <f>'12. Investeringen (bijschatten)'!E59</f>
        <v>15 Compressorstations (KC)</v>
      </c>
      <c r="J256" s="168">
        <f>_xlfn.XLOOKUP(I256,'3. Input (des)investeringen '!$B$11:$B$89,'3. Input (des)investeringen '!$D$11:$D$89)</f>
        <v>30</v>
      </c>
      <c r="M256" s="43">
        <f t="shared" si="165"/>
        <v>0</v>
      </c>
      <c r="N256" s="43">
        <f t="shared" si="166"/>
        <v>8389.5359979014283</v>
      </c>
      <c r="O256" s="3"/>
      <c r="P256" s="137">
        <f t="shared" si="167"/>
        <v>0</v>
      </c>
      <c r="Q256" s="137">
        <f t="shared" si="168"/>
        <v>494982.62387618428</v>
      </c>
      <c r="R256" s="3"/>
      <c r="S256" s="43">
        <f t="shared" si="144"/>
        <v>494982.62387618428</v>
      </c>
      <c r="T256" s="38">
        <f t="shared" si="145"/>
        <v>29.5</v>
      </c>
      <c r="U256" s="3"/>
      <c r="V256" s="43">
        <f t="shared" si="162"/>
        <v>19631.514235089344</v>
      </c>
      <c r="W256" s="43">
        <f t="shared" si="162"/>
        <v>18766.396658627778</v>
      </c>
      <c r="X256" s="43">
        <f t="shared" si="162"/>
        <v>17939.402907569605</v>
      </c>
      <c r="Y256" s="43">
        <f t="shared" si="162"/>
        <v>17148.852948930944</v>
      </c>
      <c r="Z256" s="43">
        <f t="shared" si="162"/>
        <v>16393.140785079751</v>
      </c>
      <c r="AA256" s="3"/>
      <c r="AB256" s="43">
        <f t="shared" si="163"/>
        <v>1677.9071995802858</v>
      </c>
      <c r="AC256" s="43">
        <f t="shared" si="163"/>
        <v>1677.9071995802856</v>
      </c>
      <c r="AD256" s="43">
        <f t="shared" si="163"/>
        <v>1677.9071995802856</v>
      </c>
      <c r="AE256" s="43">
        <f t="shared" si="163"/>
        <v>1677.9071995802856</v>
      </c>
      <c r="AF256" s="43">
        <f t="shared" si="163"/>
        <v>1677.9071995802856</v>
      </c>
      <c r="AG256" s="3"/>
      <c r="AH256" s="43">
        <f t="shared" si="146"/>
        <v>21309.421434669628</v>
      </c>
      <c r="AI256" s="43">
        <f t="shared" si="147"/>
        <v>20444.303858208063</v>
      </c>
      <c r="AJ256" s="43">
        <f t="shared" si="148"/>
        <v>19617.31010714989</v>
      </c>
      <c r="AK256" s="43">
        <f t="shared" si="149"/>
        <v>18826.760148511228</v>
      </c>
      <c r="AL256" s="43">
        <f t="shared" si="150"/>
        <v>18071.047984660036</v>
      </c>
      <c r="AM256" s="3"/>
      <c r="AN256" s="43">
        <f t="shared" si="169"/>
        <v>473673.20244151464</v>
      </c>
      <c r="AO256" s="43">
        <f t="shared" si="170"/>
        <v>453228.89858330658</v>
      </c>
      <c r="AP256" s="43">
        <f t="shared" si="171"/>
        <v>433611.5884761567</v>
      </c>
      <c r="AQ256" s="43">
        <f t="shared" si="172"/>
        <v>414784.82832764549</v>
      </c>
      <c r="AR256" s="43">
        <f t="shared" si="173"/>
        <v>396713.78034298547</v>
      </c>
      <c r="AS256" s="3"/>
      <c r="AT256" s="43">
        <f t="shared" si="164"/>
        <v>5103.8312731681199</v>
      </c>
      <c r="AU256" s="43">
        <f t="shared" si="164"/>
        <v>5398.587736856125</v>
      </c>
      <c r="AV256" s="43">
        <f t="shared" si="164"/>
        <v>5807.1528567813966</v>
      </c>
      <c r="AW256" s="43">
        <f t="shared" si="164"/>
        <v>5945.8741242241904</v>
      </c>
      <c r="AX256" s="43">
        <f t="shared" si="164"/>
        <v>6147.1300715809302</v>
      </c>
      <c r="AY256" s="3"/>
      <c r="AZ256" s="47">
        <f t="shared" si="151"/>
        <v>42518.141590849249</v>
      </c>
      <c r="BA256" s="47">
        <f t="shared" si="152"/>
        <v>40799.445248313306</v>
      </c>
      <c r="BB256" s="47">
        <f t="shared" si="153"/>
        <v>41901.703326025236</v>
      </c>
      <c r="BC256" s="47">
        <f t="shared" si="154"/>
        <v>40534.457749185945</v>
      </c>
      <c r="BD256" s="47">
        <f t="shared" si="155"/>
        <v>39293.301709274412</v>
      </c>
    </row>
    <row r="257" spans="2:56" s="227" customFormat="1">
      <c r="B257" s="37">
        <f>'12. Investeringen (bijschatten)'!B60</f>
        <v>41</v>
      </c>
      <c r="C257" s="48"/>
      <c r="D257" s="3"/>
      <c r="E257" s="48"/>
      <c r="F257" s="168">
        <f>'12. Investeringen (bijschatten)'!C60</f>
        <v>8924117.8015749045</v>
      </c>
      <c r="G257" s="3"/>
      <c r="H257" s="37">
        <f>'12. Investeringen (bijschatten)'!D60</f>
        <v>2021</v>
      </c>
      <c r="I257" s="37" t="str">
        <f>'12. Investeringen (bijschatten)'!E60</f>
        <v>15 Compressorstations (TT-BT-AT)</v>
      </c>
      <c r="J257" s="168">
        <f>_xlfn.XLOOKUP(I257,'3. Input (des)investeringen '!$B$11:$B$89,'3. Input (des)investeringen '!$D$11:$D$89)</f>
        <v>30</v>
      </c>
      <c r="M257" s="43">
        <f t="shared" si="165"/>
        <v>0</v>
      </c>
      <c r="N257" s="43">
        <f t="shared" si="166"/>
        <v>148735.29669291509</v>
      </c>
      <c r="O257" s="3"/>
      <c r="P257" s="137">
        <f t="shared" si="167"/>
        <v>0</v>
      </c>
      <c r="Q257" s="137">
        <f t="shared" si="168"/>
        <v>8775382.5048819892</v>
      </c>
      <c r="R257" s="3"/>
      <c r="S257" s="43">
        <f t="shared" si="144"/>
        <v>8775382.5048819892</v>
      </c>
      <c r="T257" s="38">
        <f t="shared" si="145"/>
        <v>29.5</v>
      </c>
      <c r="U257" s="3"/>
      <c r="V257" s="43">
        <f t="shared" ref="V257:Z266" si="174">IF($J257=0, 0, IF(OR($H257&gt;V$59,$H257+$J257&lt;V$59),0,
IF(OR($H257=2020,$H257=2021),VDB(ABS($S257)*(1-$F$28),0,$T257,V$59-2022,MIN($T257,V$59-2021),$F$22),
VDB(ABS($S257)*(1-$F$28),0,$T257,MAX(0,V$59-$H257-0.5),MIN($T257,V$59-$H257+0.5),$F$22,FALSE))))*IF($F257&lt;0,-1,1)</f>
        <v>348040.5942614213</v>
      </c>
      <c r="W257" s="43">
        <f t="shared" si="174"/>
        <v>332703.21214142645</v>
      </c>
      <c r="X257" s="43">
        <f t="shared" si="174"/>
        <v>318041.71465722803</v>
      </c>
      <c r="Y257" s="43">
        <f t="shared" si="174"/>
        <v>304026.31706216373</v>
      </c>
      <c r="Z257" s="43">
        <f t="shared" si="174"/>
        <v>290628.54715772939</v>
      </c>
      <c r="AA257" s="3"/>
      <c r="AB257" s="43">
        <f t="shared" ref="AB257:AF266" si="175">IF($J257 = 0, 0, IF(OR($H257&gt;AB$59,$H257+$J257&lt;AB$59),0,
IF(OR($H257=2020,$H257=2021),VDB(ABS($S257)*$F$28,0,$T257,AB$59-2022,MIN($T257,AB$59-2021),1),
VDB(ABS($S257)*$F$28,0,$T257,MAX(0,AB$59-$H257-0.5),MIN($T257,AB$59-$H257+0.5),1))))*IF($F257&lt;0,-1,1)</f>
        <v>29747.059338583014</v>
      </c>
      <c r="AC257" s="43">
        <f t="shared" si="175"/>
        <v>29747.059338583014</v>
      </c>
      <c r="AD257" s="43">
        <f t="shared" si="175"/>
        <v>29747.059338583014</v>
      </c>
      <c r="AE257" s="43">
        <f t="shared" si="175"/>
        <v>29747.059338583014</v>
      </c>
      <c r="AF257" s="43">
        <f t="shared" si="175"/>
        <v>29747.059338583014</v>
      </c>
      <c r="AG257" s="3"/>
      <c r="AH257" s="43">
        <f t="shared" si="146"/>
        <v>377787.65360000433</v>
      </c>
      <c r="AI257" s="43">
        <f t="shared" si="147"/>
        <v>362450.27148000948</v>
      </c>
      <c r="AJ257" s="43">
        <f t="shared" si="148"/>
        <v>347788.77399581106</v>
      </c>
      <c r="AK257" s="43">
        <f t="shared" si="149"/>
        <v>333773.37640074675</v>
      </c>
      <c r="AL257" s="43">
        <f t="shared" si="150"/>
        <v>320375.60649631242</v>
      </c>
      <c r="AM257" s="3"/>
      <c r="AN257" s="43">
        <f t="shared" si="169"/>
        <v>8397594.8512819856</v>
      </c>
      <c r="AO257" s="43">
        <f t="shared" si="170"/>
        <v>8035144.5798019757</v>
      </c>
      <c r="AP257" s="43">
        <f t="shared" si="171"/>
        <v>7687355.8058061646</v>
      </c>
      <c r="AQ257" s="43">
        <f t="shared" si="172"/>
        <v>7353582.4294054182</v>
      </c>
      <c r="AR257" s="43">
        <f t="shared" si="173"/>
        <v>7033206.8229091056</v>
      </c>
      <c r="AS257" s="3"/>
      <c r="AT257" s="43">
        <f t="shared" ref="AT257:AX266" si="176">IF($H257&lt;=AT$215,$F257*INDEX($H$40:$N$46,$H257-2019,AT$215-2019)*INDEX($H$49:$N$55,$H257-2019,AT$215-2019)*$F$19,0)</f>
        <v>90484.129143152386</v>
      </c>
      <c r="AU257" s="43">
        <f t="shared" si="176"/>
        <v>95709.768569427746</v>
      </c>
      <c r="AV257" s="43">
        <f t="shared" si="176"/>
        <v>102953.08385476202</v>
      </c>
      <c r="AW257" s="43">
        <f t="shared" si="176"/>
        <v>105412.42712188458</v>
      </c>
      <c r="AX257" s="43">
        <f t="shared" si="176"/>
        <v>108980.42695510613</v>
      </c>
      <c r="AY257" s="3"/>
      <c r="AZ257" s="47">
        <f t="shared" si="151"/>
        <v>753790.00768674421</v>
      </c>
      <c r="BA257" s="47">
        <f t="shared" si="152"/>
        <v>723319.81118290243</v>
      </c>
      <c r="BB257" s="47">
        <f t="shared" si="153"/>
        <v>742861.37847120734</v>
      </c>
      <c r="BC257" s="47">
        <f t="shared" si="154"/>
        <v>718621.93584003719</v>
      </c>
      <c r="BD257" s="47">
        <f t="shared" si="155"/>
        <v>696617.89272196451</v>
      </c>
    </row>
    <row r="258" spans="2:56" s="227" customFormat="1">
      <c r="B258" s="37">
        <f>'12. Investeringen (bijschatten)'!B61</f>
        <v>42</v>
      </c>
      <c r="C258" s="48"/>
      <c r="D258" s="3"/>
      <c r="E258" s="48"/>
      <c r="F258" s="168">
        <f>'12. Investeringen (bijschatten)'!C61</f>
        <v>302473.20248261362</v>
      </c>
      <c r="G258" s="3"/>
      <c r="H258" s="37">
        <f>'12. Investeringen (bijschatten)'!D61</f>
        <v>2021</v>
      </c>
      <c r="I258" s="37" t="str">
        <f>'12. Investeringen (bijschatten)'!E61</f>
        <v>16 LNG installaties</v>
      </c>
      <c r="J258" s="168">
        <f>_xlfn.XLOOKUP(I258,'3. Input (des)investeringen '!$B$11:$B$89,'3. Input (des)investeringen '!$D$11:$D$89)</f>
        <v>30</v>
      </c>
      <c r="M258" s="43">
        <f t="shared" si="165"/>
        <v>0</v>
      </c>
      <c r="N258" s="43">
        <f t="shared" si="166"/>
        <v>5041.2200413768933</v>
      </c>
      <c r="O258" s="3"/>
      <c r="P258" s="137">
        <f t="shared" si="167"/>
        <v>0</v>
      </c>
      <c r="Q258" s="137">
        <f t="shared" si="168"/>
        <v>297431.98244123673</v>
      </c>
      <c r="R258" s="3"/>
      <c r="S258" s="43">
        <f t="shared" si="144"/>
        <v>297431.98244123673</v>
      </c>
      <c r="T258" s="38">
        <f t="shared" si="145"/>
        <v>29.5</v>
      </c>
      <c r="U258" s="3"/>
      <c r="V258" s="43">
        <f t="shared" si="174"/>
        <v>11796.454896821931</v>
      </c>
      <c r="W258" s="43">
        <f t="shared" si="174"/>
        <v>11276.611121707745</v>
      </c>
      <c r="X258" s="43">
        <f t="shared" si="174"/>
        <v>10779.675716344353</v>
      </c>
      <c r="Y258" s="43">
        <f t="shared" si="174"/>
        <v>10304.639159352906</v>
      </c>
      <c r="Z258" s="43">
        <f t="shared" si="174"/>
        <v>9850.5364167373555</v>
      </c>
      <c r="AA258" s="3"/>
      <c r="AB258" s="43">
        <f t="shared" si="175"/>
        <v>1008.2440082753789</v>
      </c>
      <c r="AC258" s="43">
        <f t="shared" si="175"/>
        <v>1008.2440082753789</v>
      </c>
      <c r="AD258" s="43">
        <f t="shared" si="175"/>
        <v>1008.2440082753789</v>
      </c>
      <c r="AE258" s="43">
        <f t="shared" si="175"/>
        <v>1008.2440082753789</v>
      </c>
      <c r="AF258" s="43">
        <f t="shared" si="175"/>
        <v>1008.2440082753789</v>
      </c>
      <c r="AG258" s="3"/>
      <c r="AH258" s="43">
        <f t="shared" si="146"/>
        <v>12804.69890509731</v>
      </c>
      <c r="AI258" s="43">
        <f t="shared" si="147"/>
        <v>12284.855129983123</v>
      </c>
      <c r="AJ258" s="43">
        <f t="shared" si="148"/>
        <v>11787.919724619731</v>
      </c>
      <c r="AK258" s="43">
        <f t="shared" si="149"/>
        <v>11312.883167628284</v>
      </c>
      <c r="AL258" s="43">
        <f t="shared" si="150"/>
        <v>10858.780425012734</v>
      </c>
      <c r="AM258" s="3"/>
      <c r="AN258" s="43">
        <f t="shared" si="169"/>
        <v>284627.28353613941</v>
      </c>
      <c r="AO258" s="43">
        <f t="shared" si="170"/>
        <v>272342.42840615631</v>
      </c>
      <c r="AP258" s="43">
        <f t="shared" si="171"/>
        <v>260554.50868153656</v>
      </c>
      <c r="AQ258" s="43">
        <f t="shared" si="172"/>
        <v>249241.62551390828</v>
      </c>
      <c r="AR258" s="43">
        <f t="shared" si="173"/>
        <v>238382.84508889556</v>
      </c>
      <c r="AS258" s="3"/>
      <c r="AT258" s="43">
        <f t="shared" si="176"/>
        <v>3066.8604924679148</v>
      </c>
      <c r="AU258" s="43">
        <f t="shared" si="176"/>
        <v>3243.9778196289217</v>
      </c>
      <c r="AV258" s="43">
        <f t="shared" si="176"/>
        <v>3489.4820610184379</v>
      </c>
      <c r="AW258" s="43">
        <f t="shared" si="176"/>
        <v>3572.8388084920466</v>
      </c>
      <c r="AX258" s="43">
        <f t="shared" si="176"/>
        <v>3693.7722564818855</v>
      </c>
      <c r="AY258" s="3"/>
      <c r="AZ258" s="47">
        <f t="shared" si="151"/>
        <v>25548.887037793967</v>
      </c>
      <c r="BA258" s="47">
        <f t="shared" si="152"/>
        <v>24516.133087015205</v>
      </c>
      <c r="BB258" s="47">
        <f t="shared" si="153"/>
        <v>25178.473115536559</v>
      </c>
      <c r="BC258" s="47">
        <f t="shared" si="154"/>
        <v>24356.903745648848</v>
      </c>
      <c r="BD258" s="47">
        <f t="shared" si="155"/>
        <v>23611.100794872651</v>
      </c>
    </row>
    <row r="259" spans="2:56" s="227" customFormat="1">
      <c r="B259" s="37">
        <f>'12. Investeringen (bijschatten)'!B62</f>
        <v>43</v>
      </c>
      <c r="C259" s="48"/>
      <c r="D259" s="3"/>
      <c r="E259" s="48"/>
      <c r="F259" s="168">
        <f>'12. Investeringen (bijschatten)'!C62</f>
        <v>2052183.8724388792</v>
      </c>
      <c r="G259" s="3"/>
      <c r="H259" s="37">
        <f>'12. Investeringen (bijschatten)'!D62</f>
        <v>2021</v>
      </c>
      <c r="I259" s="37" t="str">
        <f>'12. Investeringen (bijschatten)'!E62</f>
        <v>17 Mengstations</v>
      </c>
      <c r="J259" s="168">
        <f>_xlfn.XLOOKUP(I259,'3. Input (des)investeringen '!$B$11:$B$89,'3. Input (des)investeringen '!$D$11:$D$89)</f>
        <v>30</v>
      </c>
      <c r="M259" s="43">
        <f t="shared" si="165"/>
        <v>0</v>
      </c>
      <c r="N259" s="43">
        <f t="shared" si="166"/>
        <v>34203.064540647989</v>
      </c>
      <c r="O259" s="3"/>
      <c r="P259" s="137">
        <f t="shared" si="167"/>
        <v>0</v>
      </c>
      <c r="Q259" s="137">
        <f t="shared" si="168"/>
        <v>2017980.8078982313</v>
      </c>
      <c r="R259" s="3"/>
      <c r="S259" s="43">
        <f t="shared" si="144"/>
        <v>2017980.8078982313</v>
      </c>
      <c r="T259" s="38">
        <f t="shared" si="145"/>
        <v>29.5</v>
      </c>
      <c r="U259" s="3"/>
      <c r="V259" s="43">
        <f t="shared" si="174"/>
        <v>80035.171025116288</v>
      </c>
      <c r="W259" s="43">
        <f t="shared" si="174"/>
        <v>76508.197386721338</v>
      </c>
      <c r="X259" s="43">
        <f t="shared" si="174"/>
        <v>73136.649705272604</v>
      </c>
      <c r="Y259" s="43">
        <f t="shared" si="174"/>
        <v>69913.678701311437</v>
      </c>
      <c r="Z259" s="43">
        <f t="shared" si="174"/>
        <v>66832.736928033308</v>
      </c>
      <c r="AA259" s="3"/>
      <c r="AB259" s="43">
        <f t="shared" si="175"/>
        <v>6840.6129081295985</v>
      </c>
      <c r="AC259" s="43">
        <f t="shared" si="175"/>
        <v>6840.6129081295985</v>
      </c>
      <c r="AD259" s="43">
        <f t="shared" si="175"/>
        <v>6840.6129081295985</v>
      </c>
      <c r="AE259" s="43">
        <f t="shared" si="175"/>
        <v>6840.6129081295985</v>
      </c>
      <c r="AF259" s="43">
        <f t="shared" si="175"/>
        <v>6840.6129081295985</v>
      </c>
      <c r="AG259" s="3"/>
      <c r="AH259" s="43">
        <f t="shared" si="146"/>
        <v>86875.783933245883</v>
      </c>
      <c r="AI259" s="43">
        <f t="shared" si="147"/>
        <v>83348.810294850933</v>
      </c>
      <c r="AJ259" s="43">
        <f t="shared" si="148"/>
        <v>79977.262613402199</v>
      </c>
      <c r="AK259" s="43">
        <f t="shared" si="149"/>
        <v>76754.291609441032</v>
      </c>
      <c r="AL259" s="43">
        <f t="shared" si="150"/>
        <v>73673.349836162903</v>
      </c>
      <c r="AM259" s="3"/>
      <c r="AN259" s="43">
        <f t="shared" si="169"/>
        <v>1931105.0239649855</v>
      </c>
      <c r="AO259" s="43">
        <f t="shared" si="170"/>
        <v>1847756.2136701345</v>
      </c>
      <c r="AP259" s="43">
        <f t="shared" si="171"/>
        <v>1767778.9510567323</v>
      </c>
      <c r="AQ259" s="43">
        <f t="shared" si="172"/>
        <v>1691024.6594472914</v>
      </c>
      <c r="AR259" s="43">
        <f t="shared" si="173"/>
        <v>1617351.3096111284</v>
      </c>
      <c r="AS259" s="3"/>
      <c r="AT259" s="43">
        <f t="shared" si="176"/>
        <v>20807.666894142079</v>
      </c>
      <c r="AU259" s="43">
        <f t="shared" si="176"/>
        <v>22009.351272612574</v>
      </c>
      <c r="AV259" s="43">
        <f t="shared" si="176"/>
        <v>23675.018976923893</v>
      </c>
      <c r="AW259" s="43">
        <f t="shared" si="176"/>
        <v>24240.567830244654</v>
      </c>
      <c r="AX259" s="43">
        <f t="shared" si="176"/>
        <v>25061.062570162769</v>
      </c>
      <c r="AY259" s="3"/>
      <c r="AZ259" s="47">
        <f t="shared" si="151"/>
        <v>173341.02164219748</v>
      </c>
      <c r="BA259" s="47">
        <f t="shared" si="152"/>
        <v>166334.11661857794</v>
      </c>
      <c r="BB259" s="47">
        <f t="shared" si="153"/>
        <v>170827.88173048192</v>
      </c>
      <c r="BC259" s="47">
        <f t="shared" si="154"/>
        <v>165253.79649868276</v>
      </c>
      <c r="BD259" s="47">
        <f t="shared" si="155"/>
        <v>160193.76217154853</v>
      </c>
    </row>
    <row r="260" spans="2:56" s="227" customFormat="1">
      <c r="B260" s="37">
        <f>'12. Investeringen (bijschatten)'!B63</f>
        <v>44</v>
      </c>
      <c r="C260" s="48"/>
      <c r="D260" s="3"/>
      <c r="E260" s="48"/>
      <c r="F260" s="168">
        <f>'12. Investeringen (bijschatten)'!C63</f>
        <v>2389093.2206175276</v>
      </c>
      <c r="G260" s="3"/>
      <c r="H260" s="37">
        <f>'12. Investeringen (bijschatten)'!D63</f>
        <v>2021</v>
      </c>
      <c r="I260" s="37" t="str">
        <f>'12. Investeringen (bijschatten)'!E63</f>
        <v>20 Kantoorgebouwen</v>
      </c>
      <c r="J260" s="168">
        <f>_xlfn.XLOOKUP(I260,'3. Input (des)investeringen '!$B$11:$B$89,'3. Input (des)investeringen '!$D$11:$D$89)</f>
        <v>30</v>
      </c>
      <c r="M260" s="43">
        <f t="shared" si="165"/>
        <v>0</v>
      </c>
      <c r="N260" s="43">
        <f t="shared" si="166"/>
        <v>39818.220343625457</v>
      </c>
      <c r="O260" s="3"/>
      <c r="P260" s="137">
        <f t="shared" si="167"/>
        <v>0</v>
      </c>
      <c r="Q260" s="137">
        <f t="shared" si="168"/>
        <v>2349275.000273902</v>
      </c>
      <c r="R260" s="3"/>
      <c r="S260" s="43">
        <f t="shared" si="144"/>
        <v>2349275.000273902</v>
      </c>
      <c r="T260" s="38">
        <f t="shared" si="145"/>
        <v>29.5</v>
      </c>
      <c r="U260" s="3"/>
      <c r="V260" s="43">
        <f t="shared" si="174"/>
        <v>93174.635604083567</v>
      </c>
      <c r="W260" s="43">
        <f t="shared" si="174"/>
        <v>89068.634713056163</v>
      </c>
      <c r="X260" s="43">
        <f t="shared" si="174"/>
        <v>85143.576234175707</v>
      </c>
      <c r="Y260" s="43">
        <f t="shared" si="174"/>
        <v>81391.486434025603</v>
      </c>
      <c r="Z260" s="43">
        <f t="shared" si="174"/>
        <v>77804.742964051591</v>
      </c>
      <c r="AA260" s="3"/>
      <c r="AB260" s="43">
        <f t="shared" si="175"/>
        <v>7963.6440687250915</v>
      </c>
      <c r="AC260" s="43">
        <f t="shared" si="175"/>
        <v>7963.6440687250915</v>
      </c>
      <c r="AD260" s="43">
        <f t="shared" si="175"/>
        <v>7963.6440687250915</v>
      </c>
      <c r="AE260" s="43">
        <f t="shared" si="175"/>
        <v>7963.6440687250915</v>
      </c>
      <c r="AF260" s="43">
        <f t="shared" si="175"/>
        <v>7963.6440687250915</v>
      </c>
      <c r="AG260" s="3"/>
      <c r="AH260" s="43">
        <f t="shared" si="146"/>
        <v>101138.27967280865</v>
      </c>
      <c r="AI260" s="43">
        <f t="shared" si="147"/>
        <v>97032.27878178125</v>
      </c>
      <c r="AJ260" s="43">
        <f t="shared" si="148"/>
        <v>93107.220302900794</v>
      </c>
      <c r="AK260" s="43">
        <f t="shared" si="149"/>
        <v>89355.13050275069</v>
      </c>
      <c r="AL260" s="43">
        <f t="shared" si="150"/>
        <v>85768.387032776678</v>
      </c>
      <c r="AM260" s="3"/>
      <c r="AN260" s="43">
        <f t="shared" si="169"/>
        <v>2248136.7206010935</v>
      </c>
      <c r="AO260" s="43">
        <f t="shared" si="170"/>
        <v>2151104.4418193121</v>
      </c>
      <c r="AP260" s="43">
        <f t="shared" si="171"/>
        <v>2057997.2215164113</v>
      </c>
      <c r="AQ260" s="43">
        <f t="shared" si="172"/>
        <v>1968642.0910136607</v>
      </c>
      <c r="AR260" s="43">
        <f t="shared" si="173"/>
        <v>1882873.703980884</v>
      </c>
      <c r="AS260" s="3"/>
      <c r="AT260" s="43">
        <f t="shared" si="176"/>
        <v>24223.685109942882</v>
      </c>
      <c r="AU260" s="43">
        <f t="shared" si="176"/>
        <v>25622.651372412307</v>
      </c>
      <c r="AV260" s="43">
        <f t="shared" si="176"/>
        <v>27561.773628276471</v>
      </c>
      <c r="AW260" s="43">
        <f t="shared" si="176"/>
        <v>28220.169276708741</v>
      </c>
      <c r="AX260" s="43">
        <f t="shared" si="176"/>
        <v>29175.365566386776</v>
      </c>
      <c r="AY260" s="3"/>
      <c r="AZ260" s="47">
        <f t="shared" si="151"/>
        <v>201798.61328318872</v>
      </c>
      <c r="BA260" s="47">
        <f t="shared" si="152"/>
        <v>193641.37673423087</v>
      </c>
      <c r="BB260" s="47">
        <f t="shared" si="153"/>
        <v>198872.88834880089</v>
      </c>
      <c r="BC260" s="47">
        <f t="shared" si="154"/>
        <v>192383.69923797852</v>
      </c>
      <c r="BD260" s="47">
        <f t="shared" si="155"/>
        <v>186492.95335043705</v>
      </c>
    </row>
    <row r="261" spans="2:56" s="227" customFormat="1">
      <c r="B261" s="37">
        <f>'12. Investeringen (bijschatten)'!B64</f>
        <v>45</v>
      </c>
      <c r="C261" s="48"/>
      <c r="D261" s="3"/>
      <c r="E261" s="48"/>
      <c r="F261" s="168">
        <f>'12. Investeringen (bijschatten)'!C64</f>
        <v>2623152.226809788</v>
      </c>
      <c r="G261" s="3"/>
      <c r="H261" s="37">
        <f>'12. Investeringen (bijschatten)'!D64</f>
        <v>2021</v>
      </c>
      <c r="I261" s="37" t="str">
        <f>'12. Investeringen (bijschatten)'!E64</f>
        <v>21 Hoofdtransportleiding</v>
      </c>
      <c r="J261" s="168">
        <f>_xlfn.XLOOKUP(I261,'3. Input (des)investeringen '!$B$11:$B$89,'3. Input (des)investeringen '!$D$11:$D$89)</f>
        <v>55</v>
      </c>
      <c r="M261" s="43">
        <f t="shared" si="165"/>
        <v>0</v>
      </c>
      <c r="N261" s="43">
        <f t="shared" si="166"/>
        <v>23846.838425543527</v>
      </c>
      <c r="O261" s="3"/>
      <c r="P261" s="137">
        <f t="shared" si="167"/>
        <v>0</v>
      </c>
      <c r="Q261" s="137">
        <f t="shared" si="168"/>
        <v>2599305.3883842444</v>
      </c>
      <c r="R261" s="3"/>
      <c r="S261" s="43">
        <f t="shared" si="144"/>
        <v>2599305.3883842444</v>
      </c>
      <c r="T261" s="38">
        <f t="shared" si="145"/>
        <v>54.5</v>
      </c>
      <c r="U261" s="3"/>
      <c r="V261" s="43">
        <f t="shared" si="174"/>
        <v>55801.601915771862</v>
      </c>
      <c r="W261" s="43">
        <f t="shared" si="174"/>
        <v>54470.554530625006</v>
      </c>
      <c r="X261" s="43">
        <f t="shared" si="174"/>
        <v>53171.256899619264</v>
      </c>
      <c r="Y261" s="43">
        <f t="shared" si="174"/>
        <v>51902.951689169626</v>
      </c>
      <c r="Z261" s="43">
        <f t="shared" si="174"/>
        <v>50664.899630528882</v>
      </c>
      <c r="AA261" s="3"/>
      <c r="AB261" s="43">
        <f t="shared" si="175"/>
        <v>4769.3676851087057</v>
      </c>
      <c r="AC261" s="43">
        <f t="shared" si="175"/>
        <v>4769.3676851087057</v>
      </c>
      <c r="AD261" s="43">
        <f t="shared" si="175"/>
        <v>4769.3676851087057</v>
      </c>
      <c r="AE261" s="43">
        <f t="shared" si="175"/>
        <v>4769.3676851087057</v>
      </c>
      <c r="AF261" s="43">
        <f t="shared" si="175"/>
        <v>4769.3676851087057</v>
      </c>
      <c r="AG261" s="3"/>
      <c r="AH261" s="43">
        <f t="shared" si="146"/>
        <v>60570.969600880569</v>
      </c>
      <c r="AI261" s="43">
        <f t="shared" si="147"/>
        <v>59239.922215733714</v>
      </c>
      <c r="AJ261" s="43">
        <f t="shared" si="148"/>
        <v>57940.624584727972</v>
      </c>
      <c r="AK261" s="43">
        <f t="shared" si="149"/>
        <v>56672.319374278333</v>
      </c>
      <c r="AL261" s="43">
        <f t="shared" si="150"/>
        <v>55434.267315637589</v>
      </c>
      <c r="AM261" s="3"/>
      <c r="AN261" s="43">
        <f t="shared" si="169"/>
        <v>2538734.4187833639</v>
      </c>
      <c r="AO261" s="43">
        <f t="shared" si="170"/>
        <v>2479494.4965676302</v>
      </c>
      <c r="AP261" s="43">
        <f t="shared" si="171"/>
        <v>2421553.8719829023</v>
      </c>
      <c r="AQ261" s="43">
        <f t="shared" si="172"/>
        <v>2364881.5526086241</v>
      </c>
      <c r="AR261" s="43">
        <f t="shared" si="173"/>
        <v>2309447.2852929863</v>
      </c>
      <c r="AS261" s="3"/>
      <c r="AT261" s="43">
        <f t="shared" si="176"/>
        <v>26596.874910247949</v>
      </c>
      <c r="AU261" s="43">
        <f t="shared" si="176"/>
        <v>28132.897630064592</v>
      </c>
      <c r="AV261" s="43">
        <f t="shared" si="176"/>
        <v>30261.995322707877</v>
      </c>
      <c r="AW261" s="43">
        <f t="shared" si="176"/>
        <v>30984.893866976723</v>
      </c>
      <c r="AX261" s="43">
        <f t="shared" si="176"/>
        <v>32033.670554586148</v>
      </c>
      <c r="AY261" s="3"/>
      <c r="AZ261" s="47">
        <f t="shared" si="151"/>
        <v>173484.81474976291</v>
      </c>
      <c r="BA261" s="47">
        <f t="shared" si="152"/>
        <v>169196.13823253012</v>
      </c>
      <c r="BB261" s="47">
        <f t="shared" si="153"/>
        <v>180221.66704278611</v>
      </c>
      <c r="BC261" s="47">
        <f t="shared" si="154"/>
        <v>177522.71224038277</v>
      </c>
      <c r="BD261" s="47">
        <f t="shared" si="155"/>
        <v>175226.93471135723</v>
      </c>
    </row>
    <row r="262" spans="2:56" s="227" customFormat="1">
      <c r="B262" s="37">
        <f>'12. Investeringen (bijschatten)'!B65</f>
        <v>46</v>
      </c>
      <c r="C262" s="48"/>
      <c r="D262" s="3"/>
      <c r="E262" s="48"/>
      <c r="F262" s="168">
        <f>'12. Investeringen (bijschatten)'!C65</f>
        <v>1633023.1294499158</v>
      </c>
      <c r="G262" s="3"/>
      <c r="H262" s="37">
        <f>'12. Investeringen (bijschatten)'!D65</f>
        <v>2021</v>
      </c>
      <c r="I262" s="37" t="str">
        <f>'12. Investeringen (bijschatten)'!E65</f>
        <v>21 Hoofdtransportleiding (EHD)</v>
      </c>
      <c r="J262" s="168">
        <f>_xlfn.XLOOKUP(I262,'3. Input (des)investeringen '!$B$11:$B$89,'3. Input (des)investeringen '!$D$11:$D$89)</f>
        <v>55</v>
      </c>
      <c r="M262" s="43">
        <f t="shared" si="165"/>
        <v>0</v>
      </c>
      <c r="N262" s="43">
        <f t="shared" si="166"/>
        <v>14845.664813181053</v>
      </c>
      <c r="O262" s="3"/>
      <c r="P262" s="137">
        <f t="shared" si="167"/>
        <v>0</v>
      </c>
      <c r="Q262" s="137">
        <f t="shared" si="168"/>
        <v>1618177.4646367347</v>
      </c>
      <c r="R262" s="3"/>
      <c r="S262" s="43">
        <f t="shared" si="144"/>
        <v>1618177.4646367347</v>
      </c>
      <c r="T262" s="38">
        <f t="shared" si="145"/>
        <v>54.5</v>
      </c>
      <c r="U262" s="3"/>
      <c r="V262" s="43">
        <f t="shared" si="174"/>
        <v>34738.855662843664</v>
      </c>
      <c r="W262" s="43">
        <f t="shared" si="174"/>
        <v>33910.222408500602</v>
      </c>
      <c r="X262" s="43">
        <f t="shared" si="174"/>
        <v>33101.354718022609</v>
      </c>
      <c r="Y262" s="43">
        <f t="shared" si="174"/>
        <v>32311.781119244093</v>
      </c>
      <c r="Z262" s="43">
        <f t="shared" si="174"/>
        <v>31541.041386124507</v>
      </c>
      <c r="AA262" s="3"/>
      <c r="AB262" s="43">
        <f t="shared" si="175"/>
        <v>2969.1329626362108</v>
      </c>
      <c r="AC262" s="43">
        <f t="shared" si="175"/>
        <v>2969.1329626362108</v>
      </c>
      <c r="AD262" s="43">
        <f t="shared" si="175"/>
        <v>2969.1329626362108</v>
      </c>
      <c r="AE262" s="43">
        <f t="shared" si="175"/>
        <v>2969.1329626362108</v>
      </c>
      <c r="AF262" s="43">
        <f t="shared" si="175"/>
        <v>2969.1329626362108</v>
      </c>
      <c r="AG262" s="3"/>
      <c r="AH262" s="43">
        <f t="shared" si="146"/>
        <v>37707.988625479877</v>
      </c>
      <c r="AI262" s="43">
        <f t="shared" si="147"/>
        <v>36879.355371136815</v>
      </c>
      <c r="AJ262" s="43">
        <f t="shared" si="148"/>
        <v>36070.487680658822</v>
      </c>
      <c r="AK262" s="43">
        <f t="shared" si="149"/>
        <v>35280.914081880306</v>
      </c>
      <c r="AL262" s="43">
        <f t="shared" si="150"/>
        <v>34510.174348760716</v>
      </c>
      <c r="AM262" s="3"/>
      <c r="AN262" s="43">
        <f t="shared" si="169"/>
        <v>1580469.4760112548</v>
      </c>
      <c r="AO262" s="43">
        <f t="shared" si="170"/>
        <v>1543590.1206401179</v>
      </c>
      <c r="AP262" s="43">
        <f t="shared" si="171"/>
        <v>1507519.632959459</v>
      </c>
      <c r="AQ262" s="43">
        <f t="shared" si="172"/>
        <v>1472238.7188775786</v>
      </c>
      <c r="AR262" s="43">
        <f t="shared" si="173"/>
        <v>1437728.544528818</v>
      </c>
      <c r="AS262" s="3"/>
      <c r="AT262" s="43">
        <f t="shared" si="176"/>
        <v>16557.678755968944</v>
      </c>
      <c r="AU262" s="43">
        <f t="shared" si="176"/>
        <v>17513.91781948366</v>
      </c>
      <c r="AV262" s="43">
        <f t="shared" si="176"/>
        <v>18839.371120062184</v>
      </c>
      <c r="AW262" s="43">
        <f t="shared" si="176"/>
        <v>19289.406017378231</v>
      </c>
      <c r="AX262" s="43">
        <f t="shared" si="176"/>
        <v>19942.313832254451</v>
      </c>
      <c r="AY262" s="3"/>
      <c r="AZ262" s="47">
        <f t="shared" si="151"/>
        <v>108001.62956583149</v>
      </c>
      <c r="BA262" s="47">
        <f t="shared" si="152"/>
        <v>105331.74717174437</v>
      </c>
      <c r="BB262" s="47">
        <f t="shared" si="153"/>
        <v>112195.60485318044</v>
      </c>
      <c r="BC262" s="47">
        <f t="shared" si="154"/>
        <v>110515.39141660652</v>
      </c>
      <c r="BD262" s="47">
        <f t="shared" si="155"/>
        <v>109086.17287311026</v>
      </c>
    </row>
    <row r="263" spans="2:56" s="227" customFormat="1">
      <c r="B263" s="37">
        <f>'12. Investeringen (bijschatten)'!B66</f>
        <v>47</v>
      </c>
      <c r="C263" s="48"/>
      <c r="D263" s="3"/>
      <c r="E263" s="48"/>
      <c r="F263" s="168">
        <f>'12. Investeringen (bijschatten)'!C66</f>
        <v>1234463.3646877934</v>
      </c>
      <c r="G263" s="3"/>
      <c r="H263" s="37">
        <f>'12. Investeringen (bijschatten)'!D66</f>
        <v>2021</v>
      </c>
      <c r="I263" s="37" t="str">
        <f>'12. Investeringen (bijschatten)'!E66</f>
        <v>32 M&amp;R stations</v>
      </c>
      <c r="J263" s="168">
        <f>_xlfn.XLOOKUP(I263,'3. Input (des)investeringen '!$B$11:$B$89,'3. Input (des)investeringen '!$D$11:$D$89)</f>
        <v>30</v>
      </c>
      <c r="M263" s="43">
        <f t="shared" si="165"/>
        <v>0</v>
      </c>
      <c r="N263" s="43">
        <f t="shared" si="166"/>
        <v>20574.389411463224</v>
      </c>
      <c r="O263" s="3"/>
      <c r="P263" s="137">
        <f t="shared" si="167"/>
        <v>0</v>
      </c>
      <c r="Q263" s="137">
        <f t="shared" si="168"/>
        <v>1213888.9752763303</v>
      </c>
      <c r="R263" s="3"/>
      <c r="S263" s="43">
        <f t="shared" si="144"/>
        <v>1213888.9752763303</v>
      </c>
      <c r="T263" s="38">
        <f t="shared" si="145"/>
        <v>29.5</v>
      </c>
      <c r="U263" s="3"/>
      <c r="V263" s="43">
        <f t="shared" si="174"/>
        <v>48144.071222823943</v>
      </c>
      <c r="W263" s="43">
        <f t="shared" si="174"/>
        <v>46022.46808419103</v>
      </c>
      <c r="X263" s="43">
        <f t="shared" si="174"/>
        <v>43994.359321158874</v>
      </c>
      <c r="Y263" s="43">
        <f t="shared" si="174"/>
        <v>42055.624842599333</v>
      </c>
      <c r="Z263" s="43">
        <f t="shared" si="174"/>
        <v>40202.326120722071</v>
      </c>
      <c r="AA263" s="3"/>
      <c r="AB263" s="43">
        <f t="shared" si="175"/>
        <v>4114.8778822926452</v>
      </c>
      <c r="AC263" s="43">
        <f t="shared" si="175"/>
        <v>4114.8778822926452</v>
      </c>
      <c r="AD263" s="43">
        <f t="shared" si="175"/>
        <v>4114.8778822926452</v>
      </c>
      <c r="AE263" s="43">
        <f t="shared" si="175"/>
        <v>4114.8778822926452</v>
      </c>
      <c r="AF263" s="43">
        <f t="shared" si="175"/>
        <v>4114.8778822926452</v>
      </c>
      <c r="AG263" s="3"/>
      <c r="AH263" s="43">
        <f t="shared" si="146"/>
        <v>52258.94910511659</v>
      </c>
      <c r="AI263" s="43">
        <f t="shared" si="147"/>
        <v>50137.345966483677</v>
      </c>
      <c r="AJ263" s="43">
        <f t="shared" si="148"/>
        <v>48109.237203451521</v>
      </c>
      <c r="AK263" s="43">
        <f t="shared" si="149"/>
        <v>46170.50272489198</v>
      </c>
      <c r="AL263" s="43">
        <f t="shared" si="150"/>
        <v>44317.204003014718</v>
      </c>
      <c r="AM263" s="3"/>
      <c r="AN263" s="43">
        <f t="shared" si="169"/>
        <v>1161630.0261712137</v>
      </c>
      <c r="AO263" s="43">
        <f t="shared" si="170"/>
        <v>1111492.68020473</v>
      </c>
      <c r="AP263" s="43">
        <f t="shared" si="171"/>
        <v>1063383.4430012784</v>
      </c>
      <c r="AQ263" s="43">
        <f t="shared" si="172"/>
        <v>1017212.9402763864</v>
      </c>
      <c r="AR263" s="43">
        <f t="shared" si="173"/>
        <v>972895.73627337173</v>
      </c>
      <c r="AS263" s="3"/>
      <c r="AT263" s="43">
        <f t="shared" si="176"/>
        <v>12516.569704311651</v>
      </c>
      <c r="AU263" s="43">
        <f t="shared" si="176"/>
        <v>13239.426637875056</v>
      </c>
      <c r="AV263" s="43">
        <f t="shared" si="176"/>
        <v>14241.386445829443</v>
      </c>
      <c r="AW263" s="43">
        <f t="shared" si="176"/>
        <v>14581.584685247415</v>
      </c>
      <c r="AX263" s="43">
        <f t="shared" si="176"/>
        <v>15075.14216367367</v>
      </c>
      <c r="AY263" s="3"/>
      <c r="AZ263" s="47">
        <f t="shared" si="151"/>
        <v>104270.9396992495</v>
      </c>
      <c r="BA263" s="47">
        <f t="shared" si="152"/>
        <v>100056.03105111484</v>
      </c>
      <c r="BB263" s="47">
        <f t="shared" si="153"/>
        <v>102759.19448332954</v>
      </c>
      <c r="BC263" s="47">
        <f t="shared" si="154"/>
        <v>99406.179140642082</v>
      </c>
      <c r="BD263" s="47">
        <f t="shared" si="155"/>
        <v>96362.384145076503</v>
      </c>
    </row>
    <row r="264" spans="2:56" s="227" customFormat="1">
      <c r="B264" s="37">
        <f>'12. Investeringen (bijschatten)'!B67</f>
        <v>48</v>
      </c>
      <c r="C264" s="48"/>
      <c r="D264" s="3"/>
      <c r="E264" s="48"/>
      <c r="F264" s="168">
        <f>'12. Investeringen (bijschatten)'!C67</f>
        <v>374278.37821483467</v>
      </c>
      <c r="G264" s="3"/>
      <c r="H264" s="37">
        <f>'12. Investeringen (bijschatten)'!D67</f>
        <v>2021</v>
      </c>
      <c r="I264" s="37" t="str">
        <f>'12. Investeringen (bijschatten)'!E67</f>
        <v>33 Exportstations</v>
      </c>
      <c r="J264" s="168">
        <f>_xlfn.XLOOKUP(I264,'3. Input (des)investeringen '!$B$11:$B$89,'3. Input (des)investeringen '!$D$11:$D$89)</f>
        <v>30</v>
      </c>
      <c r="M264" s="43">
        <f t="shared" si="165"/>
        <v>0</v>
      </c>
      <c r="N264" s="43">
        <f t="shared" si="166"/>
        <v>6237.9729702472441</v>
      </c>
      <c r="O264" s="3"/>
      <c r="P264" s="137">
        <f t="shared" si="167"/>
        <v>0</v>
      </c>
      <c r="Q264" s="137">
        <f t="shared" si="168"/>
        <v>368040.4052445874</v>
      </c>
      <c r="R264" s="3"/>
      <c r="S264" s="43">
        <f t="shared" si="144"/>
        <v>368040.4052445874</v>
      </c>
      <c r="T264" s="38">
        <f t="shared" si="145"/>
        <v>29.5</v>
      </c>
      <c r="U264" s="3"/>
      <c r="V264" s="43">
        <f t="shared" si="174"/>
        <v>14596.856750378551</v>
      </c>
      <c r="W264" s="43">
        <f t="shared" si="174"/>
        <v>13953.605435955089</v>
      </c>
      <c r="X264" s="43">
        <f t="shared" si="174"/>
        <v>13338.700789624863</v>
      </c>
      <c r="Y264" s="43">
        <f t="shared" si="174"/>
        <v>12750.893636183768</v>
      </c>
      <c r="Z264" s="43">
        <f t="shared" si="174"/>
        <v>12188.989848826517</v>
      </c>
      <c r="AA264" s="3"/>
      <c r="AB264" s="43">
        <f t="shared" si="175"/>
        <v>1247.5945940494487</v>
      </c>
      <c r="AC264" s="43">
        <f t="shared" si="175"/>
        <v>1247.5945940494487</v>
      </c>
      <c r="AD264" s="43">
        <f t="shared" si="175"/>
        <v>1247.5945940494487</v>
      </c>
      <c r="AE264" s="43">
        <f t="shared" si="175"/>
        <v>1247.5945940494487</v>
      </c>
      <c r="AF264" s="43">
        <f t="shared" si="175"/>
        <v>1247.5945940494487</v>
      </c>
      <c r="AG264" s="3"/>
      <c r="AH264" s="43">
        <f t="shared" si="146"/>
        <v>15844.451344428</v>
      </c>
      <c r="AI264" s="43">
        <f t="shared" si="147"/>
        <v>15201.200030004538</v>
      </c>
      <c r="AJ264" s="43">
        <f t="shared" si="148"/>
        <v>14586.295383674313</v>
      </c>
      <c r="AK264" s="43">
        <f t="shared" si="149"/>
        <v>13998.488230233217</v>
      </c>
      <c r="AL264" s="43">
        <f t="shared" si="150"/>
        <v>13436.584442875966</v>
      </c>
      <c r="AM264" s="3"/>
      <c r="AN264" s="43">
        <f t="shared" si="169"/>
        <v>352195.95390015939</v>
      </c>
      <c r="AO264" s="43">
        <f t="shared" si="170"/>
        <v>336994.75387015485</v>
      </c>
      <c r="AP264" s="43">
        <f t="shared" si="171"/>
        <v>322408.45848648052</v>
      </c>
      <c r="AQ264" s="43">
        <f t="shared" si="172"/>
        <v>308409.97025624732</v>
      </c>
      <c r="AR264" s="43">
        <f t="shared" si="173"/>
        <v>294973.38581337134</v>
      </c>
      <c r="AS264" s="3"/>
      <c r="AT264" s="43">
        <f t="shared" si="176"/>
        <v>3794.9132746661089</v>
      </c>
      <c r="AU264" s="43">
        <f t="shared" si="176"/>
        <v>4014.0771061046257</v>
      </c>
      <c r="AV264" s="43">
        <f t="shared" si="176"/>
        <v>4317.8624614946239</v>
      </c>
      <c r="AW264" s="43">
        <f t="shared" si="176"/>
        <v>4421.0075599748079</v>
      </c>
      <c r="AX264" s="43">
        <f t="shared" si="176"/>
        <v>4570.6498238648355</v>
      </c>
      <c r="AY264" s="3"/>
      <c r="AZ264" s="47">
        <f t="shared" si="151"/>
        <v>31614.02705169953</v>
      </c>
      <c r="BA264" s="47">
        <f t="shared" si="152"/>
        <v>30336.104013824275</v>
      </c>
      <c r="BB264" s="47">
        <f t="shared" si="153"/>
        <v>31155.679267655196</v>
      </c>
      <c r="BC264" s="47">
        <f t="shared" si="154"/>
        <v>30139.074659945421</v>
      </c>
      <c r="BD264" s="47">
        <f t="shared" si="155"/>
        <v>29216.222927648912</v>
      </c>
    </row>
    <row r="265" spans="2:56" s="227" customFormat="1">
      <c r="B265" s="37">
        <f>'12. Investeringen (bijschatten)'!B68</f>
        <v>49</v>
      </c>
      <c r="C265" s="48"/>
      <c r="D265" s="3"/>
      <c r="E265" s="48"/>
      <c r="F265" s="168">
        <f>'12. Investeringen (bijschatten)'!C68</f>
        <v>889564.28597105667</v>
      </c>
      <c r="G265" s="3"/>
      <c r="H265" s="37">
        <f>'12. Investeringen (bijschatten)'!D68</f>
        <v>2021</v>
      </c>
      <c r="I265" s="37" t="str">
        <f>'12. Investeringen (bijschatten)'!E68</f>
        <v>34 Reduceerstations</v>
      </c>
      <c r="J265" s="168">
        <f>_xlfn.XLOOKUP(I265,'3. Input (des)investeringen '!$B$11:$B$89,'3. Input (des)investeringen '!$D$11:$D$89)</f>
        <v>30</v>
      </c>
      <c r="M265" s="43">
        <f t="shared" si="165"/>
        <v>0</v>
      </c>
      <c r="N265" s="43">
        <f t="shared" si="166"/>
        <v>14826.071432850944</v>
      </c>
      <c r="O265" s="3"/>
      <c r="P265" s="137">
        <f t="shared" si="167"/>
        <v>0</v>
      </c>
      <c r="Q265" s="137">
        <f t="shared" si="168"/>
        <v>874738.21453820576</v>
      </c>
      <c r="R265" s="3"/>
      <c r="S265" s="43">
        <f t="shared" si="144"/>
        <v>874738.21453820576</v>
      </c>
      <c r="T265" s="38">
        <f t="shared" si="145"/>
        <v>29.5</v>
      </c>
      <c r="U265" s="3"/>
      <c r="V265" s="43">
        <f t="shared" si="174"/>
        <v>34693.007152871214</v>
      </c>
      <c r="W265" s="43">
        <f t="shared" si="174"/>
        <v>33164.162769863324</v>
      </c>
      <c r="X265" s="43">
        <f t="shared" si="174"/>
        <v>31702.691190174432</v>
      </c>
      <c r="Y265" s="43">
        <f t="shared" si="174"/>
        <v>30305.623442810815</v>
      </c>
      <c r="Z265" s="43">
        <f t="shared" si="174"/>
        <v>28970.121392788642</v>
      </c>
      <c r="AA265" s="3"/>
      <c r="AB265" s="43">
        <f t="shared" si="175"/>
        <v>2965.214286570189</v>
      </c>
      <c r="AC265" s="43">
        <f t="shared" si="175"/>
        <v>2965.214286570189</v>
      </c>
      <c r="AD265" s="43">
        <f t="shared" si="175"/>
        <v>2965.214286570189</v>
      </c>
      <c r="AE265" s="43">
        <f t="shared" si="175"/>
        <v>2965.214286570189</v>
      </c>
      <c r="AF265" s="43">
        <f t="shared" si="175"/>
        <v>2965.214286570189</v>
      </c>
      <c r="AG265" s="3"/>
      <c r="AH265" s="43">
        <f t="shared" si="146"/>
        <v>37658.221439441404</v>
      </c>
      <c r="AI265" s="43">
        <f t="shared" si="147"/>
        <v>36129.377056433514</v>
      </c>
      <c r="AJ265" s="43">
        <f t="shared" si="148"/>
        <v>34667.905476744621</v>
      </c>
      <c r="AK265" s="43">
        <f t="shared" si="149"/>
        <v>33270.837729381004</v>
      </c>
      <c r="AL265" s="43">
        <f t="shared" si="150"/>
        <v>31935.335679358832</v>
      </c>
      <c r="AM265" s="3"/>
      <c r="AN265" s="43">
        <f t="shared" si="169"/>
        <v>837079.99309876433</v>
      </c>
      <c r="AO265" s="43">
        <f t="shared" si="170"/>
        <v>800950.61604233086</v>
      </c>
      <c r="AP265" s="43">
        <f t="shared" si="171"/>
        <v>766282.71056558623</v>
      </c>
      <c r="AQ265" s="43">
        <f t="shared" si="172"/>
        <v>733011.87283620518</v>
      </c>
      <c r="AR265" s="43">
        <f t="shared" si="173"/>
        <v>701076.53715684637</v>
      </c>
      <c r="AS265" s="3"/>
      <c r="AT265" s="43">
        <f t="shared" si="176"/>
        <v>9019.5413734606154</v>
      </c>
      <c r="AU265" s="43">
        <f t="shared" si="176"/>
        <v>9540.4379268607136</v>
      </c>
      <c r="AV265" s="43">
        <f t="shared" si="176"/>
        <v>10262.458269165532</v>
      </c>
      <c r="AW265" s="43">
        <f t="shared" si="176"/>
        <v>10507.607872299359</v>
      </c>
      <c r="AX265" s="43">
        <f t="shared" si="176"/>
        <v>10863.269383560948</v>
      </c>
      <c r="AY265" s="3"/>
      <c r="AZ265" s="47">
        <f t="shared" si="151"/>
        <v>75138.482578260009</v>
      </c>
      <c r="BA265" s="47">
        <f t="shared" si="152"/>
        <v>72101.185312691145</v>
      </c>
      <c r="BB265" s="47">
        <f t="shared" si="153"/>
        <v>74049.106747402431</v>
      </c>
      <c r="BC265" s="47">
        <f t="shared" si="154"/>
        <v>71632.896769456158</v>
      </c>
      <c r="BD265" s="47">
        <f t="shared" si="155"/>
        <v>69439.513474879946</v>
      </c>
    </row>
    <row r="266" spans="2:56" s="227" customFormat="1">
      <c r="B266" s="37">
        <f>'12. Investeringen (bijschatten)'!B69</f>
        <v>50</v>
      </c>
      <c r="C266" s="48"/>
      <c r="D266" s="3"/>
      <c r="E266" s="48"/>
      <c r="F266" s="168">
        <f>'12. Investeringen (bijschatten)'!C69</f>
        <v>21.673674251477685</v>
      </c>
      <c r="G266" s="3"/>
      <c r="H266" s="37">
        <f>'12. Investeringen (bijschatten)'!D69</f>
        <v>2021</v>
      </c>
      <c r="I266" s="37" t="str">
        <f>'12. Investeringen (bijschatten)'!E69</f>
        <v>34 Reduceerstations (EHD)</v>
      </c>
      <c r="J266" s="168">
        <f>_xlfn.XLOOKUP(I266,'3. Input (des)investeringen '!$B$11:$B$89,'3. Input (des)investeringen '!$D$11:$D$89)</f>
        <v>30</v>
      </c>
      <c r="M266" s="43">
        <f t="shared" si="165"/>
        <v>0</v>
      </c>
      <c r="N266" s="43">
        <f t="shared" si="166"/>
        <v>0.36122790419129475</v>
      </c>
      <c r="O266" s="3"/>
      <c r="P266" s="137">
        <f t="shared" si="167"/>
        <v>0</v>
      </c>
      <c r="Q266" s="137">
        <f t="shared" si="168"/>
        <v>21.312446347286389</v>
      </c>
      <c r="R266" s="3"/>
      <c r="S266" s="43">
        <f t="shared" si="144"/>
        <v>21.312446347286389</v>
      </c>
      <c r="T266" s="38">
        <f t="shared" si="145"/>
        <v>29.5</v>
      </c>
      <c r="U266" s="3"/>
      <c r="V266" s="43">
        <f t="shared" si="174"/>
        <v>0.84527329580762967</v>
      </c>
      <c r="W266" s="43">
        <f t="shared" si="174"/>
        <v>0.80802396412797139</v>
      </c>
      <c r="X266" s="43">
        <f t="shared" si="174"/>
        <v>0.77241612842063712</v>
      </c>
      <c r="Y266" s="43">
        <f t="shared" si="174"/>
        <v>0.7383774515749818</v>
      </c>
      <c r="Z266" s="43">
        <f t="shared" si="174"/>
        <v>0.70583878421744017</v>
      </c>
      <c r="AA266" s="3"/>
      <c r="AB266" s="43">
        <f t="shared" si="175"/>
        <v>7.2245580838258952E-2</v>
      </c>
      <c r="AC266" s="43">
        <f t="shared" si="175"/>
        <v>7.2245580838258952E-2</v>
      </c>
      <c r="AD266" s="43">
        <f t="shared" si="175"/>
        <v>7.2245580838258952E-2</v>
      </c>
      <c r="AE266" s="43">
        <f t="shared" si="175"/>
        <v>7.2245580838258952E-2</v>
      </c>
      <c r="AF266" s="43">
        <f t="shared" si="175"/>
        <v>7.2245580838258952E-2</v>
      </c>
      <c r="AG266" s="3"/>
      <c r="AH266" s="43">
        <f t="shared" si="146"/>
        <v>0.9175188766458886</v>
      </c>
      <c r="AI266" s="43">
        <f t="shared" si="147"/>
        <v>0.88026954496623033</v>
      </c>
      <c r="AJ266" s="43">
        <f t="shared" si="148"/>
        <v>0.84466170925889605</v>
      </c>
      <c r="AK266" s="43">
        <f t="shared" si="149"/>
        <v>0.81062303241324074</v>
      </c>
      <c r="AL266" s="43">
        <f t="shared" si="150"/>
        <v>0.77808436505569911</v>
      </c>
      <c r="AM266" s="3"/>
      <c r="AN266" s="43">
        <f t="shared" si="169"/>
        <v>20.3949274706405</v>
      </c>
      <c r="AO266" s="43">
        <f t="shared" si="170"/>
        <v>19.514657925674271</v>
      </c>
      <c r="AP266" s="43">
        <f t="shared" si="171"/>
        <v>18.669996216415374</v>
      </c>
      <c r="AQ266" s="43">
        <f t="shared" si="172"/>
        <v>17.859373184002134</v>
      </c>
      <c r="AR266" s="43">
        <f t="shared" si="173"/>
        <v>17.081288818946437</v>
      </c>
      <c r="AS266" s="3"/>
      <c r="AT266" s="43">
        <f t="shared" si="176"/>
        <v>0.21975545186452269</v>
      </c>
      <c r="AU266" s="43">
        <f t="shared" si="176"/>
        <v>0.23244676872060258</v>
      </c>
      <c r="AV266" s="43">
        <f t="shared" si="176"/>
        <v>0.2500383401773778</v>
      </c>
      <c r="AW266" s="43">
        <f t="shared" si="176"/>
        <v>0.256011256047535</v>
      </c>
      <c r="AX266" s="43">
        <f t="shared" si="176"/>
        <v>0.26467672504223194</v>
      </c>
      <c r="AY266" s="3"/>
      <c r="AZ266" s="47">
        <f t="shared" si="151"/>
        <v>1.8307018625121882</v>
      </c>
      <c r="BA266" s="47">
        <f t="shared" si="152"/>
        <v>1.7567000252340841</v>
      </c>
      <c r="BB266" s="47">
        <f t="shared" si="153"/>
        <v>1.8041599056600579</v>
      </c>
      <c r="BC266" s="47">
        <f t="shared" si="154"/>
        <v>1.7452904694528566</v>
      </c>
      <c r="BD266" s="47">
        <f t="shared" si="155"/>
        <v>1.6918500652178956</v>
      </c>
    </row>
    <row r="267" spans="2:56" s="227" customFormat="1">
      <c r="B267" s="37">
        <f>'12. Investeringen (bijschatten)'!B70</f>
        <v>51</v>
      </c>
      <c r="C267" s="48"/>
      <c r="D267" s="3"/>
      <c r="E267" s="48"/>
      <c r="F267" s="168">
        <f>'12. Investeringen (bijschatten)'!C70</f>
        <v>66907.138099665128</v>
      </c>
      <c r="G267" s="3"/>
      <c r="H267" s="37">
        <f>'12. Investeringen (bijschatten)'!D70</f>
        <v>2021</v>
      </c>
      <c r="I267" s="37" t="str">
        <f>'12. Investeringen (bijschatten)'!E70</f>
        <v>36 Luchtscheidingsunit</v>
      </c>
      <c r="J267" s="168">
        <f>_xlfn.XLOOKUP(I267,'3. Input (des)investeringen '!$B$11:$B$89,'3. Input (des)investeringen '!$D$11:$D$89)</f>
        <v>30</v>
      </c>
      <c r="M267" s="43">
        <f t="shared" si="165"/>
        <v>0</v>
      </c>
      <c r="N267" s="43">
        <f t="shared" si="166"/>
        <v>1115.1189683277521</v>
      </c>
      <c r="O267" s="3"/>
      <c r="P267" s="137">
        <f t="shared" si="167"/>
        <v>0</v>
      </c>
      <c r="Q267" s="137">
        <f t="shared" si="168"/>
        <v>65792.01913133738</v>
      </c>
      <c r="R267" s="3"/>
      <c r="S267" s="43">
        <f t="shared" si="144"/>
        <v>65792.01913133738</v>
      </c>
      <c r="T267" s="38">
        <f t="shared" si="145"/>
        <v>29.5</v>
      </c>
      <c r="U267" s="3"/>
      <c r="V267" s="43">
        <f t="shared" ref="V267:Z276" si="177">IF($J267=0, 0, IF(OR($H267&gt;V$59,$H267+$J267&lt;V$59),0,
IF(OR($H267=2020,$H267=2021),VDB(ABS($S267)*(1-$F$28),0,$T267,V$59-2022,MIN($T267,V$59-2021),$F$22),
VDB(ABS($S267)*(1-$F$28),0,$T267,MAX(0,V$59-$H267-0.5),MIN($T267,V$59-$H267+0.5),$F$22,FALSE))))*IF($F267&lt;0,-1,1)</f>
        <v>2609.3783858869401</v>
      </c>
      <c r="W267" s="43">
        <f t="shared" si="177"/>
        <v>2494.3888298987022</v>
      </c>
      <c r="X267" s="43">
        <f t="shared" si="177"/>
        <v>2384.4666102760475</v>
      </c>
      <c r="Y267" s="43">
        <f t="shared" si="177"/>
        <v>2279.3884206706625</v>
      </c>
      <c r="Z267" s="43">
        <f t="shared" si="177"/>
        <v>2178.9407953529721</v>
      </c>
      <c r="AA267" s="3"/>
      <c r="AB267" s="43">
        <f t="shared" ref="AB267:AF276" si="178">IF($J267 = 0, 0, IF(OR($H267&gt;AB$59,$H267+$J267&lt;AB$59),0,
IF(OR($H267=2020,$H267=2021),VDB(ABS($S267)*$F$28,0,$T267,AB$59-2022,MIN($T267,AB$59-2021),1),
VDB(ABS($S267)*$F$28,0,$T267,MAX(0,AB$59-$H267-0.5),MIN($T267,AB$59-$H267+0.5),1))))*IF($F267&lt;0,-1,1)</f>
        <v>223.02379366555044</v>
      </c>
      <c r="AC267" s="43">
        <f t="shared" si="178"/>
        <v>223.02379366555044</v>
      </c>
      <c r="AD267" s="43">
        <f t="shared" si="178"/>
        <v>223.02379366555044</v>
      </c>
      <c r="AE267" s="43">
        <f t="shared" si="178"/>
        <v>223.02379366555044</v>
      </c>
      <c r="AF267" s="43">
        <f t="shared" si="178"/>
        <v>223.02379366555044</v>
      </c>
      <c r="AG267" s="3"/>
      <c r="AH267" s="43">
        <f t="shared" si="146"/>
        <v>2832.4021795524905</v>
      </c>
      <c r="AI267" s="43">
        <f t="shared" si="147"/>
        <v>2717.4126235642525</v>
      </c>
      <c r="AJ267" s="43">
        <f t="shared" si="148"/>
        <v>2607.4904039415978</v>
      </c>
      <c r="AK267" s="43">
        <f t="shared" si="149"/>
        <v>2502.4122143362129</v>
      </c>
      <c r="AL267" s="43">
        <f t="shared" si="150"/>
        <v>2401.9645890185225</v>
      </c>
      <c r="AM267" s="3"/>
      <c r="AN267" s="43">
        <f t="shared" si="169"/>
        <v>62959.61695178489</v>
      </c>
      <c r="AO267" s="43">
        <f t="shared" si="170"/>
        <v>60242.204328220636</v>
      </c>
      <c r="AP267" s="43">
        <f t="shared" si="171"/>
        <v>57634.713924279036</v>
      </c>
      <c r="AQ267" s="43">
        <f t="shared" si="172"/>
        <v>55132.301709942825</v>
      </c>
      <c r="AR267" s="43">
        <f t="shared" si="173"/>
        <v>52730.337120924305</v>
      </c>
      <c r="AS267" s="3"/>
      <c r="AT267" s="43">
        <f t="shared" ref="AT267:AX276" si="179">IF($H267&lt;=AT$215,$F267*INDEX($H$40:$N$46,$H267-2019,AT$215-2019)*INDEX($H$49:$N$55,$H267-2019,AT$215-2019)*$F$19,0)</f>
        <v>678.39020719117264</v>
      </c>
      <c r="AU267" s="43">
        <f t="shared" si="179"/>
        <v>717.56859843687721</v>
      </c>
      <c r="AV267" s="43">
        <f t="shared" si="179"/>
        <v>771.87418996658016</v>
      </c>
      <c r="AW267" s="43">
        <f t="shared" si="179"/>
        <v>790.31272061650179</v>
      </c>
      <c r="AX267" s="43">
        <f t="shared" si="179"/>
        <v>817.06322558392912</v>
      </c>
      <c r="AY267" s="3"/>
      <c r="AZ267" s="47">
        <f t="shared" si="151"/>
        <v>5651.419363104349</v>
      </c>
      <c r="BA267" s="47">
        <f t="shared" si="152"/>
        <v>5422.9739648324112</v>
      </c>
      <c r="BB267" s="47">
        <f t="shared" si="153"/>
        <v>5569.4837230307812</v>
      </c>
      <c r="BC267" s="47">
        <f t="shared" si="154"/>
        <v>5387.7523999305422</v>
      </c>
      <c r="BD267" s="47">
        <f t="shared" si="155"/>
        <v>5222.7806251975753</v>
      </c>
    </row>
    <row r="268" spans="2:56" s="227" customFormat="1">
      <c r="B268" s="37">
        <f>'12. Investeringen (bijschatten)'!B71</f>
        <v>52</v>
      </c>
      <c r="C268" s="48"/>
      <c r="D268" s="3"/>
      <c r="E268" s="48"/>
      <c r="F268" s="168">
        <f>'12. Investeringen (bijschatten)'!C71</f>
        <v>8176022.9143784875</v>
      </c>
      <c r="G268" s="3"/>
      <c r="H268" s="37">
        <f>'12. Investeringen (bijschatten)'!D71</f>
        <v>2021</v>
      </c>
      <c r="I268" s="37" t="str">
        <f>'12. Investeringen (bijschatten)'!E71</f>
        <v>37 ICT middelen 1</v>
      </c>
      <c r="J268" s="168">
        <f>_xlfn.XLOOKUP(I268,'3. Input (des)investeringen '!$B$11:$B$89,'3. Input (des)investeringen '!$D$11:$D$89)</f>
        <v>5</v>
      </c>
      <c r="M268" s="43">
        <f t="shared" si="165"/>
        <v>0</v>
      </c>
      <c r="N268" s="43">
        <f t="shared" si="166"/>
        <v>817602.29143784882</v>
      </c>
      <c r="O268" s="3"/>
      <c r="P268" s="137">
        <f t="shared" si="167"/>
        <v>0</v>
      </c>
      <c r="Q268" s="137">
        <f t="shared" si="168"/>
        <v>7358420.622940639</v>
      </c>
      <c r="R268" s="3"/>
      <c r="S268" s="43">
        <f t="shared" si="144"/>
        <v>7358420.622940639</v>
      </c>
      <c r="T268" s="38">
        <f t="shared" si="145"/>
        <v>4.5</v>
      </c>
      <c r="U268" s="3"/>
      <c r="V268" s="43">
        <f t="shared" si="177"/>
        <v>1913189.3619645662</v>
      </c>
      <c r="W268" s="43">
        <f t="shared" si="177"/>
        <v>1360490.2129525803</v>
      </c>
      <c r="X268" s="43">
        <f t="shared" si="177"/>
        <v>1339559.5942917713</v>
      </c>
      <c r="Y268" s="43">
        <f t="shared" si="177"/>
        <v>1339559.5942917713</v>
      </c>
      <c r="Z268" s="43">
        <f t="shared" si="177"/>
        <v>669779.79714588565</v>
      </c>
      <c r="AA268" s="3"/>
      <c r="AB268" s="43">
        <f t="shared" si="178"/>
        <v>163520.45828756978</v>
      </c>
      <c r="AC268" s="43">
        <f t="shared" si="178"/>
        <v>163520.45828756978</v>
      </c>
      <c r="AD268" s="43">
        <f t="shared" si="178"/>
        <v>163520.45828756978</v>
      </c>
      <c r="AE268" s="43">
        <f t="shared" si="178"/>
        <v>163520.45828756978</v>
      </c>
      <c r="AF268" s="43">
        <f t="shared" si="178"/>
        <v>81760.229143784891</v>
      </c>
      <c r="AG268" s="3"/>
      <c r="AH268" s="43">
        <f t="shared" si="146"/>
        <v>2076709.8202521359</v>
      </c>
      <c r="AI268" s="43">
        <f t="shared" si="147"/>
        <v>1524010.67124015</v>
      </c>
      <c r="AJ268" s="43">
        <f t="shared" si="148"/>
        <v>1503080.052579341</v>
      </c>
      <c r="AK268" s="43">
        <f t="shared" si="149"/>
        <v>1503080.052579341</v>
      </c>
      <c r="AL268" s="43">
        <f t="shared" si="150"/>
        <v>751540.0262896705</v>
      </c>
      <c r="AM268" s="3"/>
      <c r="AN268" s="43">
        <f t="shared" si="169"/>
        <v>5281710.8026885036</v>
      </c>
      <c r="AO268" s="43">
        <f t="shared" si="170"/>
        <v>3757700.1314483536</v>
      </c>
      <c r="AP268" s="43">
        <f t="shared" si="171"/>
        <v>2254620.0788690127</v>
      </c>
      <c r="AQ268" s="43">
        <f t="shared" si="172"/>
        <v>751540.02628967166</v>
      </c>
      <c r="AR268" s="43">
        <f t="shared" si="173"/>
        <v>0</v>
      </c>
      <c r="AS268" s="3"/>
      <c r="AT268" s="43">
        <f t="shared" si="179"/>
        <v>82898.98561529952</v>
      </c>
      <c r="AU268" s="43">
        <f t="shared" si="179"/>
        <v>87686.567832554283</v>
      </c>
      <c r="AV268" s="43">
        <f t="shared" si="179"/>
        <v>94322.687286121989</v>
      </c>
      <c r="AW268" s="43">
        <f t="shared" si="179"/>
        <v>96575.86764001289</v>
      </c>
      <c r="AX268" s="43">
        <f t="shared" si="179"/>
        <v>99844.767607892049</v>
      </c>
      <c r="AY268" s="3"/>
      <c r="AZ268" s="47">
        <f t="shared" si="151"/>
        <v>2339186.9731588447</v>
      </c>
      <c r="BA268" s="47">
        <f t="shared" si="152"/>
        <v>1735701.3434104999</v>
      </c>
      <c r="BB268" s="47">
        <f t="shared" si="153"/>
        <v>1683078.3028624854</v>
      </c>
      <c r="BC268" s="47">
        <f t="shared" si="154"/>
        <v>1628214.4412183615</v>
      </c>
      <c r="BD268" s="47">
        <f t="shared" si="155"/>
        <v>851384.79389756254</v>
      </c>
    </row>
    <row r="269" spans="2:56" s="227" customFormat="1">
      <c r="B269" s="37">
        <f>'12. Investeringen (bijschatten)'!B72</f>
        <v>53</v>
      </c>
      <c r="C269" s="48"/>
      <c r="D269" s="3"/>
      <c r="E269" s="48"/>
      <c r="F269" s="168">
        <f>'12. Investeringen (bijschatten)'!C72</f>
        <v>3432263.071002047</v>
      </c>
      <c r="G269" s="3"/>
      <c r="H269" s="37">
        <f>'12. Investeringen (bijschatten)'!D72</f>
        <v>2021</v>
      </c>
      <c r="I269" s="37" t="str">
        <f>'12. Investeringen (bijschatten)'!E72</f>
        <v>38 ICT middelen 2</v>
      </c>
      <c r="J269" s="168">
        <f>_xlfn.XLOOKUP(I269,'3. Input (des)investeringen '!$B$11:$B$89,'3. Input (des)investeringen '!$D$11:$D$89)</f>
        <v>10</v>
      </c>
      <c r="M269" s="43">
        <f t="shared" si="165"/>
        <v>0</v>
      </c>
      <c r="N269" s="43">
        <f t="shared" si="166"/>
        <v>171613.15355010238</v>
      </c>
      <c r="O269" s="3"/>
      <c r="P269" s="137">
        <f t="shared" si="167"/>
        <v>0</v>
      </c>
      <c r="Q269" s="137">
        <f t="shared" si="168"/>
        <v>3260649.9174519447</v>
      </c>
      <c r="R269" s="3"/>
      <c r="S269" s="43">
        <f t="shared" si="144"/>
        <v>3260649.9174519447</v>
      </c>
      <c r="T269" s="38">
        <f t="shared" si="145"/>
        <v>9.5</v>
      </c>
      <c r="U269" s="3"/>
      <c r="V269" s="43">
        <f t="shared" si="177"/>
        <v>401574.77930723951</v>
      </c>
      <c r="W269" s="43">
        <f t="shared" si="177"/>
        <v>346622.44108624884</v>
      </c>
      <c r="X269" s="43">
        <f t="shared" si="177"/>
        <v>299189.89651655161</v>
      </c>
      <c r="Y269" s="43">
        <f t="shared" si="177"/>
        <v>290338.12443026307</v>
      </c>
      <c r="Z269" s="43">
        <f t="shared" si="177"/>
        <v>290338.12443026307</v>
      </c>
      <c r="AA269" s="3"/>
      <c r="AB269" s="43">
        <f t="shared" si="178"/>
        <v>34322.630710020472</v>
      </c>
      <c r="AC269" s="43">
        <f t="shared" si="178"/>
        <v>34322.630710020472</v>
      </c>
      <c r="AD269" s="43">
        <f t="shared" si="178"/>
        <v>34322.630710020472</v>
      </c>
      <c r="AE269" s="43">
        <f t="shared" si="178"/>
        <v>34322.630710020472</v>
      </c>
      <c r="AF269" s="43">
        <f t="shared" si="178"/>
        <v>34322.630710020472</v>
      </c>
      <c r="AG269" s="3"/>
      <c r="AH269" s="43">
        <f t="shared" si="146"/>
        <v>435897.41001726</v>
      </c>
      <c r="AI269" s="43">
        <f t="shared" si="147"/>
        <v>380945.07179626933</v>
      </c>
      <c r="AJ269" s="43">
        <f t="shared" si="148"/>
        <v>333512.5272265721</v>
      </c>
      <c r="AK269" s="43">
        <f t="shared" si="149"/>
        <v>324660.75514028355</v>
      </c>
      <c r="AL269" s="43">
        <f t="shared" si="150"/>
        <v>324660.75514028355</v>
      </c>
      <c r="AM269" s="3"/>
      <c r="AN269" s="43">
        <f t="shared" si="169"/>
        <v>2824752.5074346848</v>
      </c>
      <c r="AO269" s="43">
        <f t="shared" si="170"/>
        <v>2443807.4356384156</v>
      </c>
      <c r="AP269" s="43">
        <f t="shared" si="171"/>
        <v>2110294.9084118437</v>
      </c>
      <c r="AQ269" s="43">
        <f t="shared" si="172"/>
        <v>1785634.1532715601</v>
      </c>
      <c r="AR269" s="43">
        <f t="shared" si="173"/>
        <v>1460973.3981312765</v>
      </c>
      <c r="AS269" s="3"/>
      <c r="AT269" s="43">
        <f t="shared" si="179"/>
        <v>34800.676310549636</v>
      </c>
      <c r="AU269" s="43">
        <f t="shared" si="179"/>
        <v>36810.484968836499</v>
      </c>
      <c r="AV269" s="43">
        <f t="shared" si="179"/>
        <v>39596.302471278053</v>
      </c>
      <c r="AW269" s="43">
        <f t="shared" si="179"/>
        <v>40542.178944711937</v>
      </c>
      <c r="AX269" s="43">
        <f t="shared" si="179"/>
        <v>41914.450617632545</v>
      </c>
      <c r="AY269" s="3"/>
      <c r="AZ269" s="47">
        <f t="shared" si="151"/>
        <v>566739.67158058891</v>
      </c>
      <c r="BA269" s="47">
        <f t="shared" si="152"/>
        <v>498401.20214117353</v>
      </c>
      <c r="BB269" s="47">
        <f t="shared" si="153"/>
        <v>453300.03621750022</v>
      </c>
      <c r="BC269" s="47">
        <f t="shared" si="154"/>
        <v>433057.03190931474</v>
      </c>
      <c r="BD269" s="47">
        <f t="shared" si="155"/>
        <v>422092.19488690462</v>
      </c>
    </row>
    <row r="270" spans="2:56" s="227" customFormat="1">
      <c r="B270" s="37">
        <f>'12. Investeringen (bijschatten)'!B73</f>
        <v>54</v>
      </c>
      <c r="C270" s="48"/>
      <c r="D270" s="3"/>
      <c r="E270" s="48"/>
      <c r="F270" s="168">
        <f>'12. Investeringen (bijschatten)'!C73</f>
        <v>280.60480266320502</v>
      </c>
      <c r="G270" s="3"/>
      <c r="H270" s="37">
        <f>'12. Investeringen (bijschatten)'!D73</f>
        <v>2021</v>
      </c>
      <c r="I270" s="37" t="str">
        <f>'12. Investeringen (bijschatten)'!E73</f>
        <v>41 Stikstofbuffer</v>
      </c>
      <c r="J270" s="168">
        <f>_xlfn.XLOOKUP(I270,'3. Input (des)investeringen '!$B$11:$B$89,'3. Input (des)investeringen '!$D$11:$D$89)</f>
        <v>30</v>
      </c>
      <c r="M270" s="43">
        <f t="shared" si="165"/>
        <v>0</v>
      </c>
      <c r="N270" s="43">
        <f t="shared" si="166"/>
        <v>4.6767467110534167</v>
      </c>
      <c r="O270" s="3"/>
      <c r="P270" s="137">
        <f t="shared" si="167"/>
        <v>0</v>
      </c>
      <c r="Q270" s="137">
        <f t="shared" si="168"/>
        <v>275.92805595215162</v>
      </c>
      <c r="R270" s="3"/>
      <c r="S270" s="43">
        <f t="shared" si="144"/>
        <v>275.92805595215162</v>
      </c>
      <c r="T270" s="38">
        <f t="shared" si="145"/>
        <v>29.5</v>
      </c>
      <c r="U270" s="3"/>
      <c r="V270" s="43">
        <f t="shared" si="177"/>
        <v>10.943587303864996</v>
      </c>
      <c r="W270" s="43">
        <f t="shared" si="177"/>
        <v>10.46132752437264</v>
      </c>
      <c r="X270" s="43">
        <f t="shared" si="177"/>
        <v>10.000319870756218</v>
      </c>
      <c r="Y270" s="43">
        <f t="shared" si="177"/>
        <v>9.5596278086550974</v>
      </c>
      <c r="Z270" s="43">
        <f t="shared" si="177"/>
        <v>9.1383560747143626</v>
      </c>
      <c r="AA270" s="3"/>
      <c r="AB270" s="43">
        <f t="shared" si="178"/>
        <v>0.93534934221068355</v>
      </c>
      <c r="AC270" s="43">
        <f t="shared" si="178"/>
        <v>0.93534934221068344</v>
      </c>
      <c r="AD270" s="43">
        <f t="shared" si="178"/>
        <v>0.93534934221068344</v>
      </c>
      <c r="AE270" s="43">
        <f t="shared" si="178"/>
        <v>0.93534934221068344</v>
      </c>
      <c r="AF270" s="43">
        <f t="shared" si="178"/>
        <v>0.93534934221068344</v>
      </c>
      <c r="AG270" s="3"/>
      <c r="AH270" s="43">
        <f t="shared" si="146"/>
        <v>11.87893664607568</v>
      </c>
      <c r="AI270" s="43">
        <f t="shared" si="147"/>
        <v>11.396676866583324</v>
      </c>
      <c r="AJ270" s="43">
        <f t="shared" si="148"/>
        <v>10.935669212966902</v>
      </c>
      <c r="AK270" s="43">
        <f t="shared" si="149"/>
        <v>10.494977150865781</v>
      </c>
      <c r="AL270" s="43">
        <f t="shared" si="150"/>
        <v>10.073705416925046</v>
      </c>
      <c r="AM270" s="3"/>
      <c r="AN270" s="43">
        <f t="shared" si="169"/>
        <v>264.04911930607597</v>
      </c>
      <c r="AO270" s="43">
        <f t="shared" si="170"/>
        <v>252.65244243949263</v>
      </c>
      <c r="AP270" s="43">
        <f t="shared" si="171"/>
        <v>241.71677322652573</v>
      </c>
      <c r="AQ270" s="43">
        <f t="shared" si="172"/>
        <v>231.22179607565994</v>
      </c>
      <c r="AR270" s="43">
        <f t="shared" si="173"/>
        <v>221.1480906587349</v>
      </c>
      <c r="AS270" s="3"/>
      <c r="AT270" s="43">
        <f t="shared" si="179"/>
        <v>2.8451306635469815</v>
      </c>
      <c r="AU270" s="43">
        <f t="shared" si="179"/>
        <v>3.0094426496281468</v>
      </c>
      <c r="AV270" s="43">
        <f t="shared" si="179"/>
        <v>3.2371972693520048</v>
      </c>
      <c r="AW270" s="43">
        <f t="shared" si="179"/>
        <v>3.3145274377222855</v>
      </c>
      <c r="AX270" s="43">
        <f t="shared" si="179"/>
        <v>3.4267175624343094</v>
      </c>
      <c r="AY270" s="3"/>
      <c r="AZ270" s="47">
        <f t="shared" si="151"/>
        <v>23.701737366029246</v>
      </c>
      <c r="BA270" s="47">
        <f t="shared" si="152"/>
        <v>22.743650116714726</v>
      </c>
      <c r="BB270" s="47">
        <f t="shared" si="153"/>
        <v>23.358103864926886</v>
      </c>
      <c r="BC270" s="47">
        <f t="shared" si="154"/>
        <v>22.595932839463146</v>
      </c>
      <c r="BD270" s="47">
        <f t="shared" si="155"/>
        <v>21.904050424391283</v>
      </c>
    </row>
    <row r="271" spans="2:56" s="227" customFormat="1">
      <c r="B271" s="37">
        <f>'12. Investeringen (bijschatten)'!B74</f>
        <v>55</v>
      </c>
      <c r="C271" s="48"/>
      <c r="D271" s="3"/>
      <c r="E271" s="48"/>
      <c r="F271" s="168">
        <f>'12. Investeringen (bijschatten)'!C74</f>
        <v>13637663.667912096</v>
      </c>
      <c r="G271" s="3"/>
      <c r="H271" s="37">
        <f>'12. Investeringen (bijschatten)'!D74</f>
        <v>2021</v>
      </c>
      <c r="I271" s="37" t="str">
        <f>'12. Investeringen (bijschatten)'!E74</f>
        <v>42 Vulgas</v>
      </c>
      <c r="J271" s="168">
        <f>_xlfn.XLOOKUP(I271,'3. Input (des)investeringen '!$B$11:$B$89,'3. Input (des)investeringen '!$D$11:$D$89)</f>
        <v>0</v>
      </c>
      <c r="M271" s="43">
        <f t="shared" si="165"/>
        <v>0</v>
      </c>
      <c r="N271" s="43">
        <f t="shared" si="166"/>
        <v>0</v>
      </c>
      <c r="O271" s="3"/>
      <c r="P271" s="137">
        <f t="shared" si="167"/>
        <v>0</v>
      </c>
      <c r="Q271" s="137">
        <f t="shared" si="168"/>
        <v>13637663.667912096</v>
      </c>
      <c r="R271" s="3"/>
      <c r="S271" s="43">
        <f t="shared" si="144"/>
        <v>13637663.667912096</v>
      </c>
      <c r="T271" s="38">
        <f t="shared" si="145"/>
        <v>0</v>
      </c>
      <c r="U271" s="3"/>
      <c r="V271" s="43">
        <f t="shared" si="177"/>
        <v>0</v>
      </c>
      <c r="W271" s="43">
        <f t="shared" si="177"/>
        <v>0</v>
      </c>
      <c r="X271" s="43">
        <f t="shared" si="177"/>
        <v>0</v>
      </c>
      <c r="Y271" s="43">
        <f t="shared" si="177"/>
        <v>0</v>
      </c>
      <c r="Z271" s="43">
        <f t="shared" si="177"/>
        <v>0</v>
      </c>
      <c r="AA271" s="3"/>
      <c r="AB271" s="43">
        <f t="shared" si="178"/>
        <v>0</v>
      </c>
      <c r="AC271" s="43">
        <f t="shared" si="178"/>
        <v>0</v>
      </c>
      <c r="AD271" s="43">
        <f t="shared" si="178"/>
        <v>0</v>
      </c>
      <c r="AE271" s="43">
        <f t="shared" si="178"/>
        <v>0</v>
      </c>
      <c r="AF271" s="43">
        <f t="shared" si="178"/>
        <v>0</v>
      </c>
      <c r="AG271" s="3"/>
      <c r="AH271" s="43">
        <f t="shared" si="146"/>
        <v>0</v>
      </c>
      <c r="AI271" s="43">
        <f t="shared" si="147"/>
        <v>0</v>
      </c>
      <c r="AJ271" s="43">
        <f t="shared" si="148"/>
        <v>0</v>
      </c>
      <c r="AK271" s="43">
        <f t="shared" si="149"/>
        <v>0</v>
      </c>
      <c r="AL271" s="43">
        <f t="shared" si="150"/>
        <v>0</v>
      </c>
      <c r="AM271" s="3"/>
      <c r="AN271" s="43">
        <f t="shared" si="169"/>
        <v>13637663.667912096</v>
      </c>
      <c r="AO271" s="43">
        <f t="shared" si="170"/>
        <v>13637663.667912096</v>
      </c>
      <c r="AP271" s="43">
        <f t="shared" si="171"/>
        <v>13637663.667912096</v>
      </c>
      <c r="AQ271" s="43">
        <f t="shared" si="172"/>
        <v>13637663.667912096</v>
      </c>
      <c r="AR271" s="43">
        <f t="shared" si="173"/>
        <v>13637663.667912096</v>
      </c>
      <c r="AS271" s="3"/>
      <c r="AT271" s="43">
        <f t="shared" si="179"/>
        <v>138276.09047478775</v>
      </c>
      <c r="AU271" s="43">
        <f t="shared" si="179"/>
        <v>146261.8112518877</v>
      </c>
      <c r="AV271" s="43">
        <f t="shared" si="179"/>
        <v>157330.90512743057</v>
      </c>
      <c r="AW271" s="43">
        <f t="shared" si="179"/>
        <v>161089.22578911463</v>
      </c>
      <c r="AX271" s="43">
        <f t="shared" si="179"/>
        <v>166541.77390362456</v>
      </c>
      <c r="AY271" s="3"/>
      <c r="AZ271" s="47">
        <f t="shared" si="151"/>
        <v>601956.6551837991</v>
      </c>
      <c r="BA271" s="47">
        <f t="shared" si="152"/>
        <v>596304.71229298692</v>
      </c>
      <c r="BB271" s="47">
        <f t="shared" si="153"/>
        <v>675562.1245080902</v>
      </c>
      <c r="BC271" s="47">
        <f t="shared" si="154"/>
        <v>679320.44516977423</v>
      </c>
      <c r="BD271" s="47">
        <f t="shared" si="155"/>
        <v>684772.99328428414</v>
      </c>
    </row>
    <row r="272" spans="2:56" s="227" customFormat="1">
      <c r="B272" s="37">
        <f>'12. Investeringen (bijschatten)'!B75</f>
        <v>56</v>
      </c>
      <c r="C272" s="48"/>
      <c r="D272" s="3"/>
      <c r="E272" s="48"/>
      <c r="F272" s="168">
        <f>'12. Investeringen (bijschatten)'!C75</f>
        <v>6068.2242421309429</v>
      </c>
      <c r="G272" s="3"/>
      <c r="H272" s="37">
        <f>'12. Investeringen (bijschatten)'!D75</f>
        <v>2021</v>
      </c>
      <c r="I272" s="37" t="str">
        <f>'12. Investeringen (bijschatten)'!E75</f>
        <v>44 Stikstofleiding</v>
      </c>
      <c r="J272" s="168">
        <f>_xlfn.XLOOKUP(I272,'3. Input (des)investeringen '!$B$11:$B$89,'3. Input (des)investeringen '!$D$11:$D$89)</f>
        <v>55</v>
      </c>
      <c r="M272" s="43">
        <f t="shared" si="165"/>
        <v>0</v>
      </c>
      <c r="N272" s="43">
        <f t="shared" si="166"/>
        <v>55.165674928463119</v>
      </c>
      <c r="O272" s="3"/>
      <c r="P272" s="137">
        <f t="shared" si="167"/>
        <v>0</v>
      </c>
      <c r="Q272" s="137">
        <f t="shared" si="168"/>
        <v>6013.0585672024799</v>
      </c>
      <c r="R272" s="3"/>
      <c r="S272" s="43">
        <f t="shared" si="144"/>
        <v>6013.0585672024799</v>
      </c>
      <c r="T272" s="38">
        <f t="shared" si="145"/>
        <v>54.5</v>
      </c>
      <c r="U272" s="3"/>
      <c r="V272" s="43">
        <f t="shared" si="177"/>
        <v>129.0876793326037</v>
      </c>
      <c r="W272" s="43">
        <f t="shared" si="177"/>
        <v>126.0085236787985</v>
      </c>
      <c r="X272" s="43">
        <f t="shared" si="177"/>
        <v>123.00281577453357</v>
      </c>
      <c r="Y272" s="43">
        <f t="shared" si="177"/>
        <v>120.06880365514104</v>
      </c>
      <c r="Z272" s="43">
        <f t="shared" si="177"/>
        <v>117.20477714593584</v>
      </c>
      <c r="AA272" s="3"/>
      <c r="AB272" s="43">
        <f t="shared" si="178"/>
        <v>11.033134985692625</v>
      </c>
      <c r="AC272" s="43">
        <f t="shared" si="178"/>
        <v>11.033134985692623</v>
      </c>
      <c r="AD272" s="43">
        <f t="shared" si="178"/>
        <v>11.033134985692623</v>
      </c>
      <c r="AE272" s="43">
        <f t="shared" si="178"/>
        <v>11.033134985692623</v>
      </c>
      <c r="AF272" s="43">
        <f t="shared" si="178"/>
        <v>11.033134985692623</v>
      </c>
      <c r="AG272" s="3"/>
      <c r="AH272" s="43">
        <f t="shared" si="146"/>
        <v>140.12081431829631</v>
      </c>
      <c r="AI272" s="43">
        <f t="shared" si="147"/>
        <v>137.04165866449111</v>
      </c>
      <c r="AJ272" s="43">
        <f t="shared" si="148"/>
        <v>134.0359507602262</v>
      </c>
      <c r="AK272" s="43">
        <f t="shared" si="149"/>
        <v>131.10193864083365</v>
      </c>
      <c r="AL272" s="43">
        <f t="shared" si="150"/>
        <v>128.23791213162846</v>
      </c>
      <c r="AM272" s="3"/>
      <c r="AN272" s="43">
        <f t="shared" si="169"/>
        <v>5872.9377528841833</v>
      </c>
      <c r="AO272" s="43">
        <f t="shared" si="170"/>
        <v>5735.8960942196918</v>
      </c>
      <c r="AP272" s="43">
        <f t="shared" si="171"/>
        <v>5601.8601434594657</v>
      </c>
      <c r="AQ272" s="43">
        <f t="shared" si="172"/>
        <v>5470.7582048186323</v>
      </c>
      <c r="AR272" s="43">
        <f t="shared" si="173"/>
        <v>5342.5202926870043</v>
      </c>
      <c r="AS272" s="3"/>
      <c r="AT272" s="43">
        <f t="shared" si="179"/>
        <v>61.527424693753431</v>
      </c>
      <c r="AU272" s="43">
        <f t="shared" si="179"/>
        <v>65.080756524667066</v>
      </c>
      <c r="AV272" s="43">
        <f t="shared" si="179"/>
        <v>70.006068178453887</v>
      </c>
      <c r="AW272" s="43">
        <f t="shared" si="179"/>
        <v>71.678373135100799</v>
      </c>
      <c r="AX272" s="43">
        <f t="shared" si="179"/>
        <v>74.104542708977675</v>
      </c>
      <c r="AY272" s="3"/>
      <c r="AZ272" s="47">
        <f t="shared" si="151"/>
        <v>401.32812261011202</v>
      </c>
      <c r="BA272" s="47">
        <f t="shared" si="152"/>
        <v>391.40698629840801</v>
      </c>
      <c r="BB272" s="47">
        <f t="shared" si="153"/>
        <v>416.91270439013977</v>
      </c>
      <c r="BC272" s="47">
        <f t="shared" si="154"/>
        <v>410.66912355904248</v>
      </c>
      <c r="BD272" s="47">
        <f t="shared" si="155"/>
        <v>405.35822596271225</v>
      </c>
    </row>
    <row r="273" spans="1:56" s="227" customFormat="1">
      <c r="A273" s="3"/>
      <c r="B273" s="37">
        <f>'12. Investeringen (bijschatten)'!B76</f>
        <v>57</v>
      </c>
      <c r="C273" s="48"/>
      <c r="D273" s="3"/>
      <c r="E273" s="48"/>
      <c r="F273" s="168">
        <f>'12. Investeringen (bijschatten)'!C76</f>
        <v>2134515.8335881382</v>
      </c>
      <c r="G273" s="3"/>
      <c r="H273" s="37">
        <f>'12. Investeringen (bijschatten)'!D76</f>
        <v>2021</v>
      </c>
      <c r="I273" s="37" t="str">
        <f>'12. Investeringen (bijschatten)'!E76</f>
        <v>45 Groen gas booster</v>
      </c>
      <c r="J273" s="168">
        <f>_xlfn.XLOOKUP(I273,'3. Input (des)investeringen '!$B$11:$B$89,'3. Input (des)investeringen '!$D$11:$D$89)</f>
        <v>30</v>
      </c>
      <c r="M273" s="43">
        <f t="shared" si="165"/>
        <v>0</v>
      </c>
      <c r="N273" s="43">
        <f t="shared" si="166"/>
        <v>35575.263893135634</v>
      </c>
      <c r="O273" s="3"/>
      <c r="P273" s="137">
        <f t="shared" si="167"/>
        <v>0</v>
      </c>
      <c r="Q273" s="137">
        <f t="shared" si="168"/>
        <v>2098940.5696950024</v>
      </c>
      <c r="R273" s="3"/>
      <c r="S273" s="43">
        <f t="shared" si="144"/>
        <v>2098940.5696950024</v>
      </c>
      <c r="T273" s="38">
        <f t="shared" si="145"/>
        <v>29.5</v>
      </c>
      <c r="U273" s="3"/>
      <c r="V273" s="43">
        <f t="shared" si="177"/>
        <v>83246.11750993738</v>
      </c>
      <c r="W273" s="43">
        <f t="shared" si="177"/>
        <v>79577.644534923194</v>
      </c>
      <c r="X273" s="43">
        <f t="shared" si="177"/>
        <v>76070.83308084184</v>
      </c>
      <c r="Y273" s="43">
        <f t="shared" si="177"/>
        <v>72718.559080669147</v>
      </c>
      <c r="Z273" s="43">
        <f t="shared" si="177"/>
        <v>69514.012409317613</v>
      </c>
      <c r="AA273" s="3"/>
      <c r="AB273" s="43">
        <f t="shared" si="178"/>
        <v>7115.0527786271277</v>
      </c>
      <c r="AC273" s="43">
        <f t="shared" si="178"/>
        <v>7115.0527786271268</v>
      </c>
      <c r="AD273" s="43">
        <f t="shared" si="178"/>
        <v>7115.0527786271268</v>
      </c>
      <c r="AE273" s="43">
        <f t="shared" si="178"/>
        <v>7115.0527786271268</v>
      </c>
      <c r="AF273" s="43">
        <f t="shared" si="178"/>
        <v>7115.0527786271268</v>
      </c>
      <c r="AG273" s="3"/>
      <c r="AH273" s="43">
        <f t="shared" si="146"/>
        <v>90361.170288564506</v>
      </c>
      <c r="AI273" s="43">
        <f t="shared" si="147"/>
        <v>86692.697313550321</v>
      </c>
      <c r="AJ273" s="43">
        <f t="shared" si="148"/>
        <v>83185.885859468966</v>
      </c>
      <c r="AK273" s="43">
        <f t="shared" si="149"/>
        <v>79833.611859296274</v>
      </c>
      <c r="AL273" s="43">
        <f t="shared" si="150"/>
        <v>76629.06518794474</v>
      </c>
      <c r="AM273" s="3"/>
      <c r="AN273" s="43">
        <f t="shared" si="169"/>
        <v>2008579.399406438</v>
      </c>
      <c r="AO273" s="43">
        <f t="shared" si="170"/>
        <v>1921886.7020928876</v>
      </c>
      <c r="AP273" s="43">
        <f t="shared" si="171"/>
        <v>1838700.8162334186</v>
      </c>
      <c r="AQ273" s="43">
        <f t="shared" si="172"/>
        <v>1758867.2043741224</v>
      </c>
      <c r="AR273" s="43">
        <f t="shared" si="173"/>
        <v>1682238.1391861776</v>
      </c>
      <c r="AS273" s="3"/>
      <c r="AT273" s="43">
        <f t="shared" si="179"/>
        <v>21642.453701183542</v>
      </c>
      <c r="AU273" s="43">
        <f t="shared" si="179"/>
        <v>22892.348687334288</v>
      </c>
      <c r="AV273" s="43">
        <f t="shared" si="179"/>
        <v>24624.84163599175</v>
      </c>
      <c r="AW273" s="43">
        <f t="shared" si="179"/>
        <v>25213.07985299232</v>
      </c>
      <c r="AX273" s="43">
        <f t="shared" si="179"/>
        <v>26066.492179856403</v>
      </c>
      <c r="AY273" s="3"/>
      <c r="AZ273" s="47">
        <f t="shared" si="151"/>
        <v>180295.32356956694</v>
      </c>
      <c r="BA273" s="47">
        <f t="shared" si="152"/>
        <v>173007.3071699499</v>
      </c>
      <c r="BB273" s="47">
        <f t="shared" si="153"/>
        <v>177681.35851233063</v>
      </c>
      <c r="BC273" s="47">
        <f t="shared" si="154"/>
        <v>171883.64547850523</v>
      </c>
      <c r="BD273" s="47">
        <f t="shared" si="155"/>
        <v>166620.6066568759</v>
      </c>
    </row>
    <row r="274" spans="1:56" s="227" customFormat="1">
      <c r="A274" s="3"/>
      <c r="B274" s="37">
        <f>'12. Investeringen (bijschatten)'!B77</f>
        <v>58</v>
      </c>
      <c r="C274" s="48"/>
      <c r="D274" s="3"/>
      <c r="E274" s="48"/>
      <c r="F274" s="168">
        <f>'12. Investeringen (bijschatten)'!C77</f>
        <v>33813410.918106742</v>
      </c>
      <c r="G274" s="3"/>
      <c r="H274" s="37">
        <f>'12. Investeringen (bijschatten)'!D77</f>
        <v>2022</v>
      </c>
      <c r="I274" s="37" t="str">
        <f>'12. Investeringen (bijschatten)'!E77</f>
        <v>01 Regionale leidingen</v>
      </c>
      <c r="J274" s="168">
        <f>_xlfn.XLOOKUP(I274,'3. Input (des)investeringen '!$B$11:$B$89,'3. Input (des)investeringen '!$D$11:$D$89)</f>
        <v>55</v>
      </c>
      <c r="M274" s="43">
        <f t="shared" si="165"/>
        <v>0</v>
      </c>
      <c r="N274" s="43">
        <f t="shared" si="166"/>
        <v>0</v>
      </c>
      <c r="O274" s="3"/>
      <c r="P274" s="137">
        <f t="shared" si="167"/>
        <v>0</v>
      </c>
      <c r="Q274" s="137">
        <f t="shared" si="168"/>
        <v>0</v>
      </c>
      <c r="R274" s="3"/>
      <c r="S274" s="43">
        <f t="shared" si="144"/>
        <v>33813410.918106742</v>
      </c>
      <c r="T274" s="38">
        <f t="shared" si="145"/>
        <v>55</v>
      </c>
      <c r="U274" s="3"/>
      <c r="V274" s="43">
        <f t="shared" si="177"/>
        <v>359651.73431077169</v>
      </c>
      <c r="W274" s="43">
        <f t="shared" si="177"/>
        <v>710802.60944692523</v>
      </c>
      <c r="X274" s="43">
        <f t="shared" si="177"/>
        <v>694001.82049636147</v>
      </c>
      <c r="Y274" s="43">
        <f t="shared" si="177"/>
        <v>677598.14110281109</v>
      </c>
      <c r="Z274" s="43">
        <f t="shared" si="177"/>
        <v>661582.18504038115</v>
      </c>
      <c r="AA274" s="3"/>
      <c r="AB274" s="43">
        <f t="shared" si="178"/>
        <v>30739.464471006129</v>
      </c>
      <c r="AC274" s="43">
        <f t="shared" si="178"/>
        <v>61478.928942012259</v>
      </c>
      <c r="AD274" s="43">
        <f t="shared" si="178"/>
        <v>61478.928942012259</v>
      </c>
      <c r="AE274" s="43">
        <f t="shared" si="178"/>
        <v>61478.928942012259</v>
      </c>
      <c r="AF274" s="43">
        <f t="shared" si="178"/>
        <v>61478.928942012259</v>
      </c>
      <c r="AG274" s="3"/>
      <c r="AH274" s="43">
        <f t="shared" si="146"/>
        <v>390391.19878177781</v>
      </c>
      <c r="AI274" s="43">
        <f t="shared" si="147"/>
        <v>772281.53838893748</v>
      </c>
      <c r="AJ274" s="43">
        <f t="shared" si="148"/>
        <v>755480.74943837372</v>
      </c>
      <c r="AK274" s="43">
        <f t="shared" si="149"/>
        <v>739077.07004482334</v>
      </c>
      <c r="AL274" s="43">
        <f t="shared" si="150"/>
        <v>723061.11398239341</v>
      </c>
      <c r="AM274" s="3"/>
      <c r="AN274" s="43">
        <f t="shared" si="169"/>
        <v>33423019.719324965</v>
      </c>
      <c r="AO274" s="43">
        <f t="shared" si="170"/>
        <v>32650738.180936027</v>
      </c>
      <c r="AP274" s="43">
        <f t="shared" si="171"/>
        <v>31895257.431497652</v>
      </c>
      <c r="AQ274" s="43">
        <f t="shared" si="172"/>
        <v>31156180.361452829</v>
      </c>
      <c r="AR274" s="43">
        <f t="shared" si="173"/>
        <v>30433119.247470435</v>
      </c>
      <c r="AS274" s="3"/>
      <c r="AT274" s="43">
        <f t="shared" si="179"/>
        <v>338134.10918106744</v>
      </c>
      <c r="AU274" s="43">
        <f t="shared" si="179"/>
        <v>357662.03025449242</v>
      </c>
      <c r="AV274" s="43">
        <f t="shared" si="179"/>
        <v>384729.89270415256</v>
      </c>
      <c r="AW274" s="43">
        <f t="shared" si="179"/>
        <v>393920.32038106926</v>
      </c>
      <c r="AX274" s="43">
        <f t="shared" si="179"/>
        <v>407253.73538532772</v>
      </c>
      <c r="AY274" s="3"/>
      <c r="AZ274" s="47">
        <f t="shared" si="151"/>
        <v>1864907.9784198941</v>
      </c>
      <c r="BA274" s="47">
        <f t="shared" si="152"/>
        <v>2207417.9286143188</v>
      </c>
      <c r="BB274" s="47">
        <f t="shared" si="153"/>
        <v>2352230.4245394371</v>
      </c>
      <c r="BC274" s="47">
        <f t="shared" si="154"/>
        <v>2316932.2441611001</v>
      </c>
      <c r="BD274" s="47">
        <f t="shared" si="155"/>
        <v>2286773.3807715978</v>
      </c>
    </row>
    <row r="275" spans="1:56" s="227" customFormat="1">
      <c r="A275" s="3"/>
      <c r="B275" s="37">
        <f>'12. Investeringen (bijschatten)'!B78</f>
        <v>59</v>
      </c>
      <c r="C275" s="48"/>
      <c r="D275" s="3"/>
      <c r="E275" s="48"/>
      <c r="F275" s="168">
        <f>'12. Investeringen (bijschatten)'!C78</f>
        <v>6849959.2876701932</v>
      </c>
      <c r="G275" s="3"/>
      <c r="H275" s="37">
        <f>'12. Investeringen (bijschatten)'!D78</f>
        <v>2022</v>
      </c>
      <c r="I275" s="37" t="str">
        <f>'12. Investeringen (bijschatten)'!E78</f>
        <v>02 Gasontvangststations</v>
      </c>
      <c r="J275" s="168">
        <f>_xlfn.XLOOKUP(I275,'3. Input (des)investeringen '!$B$11:$B$89,'3. Input (des)investeringen '!$D$11:$D$89)</f>
        <v>30</v>
      </c>
      <c r="M275" s="43">
        <f t="shared" si="165"/>
        <v>0</v>
      </c>
      <c r="N275" s="43">
        <f t="shared" si="166"/>
        <v>0</v>
      </c>
      <c r="O275" s="3"/>
      <c r="P275" s="137">
        <f t="shared" si="167"/>
        <v>0</v>
      </c>
      <c r="Q275" s="137">
        <f t="shared" si="168"/>
        <v>0</v>
      </c>
      <c r="R275" s="3"/>
      <c r="S275" s="43">
        <f t="shared" si="144"/>
        <v>6849959.2876701932</v>
      </c>
      <c r="T275" s="38">
        <f t="shared" si="145"/>
        <v>30</v>
      </c>
      <c r="U275" s="3"/>
      <c r="V275" s="43">
        <f t="shared" si="177"/>
        <v>133574.20610956877</v>
      </c>
      <c r="W275" s="43">
        <f t="shared" si="177"/>
        <v>261360.19662105627</v>
      </c>
      <c r="X275" s="43">
        <f t="shared" si="177"/>
        <v>250034.58810081048</v>
      </c>
      <c r="Y275" s="43">
        <f t="shared" si="177"/>
        <v>239199.75594977534</v>
      </c>
      <c r="Z275" s="43">
        <f t="shared" si="177"/>
        <v>228834.43319195174</v>
      </c>
      <c r="AA275" s="3"/>
      <c r="AB275" s="43">
        <f t="shared" si="178"/>
        <v>11416.598812783657</v>
      </c>
      <c r="AC275" s="43">
        <f t="shared" si="178"/>
        <v>22833.197625567314</v>
      </c>
      <c r="AD275" s="43">
        <f t="shared" si="178"/>
        <v>22833.197625567314</v>
      </c>
      <c r="AE275" s="43">
        <f t="shared" si="178"/>
        <v>22833.197625567314</v>
      </c>
      <c r="AF275" s="43">
        <f t="shared" si="178"/>
        <v>22833.197625567314</v>
      </c>
      <c r="AG275" s="3"/>
      <c r="AH275" s="43">
        <f t="shared" si="146"/>
        <v>144990.80492235243</v>
      </c>
      <c r="AI275" s="43">
        <f t="shared" si="147"/>
        <v>284193.39424662356</v>
      </c>
      <c r="AJ275" s="43">
        <f t="shared" si="148"/>
        <v>272867.7857263778</v>
      </c>
      <c r="AK275" s="43">
        <f t="shared" si="149"/>
        <v>262032.95357534266</v>
      </c>
      <c r="AL275" s="43">
        <f t="shared" si="150"/>
        <v>251667.63081751906</v>
      </c>
      <c r="AM275" s="3"/>
      <c r="AN275" s="43">
        <f t="shared" si="169"/>
        <v>6704968.4827478407</v>
      </c>
      <c r="AO275" s="43">
        <f t="shared" si="170"/>
        <v>6420775.0885012168</v>
      </c>
      <c r="AP275" s="43">
        <f t="shared" si="171"/>
        <v>6147907.3027748391</v>
      </c>
      <c r="AQ275" s="43">
        <f t="shared" si="172"/>
        <v>5885874.3491994962</v>
      </c>
      <c r="AR275" s="43">
        <f t="shared" si="173"/>
        <v>5634206.7183819767</v>
      </c>
      <c r="AS275" s="3"/>
      <c r="AT275" s="43">
        <f t="shared" si="179"/>
        <v>68499.592876701936</v>
      </c>
      <c r="AU275" s="43">
        <f t="shared" si="179"/>
        <v>72455.581364517231</v>
      </c>
      <c r="AV275" s="43">
        <f t="shared" si="179"/>
        <v>77939.019762183903</v>
      </c>
      <c r="AW275" s="43">
        <f t="shared" si="179"/>
        <v>79800.827066262937</v>
      </c>
      <c r="AX275" s="43">
        <f t="shared" si="179"/>
        <v>82501.925460801809</v>
      </c>
      <c r="AY275" s="3"/>
      <c r="AZ275" s="47">
        <f t="shared" si="151"/>
        <v>441459.32621248101</v>
      </c>
      <c r="BA275" s="47">
        <f t="shared" si="152"/>
        <v>568534.55353168095</v>
      </c>
      <c r="BB275" s="47">
        <f t="shared" si="153"/>
        <v>584427.2829940056</v>
      </c>
      <c r="BC275" s="47">
        <f t="shared" si="154"/>
        <v>565497.00591118645</v>
      </c>
      <c r="BD275" s="47">
        <f t="shared" si="155"/>
        <v>548269.41157683602</v>
      </c>
    </row>
    <row r="276" spans="1:56" s="227" customFormat="1">
      <c r="A276" s="3"/>
      <c r="B276" s="37">
        <f>'12. Investeringen (bijschatten)'!B79</f>
        <v>60</v>
      </c>
      <c r="C276" s="48"/>
      <c r="D276" s="3"/>
      <c r="E276" s="48"/>
      <c r="F276" s="168">
        <f>'12. Investeringen (bijschatten)'!C79</f>
        <v>664518.3858161252</v>
      </c>
      <c r="G276" s="3"/>
      <c r="H276" s="37">
        <f>'12. Investeringen (bijschatten)'!D79</f>
        <v>2022</v>
      </c>
      <c r="I276" s="37" t="str">
        <f>'12. Investeringen (bijschatten)'!E79</f>
        <v>05 Wegen en terreinvoorzieningen</v>
      </c>
      <c r="J276" s="168">
        <f>_xlfn.XLOOKUP(I276,'3. Input (des)investeringen '!$B$11:$B$89,'3. Input (des)investeringen '!$D$11:$D$89)</f>
        <v>10</v>
      </c>
      <c r="M276" s="43">
        <f t="shared" si="165"/>
        <v>0</v>
      </c>
      <c r="N276" s="43">
        <f t="shared" si="166"/>
        <v>0</v>
      </c>
      <c r="O276" s="3"/>
      <c r="P276" s="137">
        <f t="shared" si="167"/>
        <v>0</v>
      </c>
      <c r="Q276" s="137">
        <f t="shared" si="168"/>
        <v>0</v>
      </c>
      <c r="R276" s="3"/>
      <c r="S276" s="43">
        <f t="shared" si="144"/>
        <v>664518.3858161252</v>
      </c>
      <c r="T276" s="38">
        <f t="shared" si="145"/>
        <v>10</v>
      </c>
      <c r="U276" s="3"/>
      <c r="V276" s="43">
        <f t="shared" si="177"/>
        <v>38874.325570243331</v>
      </c>
      <c r="W276" s="43">
        <f t="shared" si="177"/>
        <v>72694.988816355035</v>
      </c>
      <c r="X276" s="43">
        <f t="shared" si="177"/>
        <v>63244.640270228883</v>
      </c>
      <c r="Y276" s="43">
        <f t="shared" si="177"/>
        <v>56433.679010358072</v>
      </c>
      <c r="Z276" s="43">
        <f t="shared" si="177"/>
        <v>56433.679010358072</v>
      </c>
      <c r="AA276" s="3"/>
      <c r="AB276" s="43">
        <f t="shared" si="178"/>
        <v>3322.5919290806264</v>
      </c>
      <c r="AC276" s="43">
        <f t="shared" si="178"/>
        <v>6645.1838581612519</v>
      </c>
      <c r="AD276" s="43">
        <f t="shared" si="178"/>
        <v>6645.1838581612519</v>
      </c>
      <c r="AE276" s="43">
        <f t="shared" si="178"/>
        <v>6645.1838581612519</v>
      </c>
      <c r="AF276" s="43">
        <f t="shared" si="178"/>
        <v>6645.1838581612519</v>
      </c>
      <c r="AG276" s="3"/>
      <c r="AH276" s="43">
        <f t="shared" si="146"/>
        <v>42196.917499323958</v>
      </c>
      <c r="AI276" s="43">
        <f t="shared" si="147"/>
        <v>79340.172674516289</v>
      </c>
      <c r="AJ276" s="43">
        <f t="shared" si="148"/>
        <v>69889.82412839013</v>
      </c>
      <c r="AK276" s="43">
        <f t="shared" si="149"/>
        <v>63078.862868519325</v>
      </c>
      <c r="AL276" s="43">
        <f t="shared" si="150"/>
        <v>63078.862868519325</v>
      </c>
      <c r="AM276" s="3"/>
      <c r="AN276" s="43">
        <f t="shared" si="169"/>
        <v>622321.46831680124</v>
      </c>
      <c r="AO276" s="43">
        <f t="shared" si="170"/>
        <v>542981.29564228491</v>
      </c>
      <c r="AP276" s="43">
        <f t="shared" si="171"/>
        <v>473091.47151389479</v>
      </c>
      <c r="AQ276" s="43">
        <f t="shared" si="172"/>
        <v>410012.60864537547</v>
      </c>
      <c r="AR276" s="43">
        <f t="shared" si="173"/>
        <v>346933.74577685614</v>
      </c>
      <c r="AS276" s="3"/>
      <c r="AT276" s="43">
        <f t="shared" si="179"/>
        <v>6645.1838581612519</v>
      </c>
      <c r="AU276" s="43">
        <f t="shared" si="179"/>
        <v>7028.9565163377802</v>
      </c>
      <c r="AV276" s="43">
        <f t="shared" si="179"/>
        <v>7560.9079454942257</v>
      </c>
      <c r="AW276" s="43">
        <f t="shared" si="179"/>
        <v>7741.5229144961913</v>
      </c>
      <c r="AX276" s="43">
        <f t="shared" si="179"/>
        <v>8003.5579821060574</v>
      </c>
      <c r="AY276" s="3"/>
      <c r="AZ276" s="47">
        <f t="shared" si="151"/>
        <v>70001.031280256459</v>
      </c>
      <c r="BA276" s="47">
        <f t="shared" si="152"/>
        <v>104287.51194704947</v>
      </c>
      <c r="BB276" s="47">
        <f t="shared" si="153"/>
        <v>95428.207991412361</v>
      </c>
      <c r="BC276" s="47">
        <f t="shared" si="154"/>
        <v>86400.864911539786</v>
      </c>
      <c r="BD276" s="47">
        <f t="shared" si="155"/>
        <v>84265.903190145909</v>
      </c>
    </row>
    <row r="277" spans="1:56" s="227" customFormat="1">
      <c r="A277" s="3"/>
      <c r="B277" s="37">
        <f>'12. Investeringen (bijschatten)'!B80</f>
        <v>61</v>
      </c>
      <c r="C277" s="48"/>
      <c r="D277" s="3"/>
      <c r="E277" s="48"/>
      <c r="F277" s="168">
        <f>'12. Investeringen (bijschatten)'!C80</f>
        <v>906873.84029764659</v>
      </c>
      <c r="G277" s="3"/>
      <c r="H277" s="37">
        <f>'12. Investeringen (bijschatten)'!D80</f>
        <v>2022</v>
      </c>
      <c r="I277" s="37" t="str">
        <f>'12. Investeringen (bijschatten)'!E80</f>
        <v>06 Utiliteitsgebouwen</v>
      </c>
      <c r="J277" s="168">
        <f>_xlfn.XLOOKUP(I277,'3. Input (des)investeringen '!$B$11:$B$89,'3. Input (des)investeringen '!$D$11:$D$89)</f>
        <v>30</v>
      </c>
      <c r="M277" s="43">
        <f t="shared" si="165"/>
        <v>0</v>
      </c>
      <c r="N277" s="43">
        <f t="shared" si="166"/>
        <v>0</v>
      </c>
      <c r="O277" s="3"/>
      <c r="P277" s="137">
        <f t="shared" si="167"/>
        <v>0</v>
      </c>
      <c r="Q277" s="137">
        <f t="shared" si="168"/>
        <v>0</v>
      </c>
      <c r="R277" s="3"/>
      <c r="S277" s="43">
        <f t="shared" si="144"/>
        <v>906873.84029764659</v>
      </c>
      <c r="T277" s="38">
        <f t="shared" si="145"/>
        <v>30</v>
      </c>
      <c r="U277" s="3"/>
      <c r="V277" s="43">
        <f t="shared" ref="V277:Z286" si="180">IF($J277=0, 0, IF(OR($H277&gt;V$59,$H277+$J277&lt;V$59),0,
IF(OR($H277=2020,$H277=2021),VDB(ABS($S277)*(1-$F$28),0,$T277,V$59-2022,MIN($T277,V$59-2021),$F$22),
VDB(ABS($S277)*(1-$F$28),0,$T277,MAX(0,V$59-$H277-0.5),MIN($T277,V$59-$H277+0.5),$F$22,FALSE))))*IF($F277&lt;0,-1,1)</f>
        <v>17684.039885804108</v>
      </c>
      <c r="W277" s="43">
        <f t="shared" si="180"/>
        <v>34601.77137655671</v>
      </c>
      <c r="X277" s="43">
        <f t="shared" si="180"/>
        <v>33102.361283572587</v>
      </c>
      <c r="Y277" s="43">
        <f t="shared" si="180"/>
        <v>31667.925627951103</v>
      </c>
      <c r="Z277" s="43">
        <f t="shared" si="180"/>
        <v>30295.64885073989</v>
      </c>
      <c r="AA277" s="3"/>
      <c r="AB277" s="43">
        <f t="shared" ref="AB277:AF286" si="181">IF($J277 = 0, 0, IF(OR($H277&gt;AB$59,$H277+$J277&lt;AB$59),0,
IF(OR($H277=2020,$H277=2021),VDB(ABS($S277)*$F$28,0,$T277,AB$59-2022,MIN($T277,AB$59-2021),1),
VDB(ABS($S277)*$F$28,0,$T277,MAX(0,AB$59-$H277-0.5),MIN($T277,AB$59-$H277+0.5),1))))*IF($F277&lt;0,-1,1)</f>
        <v>1511.4564004960778</v>
      </c>
      <c r="AC277" s="43">
        <f t="shared" si="181"/>
        <v>3022.9128009921556</v>
      </c>
      <c r="AD277" s="43">
        <f t="shared" si="181"/>
        <v>3022.9128009921556</v>
      </c>
      <c r="AE277" s="43">
        <f t="shared" si="181"/>
        <v>3022.9128009921556</v>
      </c>
      <c r="AF277" s="43">
        <f t="shared" si="181"/>
        <v>3022.9128009921556</v>
      </c>
      <c r="AG277" s="3"/>
      <c r="AH277" s="43">
        <f t="shared" si="146"/>
        <v>19195.496286300186</v>
      </c>
      <c r="AI277" s="43">
        <f t="shared" si="147"/>
        <v>37624.684177548865</v>
      </c>
      <c r="AJ277" s="43">
        <f t="shared" si="148"/>
        <v>36125.274084564742</v>
      </c>
      <c r="AK277" s="43">
        <f t="shared" si="149"/>
        <v>34690.838428943258</v>
      </c>
      <c r="AL277" s="43">
        <f t="shared" si="150"/>
        <v>33318.561651732045</v>
      </c>
      <c r="AM277" s="3"/>
      <c r="AN277" s="43">
        <f t="shared" si="169"/>
        <v>887678.34401134634</v>
      </c>
      <c r="AO277" s="43">
        <f t="shared" si="170"/>
        <v>850053.65983379749</v>
      </c>
      <c r="AP277" s="43">
        <f t="shared" si="171"/>
        <v>813928.38574923272</v>
      </c>
      <c r="AQ277" s="43">
        <f t="shared" si="172"/>
        <v>779237.54732028942</v>
      </c>
      <c r="AR277" s="43">
        <f t="shared" si="173"/>
        <v>745918.98566855735</v>
      </c>
      <c r="AS277" s="3"/>
      <c r="AT277" s="43">
        <f t="shared" ref="AT277:AX286" si="182">IF($H277&lt;=AT$215,$F277*INDEX($H$40:$N$46,$H277-2019,AT$215-2019)*INDEX($H$49:$N$55,$H277-2019,AT$215-2019)*$F$19,0)</f>
        <v>9068.7384029764653</v>
      </c>
      <c r="AU277" s="43">
        <f t="shared" si="182"/>
        <v>9592.4761832251643</v>
      </c>
      <c r="AV277" s="43">
        <f t="shared" si="182"/>
        <v>10318.434780771646</v>
      </c>
      <c r="AW277" s="43">
        <f t="shared" si="182"/>
        <v>10564.921550814717</v>
      </c>
      <c r="AX277" s="43">
        <f t="shared" si="182"/>
        <v>10922.523015466695</v>
      </c>
      <c r="AY277" s="3"/>
      <c r="AZ277" s="47">
        <f t="shared" si="151"/>
        <v>58445.298385662434</v>
      </c>
      <c r="BA277" s="47">
        <f t="shared" si="152"/>
        <v>75268.931135289342</v>
      </c>
      <c r="BB277" s="47">
        <f t="shared" si="153"/>
        <v>77372.987523807227</v>
      </c>
      <c r="BC277" s="47">
        <f t="shared" si="154"/>
        <v>74866.786777928966</v>
      </c>
      <c r="BD277" s="47">
        <f t="shared" si="155"/>
        <v>72586.006122603925</v>
      </c>
    </row>
    <row r="278" spans="1:56" s="227" customFormat="1">
      <c r="A278" s="3"/>
      <c r="B278" s="37">
        <f>'12. Investeringen (bijschatten)'!B81</f>
        <v>62</v>
      </c>
      <c r="C278" s="48"/>
      <c r="D278" s="3"/>
      <c r="E278" s="48"/>
      <c r="F278" s="168">
        <f>'12. Investeringen (bijschatten)'!C81</f>
        <v>57338.455544922595</v>
      </c>
      <c r="G278" s="3"/>
      <c r="H278" s="37">
        <f>'12. Investeringen (bijschatten)'!D81</f>
        <v>2022</v>
      </c>
      <c r="I278" s="37" t="str">
        <f>'12. Investeringen (bijschatten)'!E81</f>
        <v>08 Inrichting gebouwen</v>
      </c>
      <c r="J278" s="168">
        <f>_xlfn.XLOOKUP(I278,'3. Input (des)investeringen '!$B$11:$B$89,'3. Input (des)investeringen '!$D$11:$D$89)</f>
        <v>10</v>
      </c>
      <c r="M278" s="43">
        <f t="shared" si="165"/>
        <v>0</v>
      </c>
      <c r="N278" s="43">
        <f t="shared" si="166"/>
        <v>0</v>
      </c>
      <c r="O278" s="3"/>
      <c r="P278" s="137">
        <f t="shared" si="167"/>
        <v>0</v>
      </c>
      <c r="Q278" s="137">
        <f t="shared" si="168"/>
        <v>0</v>
      </c>
      <c r="R278" s="3"/>
      <c r="S278" s="43">
        <f t="shared" si="144"/>
        <v>57338.455544922595</v>
      </c>
      <c r="T278" s="38">
        <f t="shared" si="145"/>
        <v>10</v>
      </c>
      <c r="U278" s="3"/>
      <c r="V278" s="43">
        <f t="shared" si="180"/>
        <v>3354.2996493779719</v>
      </c>
      <c r="W278" s="43">
        <f t="shared" si="180"/>
        <v>6272.5403443368068</v>
      </c>
      <c r="X278" s="43">
        <f t="shared" si="180"/>
        <v>5457.1100995730221</v>
      </c>
      <c r="Y278" s="43">
        <f t="shared" si="180"/>
        <v>4869.4213196190049</v>
      </c>
      <c r="Z278" s="43">
        <f t="shared" si="180"/>
        <v>4869.4213196190049</v>
      </c>
      <c r="AA278" s="3"/>
      <c r="AB278" s="43">
        <f t="shared" si="181"/>
        <v>286.69227772461301</v>
      </c>
      <c r="AC278" s="43">
        <f t="shared" si="181"/>
        <v>573.38455544922601</v>
      </c>
      <c r="AD278" s="43">
        <f t="shared" si="181"/>
        <v>573.38455544922601</v>
      </c>
      <c r="AE278" s="43">
        <f t="shared" si="181"/>
        <v>573.38455544922601</v>
      </c>
      <c r="AF278" s="43">
        <f t="shared" si="181"/>
        <v>573.38455544922601</v>
      </c>
      <c r="AG278" s="3"/>
      <c r="AH278" s="43">
        <f t="shared" si="146"/>
        <v>3640.9919271025851</v>
      </c>
      <c r="AI278" s="43">
        <f t="shared" si="147"/>
        <v>6845.9248997860332</v>
      </c>
      <c r="AJ278" s="43">
        <f t="shared" si="148"/>
        <v>6030.4946550222485</v>
      </c>
      <c r="AK278" s="43">
        <f t="shared" si="149"/>
        <v>5442.8058750682312</v>
      </c>
      <c r="AL278" s="43">
        <f t="shared" si="150"/>
        <v>5442.8058750682312</v>
      </c>
      <c r="AM278" s="3"/>
      <c r="AN278" s="43">
        <f t="shared" si="169"/>
        <v>53697.463617820009</v>
      </c>
      <c r="AO278" s="43">
        <f t="shared" si="170"/>
        <v>46851.538718033975</v>
      </c>
      <c r="AP278" s="43">
        <f t="shared" si="171"/>
        <v>40821.044063011723</v>
      </c>
      <c r="AQ278" s="43">
        <f t="shared" si="172"/>
        <v>35378.238187943491</v>
      </c>
      <c r="AR278" s="43">
        <f t="shared" si="173"/>
        <v>29935.432312875259</v>
      </c>
      <c r="AS278" s="3"/>
      <c r="AT278" s="43">
        <f t="shared" si="182"/>
        <v>573.38455544922601</v>
      </c>
      <c r="AU278" s="43">
        <f t="shared" si="182"/>
        <v>606.4986602955297</v>
      </c>
      <c r="AV278" s="43">
        <f t="shared" si="182"/>
        <v>652.39847890669557</v>
      </c>
      <c r="AW278" s="43">
        <f t="shared" si="182"/>
        <v>667.9829737708186</v>
      </c>
      <c r="AX278" s="43">
        <f t="shared" si="182"/>
        <v>690.59286146701334</v>
      </c>
      <c r="AY278" s="3"/>
      <c r="AZ278" s="47">
        <f t="shared" si="151"/>
        <v>6040.0902455576916</v>
      </c>
      <c r="BA278" s="47">
        <f t="shared" si="152"/>
        <v>8998.5243377766856</v>
      </c>
      <c r="BB278" s="47">
        <f t="shared" si="153"/>
        <v>8234.0928083233903</v>
      </c>
      <c r="BC278" s="47">
        <f t="shared" si="154"/>
        <v>7455.1618999809025</v>
      </c>
      <c r="BD278" s="47">
        <f t="shared" si="155"/>
        <v>7270.9451644245037</v>
      </c>
    </row>
    <row r="279" spans="1:56" s="227" customFormat="1">
      <c r="A279" s="3"/>
      <c r="B279" s="37">
        <f>'12. Investeringen (bijschatten)'!B82</f>
        <v>63</v>
      </c>
      <c r="C279" s="48"/>
      <c r="D279" s="3"/>
      <c r="E279" s="48"/>
      <c r="F279" s="168">
        <f>'12. Investeringen (bijschatten)'!C82</f>
        <v>105283.66667709664</v>
      </c>
      <c r="G279" s="3"/>
      <c r="H279" s="37">
        <f>'12. Investeringen (bijschatten)'!D82</f>
        <v>2022</v>
      </c>
      <c r="I279" s="37" t="str">
        <f>'12. Investeringen (bijschatten)'!E82</f>
        <v>15 Compressorstations (KC)</v>
      </c>
      <c r="J279" s="168">
        <f>_xlfn.XLOOKUP(I279,'3. Input (des)investeringen '!$B$11:$B$89,'3. Input (des)investeringen '!$D$11:$D$89)</f>
        <v>30</v>
      </c>
      <c r="M279" s="43">
        <f t="shared" si="165"/>
        <v>0</v>
      </c>
      <c r="N279" s="43">
        <f t="shared" si="166"/>
        <v>0</v>
      </c>
      <c r="O279" s="3"/>
      <c r="P279" s="137">
        <f t="shared" si="167"/>
        <v>0</v>
      </c>
      <c r="Q279" s="137">
        <f t="shared" si="168"/>
        <v>0</v>
      </c>
      <c r="R279" s="3"/>
      <c r="S279" s="43">
        <f t="shared" si="144"/>
        <v>105283.66667709664</v>
      </c>
      <c r="T279" s="38">
        <f t="shared" si="145"/>
        <v>30</v>
      </c>
      <c r="U279" s="3"/>
      <c r="V279" s="43">
        <f t="shared" si="180"/>
        <v>2053.0315002033844</v>
      </c>
      <c r="W279" s="43">
        <f t="shared" si="180"/>
        <v>4017.0983020646222</v>
      </c>
      <c r="X279" s="43">
        <f t="shared" si="180"/>
        <v>3843.0240423084888</v>
      </c>
      <c r="Y279" s="43">
        <f t="shared" si="180"/>
        <v>3676.4930004751209</v>
      </c>
      <c r="Z279" s="43">
        <f t="shared" si="180"/>
        <v>3517.1783037878654</v>
      </c>
      <c r="AA279" s="3"/>
      <c r="AB279" s="43">
        <f t="shared" si="181"/>
        <v>175.47277779516108</v>
      </c>
      <c r="AC279" s="43">
        <f t="shared" si="181"/>
        <v>350.94555559032216</v>
      </c>
      <c r="AD279" s="43">
        <f t="shared" si="181"/>
        <v>350.94555559032216</v>
      </c>
      <c r="AE279" s="43">
        <f t="shared" si="181"/>
        <v>350.94555559032216</v>
      </c>
      <c r="AF279" s="43">
        <f t="shared" si="181"/>
        <v>350.94555559032216</v>
      </c>
      <c r="AG279" s="3"/>
      <c r="AH279" s="43">
        <f t="shared" si="146"/>
        <v>2228.5042779985456</v>
      </c>
      <c r="AI279" s="43">
        <f t="shared" si="147"/>
        <v>4368.0438576549441</v>
      </c>
      <c r="AJ279" s="43">
        <f t="shared" si="148"/>
        <v>4193.9695978988111</v>
      </c>
      <c r="AK279" s="43">
        <f t="shared" si="149"/>
        <v>4027.4385560654432</v>
      </c>
      <c r="AL279" s="43">
        <f t="shared" si="150"/>
        <v>3868.1238593781877</v>
      </c>
      <c r="AM279" s="3"/>
      <c r="AN279" s="43">
        <f t="shared" si="169"/>
        <v>103055.16239909809</v>
      </c>
      <c r="AO279" s="43">
        <f t="shared" si="170"/>
        <v>98687.118541443138</v>
      </c>
      <c r="AP279" s="43">
        <f t="shared" si="171"/>
        <v>94493.148943544322</v>
      </c>
      <c r="AQ279" s="43">
        <f t="shared" si="172"/>
        <v>90465.710387478874</v>
      </c>
      <c r="AR279" s="43">
        <f t="shared" si="173"/>
        <v>86597.586528100685</v>
      </c>
      <c r="AS279" s="3"/>
      <c r="AT279" s="43">
        <f t="shared" si="182"/>
        <v>1052.8366667709665</v>
      </c>
      <c r="AU279" s="43">
        <f t="shared" si="182"/>
        <v>1113.6400899503233</v>
      </c>
      <c r="AV279" s="43">
        <f t="shared" si="182"/>
        <v>1197.9203719577638</v>
      </c>
      <c r="AW279" s="43">
        <f t="shared" si="182"/>
        <v>1226.536293803091</v>
      </c>
      <c r="AX279" s="43">
        <f t="shared" si="182"/>
        <v>1268.052094275738</v>
      </c>
      <c r="AY279" s="3"/>
      <c r="AZ279" s="47">
        <f t="shared" si="151"/>
        <v>6785.2164663388485</v>
      </c>
      <c r="BA279" s="47">
        <f t="shared" si="152"/>
        <v>8738.3588594728899</v>
      </c>
      <c r="BB279" s="47">
        <f t="shared" si="153"/>
        <v>8982.6296297112585</v>
      </c>
      <c r="BC279" s="47">
        <f t="shared" si="154"/>
        <v>8691.6718445927308</v>
      </c>
      <c r="BD279" s="47">
        <f t="shared" si="155"/>
        <v>8426.8842417217511</v>
      </c>
    </row>
    <row r="280" spans="1:56" s="227" customFormat="1">
      <c r="A280" s="3"/>
      <c r="B280" s="37">
        <f>'12. Investeringen (bijschatten)'!B83</f>
        <v>64</v>
      </c>
      <c r="C280" s="48"/>
      <c r="D280" s="3"/>
      <c r="E280" s="48"/>
      <c r="F280" s="168">
        <f>'12. Investeringen (bijschatten)'!C83</f>
        <v>6293355.1961035747</v>
      </c>
      <c r="G280" s="3"/>
      <c r="H280" s="37">
        <f>'12. Investeringen (bijschatten)'!D83</f>
        <v>2022</v>
      </c>
      <c r="I280" s="37" t="str">
        <f>'12. Investeringen (bijschatten)'!E83</f>
        <v>15 Compressorstations (TT-BT-AT)</v>
      </c>
      <c r="J280" s="168">
        <f>_xlfn.XLOOKUP(I280,'3. Input (des)investeringen '!$B$11:$B$89,'3. Input (des)investeringen '!$D$11:$D$89)</f>
        <v>30</v>
      </c>
      <c r="M280" s="43">
        <f t="shared" si="165"/>
        <v>0</v>
      </c>
      <c r="N280" s="43">
        <f t="shared" si="166"/>
        <v>0</v>
      </c>
      <c r="O280" s="3"/>
      <c r="P280" s="137">
        <f t="shared" si="167"/>
        <v>0</v>
      </c>
      <c r="Q280" s="137">
        <f t="shared" si="168"/>
        <v>0</v>
      </c>
      <c r="R280" s="3"/>
      <c r="S280" s="43">
        <f t="shared" si="144"/>
        <v>6293355.1961035747</v>
      </c>
      <c r="T280" s="38">
        <f t="shared" si="145"/>
        <v>30</v>
      </c>
      <c r="U280" s="3"/>
      <c r="V280" s="43">
        <f t="shared" si="180"/>
        <v>122720.42632401972</v>
      </c>
      <c r="W280" s="43">
        <f t="shared" si="180"/>
        <v>240122.96750733189</v>
      </c>
      <c r="X280" s="43">
        <f t="shared" si="180"/>
        <v>229717.63891534752</v>
      </c>
      <c r="Y280" s="43">
        <f t="shared" si="180"/>
        <v>219763.20789568243</v>
      </c>
      <c r="Z280" s="43">
        <f t="shared" si="180"/>
        <v>210240.13555353621</v>
      </c>
      <c r="AA280" s="3"/>
      <c r="AB280" s="43">
        <f t="shared" si="181"/>
        <v>10488.925326839291</v>
      </c>
      <c r="AC280" s="43">
        <f t="shared" si="181"/>
        <v>20977.850653678583</v>
      </c>
      <c r="AD280" s="43">
        <f t="shared" si="181"/>
        <v>20977.850653678583</v>
      </c>
      <c r="AE280" s="43">
        <f t="shared" si="181"/>
        <v>20977.850653678583</v>
      </c>
      <c r="AF280" s="43">
        <f t="shared" si="181"/>
        <v>20977.850653678583</v>
      </c>
      <c r="AG280" s="3"/>
      <c r="AH280" s="43">
        <f t="shared" si="146"/>
        <v>133209.351650859</v>
      </c>
      <c r="AI280" s="43">
        <f t="shared" si="147"/>
        <v>261100.81816101048</v>
      </c>
      <c r="AJ280" s="43">
        <f t="shared" si="148"/>
        <v>250695.4895690261</v>
      </c>
      <c r="AK280" s="43">
        <f t="shared" si="149"/>
        <v>240741.05854936101</v>
      </c>
      <c r="AL280" s="43">
        <f t="shared" si="150"/>
        <v>231217.9862072148</v>
      </c>
      <c r="AM280" s="3"/>
      <c r="AN280" s="43">
        <f t="shared" si="169"/>
        <v>6160145.8444527155</v>
      </c>
      <c r="AO280" s="43">
        <f t="shared" si="170"/>
        <v>5899045.0262917047</v>
      </c>
      <c r="AP280" s="43">
        <f t="shared" si="171"/>
        <v>5648349.5367226787</v>
      </c>
      <c r="AQ280" s="43">
        <f t="shared" si="172"/>
        <v>5407608.4781733174</v>
      </c>
      <c r="AR280" s="43">
        <f t="shared" si="173"/>
        <v>5176390.4919661023</v>
      </c>
      <c r="AS280" s="3"/>
      <c r="AT280" s="43">
        <f t="shared" si="182"/>
        <v>62933.551961035751</v>
      </c>
      <c r="AU280" s="43">
        <f t="shared" si="182"/>
        <v>66568.090453889483</v>
      </c>
      <c r="AV280" s="43">
        <f t="shared" si="182"/>
        <v>71605.963539439865</v>
      </c>
      <c r="AW280" s="43">
        <f t="shared" si="182"/>
        <v>73316.486796469995</v>
      </c>
      <c r="AX280" s="43">
        <f t="shared" si="182"/>
        <v>75798.103241556906</v>
      </c>
      <c r="AY280" s="3"/>
      <c r="AZ280" s="47">
        <f t="shared" si="151"/>
        <v>405587.86232328712</v>
      </c>
      <c r="BA280" s="47">
        <f t="shared" si="152"/>
        <v>522337.39448252623</v>
      </c>
      <c r="BB280" s="47">
        <f t="shared" si="153"/>
        <v>536938.73550392769</v>
      </c>
      <c r="BC280" s="47">
        <f t="shared" si="154"/>
        <v>519546.6675164171</v>
      </c>
      <c r="BD280" s="47">
        <f t="shared" si="155"/>
        <v>503718.92814348359</v>
      </c>
    </row>
    <row r="281" spans="1:56" s="227" customFormat="1">
      <c r="A281" s="3"/>
      <c r="B281" s="37">
        <f>'12. Investeringen (bijschatten)'!B84</f>
        <v>65</v>
      </c>
      <c r="C281" s="48"/>
      <c r="D281" s="3"/>
      <c r="E281" s="48"/>
      <c r="F281" s="168">
        <f>'12. Investeringen (bijschatten)'!C84</f>
        <v>10404800.792079909</v>
      </c>
      <c r="G281" s="3"/>
      <c r="H281" s="37">
        <f>'12. Investeringen (bijschatten)'!D84</f>
        <v>2022</v>
      </c>
      <c r="I281" s="37" t="str">
        <f>'12. Investeringen (bijschatten)'!E84</f>
        <v>16 LNG installaties</v>
      </c>
      <c r="J281" s="168">
        <f>_xlfn.XLOOKUP(I281,'3. Input (des)investeringen '!$B$11:$B$89,'3. Input (des)investeringen '!$D$11:$D$89)</f>
        <v>30</v>
      </c>
      <c r="M281" s="43">
        <f t="shared" ref="M281:M312" si="183">IF($J281 = 0, 0, IF($H281&lt;=M$215,
VDB(ABS($F281),0,$J281,MAX(0,M$59-$H281-0.5),MIN($J281,M$59-$H281+0.5),1)*IF($F281&lt;0,-1,1)*INDEX(H$40:H$46,$H281-2019,1),
0))</f>
        <v>0</v>
      </c>
      <c r="N281" s="43">
        <f t="shared" ref="N281:N312" si="184">IF($J281 = 0, 0, IF($H281&lt;=N$215,
VDB(ABS($F281),0,$J281,MAX(0,N$59-$H281-0.5),MIN($J281,N$59-$H281+0.5),1)*IF($F281&lt;0,-1,1)*INDEX(I$40:I$46,$H281-2019,1),
0))</f>
        <v>0</v>
      </c>
      <c r="O281" s="3"/>
      <c r="P281" s="137">
        <f t="shared" ref="P281:P312" si="185">IF($J281=0, IF($H281 = M$215, $F281, 0), IF(OR($H281&gt;P$59,$H281+$J281&lt;=P$59),0,
F281-M281))</f>
        <v>0</v>
      </c>
      <c r="Q281" s="137">
        <f t="shared" ref="Q281:Q312" si="186">IF($J281=0, IF($H281 &gt; N$215, 0, IF($H281=N$215, $F281, $P281*I$40)), IF(OR($H281&gt;Q$59,$H281+$J281&lt;=Q$59),0,
IF($H281=Q$59,F281-N281,P281*I$40-N281)))</f>
        <v>0</v>
      </c>
      <c r="R281" s="3"/>
      <c r="S281" s="43">
        <f t="shared" si="144"/>
        <v>10404800.792079909</v>
      </c>
      <c r="T281" s="38">
        <f t="shared" si="145"/>
        <v>30</v>
      </c>
      <c r="U281" s="3"/>
      <c r="V281" s="43">
        <f t="shared" si="180"/>
        <v>202893.61544555824</v>
      </c>
      <c r="W281" s="43">
        <f t="shared" si="180"/>
        <v>396995.17422180896</v>
      </c>
      <c r="X281" s="43">
        <f t="shared" si="180"/>
        <v>379792.05000553059</v>
      </c>
      <c r="Y281" s="43">
        <f t="shared" si="180"/>
        <v>363334.39450529095</v>
      </c>
      <c r="Z281" s="43">
        <f t="shared" si="180"/>
        <v>347589.90407672833</v>
      </c>
      <c r="AA281" s="3"/>
      <c r="AB281" s="43">
        <f t="shared" si="181"/>
        <v>17341.334653466514</v>
      </c>
      <c r="AC281" s="43">
        <f t="shared" si="181"/>
        <v>34682.669306933029</v>
      </c>
      <c r="AD281" s="43">
        <f t="shared" si="181"/>
        <v>34682.669306933029</v>
      </c>
      <c r="AE281" s="43">
        <f t="shared" si="181"/>
        <v>34682.669306933029</v>
      </c>
      <c r="AF281" s="43">
        <f t="shared" si="181"/>
        <v>34682.669306933029</v>
      </c>
      <c r="AG281" s="3"/>
      <c r="AH281" s="43">
        <f t="shared" si="146"/>
        <v>220234.95009902475</v>
      </c>
      <c r="AI281" s="43">
        <f t="shared" si="147"/>
        <v>431677.84352874197</v>
      </c>
      <c r="AJ281" s="43">
        <f t="shared" si="148"/>
        <v>414474.7193124636</v>
      </c>
      <c r="AK281" s="43">
        <f t="shared" si="149"/>
        <v>398017.06381222396</v>
      </c>
      <c r="AL281" s="43">
        <f t="shared" si="150"/>
        <v>382272.57338366134</v>
      </c>
      <c r="AM281" s="3"/>
      <c r="AN281" s="43">
        <f t="shared" ref="AN281:AN312" si="187">IF($J281=0,IF($H281 &gt; AN$215, 0,$S281),IF(OR($H281&gt;AN$59,$H281+$J281&lt;=AN$59),0,
IF($H281=AN$59,$S281-AH281,
S281-AH281)))</f>
        <v>10184565.841980884</v>
      </c>
      <c r="AO281" s="43">
        <f t="shared" ref="AO281:AO312" si="188">IF($J281 = 0, IF($H281 &gt; AO$215, 0, IF($H281=AO$215, $F281, AN281)), IF(OR($H281&gt;AO$59,$H281+$J281&lt;=AO$59),0,
IF($H281=AO$59,$S281-AI281,
AN281-AI281)))</f>
        <v>9752887.9984521419</v>
      </c>
      <c r="AP281" s="43">
        <f t="shared" ref="AP281:AP312" si="189">IF($J281 = 0, IF($H281 &gt; AP$215, 0, IF($H281=AP$215, $F281, AO281)), IF(OR($H281&gt;AP$59,$H281+$J281&lt;=AP$59),0,
IF($H281=AP$59,$S281-AJ281,
AO281-AJ281)))</f>
        <v>9338413.2791396789</v>
      </c>
      <c r="AQ281" s="43">
        <f t="shared" ref="AQ281:AQ312" si="190">IF($J281 = 0, IF($H281 &gt; AQ$215, 0, IF($H281=AQ$215, $F281, AP281)), IF(OR($H281&gt;AQ$59,$H281+$J281&lt;=AQ$59),0,
IF($H281=AQ$59,$S281-AK281,
AP281-AK281)))</f>
        <v>8940396.2153274547</v>
      </c>
      <c r="AR281" s="43">
        <f t="shared" ref="AR281:AR312" si="191">IF($J281 = 0, IF($H281 &gt; AR$215, 0, IF($H281=AR$215, $F281, AQ281)), IF(OR($H281&gt;AR$59,$H281+$J281&lt;=AR$59),0,
IF($H281=AR$59,$S281-AL281,
AQ281-AL281)))</f>
        <v>8558123.6419437937</v>
      </c>
      <c r="AS281" s="3"/>
      <c r="AT281" s="43">
        <f t="shared" si="182"/>
        <v>104048.00792079909</v>
      </c>
      <c r="AU281" s="43">
        <f t="shared" si="182"/>
        <v>110056.98847424109</v>
      </c>
      <c r="AV281" s="43">
        <f t="shared" si="182"/>
        <v>118386.10136197167</v>
      </c>
      <c r="AW281" s="43">
        <f t="shared" si="182"/>
        <v>121214.10855130643</v>
      </c>
      <c r="AX281" s="43">
        <f t="shared" si="182"/>
        <v>125316.96369755107</v>
      </c>
      <c r="AY281" s="3"/>
      <c r="AZ281" s="47">
        <f t="shared" si="151"/>
        <v>670558.19664717396</v>
      </c>
      <c r="BA281" s="47">
        <f t="shared" si="152"/>
        <v>863580.13595190377</v>
      </c>
      <c r="BB281" s="47">
        <f t="shared" si="153"/>
        <v>887720.52528174303</v>
      </c>
      <c r="BC281" s="47">
        <f t="shared" si="154"/>
        <v>858966.22854597366</v>
      </c>
      <c r="BD281" s="47">
        <f t="shared" si="155"/>
        <v>832798.2354750766</v>
      </c>
    </row>
    <row r="282" spans="1:56" s="227" customFormat="1">
      <c r="A282" s="3"/>
      <c r="B282" s="37">
        <f>'12. Investeringen (bijschatten)'!B85</f>
        <v>66</v>
      </c>
      <c r="C282" s="48"/>
      <c r="D282" s="3"/>
      <c r="E282" s="48"/>
      <c r="F282" s="168">
        <f>'12. Investeringen (bijschatten)'!C85</f>
        <v>3092987.1234078761</v>
      </c>
      <c r="G282" s="3"/>
      <c r="H282" s="37">
        <f>'12. Investeringen (bijschatten)'!D85</f>
        <v>2022</v>
      </c>
      <c r="I282" s="37" t="str">
        <f>'12. Investeringen (bijschatten)'!E85</f>
        <v>17 Mengstations</v>
      </c>
      <c r="J282" s="168">
        <f>_xlfn.XLOOKUP(I282,'3. Input (des)investeringen '!$B$11:$B$89,'3. Input (des)investeringen '!$D$11:$D$89)</f>
        <v>30</v>
      </c>
      <c r="M282" s="43">
        <f t="shared" si="183"/>
        <v>0</v>
      </c>
      <c r="N282" s="43">
        <f t="shared" si="184"/>
        <v>0</v>
      </c>
      <c r="O282" s="3"/>
      <c r="P282" s="137">
        <f t="shared" si="185"/>
        <v>0</v>
      </c>
      <c r="Q282" s="137">
        <f t="shared" si="186"/>
        <v>0</v>
      </c>
      <c r="R282" s="3"/>
      <c r="S282" s="43">
        <f t="shared" ref="S282:S290" si="192">IF($J282=0, IF(H282&lt;=2021, $Q282, IF(H282&gt;=2022, $F282,0)), IF(H282&lt;=2021,Q282,F282))</f>
        <v>3092987.1234078761</v>
      </c>
      <c r="T282" s="38">
        <f t="shared" ref="T282:T290" si="193">IF($J282=0, 0, IF(H282&lt;2022,J282-2021+H282-0.5,J282))</f>
        <v>30</v>
      </c>
      <c r="U282" s="3"/>
      <c r="V282" s="43">
        <f t="shared" si="180"/>
        <v>60313.248906453591</v>
      </c>
      <c r="W282" s="43">
        <f t="shared" si="180"/>
        <v>118012.92369362753</v>
      </c>
      <c r="X282" s="43">
        <f t="shared" si="180"/>
        <v>112899.03033357032</v>
      </c>
      <c r="Y282" s="43">
        <f t="shared" si="180"/>
        <v>108006.73901911562</v>
      </c>
      <c r="Z282" s="43">
        <f t="shared" si="180"/>
        <v>103326.44699495395</v>
      </c>
      <c r="AA282" s="3"/>
      <c r="AB282" s="43">
        <f t="shared" si="181"/>
        <v>5154.9785390131274</v>
      </c>
      <c r="AC282" s="43">
        <f t="shared" si="181"/>
        <v>10309.957078026255</v>
      </c>
      <c r="AD282" s="43">
        <f t="shared" si="181"/>
        <v>10309.957078026255</v>
      </c>
      <c r="AE282" s="43">
        <f t="shared" si="181"/>
        <v>10309.957078026255</v>
      </c>
      <c r="AF282" s="43">
        <f t="shared" si="181"/>
        <v>10309.957078026255</v>
      </c>
      <c r="AG282" s="3"/>
      <c r="AH282" s="43">
        <f t="shared" ref="AH282:AH290" si="194">V282+AB282</f>
        <v>65468.22744546672</v>
      </c>
      <c r="AI282" s="43">
        <f t="shared" ref="AI282:AI290" si="195">W282+AC282</f>
        <v>128322.88077165378</v>
      </c>
      <c r="AJ282" s="43">
        <f t="shared" ref="AJ282:AJ290" si="196">X282+AD282</f>
        <v>123208.98741159658</v>
      </c>
      <c r="AK282" s="43">
        <f t="shared" ref="AK282:AK290" si="197">Y282+AE282</f>
        <v>118316.69609714187</v>
      </c>
      <c r="AL282" s="43">
        <f t="shared" ref="AL282:AL290" si="198">Z282+AF282</f>
        <v>113636.40407298021</v>
      </c>
      <c r="AM282" s="3"/>
      <c r="AN282" s="43">
        <f t="shared" si="187"/>
        <v>3027518.8959624092</v>
      </c>
      <c r="AO282" s="43">
        <f t="shared" si="188"/>
        <v>2899196.0151907555</v>
      </c>
      <c r="AP282" s="43">
        <f t="shared" si="189"/>
        <v>2775987.0277791591</v>
      </c>
      <c r="AQ282" s="43">
        <f t="shared" si="190"/>
        <v>2657670.3316820171</v>
      </c>
      <c r="AR282" s="43">
        <f t="shared" si="191"/>
        <v>2544033.9276090367</v>
      </c>
      <c r="AS282" s="3"/>
      <c r="AT282" s="43">
        <f t="shared" si="182"/>
        <v>30929.871234078761</v>
      </c>
      <c r="AU282" s="43">
        <f t="shared" si="182"/>
        <v>32716.133157589284</v>
      </c>
      <c r="AV282" s="43">
        <f t="shared" si="182"/>
        <v>35192.090114955645</v>
      </c>
      <c r="AW282" s="43">
        <f t="shared" si="182"/>
        <v>36032.758763621699</v>
      </c>
      <c r="AX282" s="43">
        <f t="shared" si="182"/>
        <v>37252.395582252771</v>
      </c>
      <c r="AY282" s="3"/>
      <c r="AZ282" s="47">
        <f t="shared" ref="AZ282:AZ290" si="199">AH282+AN282*J$16+AT282</f>
        <v>199333.74114226742</v>
      </c>
      <c r="BA282" s="47">
        <f t="shared" ref="BA282:BA290" si="200">AI282+AO282*K$16+AU282</f>
        <v>256712.48243053799</v>
      </c>
      <c r="BB282" s="47">
        <f t="shared" ref="BB282:BB290" si="201">AJ282+AP282*L$16+AV282</f>
        <v>263888.58458216023</v>
      </c>
      <c r="BC282" s="47">
        <f t="shared" ref="BC282:BC290" si="202">AK282+AQ282*M$16+AW282</f>
        <v>255340.92746468022</v>
      </c>
      <c r="BD282" s="47">
        <f t="shared" ref="BD282:BD290" si="203">AL282+AR282*N$16+AX282</f>
        <v>247562.08890437637</v>
      </c>
    </row>
    <row r="283" spans="1:56" s="227" customFormat="1">
      <c r="A283" s="3"/>
      <c r="B283" s="37">
        <f>'12. Investeringen (bijschatten)'!B86</f>
        <v>67</v>
      </c>
      <c r="C283" s="48"/>
      <c r="D283" s="3"/>
      <c r="E283" s="48"/>
      <c r="F283" s="168">
        <f>'12. Investeringen (bijschatten)'!C86</f>
        <v>1027512.2926749249</v>
      </c>
      <c r="G283" s="3"/>
      <c r="H283" s="37">
        <f>'12. Investeringen (bijschatten)'!D86</f>
        <v>2022</v>
      </c>
      <c r="I283" s="37" t="str">
        <f>'12. Investeringen (bijschatten)'!E86</f>
        <v>20 Kantoorgebouwen</v>
      </c>
      <c r="J283" s="168">
        <f>_xlfn.XLOOKUP(I283,'3. Input (des)investeringen '!$B$11:$B$89,'3. Input (des)investeringen '!$D$11:$D$89)</f>
        <v>30</v>
      </c>
      <c r="M283" s="43">
        <f t="shared" si="183"/>
        <v>0</v>
      </c>
      <c r="N283" s="43">
        <f t="shared" si="184"/>
        <v>0</v>
      </c>
      <c r="O283" s="3"/>
      <c r="P283" s="137">
        <f t="shared" si="185"/>
        <v>0</v>
      </c>
      <c r="Q283" s="137">
        <f t="shared" si="186"/>
        <v>0</v>
      </c>
      <c r="R283" s="3"/>
      <c r="S283" s="43">
        <f t="shared" si="192"/>
        <v>1027512.2926749249</v>
      </c>
      <c r="T283" s="38">
        <f t="shared" si="193"/>
        <v>30</v>
      </c>
      <c r="U283" s="3"/>
      <c r="V283" s="43">
        <f t="shared" si="180"/>
        <v>20036.489707161039</v>
      </c>
      <c r="W283" s="43">
        <f t="shared" si="180"/>
        <v>39204.731527011762</v>
      </c>
      <c r="X283" s="43">
        <f t="shared" si="180"/>
        <v>37505.85982750792</v>
      </c>
      <c r="Y283" s="43">
        <f t="shared" si="180"/>
        <v>35880.605901649251</v>
      </c>
      <c r="Z283" s="43">
        <f t="shared" si="180"/>
        <v>34325.779645911112</v>
      </c>
      <c r="AA283" s="3"/>
      <c r="AB283" s="43">
        <f t="shared" si="181"/>
        <v>1712.5204877915417</v>
      </c>
      <c r="AC283" s="43">
        <f t="shared" si="181"/>
        <v>3425.0409755830833</v>
      </c>
      <c r="AD283" s="43">
        <f t="shared" si="181"/>
        <v>3425.0409755830833</v>
      </c>
      <c r="AE283" s="43">
        <f t="shared" si="181"/>
        <v>3425.0409755830833</v>
      </c>
      <c r="AF283" s="43">
        <f t="shared" si="181"/>
        <v>3425.0409755830833</v>
      </c>
      <c r="AG283" s="3"/>
      <c r="AH283" s="43">
        <f t="shared" si="194"/>
        <v>21749.010194952582</v>
      </c>
      <c r="AI283" s="43">
        <f t="shared" si="195"/>
        <v>42629.772502594846</v>
      </c>
      <c r="AJ283" s="43">
        <f t="shared" si="196"/>
        <v>40930.900803091004</v>
      </c>
      <c r="AK283" s="43">
        <f t="shared" si="197"/>
        <v>39305.646877232335</v>
      </c>
      <c r="AL283" s="43">
        <f t="shared" si="198"/>
        <v>37750.820621494197</v>
      </c>
      <c r="AM283" s="3"/>
      <c r="AN283" s="43">
        <f t="shared" si="187"/>
        <v>1005763.2824799723</v>
      </c>
      <c r="AO283" s="43">
        <f t="shared" si="188"/>
        <v>963133.50997737749</v>
      </c>
      <c r="AP283" s="43">
        <f t="shared" si="189"/>
        <v>922202.60917428648</v>
      </c>
      <c r="AQ283" s="43">
        <f t="shared" si="190"/>
        <v>882896.96229705412</v>
      </c>
      <c r="AR283" s="43">
        <f t="shared" si="191"/>
        <v>845146.14167555992</v>
      </c>
      <c r="AS283" s="3"/>
      <c r="AT283" s="43">
        <f t="shared" si="182"/>
        <v>10275.122926749249</v>
      </c>
      <c r="AU283" s="43">
        <f t="shared" si="182"/>
        <v>10868.531826014872</v>
      </c>
      <c r="AV283" s="43">
        <f t="shared" si="182"/>
        <v>11691.062314607681</v>
      </c>
      <c r="AW283" s="43">
        <f t="shared" si="182"/>
        <v>11970.338411179027</v>
      </c>
      <c r="AX283" s="43">
        <f t="shared" si="182"/>
        <v>12375.510425720615</v>
      </c>
      <c r="AY283" s="3"/>
      <c r="AZ283" s="47">
        <f t="shared" si="199"/>
        <v>66220.084726020883</v>
      </c>
      <c r="BA283" s="47">
        <f t="shared" si="200"/>
        <v>85281.710157863185</v>
      </c>
      <c r="BB283" s="47">
        <f t="shared" si="201"/>
        <v>87665.662266321582</v>
      </c>
      <c r="BC283" s="47">
        <f t="shared" si="202"/>
        <v>84826.069855699403</v>
      </c>
      <c r="BD283" s="47">
        <f t="shared" si="203"/>
        <v>82241.884430886086</v>
      </c>
    </row>
    <row r="284" spans="1:56" s="227" customFormat="1">
      <c r="A284" s="3"/>
      <c r="B284" s="37">
        <f>'12. Investeringen (bijschatten)'!B87</f>
        <v>68</v>
      </c>
      <c r="C284" s="48"/>
      <c r="D284" s="3"/>
      <c r="E284" s="48"/>
      <c r="F284" s="168">
        <f>'12. Investeringen (bijschatten)'!C87</f>
        <v>15717781.33321991</v>
      </c>
      <c r="G284" s="3"/>
      <c r="H284" s="37">
        <f>'12. Investeringen (bijschatten)'!D87</f>
        <v>2022</v>
      </c>
      <c r="I284" s="37" t="str">
        <f>'12. Investeringen (bijschatten)'!E87</f>
        <v>21 Hoofdtransportleiding</v>
      </c>
      <c r="J284" s="168">
        <f>_xlfn.XLOOKUP(I284,'3. Input (des)investeringen '!$B$11:$B$89,'3. Input (des)investeringen '!$D$11:$D$89)</f>
        <v>55</v>
      </c>
      <c r="M284" s="43">
        <f t="shared" si="183"/>
        <v>0</v>
      </c>
      <c r="N284" s="43">
        <f t="shared" si="184"/>
        <v>0</v>
      </c>
      <c r="O284" s="3"/>
      <c r="P284" s="137">
        <f t="shared" si="185"/>
        <v>0</v>
      </c>
      <c r="Q284" s="137">
        <f t="shared" si="186"/>
        <v>0</v>
      </c>
      <c r="R284" s="3"/>
      <c r="S284" s="43">
        <f t="shared" si="192"/>
        <v>15717781.33321991</v>
      </c>
      <c r="T284" s="38">
        <f t="shared" si="193"/>
        <v>55</v>
      </c>
      <c r="U284" s="3"/>
      <c r="V284" s="43">
        <f t="shared" si="180"/>
        <v>167180.03781697541</v>
      </c>
      <c r="W284" s="43">
        <f t="shared" si="180"/>
        <v>330408.54746736772</v>
      </c>
      <c r="X284" s="43">
        <f t="shared" si="180"/>
        <v>322598.89089086634</v>
      </c>
      <c r="Y284" s="43">
        <f t="shared" si="180"/>
        <v>314973.82619708224</v>
      </c>
      <c r="Z284" s="43">
        <f t="shared" si="180"/>
        <v>307528.99030515121</v>
      </c>
      <c r="AA284" s="3"/>
      <c r="AB284" s="43">
        <f t="shared" si="181"/>
        <v>14288.892121109011</v>
      </c>
      <c r="AC284" s="43">
        <f t="shared" si="181"/>
        <v>28577.784242218022</v>
      </c>
      <c r="AD284" s="43">
        <f t="shared" si="181"/>
        <v>28577.784242218022</v>
      </c>
      <c r="AE284" s="43">
        <f t="shared" si="181"/>
        <v>28577.784242218022</v>
      </c>
      <c r="AF284" s="43">
        <f t="shared" si="181"/>
        <v>28577.784242218022</v>
      </c>
      <c r="AG284" s="3"/>
      <c r="AH284" s="43">
        <f t="shared" si="194"/>
        <v>181468.92993808442</v>
      </c>
      <c r="AI284" s="43">
        <f t="shared" si="195"/>
        <v>358986.33170958573</v>
      </c>
      <c r="AJ284" s="43">
        <f t="shared" si="196"/>
        <v>351176.67513308435</v>
      </c>
      <c r="AK284" s="43">
        <f t="shared" si="197"/>
        <v>343551.61043930025</v>
      </c>
      <c r="AL284" s="43">
        <f t="shared" si="198"/>
        <v>336106.77454736922</v>
      </c>
      <c r="AM284" s="3"/>
      <c r="AN284" s="43">
        <f t="shared" si="187"/>
        <v>15536312.403281827</v>
      </c>
      <c r="AO284" s="43">
        <f t="shared" si="188"/>
        <v>15177326.07157224</v>
      </c>
      <c r="AP284" s="43">
        <f t="shared" si="189"/>
        <v>14826149.396439156</v>
      </c>
      <c r="AQ284" s="43">
        <f t="shared" si="190"/>
        <v>14482597.785999855</v>
      </c>
      <c r="AR284" s="43">
        <f t="shared" si="191"/>
        <v>14146491.011452485</v>
      </c>
      <c r="AS284" s="3"/>
      <c r="AT284" s="43">
        <f t="shared" si="182"/>
        <v>157177.81333219909</v>
      </c>
      <c r="AU284" s="43">
        <f t="shared" si="182"/>
        <v>166255.14640776027</v>
      </c>
      <c r="AV284" s="43">
        <f t="shared" si="182"/>
        <v>178837.33588789959</v>
      </c>
      <c r="AW284" s="43">
        <f t="shared" si="182"/>
        <v>183109.40216758969</v>
      </c>
      <c r="AX284" s="43">
        <f t="shared" si="182"/>
        <v>189307.28921215833</v>
      </c>
      <c r="AY284" s="3"/>
      <c r="AZ284" s="47">
        <f t="shared" si="199"/>
        <v>866881.36498186574</v>
      </c>
      <c r="BA284" s="47">
        <f t="shared" si="200"/>
        <v>1026093.2384792299</v>
      </c>
      <c r="BB284" s="47">
        <f t="shared" si="201"/>
        <v>1093407.688085672</v>
      </c>
      <c r="BC284" s="47">
        <f t="shared" si="202"/>
        <v>1076999.7284748843</v>
      </c>
      <c r="BD284" s="47">
        <f t="shared" si="203"/>
        <v>1062980.7221947219</v>
      </c>
    </row>
    <row r="285" spans="1:56" s="227" customFormat="1">
      <c r="A285" s="3"/>
      <c r="B285" s="37">
        <f>'12. Investeringen (bijschatten)'!B88</f>
        <v>69</v>
      </c>
      <c r="C285" s="48"/>
      <c r="D285" s="3"/>
      <c r="E285" s="48"/>
      <c r="F285" s="168">
        <f>'12. Investeringen (bijschatten)'!C88</f>
        <v>4052946.4637069628</v>
      </c>
      <c r="G285" s="3"/>
      <c r="H285" s="37">
        <f>'12. Investeringen (bijschatten)'!D88</f>
        <v>2022</v>
      </c>
      <c r="I285" s="37" t="str">
        <f>'12. Investeringen (bijschatten)'!E88</f>
        <v>32 M&amp;R stations</v>
      </c>
      <c r="J285" s="168">
        <f>_xlfn.XLOOKUP(I285,'3. Input (des)investeringen '!$B$11:$B$89,'3. Input (des)investeringen '!$D$11:$D$89)</f>
        <v>30</v>
      </c>
      <c r="M285" s="43">
        <f t="shared" si="183"/>
        <v>0</v>
      </c>
      <c r="N285" s="43">
        <f t="shared" si="184"/>
        <v>0</v>
      </c>
      <c r="O285" s="3"/>
      <c r="P285" s="137">
        <f t="shared" si="185"/>
        <v>0</v>
      </c>
      <c r="Q285" s="137">
        <f t="shared" si="186"/>
        <v>0</v>
      </c>
      <c r="R285" s="3"/>
      <c r="S285" s="43">
        <f t="shared" si="192"/>
        <v>4052946.4637069628</v>
      </c>
      <c r="T285" s="38">
        <f t="shared" si="193"/>
        <v>30</v>
      </c>
      <c r="U285" s="3"/>
      <c r="V285" s="43">
        <f t="shared" si="180"/>
        <v>79032.456042285776</v>
      </c>
      <c r="W285" s="43">
        <f t="shared" si="180"/>
        <v>154640.17232273918</v>
      </c>
      <c r="X285" s="43">
        <f t="shared" si="180"/>
        <v>147939.09818875379</v>
      </c>
      <c r="Y285" s="43">
        <f t="shared" si="180"/>
        <v>141528.4039339078</v>
      </c>
      <c r="Z285" s="43">
        <f t="shared" si="180"/>
        <v>135395.50643010513</v>
      </c>
      <c r="AA285" s="3"/>
      <c r="AB285" s="43">
        <f t="shared" si="181"/>
        <v>6754.9107728449389</v>
      </c>
      <c r="AC285" s="43">
        <f t="shared" si="181"/>
        <v>13509.821545689878</v>
      </c>
      <c r="AD285" s="43">
        <f t="shared" si="181"/>
        <v>13509.821545689878</v>
      </c>
      <c r="AE285" s="43">
        <f t="shared" si="181"/>
        <v>13509.821545689878</v>
      </c>
      <c r="AF285" s="43">
        <f t="shared" si="181"/>
        <v>13509.821545689878</v>
      </c>
      <c r="AG285" s="3"/>
      <c r="AH285" s="43">
        <f t="shared" si="194"/>
        <v>85787.366815130721</v>
      </c>
      <c r="AI285" s="43">
        <f t="shared" si="195"/>
        <v>168149.99386842907</v>
      </c>
      <c r="AJ285" s="43">
        <f t="shared" si="196"/>
        <v>161448.91973444368</v>
      </c>
      <c r="AK285" s="43">
        <f t="shared" si="197"/>
        <v>155038.22547959769</v>
      </c>
      <c r="AL285" s="43">
        <f t="shared" si="198"/>
        <v>148905.32797579502</v>
      </c>
      <c r="AM285" s="3"/>
      <c r="AN285" s="43">
        <f t="shared" si="187"/>
        <v>3967159.0968918321</v>
      </c>
      <c r="AO285" s="43">
        <f t="shared" si="188"/>
        <v>3799009.1030234029</v>
      </c>
      <c r="AP285" s="43">
        <f t="shared" si="189"/>
        <v>3637560.1832889593</v>
      </c>
      <c r="AQ285" s="43">
        <f t="shared" si="190"/>
        <v>3482521.9578093616</v>
      </c>
      <c r="AR285" s="43">
        <f t="shared" si="191"/>
        <v>3333616.6298335665</v>
      </c>
      <c r="AS285" s="3"/>
      <c r="AT285" s="43">
        <f t="shared" si="182"/>
        <v>40529.464637069628</v>
      </c>
      <c r="AU285" s="43">
        <f t="shared" si="182"/>
        <v>42870.122278789677</v>
      </c>
      <c r="AV285" s="43">
        <f t="shared" si="182"/>
        <v>46114.53313284849</v>
      </c>
      <c r="AW285" s="43">
        <f t="shared" si="182"/>
        <v>47216.117100325966</v>
      </c>
      <c r="AX285" s="43">
        <f t="shared" si="182"/>
        <v>48814.288231937804</v>
      </c>
      <c r="AY285" s="3"/>
      <c r="AZ285" s="47">
        <f t="shared" si="199"/>
        <v>261200.24074652267</v>
      </c>
      <c r="BA285" s="47">
        <f t="shared" si="200"/>
        <v>336387.41654699104</v>
      </c>
      <c r="BB285" s="47">
        <f t="shared" si="201"/>
        <v>345790.73983227264</v>
      </c>
      <c r="BC285" s="47">
        <f t="shared" si="202"/>
        <v>334590.17697667936</v>
      </c>
      <c r="BD285" s="47">
        <f t="shared" si="203"/>
        <v>324397.04814140836</v>
      </c>
    </row>
    <row r="286" spans="1:56" s="227" customFormat="1">
      <c r="A286" s="3"/>
      <c r="B286" s="37">
        <f>'12. Investeringen (bijschatten)'!B89</f>
        <v>70</v>
      </c>
      <c r="C286" s="48"/>
      <c r="D286" s="3"/>
      <c r="E286" s="48"/>
      <c r="F286" s="168">
        <f>'12. Investeringen (bijschatten)'!C89</f>
        <v>646.81735113356922</v>
      </c>
      <c r="G286" s="3"/>
      <c r="H286" s="37">
        <f>'12. Investeringen (bijschatten)'!D89</f>
        <v>2022</v>
      </c>
      <c r="I286" s="37" t="str">
        <f>'12. Investeringen (bijschatten)'!E89</f>
        <v>33 Exportstations</v>
      </c>
      <c r="J286" s="168">
        <f>_xlfn.XLOOKUP(I286,'3. Input (des)investeringen '!$B$11:$B$89,'3. Input (des)investeringen '!$D$11:$D$89)</f>
        <v>30</v>
      </c>
      <c r="M286" s="43">
        <f t="shared" si="183"/>
        <v>0</v>
      </c>
      <c r="N286" s="43">
        <f t="shared" si="184"/>
        <v>0</v>
      </c>
      <c r="O286" s="3"/>
      <c r="P286" s="137">
        <f t="shared" si="185"/>
        <v>0</v>
      </c>
      <c r="Q286" s="137">
        <f t="shared" si="186"/>
        <v>0</v>
      </c>
      <c r="R286" s="3"/>
      <c r="S286" s="43">
        <f t="shared" si="192"/>
        <v>646.81735113356922</v>
      </c>
      <c r="T286" s="38">
        <f t="shared" si="193"/>
        <v>30</v>
      </c>
      <c r="U286" s="3"/>
      <c r="V286" s="43">
        <f t="shared" si="180"/>
        <v>12.612938347104601</v>
      </c>
      <c r="W286" s="43">
        <f t="shared" si="180"/>
        <v>24.679316032501337</v>
      </c>
      <c r="X286" s="43">
        <f t="shared" si="180"/>
        <v>23.609879004426279</v>
      </c>
      <c r="Y286" s="43">
        <f t="shared" si="180"/>
        <v>22.586784247567806</v>
      </c>
      <c r="Z286" s="43">
        <f t="shared" si="180"/>
        <v>21.608023596839868</v>
      </c>
      <c r="AA286" s="3"/>
      <c r="AB286" s="43">
        <f t="shared" si="181"/>
        <v>1.0780289185559486</v>
      </c>
      <c r="AC286" s="43">
        <f t="shared" si="181"/>
        <v>2.1560578371118972</v>
      </c>
      <c r="AD286" s="43">
        <f t="shared" si="181"/>
        <v>2.1560578371118972</v>
      </c>
      <c r="AE286" s="43">
        <f t="shared" si="181"/>
        <v>2.1560578371118972</v>
      </c>
      <c r="AF286" s="43">
        <f t="shared" si="181"/>
        <v>2.1560578371118972</v>
      </c>
      <c r="AG286" s="3"/>
      <c r="AH286" s="43">
        <f t="shared" si="194"/>
        <v>13.69096726566055</v>
      </c>
      <c r="AI286" s="43">
        <f t="shared" si="195"/>
        <v>26.835373869613235</v>
      </c>
      <c r="AJ286" s="43">
        <f t="shared" si="196"/>
        <v>25.765936841538178</v>
      </c>
      <c r="AK286" s="43">
        <f t="shared" si="197"/>
        <v>24.742842084679705</v>
      </c>
      <c r="AL286" s="43">
        <f t="shared" si="198"/>
        <v>23.764081433951766</v>
      </c>
      <c r="AM286" s="3"/>
      <c r="AN286" s="43">
        <f t="shared" si="187"/>
        <v>633.12638386790866</v>
      </c>
      <c r="AO286" s="43">
        <f t="shared" si="188"/>
        <v>606.29100999829541</v>
      </c>
      <c r="AP286" s="43">
        <f t="shared" si="189"/>
        <v>580.52507315675723</v>
      </c>
      <c r="AQ286" s="43">
        <f t="shared" si="190"/>
        <v>555.78223107207748</v>
      </c>
      <c r="AR286" s="43">
        <f t="shared" si="191"/>
        <v>532.01814963812569</v>
      </c>
      <c r="AS286" s="3"/>
      <c r="AT286" s="43">
        <f t="shared" si="182"/>
        <v>6.4681735113356922</v>
      </c>
      <c r="AU286" s="43">
        <f t="shared" si="182"/>
        <v>6.8417234679623506</v>
      </c>
      <c r="AV286" s="43">
        <f t="shared" si="182"/>
        <v>7.3595051000177429</v>
      </c>
      <c r="AW286" s="43">
        <f t="shared" si="182"/>
        <v>7.5353089578469659</v>
      </c>
      <c r="AX286" s="43">
        <f t="shared" si="182"/>
        <v>7.7903640954521709</v>
      </c>
      <c r="AY286" s="3"/>
      <c r="AZ286" s="47">
        <f t="shared" si="199"/>
        <v>41.685437828505137</v>
      </c>
      <c r="BA286" s="47">
        <f t="shared" si="200"/>
        <v>53.684700667519337</v>
      </c>
      <c r="BB286" s="47">
        <f t="shared" si="201"/>
        <v>55.185394721512694</v>
      </c>
      <c r="BC286" s="47">
        <f t="shared" si="202"/>
        <v>53.397875823265615</v>
      </c>
      <c r="BD286" s="47">
        <f t="shared" si="203"/>
        <v>51.771135215652713</v>
      </c>
    </row>
    <row r="287" spans="1:56" s="227" customFormat="1">
      <c r="A287" s="3"/>
      <c r="B287" s="37">
        <f>'12. Investeringen (bijschatten)'!B90</f>
        <v>71</v>
      </c>
      <c r="C287" s="48"/>
      <c r="D287" s="3"/>
      <c r="E287" s="48"/>
      <c r="F287" s="168">
        <f>'12. Investeringen (bijschatten)'!C90</f>
        <v>183674.23028357985</v>
      </c>
      <c r="G287" s="3"/>
      <c r="H287" s="37">
        <f>'12. Investeringen (bijschatten)'!D90</f>
        <v>2022</v>
      </c>
      <c r="I287" s="37" t="str">
        <f>'12. Investeringen (bijschatten)'!E90</f>
        <v>34 Reduceerstations</v>
      </c>
      <c r="J287" s="168">
        <f>_xlfn.XLOOKUP(I287,'3. Input (des)investeringen '!$B$11:$B$89,'3. Input (des)investeringen '!$D$11:$D$89)</f>
        <v>30</v>
      </c>
      <c r="M287" s="43">
        <f t="shared" si="183"/>
        <v>0</v>
      </c>
      <c r="N287" s="43">
        <f t="shared" si="184"/>
        <v>0</v>
      </c>
      <c r="O287" s="3"/>
      <c r="P287" s="137">
        <f t="shared" si="185"/>
        <v>0</v>
      </c>
      <c r="Q287" s="137">
        <f t="shared" si="186"/>
        <v>0</v>
      </c>
      <c r="R287" s="3"/>
      <c r="S287" s="43">
        <f t="shared" si="192"/>
        <v>183674.23028357985</v>
      </c>
      <c r="T287" s="38">
        <f t="shared" si="193"/>
        <v>30</v>
      </c>
      <c r="U287" s="3"/>
      <c r="V287" s="43">
        <f t="shared" ref="V287:Z296" si="204">IF($J287=0, 0, IF(OR($H287&gt;V$59,$H287+$J287&lt;V$59),0,
IF(OR($H287=2020,$H287=2021),VDB(ABS($S287)*(1-$F$28),0,$T287,V$59-2022,MIN($T287,V$59-2021),$F$22),
VDB(ABS($S287)*(1-$F$28),0,$T287,MAX(0,V$59-$H287-0.5),MIN($T287,V$59-$H287+0.5),$F$22,FALSE))))*IF($F287&lt;0,-1,1)</f>
        <v>3581.6474905298073</v>
      </c>
      <c r="W287" s="43">
        <f t="shared" si="204"/>
        <v>7008.09025646999</v>
      </c>
      <c r="X287" s="43">
        <f t="shared" si="204"/>
        <v>6704.4063453562903</v>
      </c>
      <c r="Y287" s="43">
        <f t="shared" si="204"/>
        <v>6413.8820703908514</v>
      </c>
      <c r="Z287" s="43">
        <f t="shared" si="204"/>
        <v>6135.9471806739139</v>
      </c>
      <c r="AA287" s="3"/>
      <c r="AB287" s="43">
        <f t="shared" ref="AB287:AF296" si="205">IF($J287 = 0, 0, IF(OR($H287&gt;AB$59,$H287+$J287&lt;AB$59),0,
IF(OR($H287=2020,$H287=2021),VDB(ABS($S287)*$F$28,0,$T287,AB$59-2022,MIN($T287,AB$59-2021),1),
VDB(ABS($S287)*$F$28,0,$T287,MAX(0,AB$59-$H287-0.5),MIN($T287,AB$59-$H287+0.5),1))))*IF($F287&lt;0,-1,1)</f>
        <v>306.12371713929974</v>
      </c>
      <c r="AC287" s="43">
        <f t="shared" si="205"/>
        <v>612.24743427859948</v>
      </c>
      <c r="AD287" s="43">
        <f t="shared" si="205"/>
        <v>612.24743427859948</v>
      </c>
      <c r="AE287" s="43">
        <f t="shared" si="205"/>
        <v>612.24743427859948</v>
      </c>
      <c r="AF287" s="43">
        <f t="shared" si="205"/>
        <v>612.24743427859948</v>
      </c>
      <c r="AG287" s="3"/>
      <c r="AH287" s="43">
        <f t="shared" si="194"/>
        <v>3887.7712076691068</v>
      </c>
      <c r="AI287" s="43">
        <f t="shared" si="195"/>
        <v>7620.337690748589</v>
      </c>
      <c r="AJ287" s="43">
        <f t="shared" si="196"/>
        <v>7316.6537796348894</v>
      </c>
      <c r="AK287" s="43">
        <f t="shared" si="197"/>
        <v>7026.1295046694504</v>
      </c>
      <c r="AL287" s="43">
        <f t="shared" si="198"/>
        <v>6748.1946149525138</v>
      </c>
      <c r="AM287" s="3"/>
      <c r="AN287" s="43">
        <f t="shared" si="187"/>
        <v>179786.45907591074</v>
      </c>
      <c r="AO287" s="43">
        <f t="shared" si="188"/>
        <v>172166.12138516214</v>
      </c>
      <c r="AP287" s="43">
        <f t="shared" si="189"/>
        <v>164849.46760552726</v>
      </c>
      <c r="AQ287" s="43">
        <f t="shared" si="190"/>
        <v>157823.3381008578</v>
      </c>
      <c r="AR287" s="43">
        <f t="shared" si="191"/>
        <v>151075.14348590528</v>
      </c>
      <c r="AS287" s="3"/>
      <c r="AT287" s="43">
        <f t="shared" ref="AT287:AX296" si="206">IF($H287&lt;=AT$215,$F287*INDEX($H$40:$N$46,$H287-2019,AT$215-2019)*INDEX($H$49:$N$55,$H287-2019,AT$215-2019)*$F$19,0)</f>
        <v>1836.7423028357985</v>
      </c>
      <c r="AU287" s="43">
        <f t="shared" si="206"/>
        <v>1942.8178443091717</v>
      </c>
      <c r="AV287" s="43">
        <f t="shared" si="206"/>
        <v>2089.8502987664901</v>
      </c>
      <c r="AW287" s="43">
        <f t="shared" si="206"/>
        <v>2139.772642703424</v>
      </c>
      <c r="AX287" s="43">
        <f t="shared" si="206"/>
        <v>2212.1996671136494</v>
      </c>
      <c r="AY287" s="3"/>
      <c r="AZ287" s="47">
        <f t="shared" si="199"/>
        <v>11837.253119085872</v>
      </c>
      <c r="BA287" s="47">
        <f t="shared" si="200"/>
        <v>15244.637540768112</v>
      </c>
      <c r="BB287" s="47">
        <f t="shared" si="201"/>
        <v>15670.783847411416</v>
      </c>
      <c r="BC287" s="47">
        <f t="shared" si="202"/>
        <v>15163.18899520547</v>
      </c>
      <c r="BD287" s="47">
        <f t="shared" si="203"/>
        <v>14701.249734530564</v>
      </c>
    </row>
    <row r="288" spans="1:56" s="227" customFormat="1">
      <c r="A288" s="3"/>
      <c r="B288" s="37">
        <f>'12. Investeringen (bijschatten)'!B91</f>
        <v>72</v>
      </c>
      <c r="C288" s="48"/>
      <c r="D288" s="3"/>
      <c r="E288" s="48"/>
      <c r="F288" s="168">
        <f>'12. Investeringen (bijschatten)'!C91</f>
        <v>914035.73224221612</v>
      </c>
      <c r="G288" s="3"/>
      <c r="H288" s="37">
        <f>'12. Investeringen (bijschatten)'!D91</f>
        <v>2022</v>
      </c>
      <c r="I288" s="37" t="str">
        <f>'12. Investeringen (bijschatten)'!E91</f>
        <v>36 Luchtscheidingsunit</v>
      </c>
      <c r="J288" s="168">
        <f>_xlfn.XLOOKUP(I288,'3. Input (des)investeringen '!$B$11:$B$89,'3. Input (des)investeringen '!$D$11:$D$89)</f>
        <v>30</v>
      </c>
      <c r="M288" s="43">
        <f t="shared" si="183"/>
        <v>0</v>
      </c>
      <c r="N288" s="43">
        <f t="shared" si="184"/>
        <v>0</v>
      </c>
      <c r="O288" s="3"/>
      <c r="P288" s="137">
        <f t="shared" si="185"/>
        <v>0</v>
      </c>
      <c r="Q288" s="137">
        <f t="shared" si="186"/>
        <v>0</v>
      </c>
      <c r="R288" s="3"/>
      <c r="S288" s="43">
        <f t="shared" si="192"/>
        <v>914035.73224221612</v>
      </c>
      <c r="T288" s="38">
        <f t="shared" si="193"/>
        <v>30</v>
      </c>
      <c r="U288" s="3"/>
      <c r="V288" s="43">
        <f t="shared" si="204"/>
        <v>17823.696778723217</v>
      </c>
      <c r="W288" s="43">
        <f t="shared" si="204"/>
        <v>34875.033363701754</v>
      </c>
      <c r="X288" s="43">
        <f t="shared" si="204"/>
        <v>33363.781917941349</v>
      </c>
      <c r="Y288" s="43">
        <f t="shared" si="204"/>
        <v>31918.018034830555</v>
      </c>
      <c r="Z288" s="43">
        <f t="shared" si="204"/>
        <v>30534.903919987897</v>
      </c>
      <c r="AA288" s="3"/>
      <c r="AB288" s="43">
        <f t="shared" si="205"/>
        <v>1523.3928870703603</v>
      </c>
      <c r="AC288" s="43">
        <f t="shared" si="205"/>
        <v>3046.7857741407202</v>
      </c>
      <c r="AD288" s="43">
        <f t="shared" si="205"/>
        <v>3046.7857741407202</v>
      </c>
      <c r="AE288" s="43">
        <f t="shared" si="205"/>
        <v>3046.7857741407202</v>
      </c>
      <c r="AF288" s="43">
        <f t="shared" si="205"/>
        <v>3046.7857741407202</v>
      </c>
      <c r="AG288" s="3"/>
      <c r="AH288" s="43">
        <f t="shared" si="194"/>
        <v>19347.089665793577</v>
      </c>
      <c r="AI288" s="43">
        <f t="shared" si="195"/>
        <v>37921.819137842474</v>
      </c>
      <c r="AJ288" s="43">
        <f t="shared" si="196"/>
        <v>36410.56769208207</v>
      </c>
      <c r="AK288" s="43">
        <f t="shared" si="197"/>
        <v>34964.803808971272</v>
      </c>
      <c r="AL288" s="43">
        <f t="shared" si="198"/>
        <v>33581.689694128618</v>
      </c>
      <c r="AM288" s="3"/>
      <c r="AN288" s="43">
        <f t="shared" si="187"/>
        <v>894688.64257642254</v>
      </c>
      <c r="AO288" s="43">
        <f t="shared" si="188"/>
        <v>856766.82343858003</v>
      </c>
      <c r="AP288" s="43">
        <f t="shared" si="189"/>
        <v>820356.25574649801</v>
      </c>
      <c r="AQ288" s="43">
        <f t="shared" si="190"/>
        <v>785391.4519375267</v>
      </c>
      <c r="AR288" s="43">
        <f t="shared" si="191"/>
        <v>751809.76224339812</v>
      </c>
      <c r="AS288" s="3"/>
      <c r="AT288" s="43">
        <f t="shared" si="206"/>
        <v>9140.3573224221618</v>
      </c>
      <c r="AU288" s="43">
        <f t="shared" si="206"/>
        <v>9668.2312385066871</v>
      </c>
      <c r="AV288" s="43">
        <f t="shared" si="206"/>
        <v>10399.922978636874</v>
      </c>
      <c r="AW288" s="43">
        <f t="shared" si="206"/>
        <v>10648.356338750551</v>
      </c>
      <c r="AX288" s="43">
        <f t="shared" si="206"/>
        <v>11008.78190410458</v>
      </c>
      <c r="AY288" s="3"/>
      <c r="AZ288" s="47">
        <f t="shared" si="199"/>
        <v>58906.860835814106</v>
      </c>
      <c r="BA288" s="47">
        <f t="shared" si="200"/>
        <v>75863.355549822314</v>
      </c>
      <c r="BB288" s="47">
        <f t="shared" si="201"/>
        <v>77984.02838908587</v>
      </c>
      <c r="BC288" s="47">
        <f t="shared" si="202"/>
        <v>75458.035321347837</v>
      </c>
      <c r="BD288" s="47">
        <f t="shared" si="203"/>
        <v>73159.242563482316</v>
      </c>
    </row>
    <row r="289" spans="1:56" s="227" customFormat="1">
      <c r="A289" s="3"/>
      <c r="B289" s="37">
        <f>'12. Investeringen (bijschatten)'!B92</f>
        <v>73</v>
      </c>
      <c r="C289" s="48"/>
      <c r="D289" s="3"/>
      <c r="E289" s="48"/>
      <c r="F289" s="168">
        <f>'12. Investeringen (bijschatten)'!C92</f>
        <v>-5587235.5025544362</v>
      </c>
      <c r="G289" s="3"/>
      <c r="H289" s="37">
        <f>'12. Investeringen (bijschatten)'!D92</f>
        <v>2022</v>
      </c>
      <c r="I289" s="37" t="str">
        <f>'12. Investeringen (bijschatten)'!E92</f>
        <v>42 Vulgas</v>
      </c>
      <c r="J289" s="168">
        <f>_xlfn.XLOOKUP(I289,'3. Input (des)investeringen '!$B$11:$B$89,'3. Input (des)investeringen '!$D$11:$D$89)</f>
        <v>0</v>
      </c>
      <c r="M289" s="43">
        <f t="shared" si="183"/>
        <v>0</v>
      </c>
      <c r="N289" s="43">
        <f t="shared" si="184"/>
        <v>0</v>
      </c>
      <c r="O289" s="3"/>
      <c r="P289" s="137">
        <f t="shared" si="185"/>
        <v>0</v>
      </c>
      <c r="Q289" s="137">
        <f t="shared" si="186"/>
        <v>0</v>
      </c>
      <c r="R289" s="3"/>
      <c r="S289" s="43">
        <f t="shared" si="192"/>
        <v>-5587235.5025544362</v>
      </c>
      <c r="T289" s="38">
        <f t="shared" si="193"/>
        <v>0</v>
      </c>
      <c r="U289" s="3"/>
      <c r="V289" s="43">
        <f t="shared" si="204"/>
        <v>0</v>
      </c>
      <c r="W289" s="43">
        <f t="shared" si="204"/>
        <v>0</v>
      </c>
      <c r="X289" s="43">
        <f t="shared" si="204"/>
        <v>0</v>
      </c>
      <c r="Y289" s="43">
        <f t="shared" si="204"/>
        <v>0</v>
      </c>
      <c r="Z289" s="43">
        <f t="shared" si="204"/>
        <v>0</v>
      </c>
      <c r="AA289" s="3"/>
      <c r="AB289" s="43">
        <f t="shared" si="205"/>
        <v>0</v>
      </c>
      <c r="AC289" s="43">
        <f t="shared" si="205"/>
        <v>0</v>
      </c>
      <c r="AD289" s="43">
        <f t="shared" si="205"/>
        <v>0</v>
      </c>
      <c r="AE289" s="43">
        <f t="shared" si="205"/>
        <v>0</v>
      </c>
      <c r="AF289" s="43">
        <f t="shared" si="205"/>
        <v>0</v>
      </c>
      <c r="AG289" s="3"/>
      <c r="AH289" s="43">
        <f t="shared" si="194"/>
        <v>0</v>
      </c>
      <c r="AI289" s="43">
        <f t="shared" si="195"/>
        <v>0</v>
      </c>
      <c r="AJ289" s="43">
        <f t="shared" si="196"/>
        <v>0</v>
      </c>
      <c r="AK289" s="43">
        <f t="shared" si="197"/>
        <v>0</v>
      </c>
      <c r="AL289" s="43">
        <f t="shared" si="198"/>
        <v>0</v>
      </c>
      <c r="AM289" s="3"/>
      <c r="AN289" s="43">
        <f t="shared" si="187"/>
        <v>-5587235.5025544362</v>
      </c>
      <c r="AO289" s="43">
        <f t="shared" si="188"/>
        <v>-5587235.5025544362</v>
      </c>
      <c r="AP289" s="43">
        <f t="shared" si="189"/>
        <v>-5587235.5025544362</v>
      </c>
      <c r="AQ289" s="43">
        <f t="shared" si="190"/>
        <v>-5587235.5025544362</v>
      </c>
      <c r="AR289" s="43">
        <f t="shared" si="191"/>
        <v>-5587235.5025544362</v>
      </c>
      <c r="AS289" s="3"/>
      <c r="AT289" s="43">
        <f t="shared" si="206"/>
        <v>-55872.355025544362</v>
      </c>
      <c r="AU289" s="43">
        <f t="shared" si="206"/>
        <v>-59099.095272979597</v>
      </c>
      <c r="AV289" s="43">
        <f t="shared" si="206"/>
        <v>-63571.714803238705</v>
      </c>
      <c r="AW289" s="43">
        <f t="shared" si="206"/>
        <v>-65090.315926458461</v>
      </c>
      <c r="AX289" s="43">
        <f t="shared" si="206"/>
        <v>-67293.492939937234</v>
      </c>
      <c r="AY289" s="3"/>
      <c r="AZ289" s="47">
        <f t="shared" si="199"/>
        <v>-245838.3621123952</v>
      </c>
      <c r="BA289" s="47">
        <f t="shared" si="200"/>
        <v>-243477.86685727601</v>
      </c>
      <c r="BB289" s="47">
        <f t="shared" si="201"/>
        <v>-275886.66390030726</v>
      </c>
      <c r="BC289" s="47">
        <f t="shared" si="202"/>
        <v>-277405.26502352703</v>
      </c>
      <c r="BD289" s="47">
        <f t="shared" si="203"/>
        <v>-279608.44203700579</v>
      </c>
    </row>
    <row r="290" spans="1:56" s="227" customFormat="1">
      <c r="A290" s="3"/>
      <c r="B290" s="37">
        <f>'12. Investeringen (bijschatten)'!B93</f>
        <v>74</v>
      </c>
      <c r="C290" s="48"/>
      <c r="D290" s="3"/>
      <c r="E290" s="48"/>
      <c r="F290" s="168">
        <f>'12. Investeringen (bijschatten)'!C93</f>
        <v>622622.73355007381</v>
      </c>
      <c r="G290" s="3"/>
      <c r="H290" s="37">
        <f>'12. Investeringen (bijschatten)'!D93</f>
        <v>2022</v>
      </c>
      <c r="I290" s="37" t="str">
        <f>'12. Investeringen (bijschatten)'!E93</f>
        <v>45 Groen gas booster</v>
      </c>
      <c r="J290" s="168">
        <f>_xlfn.XLOOKUP(I290,'3. Input (des)investeringen '!$B$11:$B$89,'3. Input (des)investeringen '!$D$11:$D$89)</f>
        <v>30</v>
      </c>
      <c r="M290" s="43">
        <f t="shared" si="183"/>
        <v>0</v>
      </c>
      <c r="N290" s="43">
        <f t="shared" si="184"/>
        <v>0</v>
      </c>
      <c r="O290" s="3"/>
      <c r="P290" s="137">
        <f t="shared" si="185"/>
        <v>0</v>
      </c>
      <c r="Q290" s="137">
        <f t="shared" si="186"/>
        <v>0</v>
      </c>
      <c r="R290" s="3"/>
      <c r="S290" s="43">
        <f t="shared" si="192"/>
        <v>622622.73355007381</v>
      </c>
      <c r="T290" s="38">
        <f t="shared" si="193"/>
        <v>30</v>
      </c>
      <c r="U290" s="3"/>
      <c r="V290" s="43">
        <f t="shared" si="204"/>
        <v>12141.14330422644</v>
      </c>
      <c r="W290" s="43">
        <f t="shared" si="204"/>
        <v>23756.170398603066</v>
      </c>
      <c r="X290" s="43">
        <f t="shared" si="204"/>
        <v>22726.736347996932</v>
      </c>
      <c r="Y290" s="43">
        <f t="shared" si="204"/>
        <v>21741.911106250398</v>
      </c>
      <c r="Z290" s="43">
        <f t="shared" si="204"/>
        <v>20799.761624979546</v>
      </c>
      <c r="AA290" s="3"/>
      <c r="AB290" s="43">
        <f t="shared" si="205"/>
        <v>1037.7045559167898</v>
      </c>
      <c r="AC290" s="43">
        <f t="shared" si="205"/>
        <v>2075.4091118335796</v>
      </c>
      <c r="AD290" s="43">
        <f t="shared" si="205"/>
        <v>2075.4091118335796</v>
      </c>
      <c r="AE290" s="43">
        <f t="shared" si="205"/>
        <v>2075.4091118335796</v>
      </c>
      <c r="AF290" s="43">
        <f t="shared" si="205"/>
        <v>2075.4091118335796</v>
      </c>
      <c r="AG290" s="3"/>
      <c r="AH290" s="43">
        <f t="shared" si="194"/>
        <v>13178.847860143229</v>
      </c>
      <c r="AI290" s="43">
        <f t="shared" si="195"/>
        <v>25831.579510436644</v>
      </c>
      <c r="AJ290" s="43">
        <f t="shared" si="196"/>
        <v>24802.14545983051</v>
      </c>
      <c r="AK290" s="43">
        <f t="shared" si="197"/>
        <v>23817.320218083976</v>
      </c>
      <c r="AL290" s="43">
        <f t="shared" si="198"/>
        <v>22875.170736813125</v>
      </c>
      <c r="AM290" s="3"/>
      <c r="AN290" s="43">
        <f t="shared" si="187"/>
        <v>609443.88568993052</v>
      </c>
      <c r="AO290" s="43">
        <f t="shared" si="188"/>
        <v>583612.3061794939</v>
      </c>
      <c r="AP290" s="43">
        <f t="shared" si="189"/>
        <v>558810.16071966337</v>
      </c>
      <c r="AQ290" s="43">
        <f t="shared" si="190"/>
        <v>534992.84050157934</v>
      </c>
      <c r="AR290" s="43">
        <f t="shared" si="191"/>
        <v>512117.66976476624</v>
      </c>
      <c r="AS290" s="3"/>
      <c r="AT290" s="43">
        <f t="shared" si="206"/>
        <v>6226.2273355007383</v>
      </c>
      <c r="AU290" s="43">
        <f t="shared" si="206"/>
        <v>6585.8044165805777</v>
      </c>
      <c r="AV290" s="43">
        <f t="shared" si="206"/>
        <v>7084.2180948273954</v>
      </c>
      <c r="AW290" s="43">
        <f t="shared" si="206"/>
        <v>7253.4458966766324</v>
      </c>
      <c r="AX290" s="43">
        <f t="shared" si="206"/>
        <v>7498.9605333873433</v>
      </c>
      <c r="AY290" s="3"/>
      <c r="AZ290" s="47">
        <f t="shared" si="199"/>
        <v>40126.167309101598</v>
      </c>
      <c r="BA290" s="47">
        <f t="shared" si="200"/>
        <v>51676.590030940526</v>
      </c>
      <c r="BB290" s="47">
        <f t="shared" si="201"/>
        <v>53121.149662005111</v>
      </c>
      <c r="BC290" s="47">
        <f t="shared" si="202"/>
        <v>51400.494053820621</v>
      </c>
      <c r="BD290" s="47">
        <f t="shared" si="203"/>
        <v>49834.602721261581</v>
      </c>
    </row>
    <row r="291" spans="1:56">
      <c r="B291" s="37">
        <f>'12. Investeringen (bijschatten)'!B94</f>
        <v>75</v>
      </c>
      <c r="C291" s="48"/>
      <c r="E291" s="48"/>
      <c r="F291" s="168">
        <f>'12. Investeringen (bijschatten)'!C94</f>
        <v>35129736.152436331</v>
      </c>
      <c r="H291" s="37">
        <f>'12. Investeringen (bijschatten)'!D94</f>
        <v>2023</v>
      </c>
      <c r="I291" s="37" t="str">
        <f>'12. Investeringen (bijschatten)'!E94</f>
        <v>01 Regionale leidingen</v>
      </c>
      <c r="J291" s="168">
        <f>_xlfn.XLOOKUP(I291,'3. Input (des)investeringen '!$B$11:$B$89,'3. Input (des)investeringen '!$D$11:$D$89)</f>
        <v>55</v>
      </c>
      <c r="M291" s="43">
        <f t="shared" si="183"/>
        <v>0</v>
      </c>
      <c r="N291" s="43">
        <f t="shared" si="184"/>
        <v>0</v>
      </c>
      <c r="P291" s="137">
        <f t="shared" si="185"/>
        <v>0</v>
      </c>
      <c r="Q291" s="137">
        <f t="shared" si="186"/>
        <v>0</v>
      </c>
      <c r="S291" s="43">
        <f t="shared" ref="S291:S299" si="207">IF($J291=0, IF(H291&lt;=2021, $Q291, IF(H291&gt;=2022, $F291,0)), IF(H291&lt;=2021,Q291,F291))</f>
        <v>35129736.152436331</v>
      </c>
      <c r="T291" s="38">
        <f t="shared" ref="T291:T299" si="208">IF($J291=0, 0, IF(H291&lt;2022,J291-2021+H291-0.5,J291))</f>
        <v>55</v>
      </c>
      <c r="V291" s="43">
        <f t="shared" si="204"/>
        <v>0</v>
      </c>
      <c r="W291" s="43">
        <f t="shared" si="204"/>
        <v>373652.64816682279</v>
      </c>
      <c r="X291" s="43">
        <f t="shared" si="204"/>
        <v>738473.50646788429</v>
      </c>
      <c r="Y291" s="43">
        <f t="shared" si="204"/>
        <v>721018.67813318886</v>
      </c>
      <c r="Z291" s="43">
        <f t="shared" si="204"/>
        <v>703976.4184682226</v>
      </c>
      <c r="AB291" s="43">
        <f t="shared" si="205"/>
        <v>0</v>
      </c>
      <c r="AC291" s="43">
        <f t="shared" si="205"/>
        <v>31936.12377494212</v>
      </c>
      <c r="AD291" s="43">
        <f t="shared" si="205"/>
        <v>63872.247549884247</v>
      </c>
      <c r="AE291" s="43">
        <f t="shared" si="205"/>
        <v>63872.247549884247</v>
      </c>
      <c r="AF291" s="43">
        <f t="shared" si="205"/>
        <v>63872.247549884247</v>
      </c>
      <c r="AH291" s="43">
        <f t="shared" ref="AH291:AH299" si="209">V291+AB291</f>
        <v>0</v>
      </c>
      <c r="AI291" s="43">
        <f t="shared" ref="AI291:AI299" si="210">W291+AC291</f>
        <v>405588.77194176492</v>
      </c>
      <c r="AJ291" s="43">
        <f t="shared" ref="AJ291:AJ299" si="211">X291+AD291</f>
        <v>802345.75401776854</v>
      </c>
      <c r="AK291" s="43">
        <f t="shared" ref="AK291:AK299" si="212">Y291+AE291</f>
        <v>784890.92568307312</v>
      </c>
      <c r="AL291" s="43">
        <f t="shared" ref="AL291:AL299" si="213">Z291+AF291</f>
        <v>767848.66601810686</v>
      </c>
      <c r="AN291" s="43">
        <f t="shared" si="187"/>
        <v>0</v>
      </c>
      <c r="AO291" s="43">
        <f t="shared" si="188"/>
        <v>34724147.380494565</v>
      </c>
      <c r="AP291" s="43">
        <f t="shared" si="189"/>
        <v>33921801.626476794</v>
      </c>
      <c r="AQ291" s="43">
        <f t="shared" si="190"/>
        <v>33136910.700793721</v>
      </c>
      <c r="AR291" s="43">
        <f t="shared" si="191"/>
        <v>32369062.034775615</v>
      </c>
      <c r="AT291" s="43">
        <f t="shared" si="206"/>
        <v>0</v>
      </c>
      <c r="AU291" s="43">
        <f t="shared" si="206"/>
        <v>351297.36152436334</v>
      </c>
      <c r="AV291" s="43">
        <f t="shared" si="206"/>
        <v>377883.54584452719</v>
      </c>
      <c r="AW291" s="43">
        <f t="shared" si="206"/>
        <v>386910.42798766121</v>
      </c>
      <c r="AX291" s="43">
        <f t="shared" si="206"/>
        <v>400006.5721541876</v>
      </c>
      <c r="AZ291" s="47">
        <f t="shared" ref="AZ291:AZ299" si="214">AH291+AN291*J$16+AT291</f>
        <v>0</v>
      </c>
      <c r="BA291" s="47">
        <f t="shared" ref="BA291:BA299" si="215">AI291+AO291*K$16+AU291</f>
        <v>1902782.997022449</v>
      </c>
      <c r="BB291" s="47">
        <f t="shared" ref="BB291:BB299" si="216">AJ291+AP291*L$16+AV291</f>
        <v>2469257.7616684139</v>
      </c>
      <c r="BC291" s="47">
        <f t="shared" ref="BC291:BC299" si="217">AK291+AQ291*M$16+AW291</f>
        <v>2431003.9603008959</v>
      </c>
      <c r="BD291" s="47">
        <f t="shared" ref="BD291:BD299" si="218">AL291+AR291*N$16+AX291</f>
        <v>2397879.5954937679</v>
      </c>
    </row>
    <row r="292" spans="1:56">
      <c r="B292" s="37">
        <f>'12. Investeringen (bijschatten)'!B95</f>
        <v>76</v>
      </c>
      <c r="C292" s="48"/>
      <c r="E292" s="48"/>
      <c r="F292" s="168">
        <f>'12. Investeringen (bijschatten)'!C95</f>
        <v>3911702.9434979549</v>
      </c>
      <c r="H292" s="37">
        <f>'12. Investeringen (bijschatten)'!D95</f>
        <v>2023</v>
      </c>
      <c r="I292" s="37" t="str">
        <f>'12. Investeringen (bijschatten)'!E95</f>
        <v>02 Gasontvangststations</v>
      </c>
      <c r="J292" s="168">
        <f>_xlfn.XLOOKUP(I292,'3. Input (des)investeringen '!$B$11:$B$89,'3. Input (des)investeringen '!$D$11:$D$89)</f>
        <v>30</v>
      </c>
      <c r="M292" s="43">
        <f t="shared" si="183"/>
        <v>0</v>
      </c>
      <c r="N292" s="43">
        <f t="shared" si="184"/>
        <v>0</v>
      </c>
      <c r="P292" s="137">
        <f t="shared" si="185"/>
        <v>0</v>
      </c>
      <c r="Q292" s="137">
        <f t="shared" si="186"/>
        <v>0</v>
      </c>
      <c r="S292" s="43">
        <f t="shared" si="207"/>
        <v>3911702.9434979549</v>
      </c>
      <c r="T292" s="38">
        <f t="shared" si="208"/>
        <v>30</v>
      </c>
      <c r="V292" s="43">
        <f t="shared" si="204"/>
        <v>0</v>
      </c>
      <c r="W292" s="43">
        <f t="shared" si="204"/>
        <v>76278.207398210128</v>
      </c>
      <c r="X292" s="43">
        <f t="shared" si="204"/>
        <v>149251.02580916448</v>
      </c>
      <c r="Y292" s="43">
        <f t="shared" si="204"/>
        <v>142783.48135743401</v>
      </c>
      <c r="Z292" s="43">
        <f t="shared" si="204"/>
        <v>136596.19716527854</v>
      </c>
      <c r="AB292" s="43">
        <f t="shared" si="205"/>
        <v>0</v>
      </c>
      <c r="AC292" s="43">
        <f t="shared" si="205"/>
        <v>6519.5049058299246</v>
      </c>
      <c r="AD292" s="43">
        <f t="shared" si="205"/>
        <v>13039.009811659851</v>
      </c>
      <c r="AE292" s="43">
        <f t="shared" si="205"/>
        <v>13039.009811659851</v>
      </c>
      <c r="AF292" s="43">
        <f t="shared" si="205"/>
        <v>13039.009811659851</v>
      </c>
      <c r="AH292" s="43">
        <f t="shared" si="209"/>
        <v>0</v>
      </c>
      <c r="AI292" s="43">
        <f t="shared" si="210"/>
        <v>82797.712304040047</v>
      </c>
      <c r="AJ292" s="43">
        <f t="shared" si="211"/>
        <v>162290.03562082432</v>
      </c>
      <c r="AK292" s="43">
        <f t="shared" si="212"/>
        <v>155822.49116909385</v>
      </c>
      <c r="AL292" s="43">
        <f t="shared" si="213"/>
        <v>149635.20697693838</v>
      </c>
      <c r="AN292" s="43">
        <f t="shared" si="187"/>
        <v>0</v>
      </c>
      <c r="AO292" s="43">
        <f t="shared" si="188"/>
        <v>3828905.231193915</v>
      </c>
      <c r="AP292" s="43">
        <f t="shared" si="189"/>
        <v>3666615.1955730906</v>
      </c>
      <c r="AQ292" s="43">
        <f t="shared" si="190"/>
        <v>3510792.7044039969</v>
      </c>
      <c r="AR292" s="43">
        <f t="shared" si="191"/>
        <v>3361157.4974270584</v>
      </c>
      <c r="AT292" s="43">
        <f t="shared" si="206"/>
        <v>0</v>
      </c>
      <c r="AU292" s="43">
        <f t="shared" si="206"/>
        <v>39117.029434979551</v>
      </c>
      <c r="AV292" s="43">
        <f t="shared" si="206"/>
        <v>42077.406222618803</v>
      </c>
      <c r="AW292" s="43">
        <f t="shared" si="206"/>
        <v>43082.55130246473</v>
      </c>
      <c r="AX292" s="43">
        <f t="shared" si="206"/>
        <v>44540.809498950541</v>
      </c>
      <c r="AZ292" s="47">
        <f t="shared" si="214"/>
        <v>0</v>
      </c>
      <c r="BA292" s="47">
        <f t="shared" si="215"/>
        <v>248268.61436841881</v>
      </c>
      <c r="BB292" s="47">
        <f t="shared" si="216"/>
        <v>343698.81927522057</v>
      </c>
      <c r="BC292" s="47">
        <f t="shared" si="217"/>
        <v>332315.16523891047</v>
      </c>
      <c r="BD292" s="47">
        <f t="shared" si="218"/>
        <v>321900.00137811713</v>
      </c>
    </row>
    <row r="293" spans="1:56">
      <c r="B293" s="37">
        <f>'12. Investeringen (bijschatten)'!B96</f>
        <v>77</v>
      </c>
      <c r="C293" s="48"/>
      <c r="E293" s="48"/>
      <c r="F293" s="168">
        <f>'12. Investeringen (bijschatten)'!C96</f>
        <v>211106.04067513763</v>
      </c>
      <c r="H293" s="37">
        <f>'12. Investeringen (bijschatten)'!D96</f>
        <v>2023</v>
      </c>
      <c r="I293" s="37" t="str">
        <f>'12. Investeringen (bijschatten)'!E96</f>
        <v>05 Wegen en terreinvoorzieningen</v>
      </c>
      <c r="J293" s="168">
        <f>_xlfn.XLOOKUP(I293,'3. Input (des)investeringen '!$B$11:$B$89,'3. Input (des)investeringen '!$D$11:$D$89)</f>
        <v>10</v>
      </c>
      <c r="M293" s="43">
        <f t="shared" si="183"/>
        <v>0</v>
      </c>
      <c r="N293" s="43">
        <f t="shared" si="184"/>
        <v>0</v>
      </c>
      <c r="P293" s="137">
        <f t="shared" si="185"/>
        <v>0</v>
      </c>
      <c r="Q293" s="137">
        <f t="shared" si="186"/>
        <v>0</v>
      </c>
      <c r="S293" s="43">
        <f t="shared" si="207"/>
        <v>211106.04067513763</v>
      </c>
      <c r="T293" s="38">
        <f t="shared" si="208"/>
        <v>10</v>
      </c>
      <c r="V293" s="43">
        <f t="shared" si="204"/>
        <v>0</v>
      </c>
      <c r="W293" s="43">
        <f t="shared" si="204"/>
        <v>12349.703379495553</v>
      </c>
      <c r="X293" s="43">
        <f t="shared" si="204"/>
        <v>23093.945319656683</v>
      </c>
      <c r="Y293" s="43">
        <f t="shared" si="204"/>
        <v>20091.732428101313</v>
      </c>
      <c r="Z293" s="43">
        <f t="shared" si="204"/>
        <v>17928.007397382706</v>
      </c>
      <c r="AB293" s="43">
        <f t="shared" si="205"/>
        <v>0</v>
      </c>
      <c r="AC293" s="43">
        <f t="shared" si="205"/>
        <v>1055.5302033756882</v>
      </c>
      <c r="AD293" s="43">
        <f t="shared" si="205"/>
        <v>2111.0604067513764</v>
      </c>
      <c r="AE293" s="43">
        <f t="shared" si="205"/>
        <v>2111.0604067513764</v>
      </c>
      <c r="AF293" s="43">
        <f t="shared" si="205"/>
        <v>2111.0604067513764</v>
      </c>
      <c r="AH293" s="43">
        <f t="shared" si="209"/>
        <v>0</v>
      </c>
      <c r="AI293" s="43">
        <f t="shared" si="210"/>
        <v>13405.233582871242</v>
      </c>
      <c r="AJ293" s="43">
        <f t="shared" si="211"/>
        <v>25205.005726408061</v>
      </c>
      <c r="AK293" s="43">
        <f t="shared" si="212"/>
        <v>22202.792834852691</v>
      </c>
      <c r="AL293" s="43">
        <f t="shared" si="213"/>
        <v>20039.067804134083</v>
      </c>
      <c r="AN293" s="43">
        <f t="shared" si="187"/>
        <v>0</v>
      </c>
      <c r="AO293" s="43">
        <f t="shared" si="188"/>
        <v>197700.80709226639</v>
      </c>
      <c r="AP293" s="43">
        <f t="shared" si="189"/>
        <v>172495.80136585832</v>
      </c>
      <c r="AQ293" s="43">
        <f t="shared" si="190"/>
        <v>150293.00853100565</v>
      </c>
      <c r="AR293" s="43">
        <f t="shared" si="191"/>
        <v>130253.94072687156</v>
      </c>
      <c r="AT293" s="43">
        <f t="shared" si="206"/>
        <v>0</v>
      </c>
      <c r="AU293" s="43">
        <f t="shared" si="206"/>
        <v>2111.0604067513764</v>
      </c>
      <c r="AV293" s="43">
        <f t="shared" si="206"/>
        <v>2270.8254583343205</v>
      </c>
      <c r="AW293" s="43">
        <f t="shared" si="206"/>
        <v>2325.0709368830112</v>
      </c>
      <c r="AX293" s="43">
        <f t="shared" si="206"/>
        <v>2403.769937954627</v>
      </c>
      <c r="AZ293" s="47">
        <f t="shared" si="214"/>
        <v>0</v>
      </c>
      <c r="BA293" s="47">
        <f t="shared" si="215"/>
        <v>22040.420623667411</v>
      </c>
      <c r="BB293" s="47">
        <f t="shared" si="216"/>
        <v>34030.671636644998</v>
      </c>
      <c r="BC293" s="47">
        <f t="shared" si="217"/>
        <v>30238.998095913917</v>
      </c>
      <c r="BD293" s="47">
        <f t="shared" si="218"/>
        <v>27392.487489709831</v>
      </c>
    </row>
    <row r="294" spans="1:56">
      <c r="B294" s="37">
        <f>'12. Investeringen (bijschatten)'!B97</f>
        <v>78</v>
      </c>
      <c r="C294" s="48"/>
      <c r="E294" s="48"/>
      <c r="F294" s="168">
        <f>'12. Investeringen (bijschatten)'!C97</f>
        <v>87365.41867156743</v>
      </c>
      <c r="H294" s="37">
        <f>'12. Investeringen (bijschatten)'!D97</f>
        <v>2023</v>
      </c>
      <c r="I294" s="37" t="str">
        <f>'12. Investeringen (bijschatten)'!E97</f>
        <v>06 Utiliteitsgebouwen</v>
      </c>
      <c r="J294" s="168">
        <f>_xlfn.XLOOKUP(I294,'3. Input (des)investeringen '!$B$11:$B$89,'3. Input (des)investeringen '!$D$11:$D$89)</f>
        <v>30</v>
      </c>
      <c r="M294" s="43">
        <f t="shared" si="183"/>
        <v>0</v>
      </c>
      <c r="N294" s="43">
        <f t="shared" si="184"/>
        <v>0</v>
      </c>
      <c r="P294" s="137">
        <f t="shared" si="185"/>
        <v>0</v>
      </c>
      <c r="Q294" s="137">
        <f t="shared" si="186"/>
        <v>0</v>
      </c>
      <c r="S294" s="43">
        <f t="shared" si="207"/>
        <v>87365.41867156743</v>
      </c>
      <c r="T294" s="38">
        <f t="shared" si="208"/>
        <v>30</v>
      </c>
      <c r="V294" s="43">
        <f t="shared" si="204"/>
        <v>0</v>
      </c>
      <c r="W294" s="43">
        <f t="shared" si="204"/>
        <v>1703.6256640955648</v>
      </c>
      <c r="X294" s="43">
        <f t="shared" si="204"/>
        <v>3333.427549413655</v>
      </c>
      <c r="Y294" s="43">
        <f t="shared" si="204"/>
        <v>3188.9790222723968</v>
      </c>
      <c r="Z294" s="43">
        <f t="shared" si="204"/>
        <v>3050.7899313072594</v>
      </c>
      <c r="AB294" s="43">
        <f t="shared" si="205"/>
        <v>0</v>
      </c>
      <c r="AC294" s="43">
        <f t="shared" si="205"/>
        <v>145.60903111927908</v>
      </c>
      <c r="AD294" s="43">
        <f t="shared" si="205"/>
        <v>291.21806223855816</v>
      </c>
      <c r="AE294" s="43">
        <f t="shared" si="205"/>
        <v>291.21806223855816</v>
      </c>
      <c r="AF294" s="43">
        <f t="shared" si="205"/>
        <v>291.21806223855816</v>
      </c>
      <c r="AH294" s="43">
        <f t="shared" si="209"/>
        <v>0</v>
      </c>
      <c r="AI294" s="43">
        <f t="shared" si="210"/>
        <v>1849.2346952148439</v>
      </c>
      <c r="AJ294" s="43">
        <f t="shared" si="211"/>
        <v>3624.6456116522131</v>
      </c>
      <c r="AK294" s="43">
        <f t="shared" si="212"/>
        <v>3480.1970845109549</v>
      </c>
      <c r="AL294" s="43">
        <f t="shared" si="213"/>
        <v>3342.0079935458175</v>
      </c>
      <c r="AN294" s="43">
        <f t="shared" si="187"/>
        <v>0</v>
      </c>
      <c r="AO294" s="43">
        <f t="shared" si="188"/>
        <v>85516.183976352579</v>
      </c>
      <c r="AP294" s="43">
        <f t="shared" si="189"/>
        <v>81891.538364700362</v>
      </c>
      <c r="AQ294" s="43">
        <f t="shared" si="190"/>
        <v>78411.341280189401</v>
      </c>
      <c r="AR294" s="43">
        <f t="shared" si="191"/>
        <v>75069.333286643581</v>
      </c>
      <c r="AT294" s="43">
        <f t="shared" si="206"/>
        <v>0</v>
      </c>
      <c r="AU294" s="43">
        <f t="shared" si="206"/>
        <v>873.65418671567431</v>
      </c>
      <c r="AV294" s="43">
        <f t="shared" si="206"/>
        <v>939.77233556631666</v>
      </c>
      <c r="AW294" s="43">
        <f t="shared" si="206"/>
        <v>962.22161711832484</v>
      </c>
      <c r="AX294" s="43">
        <f t="shared" si="206"/>
        <v>994.79089441454573</v>
      </c>
      <c r="AZ294" s="47">
        <f t="shared" si="214"/>
        <v>0</v>
      </c>
      <c r="BA294" s="47">
        <f t="shared" si="215"/>
        <v>5544.9229531501533</v>
      </c>
      <c r="BB294" s="47">
        <f t="shared" si="216"/>
        <v>7676.2964050771434</v>
      </c>
      <c r="BC294" s="47">
        <f t="shared" si="217"/>
        <v>7422.0496702764767</v>
      </c>
      <c r="BD294" s="47">
        <f t="shared" si="218"/>
        <v>7189.433552852819</v>
      </c>
    </row>
    <row r="295" spans="1:56">
      <c r="B295" s="37">
        <f>'12. Investeringen (bijschatten)'!B98</f>
        <v>79</v>
      </c>
      <c r="C295" s="48"/>
      <c r="E295" s="48"/>
      <c r="F295" s="168">
        <f>'12. Investeringen (bijschatten)'!C98</f>
        <v>512.30039495694564</v>
      </c>
      <c r="H295" s="37">
        <f>'12. Investeringen (bijschatten)'!D98</f>
        <v>2023</v>
      </c>
      <c r="I295" s="37" t="str">
        <f>'12. Investeringen (bijschatten)'!E98</f>
        <v>08 Inrichting gebouwen</v>
      </c>
      <c r="J295" s="168">
        <f>_xlfn.XLOOKUP(I295,'3. Input (des)investeringen '!$B$11:$B$89,'3. Input (des)investeringen '!$D$11:$D$89)</f>
        <v>10</v>
      </c>
      <c r="M295" s="43">
        <f t="shared" si="183"/>
        <v>0</v>
      </c>
      <c r="N295" s="43">
        <f t="shared" si="184"/>
        <v>0</v>
      </c>
      <c r="P295" s="137">
        <f t="shared" si="185"/>
        <v>0</v>
      </c>
      <c r="Q295" s="137">
        <f t="shared" si="186"/>
        <v>0</v>
      </c>
      <c r="S295" s="43">
        <f t="shared" si="207"/>
        <v>512.30039495694564</v>
      </c>
      <c r="T295" s="38">
        <f t="shared" si="208"/>
        <v>10</v>
      </c>
      <c r="V295" s="43">
        <f t="shared" si="204"/>
        <v>0</v>
      </c>
      <c r="W295" s="43">
        <f t="shared" si="204"/>
        <v>29.969573104981322</v>
      </c>
      <c r="X295" s="43">
        <f t="shared" si="204"/>
        <v>56.04310170631507</v>
      </c>
      <c r="Y295" s="43">
        <f t="shared" si="204"/>
        <v>48.757498484494114</v>
      </c>
      <c r="Z295" s="43">
        <f t="shared" si="204"/>
        <v>43.506690955394745</v>
      </c>
      <c r="AB295" s="43">
        <f t="shared" si="205"/>
        <v>0</v>
      </c>
      <c r="AC295" s="43">
        <f t="shared" si="205"/>
        <v>2.5615019747847287</v>
      </c>
      <c r="AD295" s="43">
        <f t="shared" si="205"/>
        <v>5.1230039495694575</v>
      </c>
      <c r="AE295" s="43">
        <f t="shared" si="205"/>
        <v>5.1230039495694575</v>
      </c>
      <c r="AF295" s="43">
        <f t="shared" si="205"/>
        <v>5.1230039495694575</v>
      </c>
      <c r="AH295" s="43">
        <f t="shared" si="209"/>
        <v>0</v>
      </c>
      <c r="AI295" s="43">
        <f t="shared" si="210"/>
        <v>32.531075079766048</v>
      </c>
      <c r="AJ295" s="43">
        <f t="shared" si="211"/>
        <v>61.166105655884529</v>
      </c>
      <c r="AK295" s="43">
        <f t="shared" si="212"/>
        <v>53.880502434063573</v>
      </c>
      <c r="AL295" s="43">
        <f t="shared" si="213"/>
        <v>48.629694904964204</v>
      </c>
      <c r="AN295" s="43">
        <f t="shared" si="187"/>
        <v>0</v>
      </c>
      <c r="AO295" s="43">
        <f t="shared" si="188"/>
        <v>479.76931987717961</v>
      </c>
      <c r="AP295" s="43">
        <f t="shared" si="189"/>
        <v>418.6032142212951</v>
      </c>
      <c r="AQ295" s="43">
        <f t="shared" si="190"/>
        <v>364.72271178723156</v>
      </c>
      <c r="AR295" s="43">
        <f t="shared" si="191"/>
        <v>316.09301688226736</v>
      </c>
      <c r="AT295" s="43">
        <f t="shared" si="206"/>
        <v>0</v>
      </c>
      <c r="AU295" s="43">
        <f t="shared" si="206"/>
        <v>5.1230039495694566</v>
      </c>
      <c r="AV295" s="43">
        <f t="shared" si="206"/>
        <v>5.5107128884728738</v>
      </c>
      <c r="AW295" s="43">
        <f t="shared" si="206"/>
        <v>5.6423527979527135</v>
      </c>
      <c r="AX295" s="43">
        <f t="shared" si="206"/>
        <v>5.8333351554578154</v>
      </c>
      <c r="AZ295" s="47">
        <f t="shared" si="214"/>
        <v>0</v>
      </c>
      <c r="BA295" s="47">
        <f t="shared" si="215"/>
        <v>53.486466585282436</v>
      </c>
      <c r="BB295" s="47">
        <f t="shared" si="216"/>
        <v>82.58374068476661</v>
      </c>
      <c r="BC295" s="47">
        <f t="shared" si="217"/>
        <v>73.382318279931084</v>
      </c>
      <c r="BD295" s="47">
        <f t="shared" si="218"/>
        <v>66.474564701948182</v>
      </c>
    </row>
    <row r="296" spans="1:56">
      <c r="B296" s="37">
        <f>'12. Investeringen (bijschatten)'!B99</f>
        <v>80</v>
      </c>
      <c r="C296" s="48"/>
      <c r="E296" s="48"/>
      <c r="F296" s="168">
        <f>'12. Investeringen (bijschatten)'!C99</f>
        <v>52227.302738377963</v>
      </c>
      <c r="H296" s="37">
        <f>'12. Investeringen (bijschatten)'!D99</f>
        <v>2023</v>
      </c>
      <c r="I296" s="37" t="str">
        <f>'12. Investeringen (bijschatten)'!E99</f>
        <v>15 Compressorstations (KC)</v>
      </c>
      <c r="J296" s="168">
        <f>_xlfn.XLOOKUP(I296,'3. Input (des)investeringen '!$B$11:$B$89,'3. Input (des)investeringen '!$D$11:$D$89)</f>
        <v>30</v>
      </c>
      <c r="M296" s="43">
        <f t="shared" si="183"/>
        <v>0</v>
      </c>
      <c r="N296" s="43">
        <f t="shared" si="184"/>
        <v>0</v>
      </c>
      <c r="P296" s="137">
        <f t="shared" si="185"/>
        <v>0</v>
      </c>
      <c r="Q296" s="137">
        <f t="shared" si="186"/>
        <v>0</v>
      </c>
      <c r="S296" s="43">
        <f t="shared" si="207"/>
        <v>52227.302738377963</v>
      </c>
      <c r="T296" s="38">
        <f t="shared" si="208"/>
        <v>30</v>
      </c>
      <c r="V296" s="43">
        <f t="shared" si="204"/>
        <v>0</v>
      </c>
      <c r="W296" s="43">
        <f t="shared" si="204"/>
        <v>1018.4324033983703</v>
      </c>
      <c r="X296" s="43">
        <f t="shared" si="204"/>
        <v>1992.7327359828112</v>
      </c>
      <c r="Y296" s="43">
        <f t="shared" si="204"/>
        <v>1906.3809840902225</v>
      </c>
      <c r="Z296" s="43">
        <f t="shared" si="204"/>
        <v>1823.7711414463129</v>
      </c>
      <c r="AB296" s="43">
        <f t="shared" si="205"/>
        <v>0</v>
      </c>
      <c r="AC296" s="43">
        <f t="shared" si="205"/>
        <v>87.045504563963277</v>
      </c>
      <c r="AD296" s="43">
        <f t="shared" si="205"/>
        <v>174.09100912792658</v>
      </c>
      <c r="AE296" s="43">
        <f t="shared" si="205"/>
        <v>174.09100912792658</v>
      </c>
      <c r="AF296" s="43">
        <f t="shared" si="205"/>
        <v>174.09100912792658</v>
      </c>
      <c r="AH296" s="43">
        <f t="shared" si="209"/>
        <v>0</v>
      </c>
      <c r="AI296" s="43">
        <f t="shared" si="210"/>
        <v>1105.4779079623336</v>
      </c>
      <c r="AJ296" s="43">
        <f t="shared" si="211"/>
        <v>2166.8237451107379</v>
      </c>
      <c r="AK296" s="43">
        <f t="shared" si="212"/>
        <v>2080.4719932181492</v>
      </c>
      <c r="AL296" s="43">
        <f t="shared" si="213"/>
        <v>1997.8621505742394</v>
      </c>
      <c r="AN296" s="43">
        <f t="shared" si="187"/>
        <v>0</v>
      </c>
      <c r="AO296" s="43">
        <f t="shared" si="188"/>
        <v>51121.82483041563</v>
      </c>
      <c r="AP296" s="43">
        <f t="shared" si="189"/>
        <v>48955.001085304888</v>
      </c>
      <c r="AQ296" s="43">
        <f t="shared" si="190"/>
        <v>46874.529092086741</v>
      </c>
      <c r="AR296" s="43">
        <f t="shared" si="191"/>
        <v>44876.6669415125</v>
      </c>
      <c r="AT296" s="43">
        <f t="shared" si="206"/>
        <v>0</v>
      </c>
      <c r="AU296" s="43">
        <f t="shared" si="206"/>
        <v>522.27302738377966</v>
      </c>
      <c r="AV296" s="43">
        <f t="shared" si="206"/>
        <v>561.79865009618413</v>
      </c>
      <c r="AW296" s="43">
        <f t="shared" si="206"/>
        <v>575.21889624968185</v>
      </c>
      <c r="AX296" s="43">
        <f t="shared" si="206"/>
        <v>594.68890544994099</v>
      </c>
      <c r="AZ296" s="47">
        <f t="shared" si="214"/>
        <v>0</v>
      </c>
      <c r="BA296" s="47">
        <f t="shared" si="215"/>
        <v>3314.7711547498293</v>
      </c>
      <c r="BB296" s="47">
        <f t="shared" si="216"/>
        <v>4588.9124364485078</v>
      </c>
      <c r="BC296" s="47">
        <f t="shared" si="217"/>
        <v>4436.9229949671271</v>
      </c>
      <c r="BD296" s="47">
        <f t="shared" si="218"/>
        <v>4297.8643998016551</v>
      </c>
    </row>
    <row r="297" spans="1:56">
      <c r="B297" s="37">
        <f>'12. Investeringen (bijschatten)'!B100</f>
        <v>81</v>
      </c>
      <c r="C297" s="48"/>
      <c r="E297" s="48"/>
      <c r="F297" s="168">
        <f>'12. Investeringen (bijschatten)'!C100</f>
        <v>1503868.6390986054</v>
      </c>
      <c r="H297" s="37">
        <f>'12. Investeringen (bijschatten)'!D100</f>
        <v>2023</v>
      </c>
      <c r="I297" s="37" t="str">
        <f>'12. Investeringen (bijschatten)'!E100</f>
        <v>15 Compressorstations (TT-BT-AT)</v>
      </c>
      <c r="J297" s="168">
        <f>_xlfn.XLOOKUP(I297,'3. Input (des)investeringen '!$B$11:$B$89,'3. Input (des)investeringen '!$D$11:$D$89)</f>
        <v>30</v>
      </c>
      <c r="M297" s="43">
        <f t="shared" si="183"/>
        <v>0</v>
      </c>
      <c r="N297" s="43">
        <f t="shared" si="184"/>
        <v>0</v>
      </c>
      <c r="P297" s="137">
        <f t="shared" si="185"/>
        <v>0</v>
      </c>
      <c r="Q297" s="137">
        <f t="shared" si="186"/>
        <v>0</v>
      </c>
      <c r="S297" s="43">
        <f t="shared" si="207"/>
        <v>1503868.6390986054</v>
      </c>
      <c r="T297" s="38">
        <f t="shared" si="208"/>
        <v>30</v>
      </c>
      <c r="V297" s="43">
        <f t="shared" ref="V297:Z306" si="219">IF($J297=0, 0, IF(OR($H297&gt;V$59,$H297+$J297&lt;V$59),0,
IF(OR($H297=2020,$H297=2021),VDB(ABS($S297)*(1-$F$28),0,$T297,V$59-2022,MIN($T297,V$59-2021),$F$22),
VDB(ABS($S297)*(1-$F$28),0,$T297,MAX(0,V$59-$H297-0.5),MIN($T297,V$59-$H297+0.5),$F$22,FALSE))))*IF($F297&lt;0,-1,1)</f>
        <v>0</v>
      </c>
      <c r="W297" s="43">
        <f t="shared" si="219"/>
        <v>29325.438462422804</v>
      </c>
      <c r="X297" s="43">
        <f t="shared" si="219"/>
        <v>57380.107924807293</v>
      </c>
      <c r="Y297" s="43">
        <f t="shared" si="219"/>
        <v>54893.636581398976</v>
      </c>
      <c r="Z297" s="43">
        <f t="shared" si="219"/>
        <v>52514.912329538347</v>
      </c>
      <c r="AB297" s="43">
        <f t="shared" ref="AB297:AF306" si="220">IF($J297 = 0, 0, IF(OR($H297&gt;AB$59,$H297+$J297&lt;AB$59),0,
IF(OR($H297=2020,$H297=2021),VDB(ABS($S297)*$F$28,0,$T297,AB$59-2022,MIN($T297,AB$59-2021),1),
VDB(ABS($S297)*$F$28,0,$T297,MAX(0,AB$59-$H297-0.5),MIN($T297,AB$59-$H297+0.5),1))))*IF($F297&lt;0,-1,1)</f>
        <v>0</v>
      </c>
      <c r="AC297" s="43">
        <f t="shared" si="220"/>
        <v>2506.4477318310092</v>
      </c>
      <c r="AD297" s="43">
        <f t="shared" si="220"/>
        <v>5012.8954636620192</v>
      </c>
      <c r="AE297" s="43">
        <f t="shared" si="220"/>
        <v>5012.8954636620192</v>
      </c>
      <c r="AF297" s="43">
        <f t="shared" si="220"/>
        <v>5012.8954636620192</v>
      </c>
      <c r="AH297" s="43">
        <f t="shared" si="209"/>
        <v>0</v>
      </c>
      <c r="AI297" s="43">
        <f t="shared" si="210"/>
        <v>31831.886194253813</v>
      </c>
      <c r="AJ297" s="43">
        <f t="shared" si="211"/>
        <v>62393.003388469311</v>
      </c>
      <c r="AK297" s="43">
        <f t="shared" si="212"/>
        <v>59906.532045060994</v>
      </c>
      <c r="AL297" s="43">
        <f t="shared" si="213"/>
        <v>57527.807793200365</v>
      </c>
      <c r="AN297" s="43">
        <f t="shared" si="187"/>
        <v>0</v>
      </c>
      <c r="AO297" s="43">
        <f t="shared" si="188"/>
        <v>1472036.7529043516</v>
      </c>
      <c r="AP297" s="43">
        <f t="shared" si="189"/>
        <v>1409643.7495158822</v>
      </c>
      <c r="AQ297" s="43">
        <f t="shared" si="190"/>
        <v>1349737.2174708212</v>
      </c>
      <c r="AR297" s="43">
        <f t="shared" si="191"/>
        <v>1292209.409677621</v>
      </c>
      <c r="AT297" s="43">
        <f t="shared" ref="AT297:AX306" si="221">IF($H297&lt;=AT$215,$F297*INDEX($H$40:$N$46,$H297-2019,AT$215-2019)*INDEX($H$49:$N$55,$H297-2019,AT$215-2019)*$F$19,0)</f>
        <v>0</v>
      </c>
      <c r="AU297" s="43">
        <f t="shared" si="221"/>
        <v>15038.686390986055</v>
      </c>
      <c r="AV297" s="43">
        <f t="shared" si="221"/>
        <v>16176.814177055878</v>
      </c>
      <c r="AW297" s="43">
        <f t="shared" si="221"/>
        <v>16563.245914117393</v>
      </c>
      <c r="AX297" s="43">
        <f t="shared" si="221"/>
        <v>17123.878661818435</v>
      </c>
      <c r="AZ297" s="47">
        <f t="shared" si="214"/>
        <v>0</v>
      </c>
      <c r="BA297" s="47">
        <f t="shared" si="215"/>
        <v>95447.785431083466</v>
      </c>
      <c r="BB297" s="47">
        <f t="shared" si="216"/>
        <v>132136.2800471287</v>
      </c>
      <c r="BC297" s="47">
        <f t="shared" si="217"/>
        <v>127759.7922230696</v>
      </c>
      <c r="BD297" s="47">
        <f t="shared" si="218"/>
        <v>123755.64402276841</v>
      </c>
    </row>
    <row r="298" spans="1:56">
      <c r="B298" s="37">
        <f>'12. Investeringen (bijschatten)'!B101</f>
        <v>82</v>
      </c>
      <c r="C298" s="48"/>
      <c r="E298" s="48"/>
      <c r="F298" s="168">
        <f>'12. Investeringen (bijschatten)'!C101</f>
        <v>2183439.2423609141</v>
      </c>
      <c r="H298" s="37">
        <f>'12. Investeringen (bijschatten)'!D101</f>
        <v>2023</v>
      </c>
      <c r="I298" s="37" t="str">
        <f>'12. Investeringen (bijschatten)'!E101</f>
        <v>16 LNG installaties</v>
      </c>
      <c r="J298" s="168">
        <f>_xlfn.XLOOKUP(I298,'3. Input (des)investeringen '!$B$11:$B$89,'3. Input (des)investeringen '!$D$11:$D$89)</f>
        <v>30</v>
      </c>
      <c r="M298" s="43">
        <f t="shared" si="183"/>
        <v>0</v>
      </c>
      <c r="N298" s="43">
        <f t="shared" si="184"/>
        <v>0</v>
      </c>
      <c r="P298" s="137">
        <f t="shared" si="185"/>
        <v>0</v>
      </c>
      <c r="Q298" s="137">
        <f t="shared" si="186"/>
        <v>0</v>
      </c>
      <c r="S298" s="43">
        <f t="shared" si="207"/>
        <v>2183439.2423609141</v>
      </c>
      <c r="T298" s="38">
        <f t="shared" si="208"/>
        <v>30</v>
      </c>
      <c r="V298" s="43">
        <f t="shared" si="219"/>
        <v>0</v>
      </c>
      <c r="W298" s="43">
        <f t="shared" si="219"/>
        <v>42577.065226037827</v>
      </c>
      <c r="X298" s="43">
        <f t="shared" si="219"/>
        <v>83309.124292280685</v>
      </c>
      <c r="Y298" s="43">
        <f t="shared" si="219"/>
        <v>79699.062239615188</v>
      </c>
      <c r="Z298" s="43">
        <f t="shared" si="219"/>
        <v>76245.436209231862</v>
      </c>
      <c r="AB298" s="43">
        <f t="shared" si="220"/>
        <v>0</v>
      </c>
      <c r="AC298" s="43">
        <f t="shared" si="220"/>
        <v>3639.0654039348574</v>
      </c>
      <c r="AD298" s="43">
        <f t="shared" si="220"/>
        <v>7278.1308078697148</v>
      </c>
      <c r="AE298" s="43">
        <f t="shared" si="220"/>
        <v>7278.1308078697148</v>
      </c>
      <c r="AF298" s="43">
        <f t="shared" si="220"/>
        <v>7278.1308078697148</v>
      </c>
      <c r="AH298" s="43">
        <f t="shared" si="209"/>
        <v>0</v>
      </c>
      <c r="AI298" s="43">
        <f t="shared" si="210"/>
        <v>46216.130629972686</v>
      </c>
      <c r="AJ298" s="43">
        <f t="shared" si="211"/>
        <v>90587.255100150403</v>
      </c>
      <c r="AK298" s="43">
        <f t="shared" si="212"/>
        <v>86977.193047484907</v>
      </c>
      <c r="AL298" s="43">
        <f t="shared" si="213"/>
        <v>83523.567017101581</v>
      </c>
      <c r="AN298" s="43">
        <f t="shared" si="187"/>
        <v>0</v>
      </c>
      <c r="AO298" s="43">
        <f t="shared" si="188"/>
        <v>2137223.1117309416</v>
      </c>
      <c r="AP298" s="43">
        <f t="shared" si="189"/>
        <v>2046635.8566307912</v>
      </c>
      <c r="AQ298" s="43">
        <f t="shared" si="190"/>
        <v>1959658.6635833064</v>
      </c>
      <c r="AR298" s="43">
        <f t="shared" si="191"/>
        <v>1876135.0965662047</v>
      </c>
      <c r="AT298" s="43">
        <f t="shared" si="221"/>
        <v>0</v>
      </c>
      <c r="AU298" s="43">
        <f t="shared" si="221"/>
        <v>21834.392423609141</v>
      </c>
      <c r="AV298" s="43">
        <f t="shared" si="221"/>
        <v>23486.819242227884</v>
      </c>
      <c r="AW298" s="43">
        <f t="shared" si="221"/>
        <v>24047.872380286226</v>
      </c>
      <c r="AX298" s="43">
        <f t="shared" si="221"/>
        <v>24861.844764614147</v>
      </c>
      <c r="AZ298" s="47">
        <f t="shared" si="214"/>
        <v>0</v>
      </c>
      <c r="BA298" s="47">
        <f t="shared" si="215"/>
        <v>138578.88574070291</v>
      </c>
      <c r="BB298" s="47">
        <f t="shared" si="216"/>
        <v>191846.23689434835</v>
      </c>
      <c r="BC298" s="47">
        <f t="shared" si="217"/>
        <v>185492.09464393678</v>
      </c>
      <c r="BD298" s="47">
        <f t="shared" si="218"/>
        <v>179678.5454512315</v>
      </c>
    </row>
    <row r="299" spans="1:56">
      <c r="B299" s="37">
        <f>'12. Investeringen (bijschatten)'!B102</f>
        <v>83</v>
      </c>
      <c r="C299" s="48"/>
      <c r="E299" s="48"/>
      <c r="F299" s="168">
        <f>'12. Investeringen (bijschatten)'!C102</f>
        <v>999432.73169850267</v>
      </c>
      <c r="H299" s="37">
        <f>'12. Investeringen (bijschatten)'!D102</f>
        <v>2023</v>
      </c>
      <c r="I299" s="37" t="str">
        <f>'12. Investeringen (bijschatten)'!E102</f>
        <v>17 Mengstations</v>
      </c>
      <c r="J299" s="168">
        <f>_xlfn.XLOOKUP(I299,'3. Input (des)investeringen '!$B$11:$B$89,'3. Input (des)investeringen '!$D$11:$D$89)</f>
        <v>30</v>
      </c>
      <c r="M299" s="43">
        <f t="shared" si="183"/>
        <v>0</v>
      </c>
      <c r="N299" s="43">
        <f t="shared" si="184"/>
        <v>0</v>
      </c>
      <c r="P299" s="137">
        <f t="shared" si="185"/>
        <v>0</v>
      </c>
      <c r="Q299" s="137">
        <f t="shared" si="186"/>
        <v>0</v>
      </c>
      <c r="S299" s="43">
        <f t="shared" si="207"/>
        <v>999432.73169850267</v>
      </c>
      <c r="T299" s="38">
        <f t="shared" si="208"/>
        <v>30</v>
      </c>
      <c r="V299" s="43">
        <f t="shared" si="219"/>
        <v>0</v>
      </c>
      <c r="W299" s="43">
        <f t="shared" si="219"/>
        <v>19488.938268120804</v>
      </c>
      <c r="X299" s="43">
        <f t="shared" si="219"/>
        <v>38133.355877956375</v>
      </c>
      <c r="Y299" s="43">
        <f t="shared" si="219"/>
        <v>36480.910456578262</v>
      </c>
      <c r="Z299" s="43">
        <f t="shared" si="219"/>
        <v>34900.071003459874</v>
      </c>
      <c r="AB299" s="43">
        <f t="shared" si="220"/>
        <v>0</v>
      </c>
      <c r="AC299" s="43">
        <f t="shared" si="220"/>
        <v>1665.7212194975045</v>
      </c>
      <c r="AD299" s="43">
        <f t="shared" si="220"/>
        <v>3331.4424389950095</v>
      </c>
      <c r="AE299" s="43">
        <f t="shared" si="220"/>
        <v>3331.4424389950095</v>
      </c>
      <c r="AF299" s="43">
        <f t="shared" si="220"/>
        <v>3331.4424389950095</v>
      </c>
      <c r="AH299" s="43">
        <f t="shared" si="209"/>
        <v>0</v>
      </c>
      <c r="AI299" s="43">
        <f t="shared" si="210"/>
        <v>21154.659487618308</v>
      </c>
      <c r="AJ299" s="43">
        <f t="shared" si="211"/>
        <v>41464.798316951383</v>
      </c>
      <c r="AK299" s="43">
        <f t="shared" si="212"/>
        <v>39812.352895573269</v>
      </c>
      <c r="AL299" s="43">
        <f t="shared" si="213"/>
        <v>38231.513442454881</v>
      </c>
      <c r="AN299" s="43">
        <f t="shared" si="187"/>
        <v>0</v>
      </c>
      <c r="AO299" s="43">
        <f t="shared" si="188"/>
        <v>978278.07221088442</v>
      </c>
      <c r="AP299" s="43">
        <f t="shared" si="189"/>
        <v>936813.27389393304</v>
      </c>
      <c r="AQ299" s="43">
        <f t="shared" si="190"/>
        <v>897000.9209983598</v>
      </c>
      <c r="AR299" s="43">
        <f t="shared" si="191"/>
        <v>858769.40755590494</v>
      </c>
      <c r="AT299" s="43">
        <f t="shared" si="221"/>
        <v>0</v>
      </c>
      <c r="AU299" s="43">
        <f t="shared" si="221"/>
        <v>9994.3273169850272</v>
      </c>
      <c r="AV299" s="43">
        <f t="shared" si="221"/>
        <v>10750.698008334455</v>
      </c>
      <c r="AW299" s="43">
        <f t="shared" si="221"/>
        <v>11007.51068235755</v>
      </c>
      <c r="AX299" s="43">
        <f t="shared" si="221"/>
        <v>11380.092903933986</v>
      </c>
      <c r="AZ299" s="47">
        <f t="shared" si="214"/>
        <v>0</v>
      </c>
      <c r="BA299" s="47">
        <f t="shared" si="215"/>
        <v>63432.163187562524</v>
      </c>
      <c r="BB299" s="47">
        <f t="shared" si="216"/>
        <v>87814.400733255301</v>
      </c>
      <c r="BC299" s="47">
        <f t="shared" si="217"/>
        <v>84905.898575868487</v>
      </c>
      <c r="BD299" s="47">
        <f t="shared" si="218"/>
        <v>82244.843833513252</v>
      </c>
    </row>
    <row r="300" spans="1:56">
      <c r="B300" s="37">
        <f>'12. Investeringen (bijschatten)'!B103</f>
        <v>84</v>
      </c>
      <c r="C300" s="48"/>
      <c r="E300" s="48"/>
      <c r="F300" s="168">
        <f>'12. Investeringen (bijschatten)'!C103</f>
        <v>1817413.6692713664</v>
      </c>
      <c r="H300" s="37">
        <f>'12. Investeringen (bijschatten)'!D103</f>
        <v>2023</v>
      </c>
      <c r="I300" s="37" t="str">
        <f>'12. Investeringen (bijschatten)'!E103</f>
        <v>20 Kantoorgebouwen</v>
      </c>
      <c r="J300" s="168">
        <f>_xlfn.XLOOKUP(I300,'3. Input (des)investeringen '!$B$11:$B$89,'3. Input (des)investeringen '!$D$11:$D$89)</f>
        <v>30</v>
      </c>
      <c r="M300" s="43">
        <f t="shared" si="183"/>
        <v>0</v>
      </c>
      <c r="N300" s="43">
        <f t="shared" si="184"/>
        <v>0</v>
      </c>
      <c r="P300" s="137">
        <f t="shared" si="185"/>
        <v>0</v>
      </c>
      <c r="Q300" s="137">
        <f t="shared" si="186"/>
        <v>0</v>
      </c>
      <c r="S300" s="43">
        <f t="shared" ref="S300:S307" si="222">IF($J300=0, IF(H300&lt;=2021, $Q300, IF(H300&gt;=2022, $F300,0)), IF(H300&lt;=2021,Q300,F300))</f>
        <v>1817413.6692713664</v>
      </c>
      <c r="T300" s="38">
        <f t="shared" ref="T300:T307" si="223">IF($J300=0, 0, IF(H300&lt;2022,J300-2021+H300-0.5,J300))</f>
        <v>30</v>
      </c>
      <c r="V300" s="43">
        <f t="shared" si="219"/>
        <v>0</v>
      </c>
      <c r="W300" s="43">
        <f t="shared" si="219"/>
        <v>35439.566550791649</v>
      </c>
      <c r="X300" s="43">
        <f t="shared" si="219"/>
        <v>69343.418551048977</v>
      </c>
      <c r="Y300" s="43">
        <f t="shared" si="219"/>
        <v>66338.537080503535</v>
      </c>
      <c r="Z300" s="43">
        <f t="shared" si="219"/>
        <v>63463.867140348375</v>
      </c>
      <c r="AB300" s="43">
        <f t="shared" si="220"/>
        <v>0</v>
      </c>
      <c r="AC300" s="43">
        <f t="shared" si="220"/>
        <v>3029.0227821189446</v>
      </c>
      <c r="AD300" s="43">
        <f t="shared" si="220"/>
        <v>6058.0455642378893</v>
      </c>
      <c r="AE300" s="43">
        <f t="shared" si="220"/>
        <v>6058.0455642378893</v>
      </c>
      <c r="AF300" s="43">
        <f t="shared" si="220"/>
        <v>6058.0455642378893</v>
      </c>
      <c r="AH300" s="43">
        <f t="shared" ref="AH300:AH307" si="224">V300+AB300</f>
        <v>0</v>
      </c>
      <c r="AI300" s="43">
        <f t="shared" ref="AI300:AI307" si="225">W300+AC300</f>
        <v>38468.589332910597</v>
      </c>
      <c r="AJ300" s="43">
        <f t="shared" ref="AJ300:AJ307" si="226">X300+AD300</f>
        <v>75401.464115286872</v>
      </c>
      <c r="AK300" s="43">
        <f t="shared" ref="AK300:AK307" si="227">Y300+AE300</f>
        <v>72396.582644741429</v>
      </c>
      <c r="AL300" s="43">
        <f t="shared" ref="AL300:AL307" si="228">Z300+AF300</f>
        <v>69521.91270458627</v>
      </c>
      <c r="AN300" s="43">
        <f t="shared" si="187"/>
        <v>0</v>
      </c>
      <c r="AO300" s="43">
        <f t="shared" si="188"/>
        <v>1778945.079938456</v>
      </c>
      <c r="AP300" s="43">
        <f t="shared" si="189"/>
        <v>1703543.615823169</v>
      </c>
      <c r="AQ300" s="43">
        <f t="shared" si="190"/>
        <v>1631147.0331784275</v>
      </c>
      <c r="AR300" s="43">
        <f t="shared" si="191"/>
        <v>1561625.1204738412</v>
      </c>
      <c r="AT300" s="43">
        <f t="shared" si="221"/>
        <v>0</v>
      </c>
      <c r="AU300" s="43">
        <f t="shared" si="221"/>
        <v>18174.136692713666</v>
      </c>
      <c r="AV300" s="43">
        <f t="shared" si="221"/>
        <v>19549.555357618236</v>
      </c>
      <c r="AW300" s="43">
        <f t="shared" si="221"/>
        <v>20016.555136001021</v>
      </c>
      <c r="AX300" s="43">
        <f t="shared" si="221"/>
        <v>20694.075494244382</v>
      </c>
      <c r="AZ300" s="47">
        <f t="shared" ref="AZ300:AZ307" si="229">AH300+AN300*J$16+AT300</f>
        <v>0</v>
      </c>
      <c r="BA300" s="47">
        <f t="shared" ref="BA300:BA307" si="230">AI300+AO300*K$16+AU300</f>
        <v>115347.91366359331</v>
      </c>
      <c r="BB300" s="47">
        <f t="shared" ref="BB300:BB307" si="231">AJ300+AP300*L$16+AV300</f>
        <v>159685.67687418553</v>
      </c>
      <c r="BC300" s="47">
        <f t="shared" ref="BC300:BC307" si="232">AK300+AQ300*M$16+AW300</f>
        <v>154396.7250415227</v>
      </c>
      <c r="BD300" s="47">
        <f t="shared" ref="BD300:BD307" si="233">AL300+AR300*N$16+AX300</f>
        <v>149557.74277683662</v>
      </c>
    </row>
    <row r="301" spans="1:56">
      <c r="B301" s="37">
        <f>'12. Investeringen (bijschatten)'!B104</f>
        <v>85</v>
      </c>
      <c r="C301" s="48"/>
      <c r="E301" s="48"/>
      <c r="F301" s="168">
        <f>'12. Investeringen (bijschatten)'!C104</f>
        <v>22543419.613286749</v>
      </c>
      <c r="H301" s="37">
        <f>'12. Investeringen (bijschatten)'!D104</f>
        <v>2023</v>
      </c>
      <c r="I301" s="37" t="str">
        <f>'12. Investeringen (bijschatten)'!E104</f>
        <v>21 Hoofdtransportleiding</v>
      </c>
      <c r="J301" s="168">
        <f>_xlfn.XLOOKUP(I301,'3. Input (des)investeringen '!$B$11:$B$89,'3. Input (des)investeringen '!$D$11:$D$89)</f>
        <v>55</v>
      </c>
      <c r="M301" s="43">
        <f t="shared" si="183"/>
        <v>0</v>
      </c>
      <c r="N301" s="43">
        <f t="shared" si="184"/>
        <v>0</v>
      </c>
      <c r="P301" s="137">
        <f t="shared" si="185"/>
        <v>0</v>
      </c>
      <c r="Q301" s="137">
        <f t="shared" si="186"/>
        <v>0</v>
      </c>
      <c r="S301" s="43">
        <f t="shared" si="222"/>
        <v>22543419.613286749</v>
      </c>
      <c r="T301" s="38">
        <f t="shared" si="223"/>
        <v>55</v>
      </c>
      <c r="V301" s="43">
        <f t="shared" si="219"/>
        <v>0</v>
      </c>
      <c r="W301" s="43">
        <f t="shared" si="219"/>
        <v>239780.00861404996</v>
      </c>
      <c r="X301" s="43">
        <f t="shared" si="219"/>
        <v>473892.48975176789</v>
      </c>
      <c r="Y301" s="43">
        <f t="shared" si="219"/>
        <v>462691.39453945338</v>
      </c>
      <c r="Z301" s="43">
        <f t="shared" si="219"/>
        <v>451755.05248670268</v>
      </c>
      <c r="AB301" s="43">
        <f t="shared" si="220"/>
        <v>0</v>
      </c>
      <c r="AC301" s="43">
        <f t="shared" si="220"/>
        <v>20494.017830260684</v>
      </c>
      <c r="AD301" s="43">
        <f t="shared" si="220"/>
        <v>40988.035660521367</v>
      </c>
      <c r="AE301" s="43">
        <f t="shared" si="220"/>
        <v>40988.035660521367</v>
      </c>
      <c r="AF301" s="43">
        <f t="shared" si="220"/>
        <v>40988.035660521367</v>
      </c>
      <c r="AH301" s="43">
        <f t="shared" si="224"/>
        <v>0</v>
      </c>
      <c r="AI301" s="43">
        <f t="shared" si="225"/>
        <v>260274.02644431064</v>
      </c>
      <c r="AJ301" s="43">
        <f t="shared" si="226"/>
        <v>514880.52541228925</v>
      </c>
      <c r="AK301" s="43">
        <f t="shared" si="227"/>
        <v>503679.43019997474</v>
      </c>
      <c r="AL301" s="43">
        <f t="shared" si="228"/>
        <v>492743.08814722404</v>
      </c>
      <c r="AN301" s="43">
        <f t="shared" si="187"/>
        <v>0</v>
      </c>
      <c r="AO301" s="43">
        <f t="shared" si="188"/>
        <v>22283145.586842436</v>
      </c>
      <c r="AP301" s="43">
        <f t="shared" si="189"/>
        <v>21768265.061430149</v>
      </c>
      <c r="AQ301" s="43">
        <f t="shared" si="190"/>
        <v>21264585.631230175</v>
      </c>
      <c r="AR301" s="43">
        <f t="shared" si="191"/>
        <v>20771842.543082952</v>
      </c>
      <c r="AT301" s="43">
        <f t="shared" si="221"/>
        <v>0</v>
      </c>
      <c r="AU301" s="43">
        <f t="shared" si="221"/>
        <v>225434.19613286748</v>
      </c>
      <c r="AV301" s="43">
        <f t="shared" si="221"/>
        <v>242495.05609620293</v>
      </c>
      <c r="AW301" s="43">
        <f t="shared" si="221"/>
        <v>248287.77799622904</v>
      </c>
      <c r="AX301" s="43">
        <f t="shared" si="221"/>
        <v>256691.82270584535</v>
      </c>
      <c r="AZ301" s="47">
        <f t="shared" si="229"/>
        <v>0</v>
      </c>
      <c r="BA301" s="47">
        <f t="shared" si="230"/>
        <v>1221052.0269429786</v>
      </c>
      <c r="BB301" s="47">
        <f t="shared" si="231"/>
        <v>1584569.6538428378</v>
      </c>
      <c r="BC301" s="47">
        <f t="shared" si="232"/>
        <v>1560021.4621829505</v>
      </c>
      <c r="BD301" s="47">
        <f t="shared" si="233"/>
        <v>1538764.9274902216</v>
      </c>
    </row>
    <row r="302" spans="1:56">
      <c r="B302" s="37">
        <f>'12. Investeringen (bijschatten)'!B105</f>
        <v>86</v>
      </c>
      <c r="C302" s="48"/>
      <c r="E302" s="48"/>
      <c r="F302" s="168">
        <f>'12. Investeringen (bijschatten)'!C105</f>
        <v>1283661.605903188</v>
      </c>
      <c r="H302" s="37">
        <f>'12. Investeringen (bijschatten)'!D105</f>
        <v>2023</v>
      </c>
      <c r="I302" s="37" t="str">
        <f>'12. Investeringen (bijschatten)'!E105</f>
        <v>32 M&amp;R stations</v>
      </c>
      <c r="J302" s="168">
        <f>_xlfn.XLOOKUP(I302,'3. Input (des)investeringen '!$B$11:$B$89,'3. Input (des)investeringen '!$D$11:$D$89)</f>
        <v>30</v>
      </c>
      <c r="M302" s="43">
        <f t="shared" si="183"/>
        <v>0</v>
      </c>
      <c r="N302" s="43">
        <f t="shared" si="184"/>
        <v>0</v>
      </c>
      <c r="P302" s="137">
        <f t="shared" si="185"/>
        <v>0</v>
      </c>
      <c r="Q302" s="137">
        <f t="shared" si="186"/>
        <v>0</v>
      </c>
      <c r="S302" s="43">
        <f t="shared" si="222"/>
        <v>1283661.605903188</v>
      </c>
      <c r="T302" s="38">
        <f t="shared" si="223"/>
        <v>30</v>
      </c>
      <c r="V302" s="43">
        <f t="shared" si="219"/>
        <v>0</v>
      </c>
      <c r="W302" s="43">
        <f t="shared" si="219"/>
        <v>25031.401315112169</v>
      </c>
      <c r="X302" s="43">
        <f t="shared" si="219"/>
        <v>48978.108573236146</v>
      </c>
      <c r="Y302" s="43">
        <f t="shared" si="219"/>
        <v>46855.723868395915</v>
      </c>
      <c r="Z302" s="43">
        <f t="shared" si="219"/>
        <v>44825.309167432097</v>
      </c>
      <c r="AB302" s="43">
        <f t="shared" si="220"/>
        <v>0</v>
      </c>
      <c r="AC302" s="43">
        <f t="shared" si="220"/>
        <v>2139.4360098386469</v>
      </c>
      <c r="AD302" s="43">
        <f t="shared" si="220"/>
        <v>4278.8720196772929</v>
      </c>
      <c r="AE302" s="43">
        <f t="shared" si="220"/>
        <v>4278.8720196772929</v>
      </c>
      <c r="AF302" s="43">
        <f t="shared" si="220"/>
        <v>4278.8720196772929</v>
      </c>
      <c r="AH302" s="43">
        <f t="shared" si="224"/>
        <v>0</v>
      </c>
      <c r="AI302" s="43">
        <f t="shared" si="225"/>
        <v>27170.837324950815</v>
      </c>
      <c r="AJ302" s="43">
        <f t="shared" si="226"/>
        <v>53256.980592913438</v>
      </c>
      <c r="AK302" s="43">
        <f t="shared" si="227"/>
        <v>51134.595888073207</v>
      </c>
      <c r="AL302" s="43">
        <f t="shared" si="228"/>
        <v>49104.181187109389</v>
      </c>
      <c r="AN302" s="43">
        <f t="shared" si="187"/>
        <v>0</v>
      </c>
      <c r="AO302" s="43">
        <f t="shared" si="188"/>
        <v>1256490.7685782372</v>
      </c>
      <c r="AP302" s="43">
        <f t="shared" si="189"/>
        <v>1203233.7879853237</v>
      </c>
      <c r="AQ302" s="43">
        <f t="shared" si="190"/>
        <v>1152099.1920972504</v>
      </c>
      <c r="AR302" s="43">
        <f t="shared" si="191"/>
        <v>1102995.010910141</v>
      </c>
      <c r="AT302" s="43">
        <f t="shared" si="221"/>
        <v>0</v>
      </c>
      <c r="AU302" s="43">
        <f t="shared" si="221"/>
        <v>12836.61605903188</v>
      </c>
      <c r="AV302" s="43">
        <f t="shared" si="221"/>
        <v>13808.091162379415</v>
      </c>
      <c r="AW302" s="43">
        <f t="shared" si="221"/>
        <v>14137.938844066335</v>
      </c>
      <c r="AX302" s="43">
        <f t="shared" si="221"/>
        <v>14616.479798060291</v>
      </c>
      <c r="AZ302" s="47">
        <f t="shared" si="229"/>
        <v>0</v>
      </c>
      <c r="BA302" s="47">
        <f t="shared" si="230"/>
        <v>81471.648747064522</v>
      </c>
      <c r="BB302" s="47">
        <f t="shared" si="231"/>
        <v>112787.95569873515</v>
      </c>
      <c r="BC302" s="47">
        <f t="shared" si="232"/>
        <v>109052.30403183505</v>
      </c>
      <c r="BD302" s="47">
        <f t="shared" si="233"/>
        <v>105634.47139975504</v>
      </c>
    </row>
    <row r="303" spans="1:56">
      <c r="B303" s="37">
        <f>'12. Investeringen (bijschatten)'!B106</f>
        <v>87</v>
      </c>
      <c r="C303" s="48"/>
      <c r="E303" s="48"/>
      <c r="F303" s="168">
        <f>'12. Investeringen (bijschatten)'!C106</f>
        <v>403062.53576066508</v>
      </c>
      <c r="H303" s="37">
        <f>'12. Investeringen (bijschatten)'!D106</f>
        <v>2023</v>
      </c>
      <c r="I303" s="37" t="str">
        <f>'12. Investeringen (bijschatten)'!E106</f>
        <v>33 Exportstations</v>
      </c>
      <c r="J303" s="168">
        <f>_xlfn.XLOOKUP(I303,'3. Input (des)investeringen '!$B$11:$B$89,'3. Input (des)investeringen '!$D$11:$D$89)</f>
        <v>30</v>
      </c>
      <c r="M303" s="43">
        <f t="shared" si="183"/>
        <v>0</v>
      </c>
      <c r="N303" s="43">
        <f t="shared" si="184"/>
        <v>0</v>
      </c>
      <c r="P303" s="137">
        <f t="shared" si="185"/>
        <v>0</v>
      </c>
      <c r="Q303" s="137">
        <f t="shared" si="186"/>
        <v>0</v>
      </c>
      <c r="S303" s="43">
        <f t="shared" si="222"/>
        <v>403062.53576066508</v>
      </c>
      <c r="T303" s="38">
        <f t="shared" si="223"/>
        <v>30</v>
      </c>
      <c r="V303" s="43">
        <f t="shared" si="219"/>
        <v>0</v>
      </c>
      <c r="W303" s="43">
        <f t="shared" si="219"/>
        <v>7859.7194473329691</v>
      </c>
      <c r="X303" s="43">
        <f t="shared" si="219"/>
        <v>15378.851051948177</v>
      </c>
      <c r="Y303" s="43">
        <f t="shared" si="219"/>
        <v>14712.434173030424</v>
      </c>
      <c r="Z303" s="43">
        <f t="shared" si="219"/>
        <v>14074.895358865771</v>
      </c>
      <c r="AB303" s="43">
        <f t="shared" si="220"/>
        <v>0</v>
      </c>
      <c r="AC303" s="43">
        <f t="shared" si="220"/>
        <v>671.77089293444192</v>
      </c>
      <c r="AD303" s="43">
        <f t="shared" si="220"/>
        <v>1343.5417858688836</v>
      </c>
      <c r="AE303" s="43">
        <f t="shared" si="220"/>
        <v>1343.5417858688836</v>
      </c>
      <c r="AF303" s="43">
        <f t="shared" si="220"/>
        <v>1343.5417858688836</v>
      </c>
      <c r="AH303" s="43">
        <f t="shared" si="224"/>
        <v>0</v>
      </c>
      <c r="AI303" s="43">
        <f t="shared" si="225"/>
        <v>8531.4903402674117</v>
      </c>
      <c r="AJ303" s="43">
        <f t="shared" si="226"/>
        <v>16722.39283781706</v>
      </c>
      <c r="AK303" s="43">
        <f t="shared" si="227"/>
        <v>16055.975958899307</v>
      </c>
      <c r="AL303" s="43">
        <f t="shared" si="228"/>
        <v>15418.437144734655</v>
      </c>
      <c r="AN303" s="43">
        <f t="shared" si="187"/>
        <v>0</v>
      </c>
      <c r="AO303" s="43">
        <f t="shared" si="188"/>
        <v>394531.04542039766</v>
      </c>
      <c r="AP303" s="43">
        <f t="shared" si="189"/>
        <v>377808.65258258057</v>
      </c>
      <c r="AQ303" s="43">
        <f t="shared" si="190"/>
        <v>361752.67662368127</v>
      </c>
      <c r="AR303" s="43">
        <f t="shared" si="191"/>
        <v>346334.23947894661</v>
      </c>
      <c r="AT303" s="43">
        <f t="shared" si="221"/>
        <v>0</v>
      </c>
      <c r="AU303" s="43">
        <f t="shared" si="221"/>
        <v>4030.6253576066511</v>
      </c>
      <c r="AV303" s="43">
        <f t="shared" si="221"/>
        <v>4335.663084670322</v>
      </c>
      <c r="AW303" s="43">
        <f t="shared" si="221"/>
        <v>4439.2334044369272</v>
      </c>
      <c r="AX303" s="43">
        <f t="shared" si="221"/>
        <v>4589.4925767103086</v>
      </c>
      <c r="AZ303" s="47">
        <f t="shared" si="229"/>
        <v>0</v>
      </c>
      <c r="BA303" s="47">
        <f t="shared" si="230"/>
        <v>25581.640196747187</v>
      </c>
      <c r="BB303" s="47">
        <f t="shared" si="231"/>
        <v>35414.784720625445</v>
      </c>
      <c r="BC303" s="47">
        <f t="shared" si="232"/>
        <v>34241.811075036123</v>
      </c>
      <c r="BD303" s="47">
        <f t="shared" si="233"/>
        <v>33168.63082164494</v>
      </c>
    </row>
    <row r="304" spans="1:56">
      <c r="B304" s="37">
        <f>'12. Investeringen (bijschatten)'!B107</f>
        <v>88</v>
      </c>
      <c r="C304" s="48"/>
      <c r="E304" s="48"/>
      <c r="F304" s="168">
        <f>'12. Investeringen (bijschatten)'!C107</f>
        <v>141832.85648723919</v>
      </c>
      <c r="H304" s="37">
        <f>'12. Investeringen (bijschatten)'!D107</f>
        <v>2023</v>
      </c>
      <c r="I304" s="37" t="str">
        <f>'12. Investeringen (bijschatten)'!E107</f>
        <v>34 Reduceerstations</v>
      </c>
      <c r="J304" s="168">
        <f>_xlfn.XLOOKUP(I304,'3. Input (des)investeringen '!$B$11:$B$89,'3. Input (des)investeringen '!$D$11:$D$89)</f>
        <v>30</v>
      </c>
      <c r="M304" s="43">
        <f t="shared" si="183"/>
        <v>0</v>
      </c>
      <c r="N304" s="43">
        <f t="shared" si="184"/>
        <v>0</v>
      </c>
      <c r="P304" s="137">
        <f t="shared" si="185"/>
        <v>0</v>
      </c>
      <c r="Q304" s="137">
        <f t="shared" si="186"/>
        <v>0</v>
      </c>
      <c r="S304" s="43">
        <f t="shared" si="222"/>
        <v>141832.85648723919</v>
      </c>
      <c r="T304" s="38">
        <f t="shared" si="223"/>
        <v>30</v>
      </c>
      <c r="V304" s="43">
        <f t="shared" si="219"/>
        <v>0</v>
      </c>
      <c r="W304" s="43">
        <f t="shared" si="219"/>
        <v>2765.740701501164</v>
      </c>
      <c r="X304" s="43">
        <f t="shared" si="219"/>
        <v>5411.6326392706114</v>
      </c>
      <c r="Y304" s="43">
        <f t="shared" si="219"/>
        <v>5177.1285582355513</v>
      </c>
      <c r="Z304" s="43">
        <f t="shared" si="219"/>
        <v>4952.7863207120108</v>
      </c>
      <c r="AB304" s="43">
        <f t="shared" si="220"/>
        <v>0</v>
      </c>
      <c r="AC304" s="43">
        <f t="shared" si="220"/>
        <v>236.38809414539864</v>
      </c>
      <c r="AD304" s="43">
        <f t="shared" si="220"/>
        <v>472.77618829079728</v>
      </c>
      <c r="AE304" s="43">
        <f t="shared" si="220"/>
        <v>472.77618829079728</v>
      </c>
      <c r="AF304" s="43">
        <f t="shared" si="220"/>
        <v>472.77618829079728</v>
      </c>
      <c r="AH304" s="43">
        <f t="shared" si="224"/>
        <v>0</v>
      </c>
      <c r="AI304" s="43">
        <f t="shared" si="225"/>
        <v>3002.1287956465626</v>
      </c>
      <c r="AJ304" s="43">
        <f t="shared" si="226"/>
        <v>5884.4088275614085</v>
      </c>
      <c r="AK304" s="43">
        <f t="shared" si="227"/>
        <v>5649.9047465263484</v>
      </c>
      <c r="AL304" s="43">
        <f t="shared" si="228"/>
        <v>5425.5625090028079</v>
      </c>
      <c r="AN304" s="43">
        <f t="shared" si="187"/>
        <v>0</v>
      </c>
      <c r="AO304" s="43">
        <f t="shared" si="188"/>
        <v>138830.72769159262</v>
      </c>
      <c r="AP304" s="43">
        <f t="shared" si="189"/>
        <v>132946.3188640312</v>
      </c>
      <c r="AQ304" s="43">
        <f t="shared" si="190"/>
        <v>127296.41411750486</v>
      </c>
      <c r="AR304" s="43">
        <f t="shared" si="191"/>
        <v>121870.85160850205</v>
      </c>
      <c r="AT304" s="43">
        <f t="shared" si="221"/>
        <v>0</v>
      </c>
      <c r="AU304" s="43">
        <f t="shared" si="221"/>
        <v>1418.328564872392</v>
      </c>
      <c r="AV304" s="43">
        <f t="shared" si="221"/>
        <v>1525.6676706619346</v>
      </c>
      <c r="AW304" s="43">
        <f t="shared" si="221"/>
        <v>1562.1128199787072</v>
      </c>
      <c r="AX304" s="43">
        <f t="shared" si="221"/>
        <v>1614.9872147093461</v>
      </c>
      <c r="AZ304" s="47">
        <f t="shared" si="229"/>
        <v>0</v>
      </c>
      <c r="BA304" s="47">
        <f t="shared" si="230"/>
        <v>9001.8713743415119</v>
      </c>
      <c r="BB304" s="47">
        <f t="shared" si="231"/>
        <v>12462.03661505653</v>
      </c>
      <c r="BC304" s="47">
        <f t="shared" si="232"/>
        <v>12049.281302970239</v>
      </c>
      <c r="BD304" s="47">
        <f t="shared" si="233"/>
        <v>11671.642084835234</v>
      </c>
    </row>
    <row r="305" spans="1:56">
      <c r="B305" s="37">
        <f>'12. Investeringen (bijschatten)'!B108</f>
        <v>89</v>
      </c>
      <c r="C305" s="48"/>
      <c r="E305" s="48"/>
      <c r="F305" s="168">
        <f>'12. Investeringen (bijschatten)'!C108</f>
        <v>106149.96916572338</v>
      </c>
      <c r="H305" s="37">
        <f>'12. Investeringen (bijschatten)'!D108</f>
        <v>2023</v>
      </c>
      <c r="I305" s="37" t="str">
        <f>'12. Investeringen (bijschatten)'!E108</f>
        <v>35 Injectiestations</v>
      </c>
      <c r="J305" s="168">
        <f>_xlfn.XLOOKUP(I305,'3. Input (des)investeringen '!$B$11:$B$89,'3. Input (des)investeringen '!$D$11:$D$89)</f>
        <v>30</v>
      </c>
      <c r="M305" s="43">
        <f t="shared" si="183"/>
        <v>0</v>
      </c>
      <c r="N305" s="43">
        <f t="shared" si="184"/>
        <v>0</v>
      </c>
      <c r="P305" s="137">
        <f t="shared" si="185"/>
        <v>0</v>
      </c>
      <c r="Q305" s="137">
        <f t="shared" si="186"/>
        <v>0</v>
      </c>
      <c r="S305" s="43">
        <f t="shared" si="222"/>
        <v>106149.96916572338</v>
      </c>
      <c r="T305" s="38">
        <f t="shared" si="223"/>
        <v>30</v>
      </c>
      <c r="V305" s="43">
        <f t="shared" si="219"/>
        <v>0</v>
      </c>
      <c r="W305" s="43">
        <f t="shared" si="219"/>
        <v>2069.9243987316063</v>
      </c>
      <c r="X305" s="43">
        <f t="shared" si="219"/>
        <v>4050.1520735181762</v>
      </c>
      <c r="Y305" s="43">
        <f t="shared" si="219"/>
        <v>3874.6454836657222</v>
      </c>
      <c r="Z305" s="43">
        <f t="shared" si="219"/>
        <v>3706.7441793735411</v>
      </c>
      <c r="AB305" s="43">
        <f t="shared" si="220"/>
        <v>0</v>
      </c>
      <c r="AC305" s="43">
        <f t="shared" si="220"/>
        <v>176.91661527620562</v>
      </c>
      <c r="AD305" s="43">
        <f t="shared" si="220"/>
        <v>353.83323055241124</v>
      </c>
      <c r="AE305" s="43">
        <f t="shared" si="220"/>
        <v>353.83323055241124</v>
      </c>
      <c r="AF305" s="43">
        <f t="shared" si="220"/>
        <v>353.83323055241124</v>
      </c>
      <c r="AH305" s="43">
        <f t="shared" si="224"/>
        <v>0</v>
      </c>
      <c r="AI305" s="43">
        <f t="shared" si="225"/>
        <v>2246.8410140078117</v>
      </c>
      <c r="AJ305" s="43">
        <f t="shared" si="226"/>
        <v>4403.9853040705875</v>
      </c>
      <c r="AK305" s="43">
        <f t="shared" si="227"/>
        <v>4228.4787142181331</v>
      </c>
      <c r="AL305" s="43">
        <f t="shared" si="228"/>
        <v>4060.5774099259525</v>
      </c>
      <c r="AN305" s="43">
        <f t="shared" si="187"/>
        <v>0</v>
      </c>
      <c r="AO305" s="43">
        <f t="shared" si="188"/>
        <v>103903.12815171557</v>
      </c>
      <c r="AP305" s="43">
        <f t="shared" si="189"/>
        <v>99499.14284764498</v>
      </c>
      <c r="AQ305" s="43">
        <f t="shared" si="190"/>
        <v>95270.66413342685</v>
      </c>
      <c r="AR305" s="43">
        <f t="shared" si="191"/>
        <v>91210.086723500892</v>
      </c>
      <c r="AT305" s="43">
        <f t="shared" si="221"/>
        <v>0</v>
      </c>
      <c r="AU305" s="43">
        <f t="shared" si="221"/>
        <v>1061.4996916572338</v>
      </c>
      <c r="AV305" s="43">
        <f t="shared" si="221"/>
        <v>1141.8339883218532</v>
      </c>
      <c r="AW305" s="43">
        <f t="shared" si="221"/>
        <v>1169.1101186348858</v>
      </c>
      <c r="AX305" s="43">
        <f t="shared" si="221"/>
        <v>1208.6821579304394</v>
      </c>
      <c r="AZ305" s="47">
        <f t="shared" si="229"/>
        <v>0</v>
      </c>
      <c r="BA305" s="47">
        <f t="shared" si="230"/>
        <v>6737.1439346716588</v>
      </c>
      <c r="BB305" s="47">
        <f t="shared" si="231"/>
        <v>9326.7867206029514</v>
      </c>
      <c r="BC305" s="47">
        <f t="shared" si="232"/>
        <v>9017.8740699232385</v>
      </c>
      <c r="BD305" s="47">
        <f t="shared" si="233"/>
        <v>8735.2428633494255</v>
      </c>
    </row>
    <row r="306" spans="1:56">
      <c r="B306" s="37">
        <f>'12. Investeringen (bijschatten)'!B109</f>
        <v>90</v>
      </c>
      <c r="C306" s="48"/>
      <c r="E306" s="48"/>
      <c r="F306" s="168">
        <f>'12. Investeringen (bijschatten)'!C109</f>
        <v>22782.771765883743</v>
      </c>
      <c r="H306" s="37">
        <f>'12. Investeringen (bijschatten)'!D109</f>
        <v>2023</v>
      </c>
      <c r="I306" s="37" t="str">
        <f>'12. Investeringen (bijschatten)'!E109</f>
        <v>36 Luchtscheidingsunit</v>
      </c>
      <c r="J306" s="168">
        <f>_xlfn.XLOOKUP(I306,'3. Input (des)investeringen '!$B$11:$B$89,'3. Input (des)investeringen '!$D$11:$D$89)</f>
        <v>30</v>
      </c>
      <c r="M306" s="43">
        <f t="shared" si="183"/>
        <v>0</v>
      </c>
      <c r="N306" s="43">
        <f t="shared" si="184"/>
        <v>0</v>
      </c>
      <c r="P306" s="137">
        <f t="shared" si="185"/>
        <v>0</v>
      </c>
      <c r="Q306" s="137">
        <f t="shared" si="186"/>
        <v>0</v>
      </c>
      <c r="S306" s="43">
        <f t="shared" si="222"/>
        <v>22782.771765883743</v>
      </c>
      <c r="T306" s="38">
        <f t="shared" si="223"/>
        <v>30</v>
      </c>
      <c r="V306" s="43">
        <f t="shared" si="219"/>
        <v>0</v>
      </c>
      <c r="W306" s="43">
        <f t="shared" si="219"/>
        <v>444.26404943473301</v>
      </c>
      <c r="X306" s="43">
        <f t="shared" si="219"/>
        <v>869.27665672729427</v>
      </c>
      <c r="Y306" s="43">
        <f t="shared" si="219"/>
        <v>831.6080016024448</v>
      </c>
      <c r="Z306" s="43">
        <f t="shared" si="219"/>
        <v>795.5716548663388</v>
      </c>
      <c r="AB306" s="43">
        <f t="shared" si="220"/>
        <v>0</v>
      </c>
      <c r="AC306" s="43">
        <f t="shared" si="220"/>
        <v>37.97128627647291</v>
      </c>
      <c r="AD306" s="43">
        <f t="shared" si="220"/>
        <v>75.942572552945819</v>
      </c>
      <c r="AE306" s="43">
        <f t="shared" si="220"/>
        <v>75.942572552945819</v>
      </c>
      <c r="AF306" s="43">
        <f t="shared" si="220"/>
        <v>75.942572552945819</v>
      </c>
      <c r="AH306" s="43">
        <f t="shared" si="224"/>
        <v>0</v>
      </c>
      <c r="AI306" s="43">
        <f t="shared" si="225"/>
        <v>482.23533571120595</v>
      </c>
      <c r="AJ306" s="43">
        <f t="shared" si="226"/>
        <v>945.21922928024014</v>
      </c>
      <c r="AK306" s="43">
        <f t="shared" si="227"/>
        <v>907.55057415539068</v>
      </c>
      <c r="AL306" s="43">
        <f t="shared" si="228"/>
        <v>871.51422741928468</v>
      </c>
      <c r="AN306" s="43">
        <f t="shared" si="187"/>
        <v>0</v>
      </c>
      <c r="AO306" s="43">
        <f t="shared" si="188"/>
        <v>22300.536430172539</v>
      </c>
      <c r="AP306" s="43">
        <f t="shared" si="189"/>
        <v>21355.317200892299</v>
      </c>
      <c r="AQ306" s="43">
        <f t="shared" si="190"/>
        <v>20447.76662673691</v>
      </c>
      <c r="AR306" s="43">
        <f t="shared" si="191"/>
        <v>19576.252399317626</v>
      </c>
      <c r="AT306" s="43">
        <f t="shared" si="221"/>
        <v>0</v>
      </c>
      <c r="AU306" s="43">
        <f t="shared" si="221"/>
        <v>227.82771765883743</v>
      </c>
      <c r="AV306" s="43">
        <f t="shared" si="221"/>
        <v>245.06971933125828</v>
      </c>
      <c r="AW306" s="43">
        <f t="shared" si="221"/>
        <v>250.92394478664337</v>
      </c>
      <c r="AX306" s="43">
        <f t="shared" si="221"/>
        <v>259.41721846978169</v>
      </c>
      <c r="AZ306" s="47">
        <f t="shared" si="229"/>
        <v>0</v>
      </c>
      <c r="BA306" s="47">
        <f t="shared" si="230"/>
        <v>1445.9807555657371</v>
      </c>
      <c r="BB306" s="47">
        <f t="shared" si="231"/>
        <v>2001.7910022454059</v>
      </c>
      <c r="BC306" s="47">
        <f t="shared" si="232"/>
        <v>1935.4896507580365</v>
      </c>
      <c r="BD306" s="47">
        <f t="shared" si="233"/>
        <v>1874.8290370631362</v>
      </c>
    </row>
    <row r="307" spans="1:56">
      <c r="B307" s="37">
        <f>'12. Investeringen (bijschatten)'!B110</f>
        <v>91</v>
      </c>
      <c r="C307" s="48"/>
      <c r="E307" s="48"/>
      <c r="F307" s="168">
        <f>'12. Investeringen (bijschatten)'!C110</f>
        <v>-7843704.5403578533</v>
      </c>
      <c r="H307" s="37">
        <f>'12. Investeringen (bijschatten)'!D110</f>
        <v>2023</v>
      </c>
      <c r="I307" s="37" t="str">
        <f>'12. Investeringen (bijschatten)'!E110</f>
        <v>42 Vulgas</v>
      </c>
      <c r="J307" s="168">
        <f>_xlfn.XLOOKUP(I307,'3. Input (des)investeringen '!$B$11:$B$89,'3. Input (des)investeringen '!$D$11:$D$89)</f>
        <v>0</v>
      </c>
      <c r="M307" s="43">
        <f t="shared" si="183"/>
        <v>0</v>
      </c>
      <c r="N307" s="43">
        <f t="shared" si="184"/>
        <v>0</v>
      </c>
      <c r="P307" s="137">
        <f t="shared" si="185"/>
        <v>0</v>
      </c>
      <c r="Q307" s="137">
        <f t="shared" si="186"/>
        <v>0</v>
      </c>
      <c r="S307" s="43">
        <f t="shared" si="222"/>
        <v>-7843704.5403578533</v>
      </c>
      <c r="T307" s="38">
        <f t="shared" si="223"/>
        <v>0</v>
      </c>
      <c r="V307" s="43">
        <f t="shared" ref="V307:Z316" si="234">IF($J307=0, 0, IF(OR($H307&gt;V$59,$H307+$J307&lt;V$59),0,
IF(OR($H307=2020,$H307=2021),VDB(ABS($S307)*(1-$F$28),0,$T307,V$59-2022,MIN($T307,V$59-2021),$F$22),
VDB(ABS($S307)*(1-$F$28),0,$T307,MAX(0,V$59-$H307-0.5),MIN($T307,V$59-$H307+0.5),$F$22,FALSE))))*IF($F307&lt;0,-1,1)</f>
        <v>0</v>
      </c>
      <c r="W307" s="43">
        <f t="shared" si="234"/>
        <v>0</v>
      </c>
      <c r="X307" s="43">
        <f t="shared" si="234"/>
        <v>0</v>
      </c>
      <c r="Y307" s="43">
        <f t="shared" si="234"/>
        <v>0</v>
      </c>
      <c r="Z307" s="43">
        <f t="shared" si="234"/>
        <v>0</v>
      </c>
      <c r="AB307" s="43">
        <f t="shared" ref="AB307:AF316" si="235">IF($J307 = 0, 0, IF(OR($H307&gt;AB$59,$H307+$J307&lt;AB$59),0,
IF(OR($H307=2020,$H307=2021),VDB(ABS($S307)*$F$28,0,$T307,AB$59-2022,MIN($T307,AB$59-2021),1),
VDB(ABS($S307)*$F$28,0,$T307,MAX(0,AB$59-$H307-0.5),MIN($T307,AB$59-$H307+0.5),1))))*IF($F307&lt;0,-1,1)</f>
        <v>0</v>
      </c>
      <c r="AC307" s="43">
        <f t="shared" si="235"/>
        <v>0</v>
      </c>
      <c r="AD307" s="43">
        <f t="shared" si="235"/>
        <v>0</v>
      </c>
      <c r="AE307" s="43">
        <f t="shared" si="235"/>
        <v>0</v>
      </c>
      <c r="AF307" s="43">
        <f t="shared" si="235"/>
        <v>0</v>
      </c>
      <c r="AH307" s="43">
        <f t="shared" si="224"/>
        <v>0</v>
      </c>
      <c r="AI307" s="43">
        <f t="shared" si="225"/>
        <v>0</v>
      </c>
      <c r="AJ307" s="43">
        <f t="shared" si="226"/>
        <v>0</v>
      </c>
      <c r="AK307" s="43">
        <f t="shared" si="227"/>
        <v>0</v>
      </c>
      <c r="AL307" s="43">
        <f t="shared" si="228"/>
        <v>0</v>
      </c>
      <c r="AN307" s="43">
        <f t="shared" si="187"/>
        <v>0</v>
      </c>
      <c r="AO307" s="43">
        <f t="shared" si="188"/>
        <v>-7843704.5403578533</v>
      </c>
      <c r="AP307" s="43">
        <f t="shared" si="189"/>
        <v>-7843704.5403578533</v>
      </c>
      <c r="AQ307" s="43">
        <f t="shared" si="190"/>
        <v>-7843704.5403578533</v>
      </c>
      <c r="AR307" s="43">
        <f t="shared" si="191"/>
        <v>-7843704.5403578533</v>
      </c>
      <c r="AT307" s="43">
        <f t="shared" ref="AT307:AX316" si="236">IF($H307&lt;=AT$215,$F307*INDEX($H$40:$N$46,$H307-2019,AT$215-2019)*INDEX($H$49:$N$55,$H307-2019,AT$215-2019)*$F$19,0)</f>
        <v>0</v>
      </c>
      <c r="AU307" s="43">
        <f t="shared" si="236"/>
        <v>-78437.045403578537</v>
      </c>
      <c r="AV307" s="43">
        <f t="shared" si="236"/>
        <v>-84373.160999721367</v>
      </c>
      <c r="AW307" s="43">
        <f t="shared" si="236"/>
        <v>-86388.667069682706</v>
      </c>
      <c r="AX307" s="43">
        <f t="shared" si="236"/>
        <v>-89312.750672657319</v>
      </c>
      <c r="AZ307" s="47">
        <f t="shared" si="229"/>
        <v>0</v>
      </c>
      <c r="BA307" s="47">
        <f t="shared" si="230"/>
        <v>-337279.29523538769</v>
      </c>
      <c r="BB307" s="47">
        <f t="shared" si="231"/>
        <v>-382433.9335333198</v>
      </c>
      <c r="BC307" s="47">
        <f t="shared" si="232"/>
        <v>-384449.43960328109</v>
      </c>
      <c r="BD307" s="47">
        <f t="shared" si="233"/>
        <v>-387373.52320625575</v>
      </c>
    </row>
    <row r="308" spans="1:56" s="227" customFormat="1">
      <c r="A308" s="3"/>
      <c r="B308" s="37">
        <f>'12. Investeringen (bijschatten)'!B111</f>
        <v>92</v>
      </c>
      <c r="C308" s="48"/>
      <c r="D308" s="3"/>
      <c r="E308" s="48"/>
      <c r="F308" s="168">
        <f>'12. Investeringen (bijschatten)'!C111</f>
        <v>34638760.532571472</v>
      </c>
      <c r="G308" s="3"/>
      <c r="H308" s="37">
        <f>'12. Investeringen (bijschatten)'!D111</f>
        <v>2024</v>
      </c>
      <c r="I308" s="37" t="str">
        <f>'12. Investeringen (bijschatten)'!E111</f>
        <v>01 Regionale leidingen</v>
      </c>
      <c r="J308" s="168">
        <f>_xlfn.XLOOKUP(I308,'3. Input (des)investeringen '!$B$11:$B$89,'3. Input (des)investeringen '!$D$11:$D$89)</f>
        <v>55</v>
      </c>
      <c r="M308" s="43">
        <f t="shared" si="183"/>
        <v>0</v>
      </c>
      <c r="N308" s="43">
        <f t="shared" si="184"/>
        <v>0</v>
      </c>
      <c r="O308" s="3"/>
      <c r="P308" s="137">
        <f t="shared" si="185"/>
        <v>0</v>
      </c>
      <c r="Q308" s="137">
        <f t="shared" si="186"/>
        <v>0</v>
      </c>
      <c r="R308" s="3"/>
      <c r="S308" s="43">
        <f t="shared" ref="S308:S324" si="237">IF($J308=0, IF(H308&lt;=2021, $Q308, IF(H308&gt;=2022, $F308,0)), IF(H308&lt;=2021,Q308,F308))</f>
        <v>34638760.532571472</v>
      </c>
      <c r="T308" s="38">
        <f t="shared" ref="T308:T324" si="238">IF($J308=0, 0, IF(H308&lt;2022,J308-2021+H308-0.5,J308))</f>
        <v>55</v>
      </c>
      <c r="U308" s="3"/>
      <c r="V308" s="43">
        <f t="shared" si="234"/>
        <v>0</v>
      </c>
      <c r="W308" s="43">
        <f t="shared" si="234"/>
        <v>0</v>
      </c>
      <c r="X308" s="43">
        <f t="shared" si="234"/>
        <v>368430.45293735113</v>
      </c>
      <c r="Y308" s="43">
        <f t="shared" si="234"/>
        <v>728152.54971436493</v>
      </c>
      <c r="Z308" s="43">
        <f t="shared" si="234"/>
        <v>710941.6712665708</v>
      </c>
      <c r="AA308" s="3"/>
      <c r="AB308" s="43">
        <f t="shared" si="235"/>
        <v>0</v>
      </c>
      <c r="AC308" s="43">
        <f t="shared" si="235"/>
        <v>0</v>
      </c>
      <c r="AD308" s="43">
        <f t="shared" si="235"/>
        <v>31489.782302337702</v>
      </c>
      <c r="AE308" s="43">
        <f t="shared" si="235"/>
        <v>62979.564604675405</v>
      </c>
      <c r="AF308" s="43">
        <f t="shared" si="235"/>
        <v>62979.564604675405</v>
      </c>
      <c r="AG308" s="3"/>
      <c r="AH308" s="43">
        <f t="shared" ref="AH308:AH324" si="239">V308+AB308</f>
        <v>0</v>
      </c>
      <c r="AI308" s="43">
        <f t="shared" ref="AI308:AI324" si="240">W308+AC308</f>
        <v>0</v>
      </c>
      <c r="AJ308" s="43">
        <f t="shared" ref="AJ308:AJ324" si="241">X308+AD308</f>
        <v>399920.23523968883</v>
      </c>
      <c r="AK308" s="43">
        <f t="shared" ref="AK308:AK324" si="242">Y308+AE308</f>
        <v>791132.11431904032</v>
      </c>
      <c r="AL308" s="43">
        <f t="shared" ref="AL308:AL324" si="243">Z308+AF308</f>
        <v>773921.2358712462</v>
      </c>
      <c r="AM308" s="3"/>
      <c r="AN308" s="43">
        <f t="shared" si="187"/>
        <v>0</v>
      </c>
      <c r="AO308" s="43">
        <f t="shared" si="188"/>
        <v>0</v>
      </c>
      <c r="AP308" s="43">
        <f t="shared" si="189"/>
        <v>34238840.29733178</v>
      </c>
      <c r="AQ308" s="43">
        <f t="shared" si="190"/>
        <v>33447708.183012739</v>
      </c>
      <c r="AR308" s="43">
        <f t="shared" si="191"/>
        <v>32673786.947141491</v>
      </c>
      <c r="AS308" s="3"/>
      <c r="AT308" s="43">
        <f t="shared" si="236"/>
        <v>0</v>
      </c>
      <c r="AU308" s="43">
        <f t="shared" si="236"/>
        <v>0</v>
      </c>
      <c r="AV308" s="43">
        <f t="shared" si="236"/>
        <v>346387.60532571474</v>
      </c>
      <c r="AW308" s="43">
        <f t="shared" si="236"/>
        <v>354662.1124417354</v>
      </c>
      <c r="AX308" s="43">
        <f t="shared" si="236"/>
        <v>366666.71562366321</v>
      </c>
      <c r="AY308" s="3"/>
      <c r="AZ308" s="47">
        <f t="shared" ref="AZ308:AZ324" si="244">AH308+AN308*J$16+AT308</f>
        <v>0</v>
      </c>
      <c r="BA308" s="47">
        <f t="shared" ref="BA308:BA324" si="245">AI308+AO308*K$16+AU308</f>
        <v>0</v>
      </c>
      <c r="BB308" s="47">
        <f t="shared" ref="BB308:BB324" si="246">AJ308+AP308*L$16+AV308</f>
        <v>2047383.7718640112</v>
      </c>
      <c r="BC308" s="47">
        <f t="shared" ref="BC308:BC324" si="247">AK308+AQ308*M$16+AW308</f>
        <v>2416807.1377152596</v>
      </c>
      <c r="BD308" s="47">
        <f t="shared" ref="BD308:BD324" si="248">AL308+AR308*N$16+AX308</f>
        <v>2382191.8554862859</v>
      </c>
    </row>
    <row r="309" spans="1:56" s="227" customFormat="1">
      <c r="A309" s="3"/>
      <c r="B309" s="37">
        <f>'12. Investeringen (bijschatten)'!B112</f>
        <v>93</v>
      </c>
      <c r="C309" s="48"/>
      <c r="D309" s="3"/>
      <c r="E309" s="48"/>
      <c r="F309" s="168">
        <f>'12. Investeringen (bijschatten)'!C112</f>
        <v>7519513.4610189181</v>
      </c>
      <c r="G309" s="3"/>
      <c r="H309" s="37">
        <f>'12. Investeringen (bijschatten)'!D112</f>
        <v>2024</v>
      </c>
      <c r="I309" s="37" t="str">
        <f>'12. Investeringen (bijschatten)'!E112</f>
        <v>02 Gasontvangststations</v>
      </c>
      <c r="J309" s="168">
        <f>_xlfn.XLOOKUP(I309,'3. Input (des)investeringen '!$B$11:$B$89,'3. Input (des)investeringen '!$D$11:$D$89)</f>
        <v>30</v>
      </c>
      <c r="M309" s="43">
        <f t="shared" si="183"/>
        <v>0</v>
      </c>
      <c r="N309" s="43">
        <f t="shared" si="184"/>
        <v>0</v>
      </c>
      <c r="O309" s="3"/>
      <c r="P309" s="137">
        <f t="shared" si="185"/>
        <v>0</v>
      </c>
      <c r="Q309" s="137">
        <f t="shared" si="186"/>
        <v>0</v>
      </c>
      <c r="R309" s="3"/>
      <c r="S309" s="43">
        <f t="shared" si="237"/>
        <v>7519513.4610189181</v>
      </c>
      <c r="T309" s="38">
        <f t="shared" si="238"/>
        <v>30</v>
      </c>
      <c r="U309" s="3"/>
      <c r="V309" s="43">
        <f t="shared" si="234"/>
        <v>0</v>
      </c>
      <c r="W309" s="43">
        <f t="shared" si="234"/>
        <v>0</v>
      </c>
      <c r="X309" s="43">
        <f t="shared" si="234"/>
        <v>146630.51248986891</v>
      </c>
      <c r="Y309" s="43">
        <f t="shared" si="234"/>
        <v>286907.03610517684</v>
      </c>
      <c r="Z309" s="43">
        <f t="shared" si="234"/>
        <v>274474.39787395252</v>
      </c>
      <c r="AA309" s="3"/>
      <c r="AB309" s="43">
        <f t="shared" si="235"/>
        <v>0</v>
      </c>
      <c r="AC309" s="43">
        <f t="shared" si="235"/>
        <v>0</v>
      </c>
      <c r="AD309" s="43">
        <f t="shared" si="235"/>
        <v>12532.522435031531</v>
      </c>
      <c r="AE309" s="43">
        <f t="shared" si="235"/>
        <v>25065.044870063062</v>
      </c>
      <c r="AF309" s="43">
        <f t="shared" si="235"/>
        <v>25065.044870063062</v>
      </c>
      <c r="AG309" s="3"/>
      <c r="AH309" s="43">
        <f t="shared" si="239"/>
        <v>0</v>
      </c>
      <c r="AI309" s="43">
        <f t="shared" si="240"/>
        <v>0</v>
      </c>
      <c r="AJ309" s="43">
        <f t="shared" si="241"/>
        <v>159163.03492490045</v>
      </c>
      <c r="AK309" s="43">
        <f t="shared" si="242"/>
        <v>311972.08097523992</v>
      </c>
      <c r="AL309" s="43">
        <f t="shared" si="243"/>
        <v>299539.4427440156</v>
      </c>
      <c r="AM309" s="3"/>
      <c r="AN309" s="43">
        <f t="shared" si="187"/>
        <v>0</v>
      </c>
      <c r="AO309" s="43">
        <f t="shared" si="188"/>
        <v>0</v>
      </c>
      <c r="AP309" s="43">
        <f t="shared" si="189"/>
        <v>7360350.4260940179</v>
      </c>
      <c r="AQ309" s="43">
        <f t="shared" si="190"/>
        <v>7048378.3451187778</v>
      </c>
      <c r="AR309" s="43">
        <f t="shared" si="191"/>
        <v>6748838.9023747621</v>
      </c>
      <c r="AS309" s="3"/>
      <c r="AT309" s="43">
        <f t="shared" si="236"/>
        <v>0</v>
      </c>
      <c r="AU309" s="43">
        <f t="shared" si="236"/>
        <v>0</v>
      </c>
      <c r="AV309" s="43">
        <f t="shared" si="236"/>
        <v>75195.134610189183</v>
      </c>
      <c r="AW309" s="43">
        <f t="shared" si="236"/>
        <v>76991.395985757379</v>
      </c>
      <c r="AX309" s="43">
        <f t="shared" si="236"/>
        <v>79597.400757083306</v>
      </c>
      <c r="AY309" s="3"/>
      <c r="AZ309" s="47">
        <f t="shared" si="244"/>
        <v>0</v>
      </c>
      <c r="BA309" s="47">
        <f t="shared" si="245"/>
        <v>0</v>
      </c>
      <c r="BB309" s="47">
        <f t="shared" si="246"/>
        <v>514051.48572666233</v>
      </c>
      <c r="BC309" s="47">
        <f t="shared" si="247"/>
        <v>656801.85407551087</v>
      </c>
      <c r="BD309" s="47">
        <f t="shared" si="248"/>
        <v>635592.72179133992</v>
      </c>
    </row>
    <row r="310" spans="1:56" s="227" customFormat="1">
      <c r="A310" s="3"/>
      <c r="B310" s="37">
        <f>'12. Investeringen (bijschatten)'!B113</f>
        <v>94</v>
      </c>
      <c r="C310" s="48"/>
      <c r="D310" s="3"/>
      <c r="E310" s="48"/>
      <c r="F310" s="168">
        <f>'12. Investeringen (bijschatten)'!C113</f>
        <v>1572406.7396321148</v>
      </c>
      <c r="G310" s="3"/>
      <c r="H310" s="37">
        <f>'12. Investeringen (bijschatten)'!D113</f>
        <v>2024</v>
      </c>
      <c r="I310" s="37" t="str">
        <f>'12. Investeringen (bijschatten)'!E113</f>
        <v>05 Wegen en terreinvoorzieningen (TT-BT-AT)</v>
      </c>
      <c r="J310" s="168">
        <f>_xlfn.XLOOKUP(I310,'3. Input (des)investeringen '!$B$11:$B$89,'3. Input (des)investeringen '!$D$11:$D$89)</f>
        <v>10</v>
      </c>
      <c r="M310" s="43">
        <f t="shared" si="183"/>
        <v>0</v>
      </c>
      <c r="N310" s="43">
        <f t="shared" si="184"/>
        <v>0</v>
      </c>
      <c r="O310" s="3"/>
      <c r="P310" s="137">
        <f t="shared" si="185"/>
        <v>0</v>
      </c>
      <c r="Q310" s="137">
        <f t="shared" si="186"/>
        <v>0</v>
      </c>
      <c r="R310" s="3"/>
      <c r="S310" s="43">
        <f t="shared" si="237"/>
        <v>1572406.7396321148</v>
      </c>
      <c r="T310" s="38">
        <f t="shared" si="238"/>
        <v>10</v>
      </c>
      <c r="U310" s="3"/>
      <c r="V310" s="43">
        <f t="shared" si="234"/>
        <v>0</v>
      </c>
      <c r="W310" s="43">
        <f t="shared" si="234"/>
        <v>0</v>
      </c>
      <c r="X310" s="43">
        <f t="shared" si="234"/>
        <v>91985.794268478712</v>
      </c>
      <c r="Y310" s="43">
        <f t="shared" si="234"/>
        <v>172013.4352820552</v>
      </c>
      <c r="Z310" s="43">
        <f t="shared" si="234"/>
        <v>149651.68869538803</v>
      </c>
      <c r="AA310" s="3"/>
      <c r="AB310" s="43">
        <f t="shared" si="235"/>
        <v>0</v>
      </c>
      <c r="AC310" s="43">
        <f t="shared" si="235"/>
        <v>0</v>
      </c>
      <c r="AD310" s="43">
        <f t="shared" si="235"/>
        <v>7862.0336981605742</v>
      </c>
      <c r="AE310" s="43">
        <f t="shared" si="235"/>
        <v>15724.067396321147</v>
      </c>
      <c r="AF310" s="43">
        <f t="shared" si="235"/>
        <v>15724.067396321147</v>
      </c>
      <c r="AG310" s="3"/>
      <c r="AH310" s="43">
        <f t="shared" si="239"/>
        <v>0</v>
      </c>
      <c r="AI310" s="43">
        <f t="shared" si="240"/>
        <v>0</v>
      </c>
      <c r="AJ310" s="43">
        <f t="shared" si="241"/>
        <v>99847.827966639292</v>
      </c>
      <c r="AK310" s="43">
        <f t="shared" si="242"/>
        <v>187737.50267837636</v>
      </c>
      <c r="AL310" s="43">
        <f t="shared" si="243"/>
        <v>165375.75609170919</v>
      </c>
      <c r="AM310" s="3"/>
      <c r="AN310" s="43">
        <f t="shared" si="187"/>
        <v>0</v>
      </c>
      <c r="AO310" s="43">
        <f t="shared" si="188"/>
        <v>0</v>
      </c>
      <c r="AP310" s="43">
        <f t="shared" si="189"/>
        <v>1472558.9116654755</v>
      </c>
      <c r="AQ310" s="43">
        <f t="shared" si="190"/>
        <v>1284821.4089870991</v>
      </c>
      <c r="AR310" s="43">
        <f t="shared" si="191"/>
        <v>1119445.6528953898</v>
      </c>
      <c r="AS310" s="3"/>
      <c r="AT310" s="43">
        <f t="shared" si="236"/>
        <v>0</v>
      </c>
      <c r="AU310" s="43">
        <f t="shared" si="236"/>
        <v>0</v>
      </c>
      <c r="AV310" s="43">
        <f t="shared" si="236"/>
        <v>15724.067396321148</v>
      </c>
      <c r="AW310" s="43">
        <f t="shared" si="236"/>
        <v>16099.683918284469</v>
      </c>
      <c r="AX310" s="43">
        <f t="shared" si="236"/>
        <v>16644.62601955056</v>
      </c>
      <c r="AY310" s="3"/>
      <c r="AZ310" s="47">
        <f t="shared" si="244"/>
        <v>0</v>
      </c>
      <c r="BA310" s="47">
        <f t="shared" si="245"/>
        <v>0</v>
      </c>
      <c r="BB310" s="47">
        <f t="shared" si="246"/>
        <v>171529.13400624853</v>
      </c>
      <c r="BC310" s="47">
        <f t="shared" si="247"/>
        <v>252660.40013817057</v>
      </c>
      <c r="BD310" s="47">
        <f t="shared" si="248"/>
        <v>224559.31692128454</v>
      </c>
    </row>
    <row r="311" spans="1:56" s="227" customFormat="1">
      <c r="A311" s="3"/>
      <c r="B311" s="37">
        <f>'12. Investeringen (bijschatten)'!B114</f>
        <v>95</v>
      </c>
      <c r="C311" s="48"/>
      <c r="D311" s="3"/>
      <c r="E311" s="48"/>
      <c r="F311" s="168">
        <f>'12. Investeringen (bijschatten)'!C114</f>
        <v>4287092.0360101471</v>
      </c>
      <c r="G311" s="3"/>
      <c r="H311" s="37">
        <f>'12. Investeringen (bijschatten)'!D114</f>
        <v>2024</v>
      </c>
      <c r="I311" s="37" t="str">
        <f>'12. Investeringen (bijschatten)'!E114</f>
        <v>06 Utiliteitsgebouwen (TT-BT-AT)</v>
      </c>
      <c r="J311" s="168">
        <f>_xlfn.XLOOKUP(I311,'3. Input (des)investeringen '!$B$11:$B$89,'3. Input (des)investeringen '!$D$11:$D$89)</f>
        <v>30</v>
      </c>
      <c r="M311" s="43">
        <f t="shared" si="183"/>
        <v>0</v>
      </c>
      <c r="N311" s="43">
        <f t="shared" si="184"/>
        <v>0</v>
      </c>
      <c r="O311" s="3"/>
      <c r="P311" s="137">
        <f t="shared" si="185"/>
        <v>0</v>
      </c>
      <c r="Q311" s="137">
        <f t="shared" si="186"/>
        <v>0</v>
      </c>
      <c r="R311" s="3"/>
      <c r="S311" s="43">
        <f t="shared" si="237"/>
        <v>4287092.0360101471</v>
      </c>
      <c r="T311" s="38">
        <f t="shared" si="238"/>
        <v>30</v>
      </c>
      <c r="U311" s="3"/>
      <c r="V311" s="43">
        <f t="shared" si="234"/>
        <v>0</v>
      </c>
      <c r="W311" s="43">
        <f t="shared" si="234"/>
        <v>0</v>
      </c>
      <c r="X311" s="43">
        <f t="shared" si="234"/>
        <v>83598.294702197862</v>
      </c>
      <c r="Y311" s="43">
        <f t="shared" si="234"/>
        <v>163573.99663396715</v>
      </c>
      <c r="Z311" s="43">
        <f t="shared" si="234"/>
        <v>156485.79011316193</v>
      </c>
      <c r="AA311" s="3"/>
      <c r="AB311" s="43">
        <f t="shared" si="235"/>
        <v>0</v>
      </c>
      <c r="AC311" s="43">
        <f t="shared" si="235"/>
        <v>0</v>
      </c>
      <c r="AD311" s="43">
        <f t="shared" si="235"/>
        <v>7145.153393350246</v>
      </c>
      <c r="AE311" s="43">
        <f t="shared" si="235"/>
        <v>14290.306786700492</v>
      </c>
      <c r="AF311" s="43">
        <f t="shared" si="235"/>
        <v>14290.306786700492</v>
      </c>
      <c r="AG311" s="3"/>
      <c r="AH311" s="43">
        <f t="shared" si="239"/>
        <v>0</v>
      </c>
      <c r="AI311" s="43">
        <f t="shared" si="240"/>
        <v>0</v>
      </c>
      <c r="AJ311" s="43">
        <f t="shared" si="241"/>
        <v>90743.448095548112</v>
      </c>
      <c r="AK311" s="43">
        <f t="shared" si="242"/>
        <v>177864.30342066765</v>
      </c>
      <c r="AL311" s="43">
        <f t="shared" si="243"/>
        <v>170776.09689986243</v>
      </c>
      <c r="AM311" s="3"/>
      <c r="AN311" s="43">
        <f t="shared" si="187"/>
        <v>0</v>
      </c>
      <c r="AO311" s="43">
        <f t="shared" si="188"/>
        <v>0</v>
      </c>
      <c r="AP311" s="43">
        <f t="shared" si="189"/>
        <v>4196348.5879145991</v>
      </c>
      <c r="AQ311" s="43">
        <f t="shared" si="190"/>
        <v>4018484.2844939316</v>
      </c>
      <c r="AR311" s="43">
        <f t="shared" si="191"/>
        <v>3847708.1875940692</v>
      </c>
      <c r="AS311" s="3"/>
      <c r="AT311" s="43">
        <f t="shared" si="236"/>
        <v>0</v>
      </c>
      <c r="AU311" s="43">
        <f t="shared" si="236"/>
        <v>0</v>
      </c>
      <c r="AV311" s="43">
        <f t="shared" si="236"/>
        <v>42870.920360101474</v>
      </c>
      <c r="AW311" s="43">
        <f t="shared" si="236"/>
        <v>43895.020905663579</v>
      </c>
      <c r="AX311" s="43">
        <f t="shared" si="236"/>
        <v>45380.779573278473</v>
      </c>
      <c r="AY311" s="3"/>
      <c r="AZ311" s="47">
        <f t="shared" si="244"/>
        <v>0</v>
      </c>
      <c r="BA311" s="47">
        <f t="shared" si="245"/>
        <v>0</v>
      </c>
      <c r="BB311" s="47">
        <f t="shared" si="246"/>
        <v>293075.61479640438</v>
      </c>
      <c r="BC311" s="47">
        <f t="shared" si="247"/>
        <v>374461.72713710065</v>
      </c>
      <c r="BD311" s="47">
        <f t="shared" si="248"/>
        <v>362369.78760171554</v>
      </c>
    </row>
    <row r="312" spans="1:56" s="227" customFormat="1">
      <c r="A312" s="3"/>
      <c r="B312" s="37">
        <f>'12. Investeringen (bijschatten)'!B115</f>
        <v>96</v>
      </c>
      <c r="C312" s="48"/>
      <c r="D312" s="3"/>
      <c r="E312" s="48"/>
      <c r="F312" s="168">
        <f>'12. Investeringen (bijschatten)'!C115</f>
        <v>292.67943422678155</v>
      </c>
      <c r="G312" s="3"/>
      <c r="H312" s="37">
        <f>'12. Investeringen (bijschatten)'!D115</f>
        <v>2024</v>
      </c>
      <c r="I312" s="37" t="str">
        <f>'12. Investeringen (bijschatten)'!E115</f>
        <v>08 Inrichting gebouwen (TT-BT-AT)</v>
      </c>
      <c r="J312" s="168">
        <f>_xlfn.XLOOKUP(I312,'3. Input (des)investeringen '!$B$11:$B$89,'3. Input (des)investeringen '!$D$11:$D$89)</f>
        <v>10</v>
      </c>
      <c r="M312" s="43">
        <f t="shared" si="183"/>
        <v>0</v>
      </c>
      <c r="N312" s="43">
        <f t="shared" si="184"/>
        <v>0</v>
      </c>
      <c r="O312" s="3"/>
      <c r="P312" s="137">
        <f t="shared" si="185"/>
        <v>0</v>
      </c>
      <c r="Q312" s="137">
        <f t="shared" si="186"/>
        <v>0</v>
      </c>
      <c r="R312" s="3"/>
      <c r="S312" s="43">
        <f t="shared" si="237"/>
        <v>292.67943422678155</v>
      </c>
      <c r="T312" s="38">
        <f t="shared" si="238"/>
        <v>10</v>
      </c>
      <c r="U312" s="3"/>
      <c r="V312" s="43">
        <f t="shared" si="234"/>
        <v>0</v>
      </c>
      <c r="W312" s="43">
        <f t="shared" si="234"/>
        <v>0</v>
      </c>
      <c r="X312" s="43">
        <f t="shared" si="234"/>
        <v>17.121746902266722</v>
      </c>
      <c r="Y312" s="43">
        <f t="shared" si="234"/>
        <v>32.017666707238767</v>
      </c>
      <c r="Z312" s="43">
        <f t="shared" si="234"/>
        <v>27.855370035297728</v>
      </c>
      <c r="AA312" s="3"/>
      <c r="AB312" s="43">
        <f t="shared" si="235"/>
        <v>0</v>
      </c>
      <c r="AC312" s="43">
        <f t="shared" si="235"/>
        <v>0</v>
      </c>
      <c r="AD312" s="43">
        <f t="shared" si="235"/>
        <v>1.463397171133908</v>
      </c>
      <c r="AE312" s="43">
        <f t="shared" si="235"/>
        <v>2.9267943422678155</v>
      </c>
      <c r="AF312" s="43">
        <f t="shared" si="235"/>
        <v>2.9267943422678155</v>
      </c>
      <c r="AG312" s="3"/>
      <c r="AH312" s="43">
        <f t="shared" si="239"/>
        <v>0</v>
      </c>
      <c r="AI312" s="43">
        <f t="shared" si="240"/>
        <v>0</v>
      </c>
      <c r="AJ312" s="43">
        <f t="shared" si="241"/>
        <v>18.585144073400631</v>
      </c>
      <c r="AK312" s="43">
        <f t="shared" si="242"/>
        <v>34.944461049506586</v>
      </c>
      <c r="AL312" s="43">
        <f t="shared" si="243"/>
        <v>30.782164377565543</v>
      </c>
      <c r="AM312" s="3"/>
      <c r="AN312" s="43">
        <f t="shared" si="187"/>
        <v>0</v>
      </c>
      <c r="AO312" s="43">
        <f t="shared" si="188"/>
        <v>0</v>
      </c>
      <c r="AP312" s="43">
        <f t="shared" si="189"/>
        <v>274.09429015338094</v>
      </c>
      <c r="AQ312" s="43">
        <f t="shared" si="190"/>
        <v>239.14982910387437</v>
      </c>
      <c r="AR312" s="43">
        <f t="shared" si="191"/>
        <v>208.36766472630882</v>
      </c>
      <c r="AS312" s="3"/>
      <c r="AT312" s="43">
        <f t="shared" si="236"/>
        <v>0</v>
      </c>
      <c r="AU312" s="43">
        <f t="shared" si="236"/>
        <v>0</v>
      </c>
      <c r="AV312" s="43">
        <f t="shared" si="236"/>
        <v>2.9267943422678155</v>
      </c>
      <c r="AW312" s="43">
        <f t="shared" si="236"/>
        <v>2.996709605515909</v>
      </c>
      <c r="AX312" s="43">
        <f t="shared" si="236"/>
        <v>3.0981422322434118</v>
      </c>
      <c r="AY312" s="3"/>
      <c r="AZ312" s="47">
        <f t="shared" si="244"/>
        <v>0</v>
      </c>
      <c r="BA312" s="47">
        <f t="shared" si="245"/>
        <v>0</v>
      </c>
      <c r="BB312" s="47">
        <f t="shared" si="246"/>
        <v>31.927521441496921</v>
      </c>
      <c r="BC312" s="47">
        <f t="shared" si="247"/>
        <v>47.028864160969725</v>
      </c>
      <c r="BD312" s="47">
        <f t="shared" si="248"/>
        <v>41.798277869408686</v>
      </c>
    </row>
    <row r="313" spans="1:56" s="227" customFormat="1">
      <c r="A313" s="3"/>
      <c r="B313" s="37">
        <f>'12. Investeringen (bijschatten)'!B116</f>
        <v>97</v>
      </c>
      <c r="C313" s="48"/>
      <c r="D313" s="3"/>
      <c r="E313" s="48"/>
      <c r="F313" s="168">
        <f>'12. Investeringen (bijschatten)'!C116</f>
        <v>315351.90212130325</v>
      </c>
      <c r="G313" s="3"/>
      <c r="H313" s="37">
        <f>'12. Investeringen (bijschatten)'!D116</f>
        <v>2024</v>
      </c>
      <c r="I313" s="37" t="str">
        <f>'12. Investeringen (bijschatten)'!E116</f>
        <v>15 Compressorstations (KC)</v>
      </c>
      <c r="J313" s="168">
        <f>_xlfn.XLOOKUP(I313,'3. Input (des)investeringen '!$B$11:$B$89,'3. Input (des)investeringen '!$D$11:$D$89)</f>
        <v>30</v>
      </c>
      <c r="M313" s="43">
        <f t="shared" ref="M313:M339" si="249">IF($J313 = 0, 0, IF($H313&lt;=M$215,
VDB(ABS($F313),0,$J313,MAX(0,M$59-$H313-0.5),MIN($J313,M$59-$H313+0.5),1)*IF($F313&lt;0,-1,1)*INDEX(H$40:H$46,$H313-2019,1),
0))</f>
        <v>0</v>
      </c>
      <c r="N313" s="43">
        <f t="shared" ref="N313:N339" si="250">IF($J313 = 0, 0, IF($H313&lt;=N$215,
VDB(ABS($F313),0,$J313,MAX(0,N$59-$H313-0.5),MIN($J313,N$59-$H313+0.5),1)*IF($F313&lt;0,-1,1)*INDEX(I$40:I$46,$H313-2019,1),
0))</f>
        <v>0</v>
      </c>
      <c r="O313" s="3"/>
      <c r="P313" s="137">
        <f t="shared" ref="P313:P339" si="251">IF($J313=0, IF($H313 = M$215, $F313, 0), IF(OR($H313&gt;P$59,$H313+$J313&lt;=P$59),0,
F313-M313))</f>
        <v>0</v>
      </c>
      <c r="Q313" s="137">
        <f t="shared" ref="Q313:Q339" si="252">IF($J313=0, IF($H313 &gt; N$215, 0, IF($H313=N$215, $F313, $P313*I$40)), IF(OR($H313&gt;Q$59,$H313+$J313&lt;=Q$59),0,
IF($H313=Q$59,F313-N313,P313*I$40-N313)))</f>
        <v>0</v>
      </c>
      <c r="R313" s="3"/>
      <c r="S313" s="43">
        <f t="shared" si="237"/>
        <v>315351.90212130325</v>
      </c>
      <c r="T313" s="38">
        <f t="shared" si="238"/>
        <v>30</v>
      </c>
      <c r="U313" s="3"/>
      <c r="V313" s="43">
        <f t="shared" si="234"/>
        <v>0</v>
      </c>
      <c r="W313" s="43">
        <f t="shared" si="234"/>
        <v>0</v>
      </c>
      <c r="X313" s="43">
        <f t="shared" si="234"/>
        <v>6149.362091365414</v>
      </c>
      <c r="Y313" s="43">
        <f t="shared" si="234"/>
        <v>12032.251825438329</v>
      </c>
      <c r="Z313" s="43">
        <f t="shared" si="234"/>
        <v>11510.854246335999</v>
      </c>
      <c r="AA313" s="3"/>
      <c r="AB313" s="43">
        <f t="shared" si="235"/>
        <v>0</v>
      </c>
      <c r="AC313" s="43">
        <f t="shared" si="235"/>
        <v>0</v>
      </c>
      <c r="AD313" s="43">
        <f t="shared" si="235"/>
        <v>525.58650353550547</v>
      </c>
      <c r="AE313" s="43">
        <f t="shared" si="235"/>
        <v>1051.1730070710109</v>
      </c>
      <c r="AF313" s="43">
        <f t="shared" si="235"/>
        <v>1051.1730070710109</v>
      </c>
      <c r="AG313" s="3"/>
      <c r="AH313" s="43">
        <f t="shared" si="239"/>
        <v>0</v>
      </c>
      <c r="AI313" s="43">
        <f t="shared" si="240"/>
        <v>0</v>
      </c>
      <c r="AJ313" s="43">
        <f t="shared" si="241"/>
        <v>6674.9485949009195</v>
      </c>
      <c r="AK313" s="43">
        <f t="shared" si="242"/>
        <v>13083.424832509339</v>
      </c>
      <c r="AL313" s="43">
        <f t="shared" si="243"/>
        <v>12562.02725340701</v>
      </c>
      <c r="AM313" s="3"/>
      <c r="AN313" s="43">
        <f t="shared" ref="AN313:AN339" si="253">IF($J313=0,IF($H313 &gt; AN$215, 0,$S313),IF(OR($H313&gt;AN$59,$H313+$J313&lt;=AN$59),0,
IF($H313=AN$59,$S313-AH313,
S313-AH313)))</f>
        <v>0</v>
      </c>
      <c r="AO313" s="43">
        <f t="shared" ref="AO313:AO339" si="254">IF($J313 = 0, IF($H313 &gt; AO$215, 0, IF($H313=AO$215, $F313, AN313)), IF(OR($H313&gt;AO$59,$H313+$J313&lt;=AO$59),0,
IF($H313=AO$59,$S313-AI313,
AN313-AI313)))</f>
        <v>0</v>
      </c>
      <c r="AP313" s="43">
        <f t="shared" ref="AP313:AP339" si="255">IF($J313 = 0, IF($H313 &gt; AP$215, 0, IF($H313=AP$215, $F313, AO313)), IF(OR($H313&gt;AP$59,$H313+$J313&lt;=AP$59),0,
IF($H313=AP$59,$S313-AJ313,
AO313-AJ313)))</f>
        <v>308676.95352640236</v>
      </c>
      <c r="AQ313" s="43">
        <f t="shared" ref="AQ313:AQ339" si="256">IF($J313 = 0, IF($H313 &gt; AQ$215, 0, IF($H313=AQ$215, $F313, AP313)), IF(OR($H313&gt;AQ$59,$H313+$J313&lt;=AQ$59),0,
IF($H313=AQ$59,$S313-AK313,
AP313-AK313)))</f>
        <v>295593.52869389299</v>
      </c>
      <c r="AR313" s="43">
        <f t="shared" ref="AR313:AR339" si="257">IF($J313 = 0, IF($H313 &gt; AR$215, 0, IF($H313=AR$215, $F313, AQ313)), IF(OR($H313&gt;AR$59,$H313+$J313&lt;=AR$59),0,
IF($H313=AR$59,$S313-AL313,
AQ313-AL313)))</f>
        <v>283031.501440486</v>
      </c>
      <c r="AS313" s="3"/>
      <c r="AT313" s="43">
        <f t="shared" si="236"/>
        <v>0</v>
      </c>
      <c r="AU313" s="43">
        <f t="shared" si="236"/>
        <v>0</v>
      </c>
      <c r="AV313" s="43">
        <f t="shared" si="236"/>
        <v>3153.5190212130328</v>
      </c>
      <c r="AW313" s="43">
        <f t="shared" si="236"/>
        <v>3228.8502835917693</v>
      </c>
      <c r="AX313" s="43">
        <f t="shared" si="236"/>
        <v>3338.1404079907838</v>
      </c>
      <c r="AY313" s="3"/>
      <c r="AZ313" s="47">
        <f t="shared" si="244"/>
        <v>0</v>
      </c>
      <c r="BA313" s="47">
        <f t="shared" si="245"/>
        <v>0</v>
      </c>
      <c r="BB313" s="47">
        <f t="shared" si="246"/>
        <v>21558.19185011724</v>
      </c>
      <c r="BC313" s="47">
        <f t="shared" si="247"/>
        <v>27544.829206469039</v>
      </c>
      <c r="BD313" s="47">
        <f t="shared" si="248"/>
        <v>26655.364716136264</v>
      </c>
    </row>
    <row r="314" spans="1:56" s="227" customFormat="1">
      <c r="A314" s="3"/>
      <c r="B314" s="37">
        <f>'12. Investeringen (bijschatten)'!B117</f>
        <v>98</v>
      </c>
      <c r="C314" s="48"/>
      <c r="D314" s="3"/>
      <c r="E314" s="48"/>
      <c r="F314" s="168">
        <f>'12. Investeringen (bijschatten)'!C117</f>
        <v>3902229.9831766533</v>
      </c>
      <c r="G314" s="3"/>
      <c r="H314" s="37">
        <f>'12. Investeringen (bijschatten)'!D117</f>
        <v>2024</v>
      </c>
      <c r="I314" s="37" t="str">
        <f>'12. Investeringen (bijschatten)'!E117</f>
        <v>15 Compressorstations (TT-BT-AT)</v>
      </c>
      <c r="J314" s="168">
        <f>_xlfn.XLOOKUP(I314,'3. Input (des)investeringen '!$B$11:$B$89,'3. Input (des)investeringen '!$D$11:$D$89)</f>
        <v>30</v>
      </c>
      <c r="M314" s="43">
        <f t="shared" si="249"/>
        <v>0</v>
      </c>
      <c r="N314" s="43">
        <f t="shared" si="250"/>
        <v>0</v>
      </c>
      <c r="O314" s="3"/>
      <c r="P314" s="137">
        <f t="shared" si="251"/>
        <v>0</v>
      </c>
      <c r="Q314" s="137">
        <f t="shared" si="252"/>
        <v>0</v>
      </c>
      <c r="R314" s="3"/>
      <c r="S314" s="43">
        <f t="shared" si="237"/>
        <v>3902229.9831766533</v>
      </c>
      <c r="T314" s="38">
        <f t="shared" si="238"/>
        <v>30</v>
      </c>
      <c r="U314" s="3"/>
      <c r="V314" s="43">
        <f t="shared" si="234"/>
        <v>0</v>
      </c>
      <c r="W314" s="43">
        <f t="shared" si="234"/>
        <v>0</v>
      </c>
      <c r="X314" s="43">
        <f t="shared" si="234"/>
        <v>76093.484671944738</v>
      </c>
      <c r="Y314" s="43">
        <f t="shared" si="234"/>
        <v>148889.5850081052</v>
      </c>
      <c r="Z314" s="43">
        <f t="shared" si="234"/>
        <v>142437.70299108731</v>
      </c>
      <c r="AA314" s="3"/>
      <c r="AB314" s="43">
        <f t="shared" si="235"/>
        <v>0</v>
      </c>
      <c r="AC314" s="43">
        <f t="shared" si="235"/>
        <v>0</v>
      </c>
      <c r="AD314" s="43">
        <f t="shared" si="235"/>
        <v>6503.7166386277559</v>
      </c>
      <c r="AE314" s="43">
        <f t="shared" si="235"/>
        <v>13007.433277255512</v>
      </c>
      <c r="AF314" s="43">
        <f t="shared" si="235"/>
        <v>13007.433277255512</v>
      </c>
      <c r="AG314" s="3"/>
      <c r="AH314" s="43">
        <f t="shared" si="239"/>
        <v>0</v>
      </c>
      <c r="AI314" s="43">
        <f t="shared" si="240"/>
        <v>0</v>
      </c>
      <c r="AJ314" s="43">
        <f t="shared" si="241"/>
        <v>82597.201310572491</v>
      </c>
      <c r="AK314" s="43">
        <f t="shared" si="242"/>
        <v>161897.01828536071</v>
      </c>
      <c r="AL314" s="43">
        <f t="shared" si="243"/>
        <v>155445.13626834282</v>
      </c>
      <c r="AM314" s="3"/>
      <c r="AN314" s="43">
        <f t="shared" si="253"/>
        <v>0</v>
      </c>
      <c r="AO314" s="43">
        <f t="shared" si="254"/>
        <v>0</v>
      </c>
      <c r="AP314" s="43">
        <f t="shared" si="255"/>
        <v>3819632.7818660806</v>
      </c>
      <c r="AQ314" s="43">
        <f t="shared" si="256"/>
        <v>3657735.7635807199</v>
      </c>
      <c r="AR314" s="43">
        <f t="shared" si="257"/>
        <v>3502290.6273123771</v>
      </c>
      <c r="AS314" s="3"/>
      <c r="AT314" s="43">
        <f t="shared" si="236"/>
        <v>0</v>
      </c>
      <c r="AU314" s="43">
        <f t="shared" si="236"/>
        <v>0</v>
      </c>
      <c r="AV314" s="43">
        <f t="shared" si="236"/>
        <v>39022.299831766533</v>
      </c>
      <c r="AW314" s="43">
        <f t="shared" si="236"/>
        <v>39954.464530147772</v>
      </c>
      <c r="AX314" s="43">
        <f t="shared" si="236"/>
        <v>41306.843245564218</v>
      </c>
      <c r="AY314" s="3"/>
      <c r="AZ314" s="47">
        <f t="shared" si="244"/>
        <v>0</v>
      </c>
      <c r="BA314" s="47">
        <f t="shared" si="245"/>
        <v>0</v>
      </c>
      <c r="BB314" s="47">
        <f t="shared" si="246"/>
        <v>266765.54685325007</v>
      </c>
      <c r="BC314" s="47">
        <f t="shared" si="247"/>
        <v>340845.44183157588</v>
      </c>
      <c r="BD314" s="47">
        <f t="shared" si="248"/>
        <v>329839.02335177734</v>
      </c>
    </row>
    <row r="315" spans="1:56" s="227" customFormat="1">
      <c r="A315" s="3"/>
      <c r="B315" s="37">
        <f>'12. Investeringen (bijschatten)'!B118</f>
        <v>99</v>
      </c>
      <c r="C315" s="48"/>
      <c r="D315" s="3"/>
      <c r="E315" s="48"/>
      <c r="F315" s="168">
        <f>'12. Investeringen (bijschatten)'!C118</f>
        <v>324403.26548893563</v>
      </c>
      <c r="G315" s="3"/>
      <c r="H315" s="37">
        <f>'12. Investeringen (bijschatten)'!D118</f>
        <v>2024</v>
      </c>
      <c r="I315" s="37" t="str">
        <f>'12. Investeringen (bijschatten)'!E118</f>
        <v>16 LNG installaties</v>
      </c>
      <c r="J315" s="168">
        <f>_xlfn.XLOOKUP(I315,'3. Input (des)investeringen '!$B$11:$B$89,'3. Input (des)investeringen '!$D$11:$D$89)</f>
        <v>30</v>
      </c>
      <c r="M315" s="43">
        <f t="shared" si="249"/>
        <v>0</v>
      </c>
      <c r="N315" s="43">
        <f t="shared" si="250"/>
        <v>0</v>
      </c>
      <c r="O315" s="3"/>
      <c r="P315" s="137">
        <f t="shared" si="251"/>
        <v>0</v>
      </c>
      <c r="Q315" s="137">
        <f t="shared" si="252"/>
        <v>0</v>
      </c>
      <c r="R315" s="3"/>
      <c r="S315" s="43">
        <f t="shared" si="237"/>
        <v>324403.26548893563</v>
      </c>
      <c r="T315" s="38">
        <f t="shared" si="238"/>
        <v>30</v>
      </c>
      <c r="U315" s="3"/>
      <c r="V315" s="43">
        <f t="shared" si="234"/>
        <v>0</v>
      </c>
      <c r="W315" s="43">
        <f t="shared" si="234"/>
        <v>0</v>
      </c>
      <c r="X315" s="43">
        <f t="shared" si="234"/>
        <v>6325.8636770342455</v>
      </c>
      <c r="Y315" s="43">
        <f t="shared" si="234"/>
        <v>12377.60659473034</v>
      </c>
      <c r="Z315" s="43">
        <f t="shared" si="234"/>
        <v>11841.243642292025</v>
      </c>
      <c r="AA315" s="3"/>
      <c r="AB315" s="43">
        <f t="shared" si="235"/>
        <v>0</v>
      </c>
      <c r="AC315" s="43">
        <f t="shared" si="235"/>
        <v>0</v>
      </c>
      <c r="AD315" s="43">
        <f t="shared" si="235"/>
        <v>540.67210914822613</v>
      </c>
      <c r="AE315" s="43">
        <f t="shared" si="235"/>
        <v>1081.3442182964523</v>
      </c>
      <c r="AF315" s="43">
        <f t="shared" si="235"/>
        <v>1081.3442182964523</v>
      </c>
      <c r="AG315" s="3"/>
      <c r="AH315" s="43">
        <f t="shared" si="239"/>
        <v>0</v>
      </c>
      <c r="AI315" s="43">
        <f t="shared" si="240"/>
        <v>0</v>
      </c>
      <c r="AJ315" s="43">
        <f t="shared" si="241"/>
        <v>6866.5357861824714</v>
      </c>
      <c r="AK315" s="43">
        <f t="shared" si="242"/>
        <v>13458.950813026791</v>
      </c>
      <c r="AL315" s="43">
        <f t="shared" si="243"/>
        <v>12922.587860588477</v>
      </c>
      <c r="AM315" s="3"/>
      <c r="AN315" s="43">
        <f t="shared" si="253"/>
        <v>0</v>
      </c>
      <c r="AO315" s="43">
        <f t="shared" si="254"/>
        <v>0</v>
      </c>
      <c r="AP315" s="43">
        <f t="shared" si="255"/>
        <v>317536.72970275319</v>
      </c>
      <c r="AQ315" s="43">
        <f t="shared" si="256"/>
        <v>304077.77888972638</v>
      </c>
      <c r="AR315" s="43">
        <f t="shared" si="257"/>
        <v>291155.19102913793</v>
      </c>
      <c r="AS315" s="3"/>
      <c r="AT315" s="43">
        <f t="shared" si="236"/>
        <v>0</v>
      </c>
      <c r="AU315" s="43">
        <f t="shared" si="236"/>
        <v>0</v>
      </c>
      <c r="AV315" s="43">
        <f t="shared" si="236"/>
        <v>3244.0326548893563</v>
      </c>
      <c r="AW315" s="43">
        <f t="shared" si="236"/>
        <v>3321.5261069493536</v>
      </c>
      <c r="AX315" s="43">
        <f t="shared" si="236"/>
        <v>3433.9531226173749</v>
      </c>
      <c r="AY315" s="3"/>
      <c r="AZ315" s="47">
        <f t="shared" si="244"/>
        <v>0</v>
      </c>
      <c r="BA315" s="47">
        <f t="shared" si="245"/>
        <v>0</v>
      </c>
      <c r="BB315" s="47">
        <f t="shared" si="246"/>
        <v>22176.964169776449</v>
      </c>
      <c r="BC315" s="47">
        <f t="shared" si="247"/>
        <v>28335.432517785746</v>
      </c>
      <c r="BD315" s="47">
        <f t="shared" si="248"/>
        <v>27420.438242313092</v>
      </c>
    </row>
    <row r="316" spans="1:56" s="227" customFormat="1">
      <c r="A316" s="3"/>
      <c r="B316" s="37">
        <f>'12. Investeringen (bijschatten)'!B119</f>
        <v>100</v>
      </c>
      <c r="C316" s="48"/>
      <c r="D316" s="3"/>
      <c r="E316" s="48"/>
      <c r="F316" s="168">
        <f>'12. Investeringen (bijschatten)'!C119</f>
        <v>1863550.4666900963</v>
      </c>
      <c r="G316" s="3"/>
      <c r="H316" s="37">
        <f>'12. Investeringen (bijschatten)'!D119</f>
        <v>2024</v>
      </c>
      <c r="I316" s="37" t="str">
        <f>'12. Investeringen (bijschatten)'!E119</f>
        <v>17 Mengstations</v>
      </c>
      <c r="J316" s="168">
        <f>_xlfn.XLOOKUP(I316,'3. Input (des)investeringen '!$B$11:$B$89,'3. Input (des)investeringen '!$D$11:$D$89)</f>
        <v>30</v>
      </c>
      <c r="M316" s="43">
        <f t="shared" si="249"/>
        <v>0</v>
      </c>
      <c r="N316" s="43">
        <f t="shared" si="250"/>
        <v>0</v>
      </c>
      <c r="O316" s="3"/>
      <c r="P316" s="137">
        <f t="shared" si="251"/>
        <v>0</v>
      </c>
      <c r="Q316" s="137">
        <f t="shared" si="252"/>
        <v>0</v>
      </c>
      <c r="R316" s="3"/>
      <c r="S316" s="43">
        <f t="shared" si="237"/>
        <v>1863550.4666900963</v>
      </c>
      <c r="T316" s="38">
        <f t="shared" si="238"/>
        <v>30</v>
      </c>
      <c r="U316" s="3"/>
      <c r="V316" s="43">
        <f t="shared" si="234"/>
        <v>0</v>
      </c>
      <c r="W316" s="43">
        <f t="shared" si="234"/>
        <v>0</v>
      </c>
      <c r="X316" s="43">
        <f t="shared" si="234"/>
        <v>36339.234100456881</v>
      </c>
      <c r="Y316" s="43">
        <f t="shared" si="234"/>
        <v>71103.768056560628</v>
      </c>
      <c r="Z316" s="43">
        <f t="shared" si="234"/>
        <v>68022.60477410967</v>
      </c>
      <c r="AA316" s="3"/>
      <c r="AB316" s="43">
        <f t="shared" si="235"/>
        <v>0</v>
      </c>
      <c r="AC316" s="43">
        <f t="shared" si="235"/>
        <v>0</v>
      </c>
      <c r="AD316" s="43">
        <f t="shared" si="235"/>
        <v>3105.9174444834939</v>
      </c>
      <c r="AE316" s="43">
        <f t="shared" si="235"/>
        <v>6211.8348889669878</v>
      </c>
      <c r="AF316" s="43">
        <f t="shared" si="235"/>
        <v>6211.8348889669878</v>
      </c>
      <c r="AG316" s="3"/>
      <c r="AH316" s="43">
        <f t="shared" si="239"/>
        <v>0</v>
      </c>
      <c r="AI316" s="43">
        <f t="shared" si="240"/>
        <v>0</v>
      </c>
      <c r="AJ316" s="43">
        <f t="shared" si="241"/>
        <v>39445.151544940374</v>
      </c>
      <c r="AK316" s="43">
        <f t="shared" si="242"/>
        <v>77315.602945527615</v>
      </c>
      <c r="AL316" s="43">
        <f t="shared" si="243"/>
        <v>74234.439663076657</v>
      </c>
      <c r="AM316" s="3"/>
      <c r="AN316" s="43">
        <f t="shared" si="253"/>
        <v>0</v>
      </c>
      <c r="AO316" s="43">
        <f t="shared" si="254"/>
        <v>0</v>
      </c>
      <c r="AP316" s="43">
        <f t="shared" si="255"/>
        <v>1824105.3151451559</v>
      </c>
      <c r="AQ316" s="43">
        <f t="shared" si="256"/>
        <v>1746789.7121996284</v>
      </c>
      <c r="AR316" s="43">
        <f t="shared" si="257"/>
        <v>1672555.2725365516</v>
      </c>
      <c r="AS316" s="3"/>
      <c r="AT316" s="43">
        <f t="shared" si="236"/>
        <v>0</v>
      </c>
      <c r="AU316" s="43">
        <f t="shared" si="236"/>
        <v>0</v>
      </c>
      <c r="AV316" s="43">
        <f t="shared" si="236"/>
        <v>18635.504666900964</v>
      </c>
      <c r="AW316" s="43">
        <f t="shared" si="236"/>
        <v>19080.669602383892</v>
      </c>
      <c r="AX316" s="43">
        <f t="shared" si="236"/>
        <v>19726.512107085382</v>
      </c>
      <c r="AY316" s="3"/>
      <c r="AZ316" s="47">
        <f t="shared" si="244"/>
        <v>0</v>
      </c>
      <c r="BA316" s="47">
        <f t="shared" si="245"/>
        <v>0</v>
      </c>
      <c r="BB316" s="47">
        <f t="shared" si="246"/>
        <v>127396.65818735724</v>
      </c>
      <c r="BC316" s="47">
        <f t="shared" si="247"/>
        <v>162774.28161149737</v>
      </c>
      <c r="BD316" s="47">
        <f t="shared" si="248"/>
        <v>157518.05212655099</v>
      </c>
    </row>
    <row r="317" spans="1:56" s="227" customFormat="1">
      <c r="A317" s="3"/>
      <c r="B317" s="37">
        <f>'12. Investeringen (bijschatten)'!B120</f>
        <v>101</v>
      </c>
      <c r="C317" s="48"/>
      <c r="D317" s="3"/>
      <c r="E317" s="48"/>
      <c r="F317" s="168">
        <f>'12. Investeringen (bijschatten)'!C120</f>
        <v>9517259.8126506843</v>
      </c>
      <c r="G317" s="3"/>
      <c r="H317" s="37">
        <f>'12. Investeringen (bijschatten)'!D120</f>
        <v>2024</v>
      </c>
      <c r="I317" s="37" t="str">
        <f>'12. Investeringen (bijschatten)'!E120</f>
        <v>21 Hoofdtransportleiding (TT-BT-AT)</v>
      </c>
      <c r="J317" s="168">
        <f>_xlfn.XLOOKUP(I317,'3. Input (des)investeringen '!$B$11:$B$89,'3. Input (des)investeringen '!$D$11:$D$89)</f>
        <v>55</v>
      </c>
      <c r="M317" s="43">
        <f t="shared" si="249"/>
        <v>0</v>
      </c>
      <c r="N317" s="43">
        <f t="shared" si="250"/>
        <v>0</v>
      </c>
      <c r="O317" s="3"/>
      <c r="P317" s="137">
        <f t="shared" si="251"/>
        <v>0</v>
      </c>
      <c r="Q317" s="137">
        <f t="shared" si="252"/>
        <v>0</v>
      </c>
      <c r="R317" s="3"/>
      <c r="S317" s="43">
        <f t="shared" si="237"/>
        <v>9517259.8126506843</v>
      </c>
      <c r="T317" s="38">
        <f t="shared" si="238"/>
        <v>55</v>
      </c>
      <c r="U317" s="3"/>
      <c r="V317" s="43">
        <f t="shared" ref="V317:Z325" si="258">IF($J317=0, 0, IF(OR($H317&gt;V$59,$H317+$J317&lt;V$59),0,
IF(OR($H317=2020,$H317=2021),VDB(ABS($S317)*(1-$F$28),0,$T317,V$59-2022,MIN($T317,V$59-2021),$F$22),
VDB(ABS($S317)*(1-$F$28),0,$T317,MAX(0,V$59-$H317-0.5),MIN($T317,V$59-$H317+0.5),$F$22,FALSE))))*IF($F317&lt;0,-1,1)</f>
        <v>0</v>
      </c>
      <c r="W317" s="43">
        <f t="shared" si="258"/>
        <v>0</v>
      </c>
      <c r="X317" s="43">
        <f t="shared" si="258"/>
        <v>101229.03618910274</v>
      </c>
      <c r="Y317" s="43">
        <f t="shared" si="258"/>
        <v>200065.38606828119</v>
      </c>
      <c r="Z317" s="43">
        <f t="shared" si="258"/>
        <v>195336.56785212184</v>
      </c>
      <c r="AA317" s="3"/>
      <c r="AB317" s="43">
        <f t="shared" ref="AB317:AF325" si="259">IF($J317 = 0, 0, IF(OR($H317&gt;AB$59,$H317+$J317&lt;AB$59),0,
IF(OR($H317=2020,$H317=2021),VDB(ABS($S317)*$F$28,0,$T317,AB$59-2022,MIN($T317,AB$59-2021),1),
VDB(ABS($S317)*$F$28,0,$T317,MAX(0,AB$59-$H317-0.5),MIN($T317,AB$59-$H317+0.5),1))))*IF($F317&lt;0,-1,1)</f>
        <v>0</v>
      </c>
      <c r="AC317" s="43">
        <f t="shared" si="259"/>
        <v>0</v>
      </c>
      <c r="AD317" s="43">
        <f t="shared" si="259"/>
        <v>8652.054375136986</v>
      </c>
      <c r="AE317" s="43">
        <f t="shared" si="259"/>
        <v>17304.108750273972</v>
      </c>
      <c r="AF317" s="43">
        <f t="shared" si="259"/>
        <v>17304.108750273972</v>
      </c>
      <c r="AG317" s="3"/>
      <c r="AH317" s="43">
        <f t="shared" si="239"/>
        <v>0</v>
      </c>
      <c r="AI317" s="43">
        <f t="shared" si="240"/>
        <v>0</v>
      </c>
      <c r="AJ317" s="43">
        <f t="shared" si="241"/>
        <v>109881.09056423973</v>
      </c>
      <c r="AK317" s="43">
        <f t="shared" si="242"/>
        <v>217369.49481855516</v>
      </c>
      <c r="AL317" s="43">
        <f t="shared" si="243"/>
        <v>212640.6766023958</v>
      </c>
      <c r="AM317" s="3"/>
      <c r="AN317" s="43">
        <f t="shared" si="253"/>
        <v>0</v>
      </c>
      <c r="AO317" s="43">
        <f t="shared" si="254"/>
        <v>0</v>
      </c>
      <c r="AP317" s="43">
        <f t="shared" si="255"/>
        <v>9407378.7220864445</v>
      </c>
      <c r="AQ317" s="43">
        <f t="shared" si="256"/>
        <v>9190009.2272678893</v>
      </c>
      <c r="AR317" s="43">
        <f t="shared" si="257"/>
        <v>8977368.5506654941</v>
      </c>
      <c r="AS317" s="3"/>
      <c r="AT317" s="43">
        <f t="shared" ref="AT317:AX325" si="260">IF($H317&lt;=AT$215,$F317*INDEX($H$40:$N$46,$H317-2019,AT$215-2019)*INDEX($H$49:$N$55,$H317-2019,AT$215-2019)*$F$19,0)</f>
        <v>0</v>
      </c>
      <c r="AU317" s="43">
        <f t="shared" si="260"/>
        <v>0</v>
      </c>
      <c r="AV317" s="43">
        <f t="shared" si="260"/>
        <v>95172.59812650684</v>
      </c>
      <c r="AW317" s="43">
        <f t="shared" si="260"/>
        <v>97446.08115055284</v>
      </c>
      <c r="AX317" s="43">
        <f t="shared" si="260"/>
        <v>100744.43610533676</v>
      </c>
      <c r="AY317" s="3"/>
      <c r="AZ317" s="47">
        <f t="shared" si="244"/>
        <v>0</v>
      </c>
      <c r="BA317" s="47">
        <f t="shared" si="245"/>
        <v>0</v>
      </c>
      <c r="BB317" s="47">
        <f t="shared" si="246"/>
        <v>562534.08013003145</v>
      </c>
      <c r="BC317" s="47">
        <f t="shared" si="247"/>
        <v>664035.92660528782</v>
      </c>
      <c r="BD317" s="47">
        <f t="shared" si="248"/>
        <v>654525.11763302132</v>
      </c>
    </row>
    <row r="318" spans="1:56" s="227" customFormat="1">
      <c r="A318" s="3"/>
      <c r="B318" s="37">
        <f>'12. Investeringen (bijschatten)'!B121</f>
        <v>102</v>
      </c>
      <c r="C318" s="48"/>
      <c r="D318" s="3"/>
      <c r="E318" s="48"/>
      <c r="F318" s="168">
        <f>'12. Investeringen (bijschatten)'!C121</f>
        <v>383647.63556054421</v>
      </c>
      <c r="G318" s="3"/>
      <c r="H318" s="37">
        <f>'12. Investeringen (bijschatten)'!D121</f>
        <v>2024</v>
      </c>
      <c r="I318" s="37" t="str">
        <f>'12. Investeringen (bijschatten)'!E121</f>
        <v>32 M&amp;R stations</v>
      </c>
      <c r="J318" s="168">
        <f>_xlfn.XLOOKUP(I318,'3. Input (des)investeringen '!$B$11:$B$89,'3. Input (des)investeringen '!$D$11:$D$89)</f>
        <v>30</v>
      </c>
      <c r="M318" s="43">
        <f t="shared" si="249"/>
        <v>0</v>
      </c>
      <c r="N318" s="43">
        <f t="shared" si="250"/>
        <v>0</v>
      </c>
      <c r="O318" s="3"/>
      <c r="P318" s="137">
        <f t="shared" si="251"/>
        <v>0</v>
      </c>
      <c r="Q318" s="137">
        <f t="shared" si="252"/>
        <v>0</v>
      </c>
      <c r="R318" s="3"/>
      <c r="S318" s="43">
        <f t="shared" si="237"/>
        <v>383647.63556054421</v>
      </c>
      <c r="T318" s="38">
        <f t="shared" si="238"/>
        <v>30</v>
      </c>
      <c r="U318" s="3"/>
      <c r="V318" s="43">
        <f t="shared" si="258"/>
        <v>0</v>
      </c>
      <c r="W318" s="43">
        <f t="shared" si="258"/>
        <v>0</v>
      </c>
      <c r="X318" s="43">
        <f t="shared" si="258"/>
        <v>7481.1288934306131</v>
      </c>
      <c r="Y318" s="43">
        <f t="shared" si="258"/>
        <v>14638.075534812566</v>
      </c>
      <c r="Z318" s="43">
        <f t="shared" si="258"/>
        <v>14003.75892830402</v>
      </c>
      <c r="AA318" s="3"/>
      <c r="AB318" s="43">
        <f t="shared" si="259"/>
        <v>0</v>
      </c>
      <c r="AC318" s="43">
        <f t="shared" si="259"/>
        <v>0</v>
      </c>
      <c r="AD318" s="43">
        <f t="shared" si="259"/>
        <v>639.41272593424037</v>
      </c>
      <c r="AE318" s="43">
        <f t="shared" si="259"/>
        <v>1278.8254518684807</v>
      </c>
      <c r="AF318" s="43">
        <f t="shared" si="259"/>
        <v>1278.8254518684807</v>
      </c>
      <c r="AG318" s="3"/>
      <c r="AH318" s="43">
        <f t="shared" si="239"/>
        <v>0</v>
      </c>
      <c r="AI318" s="43">
        <f t="shared" si="240"/>
        <v>0</v>
      </c>
      <c r="AJ318" s="43">
        <f t="shared" si="241"/>
        <v>8120.5416193648534</v>
      </c>
      <c r="AK318" s="43">
        <f t="shared" si="242"/>
        <v>15916.900986681047</v>
      </c>
      <c r="AL318" s="43">
        <f t="shared" si="243"/>
        <v>15282.5843801725</v>
      </c>
      <c r="AM318" s="3"/>
      <c r="AN318" s="43">
        <f t="shared" si="253"/>
        <v>0</v>
      </c>
      <c r="AO318" s="43">
        <f t="shared" si="254"/>
        <v>0</v>
      </c>
      <c r="AP318" s="43">
        <f t="shared" si="255"/>
        <v>375527.09394117934</v>
      </c>
      <c r="AQ318" s="43">
        <f t="shared" si="256"/>
        <v>359610.19295449828</v>
      </c>
      <c r="AR318" s="43">
        <f t="shared" si="257"/>
        <v>344327.6085743258</v>
      </c>
      <c r="AS318" s="3"/>
      <c r="AT318" s="43">
        <f t="shared" si="260"/>
        <v>0</v>
      </c>
      <c r="AU318" s="43">
        <f t="shared" si="260"/>
        <v>0</v>
      </c>
      <c r="AV318" s="43">
        <f t="shared" si="260"/>
        <v>3836.4763556054422</v>
      </c>
      <c r="AW318" s="43">
        <f t="shared" si="260"/>
        <v>3928.1221027881447</v>
      </c>
      <c r="AX318" s="43">
        <f t="shared" si="260"/>
        <v>4061.0811797233177</v>
      </c>
      <c r="AY318" s="3"/>
      <c r="AZ318" s="47">
        <f t="shared" si="244"/>
        <v>0</v>
      </c>
      <c r="BA318" s="47">
        <f t="shared" si="245"/>
        <v>0</v>
      </c>
      <c r="BB318" s="47">
        <f t="shared" si="246"/>
        <v>26227.047544735109</v>
      </c>
      <c r="BC318" s="47">
        <f t="shared" si="247"/>
        <v>33510.210421740128</v>
      </c>
      <c r="BD318" s="47">
        <f t="shared" si="248"/>
        <v>32428.114685720197</v>
      </c>
    </row>
    <row r="319" spans="1:56" s="227" customFormat="1">
      <c r="A319" s="3"/>
      <c r="B319" s="37">
        <f>'12. Investeringen (bijschatten)'!B122</f>
        <v>103</v>
      </c>
      <c r="C319" s="48"/>
      <c r="D319" s="3"/>
      <c r="E319" s="48"/>
      <c r="F319" s="168">
        <f>'12. Investeringen (bijschatten)'!C122</f>
        <v>319917.18713220663</v>
      </c>
      <c r="G319" s="3"/>
      <c r="H319" s="37">
        <f>'12. Investeringen (bijschatten)'!D122</f>
        <v>2024</v>
      </c>
      <c r="I319" s="37" t="str">
        <f>'12. Investeringen (bijschatten)'!E122</f>
        <v>33 Exportstations</v>
      </c>
      <c r="J319" s="168">
        <f>_xlfn.XLOOKUP(I319,'3. Input (des)investeringen '!$B$11:$B$89,'3. Input (des)investeringen '!$D$11:$D$89)</f>
        <v>30</v>
      </c>
      <c r="M319" s="43">
        <f t="shared" si="249"/>
        <v>0</v>
      </c>
      <c r="N319" s="43">
        <f t="shared" si="250"/>
        <v>0</v>
      </c>
      <c r="O319" s="3"/>
      <c r="P319" s="137">
        <f t="shared" si="251"/>
        <v>0</v>
      </c>
      <c r="Q319" s="137">
        <f t="shared" si="252"/>
        <v>0</v>
      </c>
      <c r="R319" s="3"/>
      <c r="S319" s="43">
        <f t="shared" si="237"/>
        <v>319917.18713220663</v>
      </c>
      <c r="T319" s="38">
        <f t="shared" si="238"/>
        <v>30</v>
      </c>
      <c r="U319" s="3"/>
      <c r="V319" s="43">
        <f t="shared" si="258"/>
        <v>0</v>
      </c>
      <c r="W319" s="43">
        <f t="shared" si="258"/>
        <v>0</v>
      </c>
      <c r="X319" s="43">
        <f t="shared" si="258"/>
        <v>6238.3851490780289</v>
      </c>
      <c r="Y319" s="43">
        <f t="shared" si="258"/>
        <v>12206.440275029343</v>
      </c>
      <c r="Z319" s="43">
        <f t="shared" si="258"/>
        <v>11677.494529778072</v>
      </c>
      <c r="AA319" s="3"/>
      <c r="AB319" s="43">
        <f t="shared" si="259"/>
        <v>0</v>
      </c>
      <c r="AC319" s="43">
        <f t="shared" si="259"/>
        <v>0</v>
      </c>
      <c r="AD319" s="43">
        <f t="shared" si="259"/>
        <v>533.19531188701103</v>
      </c>
      <c r="AE319" s="43">
        <f t="shared" si="259"/>
        <v>1066.3906237740221</v>
      </c>
      <c r="AF319" s="43">
        <f t="shared" si="259"/>
        <v>1066.3906237740221</v>
      </c>
      <c r="AG319" s="3"/>
      <c r="AH319" s="43">
        <f t="shared" si="239"/>
        <v>0</v>
      </c>
      <c r="AI319" s="43">
        <f t="shared" si="240"/>
        <v>0</v>
      </c>
      <c r="AJ319" s="43">
        <f t="shared" si="241"/>
        <v>6771.5804609650404</v>
      </c>
      <c r="AK319" s="43">
        <f t="shared" si="242"/>
        <v>13272.830898803364</v>
      </c>
      <c r="AL319" s="43">
        <f t="shared" si="243"/>
        <v>12743.885153552095</v>
      </c>
      <c r="AM319" s="3"/>
      <c r="AN319" s="43">
        <f t="shared" si="253"/>
        <v>0</v>
      </c>
      <c r="AO319" s="43">
        <f t="shared" si="254"/>
        <v>0</v>
      </c>
      <c r="AP319" s="43">
        <f t="shared" si="255"/>
        <v>313145.60667124158</v>
      </c>
      <c r="AQ319" s="43">
        <f t="shared" si="256"/>
        <v>299872.77577243821</v>
      </c>
      <c r="AR319" s="43">
        <f t="shared" si="257"/>
        <v>287128.8906188861</v>
      </c>
      <c r="AS319" s="3"/>
      <c r="AT319" s="43">
        <f t="shared" si="260"/>
        <v>0</v>
      </c>
      <c r="AU319" s="43">
        <f t="shared" si="260"/>
        <v>0</v>
      </c>
      <c r="AV319" s="43">
        <f t="shared" si="260"/>
        <v>3199.1718713220662</v>
      </c>
      <c r="AW319" s="43">
        <f t="shared" si="260"/>
        <v>3275.5936889842083</v>
      </c>
      <c r="AX319" s="43">
        <f t="shared" si="260"/>
        <v>3386.4659841689459</v>
      </c>
      <c r="AY319" s="3"/>
      <c r="AZ319" s="47">
        <f t="shared" si="244"/>
        <v>0</v>
      </c>
      <c r="BA319" s="47">
        <f t="shared" si="245"/>
        <v>0</v>
      </c>
      <c r="BB319" s="47">
        <f t="shared" si="246"/>
        <v>21870.285385794286</v>
      </c>
      <c r="BC319" s="47">
        <f t="shared" si="247"/>
        <v>27943.590067140223</v>
      </c>
      <c r="BD319" s="47">
        <f t="shared" si="248"/>
        <v>27041.248981238714</v>
      </c>
    </row>
    <row r="320" spans="1:56" s="227" customFormat="1">
      <c r="A320" s="3"/>
      <c r="B320" s="37">
        <f>'12. Investeringen (bijschatten)'!B123</f>
        <v>104</v>
      </c>
      <c r="C320" s="48"/>
      <c r="D320" s="3"/>
      <c r="E320" s="48"/>
      <c r="F320" s="168">
        <f>'12. Investeringen (bijschatten)'!C123</f>
        <v>663072.28041230026</v>
      </c>
      <c r="G320" s="3"/>
      <c r="H320" s="37">
        <f>'12. Investeringen (bijschatten)'!D123</f>
        <v>2024</v>
      </c>
      <c r="I320" s="37" t="str">
        <f>'12. Investeringen (bijschatten)'!E123</f>
        <v>34 Reduceerstations</v>
      </c>
      <c r="J320" s="168">
        <f>_xlfn.XLOOKUP(I320,'3. Input (des)investeringen '!$B$11:$B$89,'3. Input (des)investeringen '!$D$11:$D$89)</f>
        <v>30</v>
      </c>
      <c r="M320" s="43">
        <f t="shared" si="249"/>
        <v>0</v>
      </c>
      <c r="N320" s="43">
        <f t="shared" si="250"/>
        <v>0</v>
      </c>
      <c r="O320" s="3"/>
      <c r="P320" s="137">
        <f t="shared" si="251"/>
        <v>0</v>
      </c>
      <c r="Q320" s="137">
        <f t="shared" si="252"/>
        <v>0</v>
      </c>
      <c r="R320" s="3"/>
      <c r="S320" s="43">
        <f t="shared" si="237"/>
        <v>663072.28041230026</v>
      </c>
      <c r="T320" s="38">
        <f t="shared" si="238"/>
        <v>30</v>
      </c>
      <c r="U320" s="3"/>
      <c r="V320" s="43">
        <f t="shared" si="258"/>
        <v>0</v>
      </c>
      <c r="W320" s="43">
        <f t="shared" si="258"/>
        <v>0</v>
      </c>
      <c r="X320" s="43">
        <f t="shared" si="258"/>
        <v>12929.909468039856</v>
      </c>
      <c r="Y320" s="43">
        <f t="shared" si="258"/>
        <v>25299.522859131317</v>
      </c>
      <c r="Z320" s="43">
        <f t="shared" si="258"/>
        <v>24203.210201902293</v>
      </c>
      <c r="AA320" s="3"/>
      <c r="AB320" s="43">
        <f t="shared" si="259"/>
        <v>0</v>
      </c>
      <c r="AC320" s="43">
        <f t="shared" si="259"/>
        <v>0</v>
      </c>
      <c r="AD320" s="43">
        <f t="shared" si="259"/>
        <v>1105.1204673538339</v>
      </c>
      <c r="AE320" s="43">
        <f t="shared" si="259"/>
        <v>2210.2409347076677</v>
      </c>
      <c r="AF320" s="43">
        <f t="shared" si="259"/>
        <v>2210.2409347076677</v>
      </c>
      <c r="AG320" s="3"/>
      <c r="AH320" s="43">
        <f t="shared" si="239"/>
        <v>0</v>
      </c>
      <c r="AI320" s="43">
        <f t="shared" si="240"/>
        <v>0</v>
      </c>
      <c r="AJ320" s="43">
        <f t="shared" si="241"/>
        <v>14035.02993539369</v>
      </c>
      <c r="AK320" s="43">
        <f t="shared" si="242"/>
        <v>27509.763793838985</v>
      </c>
      <c r="AL320" s="43">
        <f t="shared" si="243"/>
        <v>26413.451136609961</v>
      </c>
      <c r="AM320" s="3"/>
      <c r="AN320" s="43">
        <f t="shared" si="253"/>
        <v>0</v>
      </c>
      <c r="AO320" s="43">
        <f t="shared" si="254"/>
        <v>0</v>
      </c>
      <c r="AP320" s="43">
        <f t="shared" si="255"/>
        <v>649037.25047690654</v>
      </c>
      <c r="AQ320" s="43">
        <f t="shared" si="256"/>
        <v>621527.48668306752</v>
      </c>
      <c r="AR320" s="43">
        <f t="shared" si="257"/>
        <v>595114.03554645751</v>
      </c>
      <c r="AS320" s="3"/>
      <c r="AT320" s="43">
        <f t="shared" si="260"/>
        <v>0</v>
      </c>
      <c r="AU320" s="43">
        <f t="shared" si="260"/>
        <v>0</v>
      </c>
      <c r="AV320" s="43">
        <f t="shared" si="260"/>
        <v>6630.7228041230028</v>
      </c>
      <c r="AW320" s="43">
        <f t="shared" si="260"/>
        <v>6789.1175104678932</v>
      </c>
      <c r="AX320" s="43">
        <f t="shared" si="260"/>
        <v>7018.91555996221</v>
      </c>
      <c r="AY320" s="3"/>
      <c r="AZ320" s="47">
        <f t="shared" si="244"/>
        <v>0</v>
      </c>
      <c r="BA320" s="47">
        <f t="shared" si="245"/>
        <v>0</v>
      </c>
      <c r="BB320" s="47">
        <f t="shared" si="246"/>
        <v>45329.168257639139</v>
      </c>
      <c r="BC320" s="47">
        <f t="shared" si="247"/>
        <v>57916.925798263437</v>
      </c>
      <c r="BD320" s="47">
        <f t="shared" si="248"/>
        <v>56046.700047337559</v>
      </c>
    </row>
    <row r="321" spans="1:56" s="227" customFormat="1">
      <c r="A321" s="3"/>
      <c r="B321" s="37">
        <f>'12. Investeringen (bijschatten)'!B124</f>
        <v>105</v>
      </c>
      <c r="C321" s="48"/>
      <c r="D321" s="3"/>
      <c r="E321" s="48"/>
      <c r="F321" s="168">
        <f>'12. Investeringen (bijschatten)'!C124</f>
        <v>5631.2438527908316</v>
      </c>
      <c r="G321" s="3"/>
      <c r="H321" s="37">
        <f>'12. Investeringen (bijschatten)'!D124</f>
        <v>2024</v>
      </c>
      <c r="I321" s="37" t="str">
        <f>'12. Investeringen (bijschatten)'!E124</f>
        <v>34 Reduceerstations (EHD)</v>
      </c>
      <c r="J321" s="168">
        <f>_xlfn.XLOOKUP(I321,'3. Input (des)investeringen '!$B$11:$B$89,'3. Input (des)investeringen '!$D$11:$D$89)</f>
        <v>30</v>
      </c>
      <c r="M321" s="43">
        <f t="shared" si="249"/>
        <v>0</v>
      </c>
      <c r="N321" s="43">
        <f t="shared" si="250"/>
        <v>0</v>
      </c>
      <c r="O321" s="3"/>
      <c r="P321" s="137">
        <f t="shared" si="251"/>
        <v>0</v>
      </c>
      <c r="Q321" s="137">
        <f t="shared" si="252"/>
        <v>0</v>
      </c>
      <c r="R321" s="3"/>
      <c r="S321" s="43">
        <f t="shared" si="237"/>
        <v>5631.2438527908316</v>
      </c>
      <c r="T321" s="38">
        <f t="shared" si="238"/>
        <v>30</v>
      </c>
      <c r="U321" s="3"/>
      <c r="V321" s="43">
        <f t="shared" si="258"/>
        <v>0</v>
      </c>
      <c r="W321" s="43">
        <f t="shared" si="258"/>
        <v>0</v>
      </c>
      <c r="X321" s="43">
        <f t="shared" si="258"/>
        <v>109.80925512942122</v>
      </c>
      <c r="Y321" s="43">
        <f t="shared" si="258"/>
        <v>214.8601092032342</v>
      </c>
      <c r="Z321" s="43">
        <f t="shared" si="258"/>
        <v>205.54950447109405</v>
      </c>
      <c r="AA321" s="3"/>
      <c r="AB321" s="43">
        <f t="shared" si="259"/>
        <v>0</v>
      </c>
      <c r="AC321" s="43">
        <f t="shared" si="259"/>
        <v>0</v>
      </c>
      <c r="AD321" s="43">
        <f t="shared" si="259"/>
        <v>9.3854064213180539</v>
      </c>
      <c r="AE321" s="43">
        <f t="shared" si="259"/>
        <v>18.770812842636108</v>
      </c>
      <c r="AF321" s="43">
        <f t="shared" si="259"/>
        <v>18.770812842636108</v>
      </c>
      <c r="AG321" s="3"/>
      <c r="AH321" s="43">
        <f t="shared" si="239"/>
        <v>0</v>
      </c>
      <c r="AI321" s="43">
        <f t="shared" si="240"/>
        <v>0</v>
      </c>
      <c r="AJ321" s="43">
        <f t="shared" si="241"/>
        <v>119.19466155073927</v>
      </c>
      <c r="AK321" s="43">
        <f t="shared" si="242"/>
        <v>233.63092204587031</v>
      </c>
      <c r="AL321" s="43">
        <f t="shared" si="243"/>
        <v>224.32031731373016</v>
      </c>
      <c r="AM321" s="3"/>
      <c r="AN321" s="43">
        <f t="shared" si="253"/>
        <v>0</v>
      </c>
      <c r="AO321" s="43">
        <f t="shared" si="254"/>
        <v>0</v>
      </c>
      <c r="AP321" s="43">
        <f t="shared" si="255"/>
        <v>5512.0491912400921</v>
      </c>
      <c r="AQ321" s="43">
        <f t="shared" si="256"/>
        <v>5278.4182691942215</v>
      </c>
      <c r="AR321" s="43">
        <f t="shared" si="257"/>
        <v>5054.0979518804916</v>
      </c>
      <c r="AS321" s="3"/>
      <c r="AT321" s="43">
        <f t="shared" si="260"/>
        <v>0</v>
      </c>
      <c r="AU321" s="43">
        <f t="shared" si="260"/>
        <v>0</v>
      </c>
      <c r="AV321" s="43">
        <f t="shared" si="260"/>
        <v>56.31243852790832</v>
      </c>
      <c r="AW321" s="43">
        <f t="shared" si="260"/>
        <v>57.657630059462988</v>
      </c>
      <c r="AX321" s="43">
        <f t="shared" si="260"/>
        <v>59.6092255217157</v>
      </c>
      <c r="AY321" s="3"/>
      <c r="AZ321" s="47">
        <f t="shared" si="244"/>
        <v>0</v>
      </c>
      <c r="BA321" s="47">
        <f t="shared" si="245"/>
        <v>0</v>
      </c>
      <c r="BB321" s="47">
        <f t="shared" si="246"/>
        <v>384.96496934577112</v>
      </c>
      <c r="BC321" s="47">
        <f t="shared" si="247"/>
        <v>491.86844633471372</v>
      </c>
      <c r="BD321" s="47">
        <f t="shared" si="248"/>
        <v>475.98526500690451</v>
      </c>
    </row>
    <row r="322" spans="1:56" s="227" customFormat="1">
      <c r="A322" s="3"/>
      <c r="B322" s="37">
        <f>'12. Investeringen (bijschatten)'!B125</f>
        <v>106</v>
      </c>
      <c r="C322" s="48"/>
      <c r="D322" s="3"/>
      <c r="E322" s="48"/>
      <c r="F322" s="168">
        <f>'12. Investeringen (bijschatten)'!C125</f>
        <v>27477.304978275635</v>
      </c>
      <c r="G322" s="3"/>
      <c r="H322" s="37">
        <f>'12. Investeringen (bijschatten)'!D125</f>
        <v>2024</v>
      </c>
      <c r="I322" s="37" t="str">
        <f>'12. Investeringen (bijschatten)'!E125</f>
        <v>35 Injectiestations</v>
      </c>
      <c r="J322" s="168">
        <f>_xlfn.XLOOKUP(I322,'3. Input (des)investeringen '!$B$11:$B$89,'3. Input (des)investeringen '!$D$11:$D$89)</f>
        <v>30</v>
      </c>
      <c r="M322" s="43">
        <f t="shared" si="249"/>
        <v>0</v>
      </c>
      <c r="N322" s="43">
        <f t="shared" si="250"/>
        <v>0</v>
      </c>
      <c r="O322" s="3"/>
      <c r="P322" s="137">
        <f t="shared" si="251"/>
        <v>0</v>
      </c>
      <c r="Q322" s="137">
        <f t="shared" si="252"/>
        <v>0</v>
      </c>
      <c r="R322" s="3"/>
      <c r="S322" s="43">
        <f t="shared" si="237"/>
        <v>27477.304978275635</v>
      </c>
      <c r="T322" s="38">
        <f t="shared" si="238"/>
        <v>30</v>
      </c>
      <c r="U322" s="3"/>
      <c r="V322" s="43">
        <f t="shared" si="258"/>
        <v>0</v>
      </c>
      <c r="W322" s="43">
        <f t="shared" si="258"/>
        <v>0</v>
      </c>
      <c r="X322" s="43">
        <f t="shared" si="258"/>
        <v>535.80744707637484</v>
      </c>
      <c r="Y322" s="43">
        <f t="shared" si="258"/>
        <v>1048.3965714461069</v>
      </c>
      <c r="Z322" s="43">
        <f t="shared" si="258"/>
        <v>1002.9660533501088</v>
      </c>
      <c r="AA322" s="3"/>
      <c r="AB322" s="43">
        <f t="shared" si="259"/>
        <v>0</v>
      </c>
      <c r="AC322" s="43">
        <f t="shared" si="259"/>
        <v>0</v>
      </c>
      <c r="AD322" s="43">
        <f t="shared" si="259"/>
        <v>45.795508297126062</v>
      </c>
      <c r="AE322" s="43">
        <f t="shared" si="259"/>
        <v>91.591016594252125</v>
      </c>
      <c r="AF322" s="43">
        <f t="shared" si="259"/>
        <v>91.591016594252125</v>
      </c>
      <c r="AG322" s="3"/>
      <c r="AH322" s="43">
        <f t="shared" si="239"/>
        <v>0</v>
      </c>
      <c r="AI322" s="43">
        <f t="shared" si="240"/>
        <v>0</v>
      </c>
      <c r="AJ322" s="43">
        <f t="shared" si="241"/>
        <v>581.60295537350089</v>
      </c>
      <c r="AK322" s="43">
        <f t="shared" si="242"/>
        <v>1139.987588040359</v>
      </c>
      <c r="AL322" s="43">
        <f t="shared" si="243"/>
        <v>1094.557069944361</v>
      </c>
      <c r="AM322" s="3"/>
      <c r="AN322" s="43">
        <f t="shared" si="253"/>
        <v>0</v>
      </c>
      <c r="AO322" s="43">
        <f t="shared" si="254"/>
        <v>0</v>
      </c>
      <c r="AP322" s="43">
        <f t="shared" si="255"/>
        <v>26895.702022902133</v>
      </c>
      <c r="AQ322" s="43">
        <f t="shared" si="256"/>
        <v>25755.714434861773</v>
      </c>
      <c r="AR322" s="43">
        <f t="shared" si="257"/>
        <v>24661.157364917413</v>
      </c>
      <c r="AS322" s="3"/>
      <c r="AT322" s="43">
        <f t="shared" si="260"/>
        <v>0</v>
      </c>
      <c r="AU322" s="43">
        <f t="shared" si="260"/>
        <v>0</v>
      </c>
      <c r="AV322" s="43">
        <f t="shared" si="260"/>
        <v>274.77304978275635</v>
      </c>
      <c r="AW322" s="43">
        <f t="shared" si="260"/>
        <v>281.33682839596685</v>
      </c>
      <c r="AX322" s="43">
        <f t="shared" si="260"/>
        <v>290.85951736351353</v>
      </c>
      <c r="AY322" s="3"/>
      <c r="AZ322" s="47">
        <f t="shared" si="244"/>
        <v>0</v>
      </c>
      <c r="BA322" s="47">
        <f t="shared" si="245"/>
        <v>0</v>
      </c>
      <c r="BB322" s="47">
        <f t="shared" si="246"/>
        <v>1878.4126820265381</v>
      </c>
      <c r="BC322" s="47">
        <f t="shared" si="247"/>
        <v>2400.0415649610732</v>
      </c>
      <c r="BD322" s="47">
        <f t="shared" si="248"/>
        <v>2322.5405671747362</v>
      </c>
    </row>
    <row r="323" spans="1:56" s="227" customFormat="1">
      <c r="A323" s="3"/>
      <c r="B323" s="37">
        <f>'12. Investeringen (bijschatten)'!B126</f>
        <v>107</v>
      </c>
      <c r="C323" s="48"/>
      <c r="D323" s="3"/>
      <c r="E323" s="48"/>
      <c r="F323" s="168">
        <f>'12. Investeringen (bijschatten)'!C126</f>
        <v>23985165.966778118</v>
      </c>
      <c r="G323" s="3"/>
      <c r="H323" s="37">
        <f>'12. Investeringen (bijschatten)'!D126</f>
        <v>2024</v>
      </c>
      <c r="I323" s="37" t="str">
        <f>'12. Investeringen (bijschatten)'!E126</f>
        <v>36 Luchtscheidingsunit</v>
      </c>
      <c r="J323" s="168">
        <f>_xlfn.XLOOKUP(I323,'3. Input (des)investeringen '!$B$11:$B$89,'3. Input (des)investeringen '!$D$11:$D$89)</f>
        <v>30</v>
      </c>
      <c r="M323" s="43">
        <f t="shared" si="249"/>
        <v>0</v>
      </c>
      <c r="N323" s="43">
        <f t="shared" si="250"/>
        <v>0</v>
      </c>
      <c r="O323" s="3"/>
      <c r="P323" s="137">
        <f t="shared" si="251"/>
        <v>0</v>
      </c>
      <c r="Q323" s="137">
        <f t="shared" si="252"/>
        <v>0</v>
      </c>
      <c r="R323" s="3"/>
      <c r="S323" s="43">
        <f t="shared" ref="S323" si="261">IF($J323=0, IF(H323&lt;=2021, $Q323, IF(H323&gt;=2022, $F323,0)), IF(H323&lt;=2021,Q323,F323))</f>
        <v>23985165.966778118</v>
      </c>
      <c r="T323" s="38">
        <f t="shared" ref="T323" si="262">IF($J323=0, 0, IF(H323&lt;2022,J323-2021+H323-0.5,J323))</f>
        <v>30</v>
      </c>
      <c r="U323" s="3"/>
      <c r="V323" s="43">
        <f t="shared" si="258"/>
        <v>0</v>
      </c>
      <c r="W323" s="43">
        <f t="shared" si="258"/>
        <v>0</v>
      </c>
      <c r="X323" s="43">
        <f t="shared" si="258"/>
        <v>467710.73635217338</v>
      </c>
      <c r="Y323" s="43">
        <f t="shared" si="258"/>
        <v>915154.00746241922</v>
      </c>
      <c r="Z323" s="43">
        <f t="shared" si="258"/>
        <v>875497.33380571438</v>
      </c>
      <c r="AA323" s="3"/>
      <c r="AB323" s="43">
        <f t="shared" si="259"/>
        <v>0</v>
      </c>
      <c r="AC323" s="43">
        <f t="shared" si="259"/>
        <v>0</v>
      </c>
      <c r="AD323" s="43">
        <f t="shared" si="259"/>
        <v>39975.27661129686</v>
      </c>
      <c r="AE323" s="43">
        <f t="shared" si="259"/>
        <v>79950.55322259372</v>
      </c>
      <c r="AF323" s="43">
        <f t="shared" si="259"/>
        <v>79950.55322259372</v>
      </c>
      <c r="AG323" s="3"/>
      <c r="AH323" s="43">
        <f t="shared" ref="AH323" si="263">V323+AB323</f>
        <v>0</v>
      </c>
      <c r="AI323" s="43">
        <f t="shared" ref="AI323" si="264">W323+AC323</f>
        <v>0</v>
      </c>
      <c r="AJ323" s="43">
        <f t="shared" ref="AJ323" si="265">X323+AD323</f>
        <v>507686.01296347025</v>
      </c>
      <c r="AK323" s="43">
        <f t="shared" ref="AK323" si="266">Y323+AE323</f>
        <v>995104.56068501296</v>
      </c>
      <c r="AL323" s="43">
        <f t="shared" ref="AL323" si="267">Z323+AF323</f>
        <v>955447.88702830812</v>
      </c>
      <c r="AM323" s="3"/>
      <c r="AN323" s="43">
        <f t="shared" si="253"/>
        <v>0</v>
      </c>
      <c r="AO323" s="43">
        <f t="shared" si="254"/>
        <v>0</v>
      </c>
      <c r="AP323" s="43">
        <f t="shared" si="255"/>
        <v>23477479.953814648</v>
      </c>
      <c r="AQ323" s="43">
        <f t="shared" si="256"/>
        <v>22482375.393129636</v>
      </c>
      <c r="AR323" s="43">
        <f t="shared" si="257"/>
        <v>21526927.506101329</v>
      </c>
      <c r="AS323" s="3"/>
      <c r="AT323" s="43">
        <f t="shared" si="260"/>
        <v>0</v>
      </c>
      <c r="AU323" s="43">
        <f t="shared" si="260"/>
        <v>0</v>
      </c>
      <c r="AV323" s="43">
        <f t="shared" si="260"/>
        <v>239851.65966778118</v>
      </c>
      <c r="AW323" s="43">
        <f t="shared" si="260"/>
        <v>245581.23611392517</v>
      </c>
      <c r="AX323" s="43">
        <f t="shared" si="260"/>
        <v>253893.66979390927</v>
      </c>
      <c r="AY323" s="3"/>
      <c r="AZ323" s="47">
        <f t="shared" ref="AZ323" si="268">AH323+AN323*J$16+AT323</f>
        <v>0</v>
      </c>
      <c r="BA323" s="47">
        <f t="shared" ref="BA323" si="269">AI323+AO323*K$16+AU323</f>
        <v>0</v>
      </c>
      <c r="BB323" s="47">
        <f t="shared" ref="BB323" si="270">AJ323+AP323*L$16+AV323</f>
        <v>1639681.910876208</v>
      </c>
      <c r="BC323" s="47">
        <f t="shared" ref="BC323" si="271">AK323+AQ323*M$16+AW323</f>
        <v>2095016.0617378643</v>
      </c>
      <c r="BD323" s="47">
        <f t="shared" ref="BD323" si="272">AL323+AR323*N$16+AX323</f>
        <v>2027364.8020540678</v>
      </c>
    </row>
    <row r="324" spans="1:56" s="227" customFormat="1">
      <c r="A324" s="3"/>
      <c r="B324" s="37">
        <f>'12. Investeringen (bijschatten)'!B127</f>
        <v>108</v>
      </c>
      <c r="C324" s="48"/>
      <c r="D324" s="3"/>
      <c r="E324" s="48"/>
      <c r="F324" s="168">
        <f>'12. Investeringen (bijschatten)'!C127</f>
        <v>2862737.0777425626</v>
      </c>
      <c r="G324" s="3"/>
      <c r="H324" s="37">
        <f>'12. Investeringen (bijschatten)'!D127</f>
        <v>2024</v>
      </c>
      <c r="I324" s="37" t="str">
        <f>'12. Investeringen (bijschatten)'!E127</f>
        <v>42 Vulgas</v>
      </c>
      <c r="J324" s="168">
        <f>_xlfn.XLOOKUP(I324,'3. Input (des)investeringen '!$B$11:$B$89,'3. Input (des)investeringen '!$D$11:$D$89)</f>
        <v>0</v>
      </c>
      <c r="M324" s="43">
        <f t="shared" si="249"/>
        <v>0</v>
      </c>
      <c r="N324" s="43">
        <f t="shared" si="250"/>
        <v>0</v>
      </c>
      <c r="O324" s="3"/>
      <c r="P324" s="137">
        <f t="shared" si="251"/>
        <v>0</v>
      </c>
      <c r="Q324" s="137">
        <f t="shared" si="252"/>
        <v>0</v>
      </c>
      <c r="R324" s="3"/>
      <c r="S324" s="43">
        <f t="shared" si="237"/>
        <v>2862737.0777425626</v>
      </c>
      <c r="T324" s="38">
        <f t="shared" si="238"/>
        <v>0</v>
      </c>
      <c r="U324" s="3"/>
      <c r="V324" s="43">
        <f t="shared" si="258"/>
        <v>0</v>
      </c>
      <c r="W324" s="43">
        <f t="shared" si="258"/>
        <v>0</v>
      </c>
      <c r="X324" s="43">
        <f t="shared" si="258"/>
        <v>0</v>
      </c>
      <c r="Y324" s="43">
        <f t="shared" si="258"/>
        <v>0</v>
      </c>
      <c r="Z324" s="43">
        <f t="shared" si="258"/>
        <v>0</v>
      </c>
      <c r="AA324" s="3"/>
      <c r="AB324" s="43">
        <f t="shared" si="259"/>
        <v>0</v>
      </c>
      <c r="AC324" s="43">
        <f t="shared" si="259"/>
        <v>0</v>
      </c>
      <c r="AD324" s="43">
        <f t="shared" si="259"/>
        <v>0</v>
      </c>
      <c r="AE324" s="43">
        <f t="shared" si="259"/>
        <v>0</v>
      </c>
      <c r="AF324" s="43">
        <f t="shared" si="259"/>
        <v>0</v>
      </c>
      <c r="AG324" s="3"/>
      <c r="AH324" s="43">
        <f t="shared" si="239"/>
        <v>0</v>
      </c>
      <c r="AI324" s="43">
        <f t="shared" si="240"/>
        <v>0</v>
      </c>
      <c r="AJ324" s="43">
        <f t="shared" si="241"/>
        <v>0</v>
      </c>
      <c r="AK324" s="43">
        <f t="shared" si="242"/>
        <v>0</v>
      </c>
      <c r="AL324" s="43">
        <f t="shared" si="243"/>
        <v>0</v>
      </c>
      <c r="AM324" s="3"/>
      <c r="AN324" s="43">
        <f t="shared" si="253"/>
        <v>0</v>
      </c>
      <c r="AO324" s="43">
        <f t="shared" si="254"/>
        <v>0</v>
      </c>
      <c r="AP324" s="43">
        <f t="shared" si="255"/>
        <v>2862737.0777425626</v>
      </c>
      <c r="AQ324" s="43">
        <f t="shared" si="256"/>
        <v>2862737.0777425626</v>
      </c>
      <c r="AR324" s="43">
        <f t="shared" si="257"/>
        <v>2862737.0777425626</v>
      </c>
      <c r="AS324" s="3"/>
      <c r="AT324" s="43">
        <f t="shared" si="260"/>
        <v>0</v>
      </c>
      <c r="AU324" s="43">
        <f t="shared" si="260"/>
        <v>0</v>
      </c>
      <c r="AV324" s="43">
        <f t="shared" si="260"/>
        <v>28627.370777425625</v>
      </c>
      <c r="AW324" s="43">
        <f t="shared" si="260"/>
        <v>29311.221410556773</v>
      </c>
      <c r="AX324" s="43">
        <f t="shared" si="260"/>
        <v>30303.347632861296</v>
      </c>
      <c r="AY324" s="3"/>
      <c r="AZ324" s="47">
        <f t="shared" si="244"/>
        <v>0</v>
      </c>
      <c r="BA324" s="47">
        <f t="shared" si="245"/>
        <v>0</v>
      </c>
      <c r="BB324" s="47">
        <f t="shared" si="246"/>
        <v>137411.37973164301</v>
      </c>
      <c r="BC324" s="47">
        <f t="shared" si="247"/>
        <v>138095.23036477415</v>
      </c>
      <c r="BD324" s="47">
        <f t="shared" si="248"/>
        <v>139087.35658707868</v>
      </c>
    </row>
    <row r="325" spans="1:56" s="227" customFormat="1">
      <c r="A325" s="3"/>
      <c r="B325" s="37">
        <f>'12. Investeringen (bijschatten)'!B128</f>
        <v>109</v>
      </c>
      <c r="C325" s="48"/>
      <c r="D325" s="3"/>
      <c r="E325" s="48"/>
      <c r="F325" s="168">
        <f>'12. Investeringen (bijschatten)'!C128</f>
        <v>51047866.289999999</v>
      </c>
      <c r="G325" s="3"/>
      <c r="H325" s="37">
        <f>'12. Investeringen (bijschatten)'!D128</f>
        <v>2025</v>
      </c>
      <c r="I325" s="37" t="str">
        <f>'12. Investeringen (bijschatten)'!E128</f>
        <v>01 Regionale leidingen</v>
      </c>
      <c r="J325" s="168">
        <f>_xlfn.XLOOKUP(I325,'3. Input (des)investeringen '!$B$11:$B$89,'3. Input (des)investeringen '!$D$11:$D$89)</f>
        <v>55</v>
      </c>
      <c r="M325" s="43">
        <f t="shared" si="249"/>
        <v>0</v>
      </c>
      <c r="N325" s="43">
        <f t="shared" si="250"/>
        <v>0</v>
      </c>
      <c r="O325" s="3"/>
      <c r="P325" s="137">
        <f t="shared" si="251"/>
        <v>0</v>
      </c>
      <c r="Q325" s="137">
        <f t="shared" si="252"/>
        <v>0</v>
      </c>
      <c r="R325" s="3"/>
      <c r="S325" s="43">
        <f t="shared" ref="S325:S339" si="273">IF($J325=0, IF(H325&lt;=2021, $Q325, IF(H325&gt;=2022, $F325,0)), IF(H325&lt;=2021,Q325,F325))</f>
        <v>51047866.289999999</v>
      </c>
      <c r="T325" s="38">
        <f t="shared" ref="T325:T339" si="274">IF($J325=0, 0, IF(H325&lt;2022,J325-2021+H325-0.5,J325))</f>
        <v>55</v>
      </c>
      <c r="U325" s="3"/>
      <c r="V325" s="43">
        <f t="shared" si="258"/>
        <v>0</v>
      </c>
      <c r="W325" s="43">
        <f t="shared" si="258"/>
        <v>0</v>
      </c>
      <c r="X325" s="43">
        <f t="shared" si="258"/>
        <v>0</v>
      </c>
      <c r="Y325" s="43">
        <f t="shared" si="258"/>
        <v>542963.66872090905</v>
      </c>
      <c r="Z325" s="43">
        <f t="shared" si="258"/>
        <v>1073093.6507265966</v>
      </c>
      <c r="AA325" s="3"/>
      <c r="AB325" s="43">
        <f t="shared" si="259"/>
        <v>0</v>
      </c>
      <c r="AC325" s="43">
        <f t="shared" si="259"/>
        <v>0</v>
      </c>
      <c r="AD325" s="43">
        <f t="shared" si="259"/>
        <v>0</v>
      </c>
      <c r="AE325" s="43">
        <f t="shared" si="259"/>
        <v>46407.151172727281</v>
      </c>
      <c r="AF325" s="43">
        <f t="shared" si="259"/>
        <v>92814.302345454562</v>
      </c>
      <c r="AG325" s="3"/>
      <c r="AH325" s="43">
        <f t="shared" ref="AH325:AH339" si="275">V325+AB325</f>
        <v>0</v>
      </c>
      <c r="AI325" s="43">
        <f t="shared" ref="AI325:AI339" si="276">W325+AC325</f>
        <v>0</v>
      </c>
      <c r="AJ325" s="43">
        <f t="shared" ref="AJ325:AJ339" si="277">X325+AD325</f>
        <v>0</v>
      </c>
      <c r="AK325" s="43">
        <f t="shared" ref="AK325:AK339" si="278">Y325+AE325</f>
        <v>589370.81989363628</v>
      </c>
      <c r="AL325" s="43">
        <f t="shared" ref="AL325:AL339" si="279">Z325+AF325</f>
        <v>1165907.9530720511</v>
      </c>
      <c r="AM325" s="3"/>
      <c r="AN325" s="43">
        <f t="shared" si="253"/>
        <v>0</v>
      </c>
      <c r="AO325" s="43">
        <f t="shared" si="254"/>
        <v>0</v>
      </c>
      <c r="AP325" s="43">
        <f t="shared" si="255"/>
        <v>0</v>
      </c>
      <c r="AQ325" s="43">
        <f t="shared" si="256"/>
        <v>50458495.470106363</v>
      </c>
      <c r="AR325" s="43">
        <f t="shared" si="257"/>
        <v>49292587.517034315</v>
      </c>
      <c r="AS325" s="3"/>
      <c r="AT325" s="43">
        <f t="shared" si="260"/>
        <v>0</v>
      </c>
      <c r="AU325" s="43">
        <f t="shared" si="260"/>
        <v>0</v>
      </c>
      <c r="AV325" s="43">
        <f t="shared" si="260"/>
        <v>0</v>
      </c>
      <c r="AW325" s="43">
        <f t="shared" si="260"/>
        <v>510478.6629</v>
      </c>
      <c r="AX325" s="43">
        <f t="shared" si="260"/>
        <v>527757.34468183923</v>
      </c>
      <c r="AY325" s="3"/>
      <c r="AZ325" s="47">
        <f t="shared" ref="AZ325:AZ339" si="280">AH325+AN325*J$16+AT325</f>
        <v>0</v>
      </c>
      <c r="BA325" s="47">
        <f t="shared" ref="BA325:BA339" si="281">AI325+AO325*K$16+AU325</f>
        <v>0</v>
      </c>
      <c r="BB325" s="47">
        <f t="shared" ref="BB325:BB339" si="282">AJ325+AP325*L$16+AV325</f>
        <v>0</v>
      </c>
      <c r="BC325" s="47">
        <f t="shared" ref="BC325:BC339" si="283">AK325+AQ325*M$16+AW325</f>
        <v>3017272.3106576782</v>
      </c>
      <c r="BD325" s="47">
        <f t="shared" ref="BD325:BD339" si="284">AL325+AR325*N$16+AX325</f>
        <v>3566783.6234011939</v>
      </c>
    </row>
    <row r="326" spans="1:56" s="227" customFormat="1">
      <c r="A326" s="3"/>
      <c r="B326" s="37">
        <f>'12. Investeringen (bijschatten)'!B129</f>
        <v>110</v>
      </c>
      <c r="C326" s="48"/>
      <c r="D326" s="3"/>
      <c r="E326" s="48"/>
      <c r="F326" s="168">
        <f>'12. Investeringen (bijschatten)'!C129</f>
        <v>13803031.288232353</v>
      </c>
      <c r="G326" s="3"/>
      <c r="H326" s="37">
        <f>'12. Investeringen (bijschatten)'!D129</f>
        <v>2025</v>
      </c>
      <c r="I326" s="37" t="str">
        <f>'12. Investeringen (bijschatten)'!E129</f>
        <v>02 Gasontvangststations</v>
      </c>
      <c r="J326" s="168">
        <f>_xlfn.XLOOKUP(I326,'3. Input (des)investeringen '!$B$11:$B$89,'3. Input (des)investeringen '!$D$11:$D$89)</f>
        <v>30</v>
      </c>
      <c r="M326" s="43">
        <f t="shared" si="249"/>
        <v>0</v>
      </c>
      <c r="N326" s="43">
        <f t="shared" si="250"/>
        <v>0</v>
      </c>
      <c r="O326" s="3"/>
      <c r="P326" s="137">
        <f t="shared" si="251"/>
        <v>0</v>
      </c>
      <c r="Q326" s="137">
        <f t="shared" si="252"/>
        <v>0</v>
      </c>
      <c r="R326" s="3"/>
      <c r="S326" s="43">
        <f t="shared" si="273"/>
        <v>13803031.288232353</v>
      </c>
      <c r="T326" s="38">
        <f t="shared" si="274"/>
        <v>30</v>
      </c>
      <c r="U326" s="3"/>
      <c r="V326" s="43">
        <f t="shared" ref="V326:Z335" si="285">IF($J326=0, 0, IF(OR($H326&gt;V$59,$H326+$J326&lt;V$59),0,
IF(OR($H326=2020,$H326=2021),VDB(ABS($S326)*(1-$F$28),0,$T326,V$59-2022,MIN($T326,V$59-2021),$F$22),
VDB(ABS($S326)*(1-$F$28),0,$T326,MAX(0,V$59-$H326-0.5),MIN($T326,V$59-$H326+0.5),$F$22,FALSE))))*IF($F326&lt;0,-1,1)</f>
        <v>0</v>
      </c>
      <c r="W326" s="43">
        <f t="shared" si="285"/>
        <v>0</v>
      </c>
      <c r="X326" s="43">
        <f t="shared" si="285"/>
        <v>0</v>
      </c>
      <c r="Y326" s="43">
        <f t="shared" si="285"/>
        <v>269159.11012053088</v>
      </c>
      <c r="Z326" s="43">
        <f t="shared" si="285"/>
        <v>526654.65880250535</v>
      </c>
      <c r="AA326" s="3"/>
      <c r="AB326" s="43">
        <f t="shared" ref="AB326:AF335" si="286">IF($J326 = 0, 0, IF(OR($H326&gt;AB$59,$H326+$J326&lt;AB$59),0,
IF(OR($H326=2020,$H326=2021),VDB(ABS($S326)*$F$28,0,$T326,AB$59-2022,MIN($T326,AB$59-2021),1),
VDB(ABS($S326)*$F$28,0,$T326,MAX(0,AB$59-$H326-0.5),MIN($T326,AB$59-$H326+0.5),1))))*IF($F326&lt;0,-1,1)</f>
        <v>0</v>
      </c>
      <c r="AC326" s="43">
        <f t="shared" si="286"/>
        <v>0</v>
      </c>
      <c r="AD326" s="43">
        <f t="shared" si="286"/>
        <v>0</v>
      </c>
      <c r="AE326" s="43">
        <f t="shared" si="286"/>
        <v>23005.052147053924</v>
      </c>
      <c r="AF326" s="43">
        <f t="shared" si="286"/>
        <v>46010.104294107849</v>
      </c>
      <c r="AG326" s="3"/>
      <c r="AH326" s="43">
        <f t="shared" si="275"/>
        <v>0</v>
      </c>
      <c r="AI326" s="43">
        <f t="shared" si="276"/>
        <v>0</v>
      </c>
      <c r="AJ326" s="43">
        <f t="shared" si="277"/>
        <v>0</v>
      </c>
      <c r="AK326" s="43">
        <f t="shared" si="278"/>
        <v>292164.16226758482</v>
      </c>
      <c r="AL326" s="43">
        <f t="shared" si="279"/>
        <v>572664.76309661323</v>
      </c>
      <c r="AM326" s="3"/>
      <c r="AN326" s="43">
        <f t="shared" si="253"/>
        <v>0</v>
      </c>
      <c r="AO326" s="43">
        <f t="shared" si="254"/>
        <v>0</v>
      </c>
      <c r="AP326" s="43">
        <f t="shared" si="255"/>
        <v>0</v>
      </c>
      <c r="AQ326" s="43">
        <f t="shared" si="256"/>
        <v>13510867.125964768</v>
      </c>
      <c r="AR326" s="43">
        <f t="shared" si="257"/>
        <v>12938202.362868154</v>
      </c>
      <c r="AS326" s="3"/>
      <c r="AT326" s="43">
        <f t="shared" ref="AT326:AX335" si="287">IF($H326&lt;=AT$215,$F326*INDEX($H$40:$N$46,$H326-2019,AT$215-2019)*INDEX($H$49:$N$55,$H326-2019,AT$215-2019)*$F$19,0)</f>
        <v>0</v>
      </c>
      <c r="AU326" s="43">
        <f t="shared" si="287"/>
        <v>0</v>
      </c>
      <c r="AV326" s="43">
        <f t="shared" si="287"/>
        <v>0</v>
      </c>
      <c r="AW326" s="43">
        <f t="shared" si="287"/>
        <v>138030.31288232352</v>
      </c>
      <c r="AX326" s="43">
        <f t="shared" si="287"/>
        <v>142702.36291276442</v>
      </c>
      <c r="AY326" s="3"/>
      <c r="AZ326" s="47">
        <f t="shared" si="280"/>
        <v>0</v>
      </c>
      <c r="BA326" s="47">
        <f t="shared" si="281"/>
        <v>0</v>
      </c>
      <c r="BB326" s="47">
        <f t="shared" si="282"/>
        <v>0</v>
      </c>
      <c r="BC326" s="47">
        <f t="shared" si="283"/>
        <v>943607.42593656946</v>
      </c>
      <c r="BD326" s="47">
        <f t="shared" si="284"/>
        <v>1207018.8157983674</v>
      </c>
    </row>
    <row r="327" spans="1:56" s="227" customFormat="1">
      <c r="A327" s="3"/>
      <c r="B327" s="37">
        <f>'12. Investeringen (bijschatten)'!B130</f>
        <v>111</v>
      </c>
      <c r="C327" s="48"/>
      <c r="D327" s="3"/>
      <c r="E327" s="48"/>
      <c r="F327" s="168">
        <f>'12. Investeringen (bijschatten)'!C130</f>
        <v>-20979.079136318192</v>
      </c>
      <c r="G327" s="3"/>
      <c r="H327" s="37">
        <f>'12. Investeringen (bijschatten)'!D130</f>
        <v>2025</v>
      </c>
      <c r="I327" s="37" t="str">
        <f>'12. Investeringen (bijschatten)'!E130</f>
        <v>05 Wegen en terreinvoorzieningen (TT-BT-AT)</v>
      </c>
      <c r="J327" s="168">
        <f>_xlfn.XLOOKUP(I327,'3. Input (des)investeringen '!$B$11:$B$89,'3. Input (des)investeringen '!$D$11:$D$89)</f>
        <v>10</v>
      </c>
      <c r="M327" s="43">
        <f t="shared" si="249"/>
        <v>0</v>
      </c>
      <c r="N327" s="43">
        <f t="shared" si="250"/>
        <v>0</v>
      </c>
      <c r="O327" s="3"/>
      <c r="P327" s="137">
        <f t="shared" si="251"/>
        <v>0</v>
      </c>
      <c r="Q327" s="137">
        <f t="shared" si="252"/>
        <v>0</v>
      </c>
      <c r="R327" s="3"/>
      <c r="S327" s="43">
        <f t="shared" si="273"/>
        <v>-20979.079136318192</v>
      </c>
      <c r="T327" s="38">
        <f t="shared" si="274"/>
        <v>10</v>
      </c>
      <c r="U327" s="3"/>
      <c r="V327" s="43">
        <f t="shared" si="285"/>
        <v>0</v>
      </c>
      <c r="W327" s="43">
        <f t="shared" si="285"/>
        <v>0</v>
      </c>
      <c r="X327" s="43">
        <f t="shared" si="285"/>
        <v>0</v>
      </c>
      <c r="Y327" s="43">
        <f t="shared" si="285"/>
        <v>-1227.2761294746144</v>
      </c>
      <c r="Z327" s="43">
        <f t="shared" si="285"/>
        <v>-2295.0063621175286</v>
      </c>
      <c r="AA327" s="3"/>
      <c r="AB327" s="43">
        <f t="shared" si="286"/>
        <v>0</v>
      </c>
      <c r="AC327" s="43">
        <f t="shared" si="286"/>
        <v>0</v>
      </c>
      <c r="AD327" s="43">
        <f t="shared" si="286"/>
        <v>0</v>
      </c>
      <c r="AE327" s="43">
        <f t="shared" si="286"/>
        <v>-104.89539568159097</v>
      </c>
      <c r="AF327" s="43">
        <f t="shared" si="286"/>
        <v>-209.79079136318191</v>
      </c>
      <c r="AG327" s="3"/>
      <c r="AH327" s="43">
        <f t="shared" si="275"/>
        <v>0</v>
      </c>
      <c r="AI327" s="43">
        <f t="shared" si="276"/>
        <v>0</v>
      </c>
      <c r="AJ327" s="43">
        <f t="shared" si="277"/>
        <v>0</v>
      </c>
      <c r="AK327" s="43">
        <f t="shared" si="278"/>
        <v>-1332.1715251562055</v>
      </c>
      <c r="AL327" s="43">
        <f t="shared" si="279"/>
        <v>-2504.7971534807107</v>
      </c>
      <c r="AM327" s="3"/>
      <c r="AN327" s="43">
        <f t="shared" si="253"/>
        <v>0</v>
      </c>
      <c r="AO327" s="43">
        <f t="shared" si="254"/>
        <v>0</v>
      </c>
      <c r="AP327" s="43">
        <f t="shared" si="255"/>
        <v>0</v>
      </c>
      <c r="AQ327" s="43">
        <f t="shared" si="256"/>
        <v>-19646.907611161987</v>
      </c>
      <c r="AR327" s="43">
        <f t="shared" si="257"/>
        <v>-17142.110457681276</v>
      </c>
      <c r="AS327" s="3"/>
      <c r="AT327" s="43">
        <f t="shared" si="287"/>
        <v>0</v>
      </c>
      <c r="AU327" s="43">
        <f t="shared" si="287"/>
        <v>0</v>
      </c>
      <c r="AV327" s="43">
        <f t="shared" si="287"/>
        <v>0</v>
      </c>
      <c r="AW327" s="43">
        <f t="shared" si="287"/>
        <v>-209.79079136318194</v>
      </c>
      <c r="AX327" s="43">
        <f t="shared" si="287"/>
        <v>-216.89179006924289</v>
      </c>
      <c r="AY327" s="3"/>
      <c r="AZ327" s="47">
        <f t="shared" si="280"/>
        <v>0</v>
      </c>
      <c r="BA327" s="47">
        <f t="shared" si="281"/>
        <v>0</v>
      </c>
      <c r="BB327" s="47">
        <f t="shared" si="282"/>
        <v>0</v>
      </c>
      <c r="BC327" s="47">
        <f t="shared" si="283"/>
        <v>-2288.5448057435428</v>
      </c>
      <c r="BD327" s="47">
        <f t="shared" si="284"/>
        <v>-3373.0891409418418</v>
      </c>
    </row>
    <row r="328" spans="1:56" s="227" customFormat="1">
      <c r="A328" s="3"/>
      <c r="B328" s="37">
        <f>'12. Investeringen (bijschatten)'!B131</f>
        <v>112</v>
      </c>
      <c r="C328" s="48"/>
      <c r="D328" s="3"/>
      <c r="E328" s="48"/>
      <c r="F328" s="168">
        <f>'12. Investeringen (bijschatten)'!C131</f>
        <v>-83385.919873105478</v>
      </c>
      <c r="G328" s="3"/>
      <c r="H328" s="37">
        <f>'12. Investeringen (bijschatten)'!D131</f>
        <v>2025</v>
      </c>
      <c r="I328" s="37" t="str">
        <f>'12. Investeringen (bijschatten)'!E131</f>
        <v>06 Utiliteitsgebouwen (TT-BT-AT)</v>
      </c>
      <c r="J328" s="168">
        <f>_xlfn.XLOOKUP(I328,'3. Input (des)investeringen '!$B$11:$B$89,'3. Input (des)investeringen '!$D$11:$D$89)</f>
        <v>30</v>
      </c>
      <c r="M328" s="43">
        <f t="shared" si="249"/>
        <v>0</v>
      </c>
      <c r="N328" s="43">
        <f t="shared" si="250"/>
        <v>0</v>
      </c>
      <c r="O328" s="3"/>
      <c r="P328" s="137">
        <f t="shared" si="251"/>
        <v>0</v>
      </c>
      <c r="Q328" s="137">
        <f t="shared" si="252"/>
        <v>0</v>
      </c>
      <c r="R328" s="3"/>
      <c r="S328" s="43">
        <f t="shared" si="273"/>
        <v>-83385.919873105478</v>
      </c>
      <c r="T328" s="38">
        <f t="shared" si="274"/>
        <v>30</v>
      </c>
      <c r="U328" s="3"/>
      <c r="V328" s="43">
        <f t="shared" si="285"/>
        <v>0</v>
      </c>
      <c r="W328" s="43">
        <f t="shared" si="285"/>
        <v>0</v>
      </c>
      <c r="X328" s="43">
        <f t="shared" si="285"/>
        <v>0</v>
      </c>
      <c r="Y328" s="43">
        <f t="shared" si="285"/>
        <v>-1626.025437525557</v>
      </c>
      <c r="Z328" s="43">
        <f t="shared" si="285"/>
        <v>-3181.5897727583397</v>
      </c>
      <c r="AA328" s="3"/>
      <c r="AB328" s="43">
        <f t="shared" si="286"/>
        <v>0</v>
      </c>
      <c r="AC328" s="43">
        <f t="shared" si="286"/>
        <v>0</v>
      </c>
      <c r="AD328" s="43">
        <f t="shared" si="286"/>
        <v>0</v>
      </c>
      <c r="AE328" s="43">
        <f t="shared" si="286"/>
        <v>-138.97653312184246</v>
      </c>
      <c r="AF328" s="43">
        <f t="shared" si="286"/>
        <v>-277.95306624368499</v>
      </c>
      <c r="AG328" s="3"/>
      <c r="AH328" s="43">
        <f t="shared" si="275"/>
        <v>0</v>
      </c>
      <c r="AI328" s="43">
        <f t="shared" si="276"/>
        <v>0</v>
      </c>
      <c r="AJ328" s="43">
        <f t="shared" si="277"/>
        <v>0</v>
      </c>
      <c r="AK328" s="43">
        <f t="shared" si="278"/>
        <v>-1765.0019706473995</v>
      </c>
      <c r="AL328" s="43">
        <f t="shared" si="279"/>
        <v>-3459.5428390020247</v>
      </c>
      <c r="AM328" s="3"/>
      <c r="AN328" s="43">
        <f t="shared" si="253"/>
        <v>0</v>
      </c>
      <c r="AO328" s="43">
        <f t="shared" si="254"/>
        <v>0</v>
      </c>
      <c r="AP328" s="43">
        <f t="shared" si="255"/>
        <v>0</v>
      </c>
      <c r="AQ328" s="43">
        <f t="shared" si="256"/>
        <v>-81620.917902458081</v>
      </c>
      <c r="AR328" s="43">
        <f t="shared" si="257"/>
        <v>-78161.375063456057</v>
      </c>
      <c r="AS328" s="3"/>
      <c r="AT328" s="43">
        <f t="shared" si="287"/>
        <v>0</v>
      </c>
      <c r="AU328" s="43">
        <f t="shared" si="287"/>
        <v>0</v>
      </c>
      <c r="AV328" s="43">
        <f t="shared" si="287"/>
        <v>0</v>
      </c>
      <c r="AW328" s="43">
        <f t="shared" si="287"/>
        <v>-833.85919873105479</v>
      </c>
      <c r="AX328" s="43">
        <f t="shared" si="287"/>
        <v>-862.08366488970364</v>
      </c>
      <c r="AY328" s="3"/>
      <c r="AZ328" s="47">
        <f t="shared" si="280"/>
        <v>0</v>
      </c>
      <c r="BA328" s="47">
        <f t="shared" si="281"/>
        <v>0</v>
      </c>
      <c r="BB328" s="47">
        <f t="shared" si="282"/>
        <v>0</v>
      </c>
      <c r="BC328" s="47">
        <f t="shared" si="283"/>
        <v>-5700.4560496718614</v>
      </c>
      <c r="BD328" s="47">
        <f t="shared" si="284"/>
        <v>-7291.7587563030593</v>
      </c>
    </row>
    <row r="329" spans="1:56" s="227" customFormat="1">
      <c r="A329" s="3"/>
      <c r="B329" s="37">
        <f>'12. Investeringen (bijschatten)'!B132</f>
        <v>113</v>
      </c>
      <c r="C329" s="48"/>
      <c r="D329" s="3"/>
      <c r="E329" s="48"/>
      <c r="F329" s="168">
        <f>'12. Investeringen (bijschatten)'!C132</f>
        <v>69421.745178848389</v>
      </c>
      <c r="G329" s="3"/>
      <c r="H329" s="37">
        <f>'12. Investeringen (bijschatten)'!D132</f>
        <v>2025</v>
      </c>
      <c r="I329" s="37" t="str">
        <f>'12. Investeringen (bijschatten)'!E132</f>
        <v>15 Compressorstations (KC)</v>
      </c>
      <c r="J329" s="168">
        <f>_xlfn.XLOOKUP(I329,'3. Input (des)investeringen '!$B$11:$B$89,'3. Input (des)investeringen '!$D$11:$D$89)</f>
        <v>30</v>
      </c>
      <c r="M329" s="43">
        <f t="shared" si="249"/>
        <v>0</v>
      </c>
      <c r="N329" s="43">
        <f t="shared" si="250"/>
        <v>0</v>
      </c>
      <c r="O329" s="3"/>
      <c r="P329" s="137">
        <f t="shared" si="251"/>
        <v>0</v>
      </c>
      <c r="Q329" s="137">
        <f t="shared" si="252"/>
        <v>0</v>
      </c>
      <c r="R329" s="3"/>
      <c r="S329" s="43">
        <f t="shared" si="273"/>
        <v>69421.745178848389</v>
      </c>
      <c r="T329" s="38">
        <f t="shared" si="274"/>
        <v>30</v>
      </c>
      <c r="U329" s="3"/>
      <c r="V329" s="43">
        <f t="shared" si="285"/>
        <v>0</v>
      </c>
      <c r="W329" s="43">
        <f t="shared" si="285"/>
        <v>0</v>
      </c>
      <c r="X329" s="43">
        <f t="shared" si="285"/>
        <v>0</v>
      </c>
      <c r="Y329" s="43">
        <f t="shared" si="285"/>
        <v>1353.7240309875438</v>
      </c>
      <c r="Z329" s="43">
        <f t="shared" si="285"/>
        <v>2648.7866872989607</v>
      </c>
      <c r="AA329" s="3"/>
      <c r="AB329" s="43">
        <f t="shared" si="286"/>
        <v>0</v>
      </c>
      <c r="AC329" s="43">
        <f t="shared" si="286"/>
        <v>0</v>
      </c>
      <c r="AD329" s="43">
        <f t="shared" si="286"/>
        <v>0</v>
      </c>
      <c r="AE329" s="43">
        <f t="shared" si="286"/>
        <v>115.70290863141399</v>
      </c>
      <c r="AF329" s="43">
        <f t="shared" si="286"/>
        <v>231.40581726282798</v>
      </c>
      <c r="AG329" s="3"/>
      <c r="AH329" s="43">
        <f t="shared" si="275"/>
        <v>0</v>
      </c>
      <c r="AI329" s="43">
        <f t="shared" si="276"/>
        <v>0</v>
      </c>
      <c r="AJ329" s="43">
        <f t="shared" si="277"/>
        <v>0</v>
      </c>
      <c r="AK329" s="43">
        <f t="shared" si="278"/>
        <v>1469.4269396189577</v>
      </c>
      <c r="AL329" s="43">
        <f t="shared" si="279"/>
        <v>2880.1925045617886</v>
      </c>
      <c r="AM329" s="3"/>
      <c r="AN329" s="43">
        <f t="shared" si="253"/>
        <v>0</v>
      </c>
      <c r="AO329" s="43">
        <f t="shared" si="254"/>
        <v>0</v>
      </c>
      <c r="AP329" s="43">
        <f t="shared" si="255"/>
        <v>0</v>
      </c>
      <c r="AQ329" s="43">
        <f t="shared" si="256"/>
        <v>67952.318239229426</v>
      </c>
      <c r="AR329" s="43">
        <f t="shared" si="257"/>
        <v>65072.125734667636</v>
      </c>
      <c r="AS329" s="3"/>
      <c r="AT329" s="43">
        <f t="shared" si="287"/>
        <v>0</v>
      </c>
      <c r="AU329" s="43">
        <f t="shared" si="287"/>
        <v>0</v>
      </c>
      <c r="AV329" s="43">
        <f t="shared" si="287"/>
        <v>0</v>
      </c>
      <c r="AW329" s="43">
        <f t="shared" si="287"/>
        <v>694.21745178848391</v>
      </c>
      <c r="AX329" s="43">
        <f t="shared" si="287"/>
        <v>717.71532409662052</v>
      </c>
      <c r="AY329" s="3"/>
      <c r="AZ329" s="47">
        <f t="shared" si="280"/>
        <v>0</v>
      </c>
      <c r="BA329" s="47">
        <f t="shared" si="281"/>
        <v>0</v>
      </c>
      <c r="BB329" s="47">
        <f t="shared" si="282"/>
        <v>0</v>
      </c>
      <c r="BC329" s="47">
        <f t="shared" si="283"/>
        <v>4745.8324844981598</v>
      </c>
      <c r="BD329" s="47">
        <f t="shared" si="284"/>
        <v>6070.648606575779</v>
      </c>
    </row>
    <row r="330" spans="1:56" s="227" customFormat="1">
      <c r="A330" s="3"/>
      <c r="B330" s="37">
        <f>'12. Investeringen (bijschatten)'!B133</f>
        <v>114</v>
      </c>
      <c r="C330" s="48"/>
      <c r="D330" s="3"/>
      <c r="E330" s="48"/>
      <c r="F330" s="168">
        <f>'12. Investeringen (bijschatten)'!C133</f>
        <v>19074218.609357323</v>
      </c>
      <c r="G330" s="3"/>
      <c r="H330" s="37">
        <f>'12. Investeringen (bijschatten)'!D133</f>
        <v>2025</v>
      </c>
      <c r="I330" s="37" t="str">
        <f>'12. Investeringen (bijschatten)'!E133</f>
        <v>15 Compressorstations (TT-BT-AT)</v>
      </c>
      <c r="J330" s="168">
        <f>_xlfn.XLOOKUP(I330,'3. Input (des)investeringen '!$B$11:$B$89,'3. Input (des)investeringen '!$D$11:$D$89)</f>
        <v>30</v>
      </c>
      <c r="M330" s="43">
        <f t="shared" si="249"/>
        <v>0</v>
      </c>
      <c r="N330" s="43">
        <f t="shared" si="250"/>
        <v>0</v>
      </c>
      <c r="O330" s="3"/>
      <c r="P330" s="137">
        <f t="shared" si="251"/>
        <v>0</v>
      </c>
      <c r="Q330" s="137">
        <f t="shared" si="252"/>
        <v>0</v>
      </c>
      <c r="R330" s="3"/>
      <c r="S330" s="43">
        <f t="shared" si="273"/>
        <v>19074218.609357323</v>
      </c>
      <c r="T330" s="38">
        <f t="shared" si="274"/>
        <v>30</v>
      </c>
      <c r="U330" s="3"/>
      <c r="V330" s="43">
        <f t="shared" si="285"/>
        <v>0</v>
      </c>
      <c r="W330" s="43">
        <f t="shared" si="285"/>
        <v>0</v>
      </c>
      <c r="X330" s="43">
        <f t="shared" si="285"/>
        <v>0</v>
      </c>
      <c r="Y330" s="43">
        <f t="shared" si="285"/>
        <v>371947.26288246782</v>
      </c>
      <c r="Z330" s="43">
        <f t="shared" si="285"/>
        <v>727776.8110400287</v>
      </c>
      <c r="AA330" s="3"/>
      <c r="AB330" s="43">
        <f t="shared" si="286"/>
        <v>0</v>
      </c>
      <c r="AC330" s="43">
        <f t="shared" si="286"/>
        <v>0</v>
      </c>
      <c r="AD330" s="43">
        <f t="shared" si="286"/>
        <v>0</v>
      </c>
      <c r="AE330" s="43">
        <f t="shared" si="286"/>
        <v>31790.364348928873</v>
      </c>
      <c r="AF330" s="43">
        <f t="shared" si="286"/>
        <v>63580.728697857747</v>
      </c>
      <c r="AG330" s="3"/>
      <c r="AH330" s="43">
        <f t="shared" si="275"/>
        <v>0</v>
      </c>
      <c r="AI330" s="43">
        <f t="shared" si="276"/>
        <v>0</v>
      </c>
      <c r="AJ330" s="43">
        <f t="shared" si="277"/>
        <v>0</v>
      </c>
      <c r="AK330" s="43">
        <f t="shared" si="278"/>
        <v>403737.62723139668</v>
      </c>
      <c r="AL330" s="43">
        <f t="shared" si="279"/>
        <v>791357.5397378864</v>
      </c>
      <c r="AM330" s="3"/>
      <c r="AN330" s="43">
        <f t="shared" si="253"/>
        <v>0</v>
      </c>
      <c r="AO330" s="43">
        <f t="shared" si="254"/>
        <v>0</v>
      </c>
      <c r="AP330" s="43">
        <f t="shared" si="255"/>
        <v>0</v>
      </c>
      <c r="AQ330" s="43">
        <f t="shared" si="256"/>
        <v>18670480.982125927</v>
      </c>
      <c r="AR330" s="43">
        <f t="shared" si="257"/>
        <v>17879123.442388039</v>
      </c>
      <c r="AS330" s="3"/>
      <c r="AT330" s="43">
        <f t="shared" si="287"/>
        <v>0</v>
      </c>
      <c r="AU330" s="43">
        <f t="shared" si="287"/>
        <v>0</v>
      </c>
      <c r="AV330" s="43">
        <f t="shared" si="287"/>
        <v>0</v>
      </c>
      <c r="AW330" s="43">
        <f t="shared" si="287"/>
        <v>190742.18609357323</v>
      </c>
      <c r="AX330" s="43">
        <f t="shared" si="287"/>
        <v>197198.42760846851</v>
      </c>
      <c r="AY330" s="3"/>
      <c r="AZ330" s="47">
        <f t="shared" si="280"/>
        <v>0</v>
      </c>
      <c r="BA330" s="47">
        <f t="shared" si="281"/>
        <v>0</v>
      </c>
      <c r="BB330" s="47">
        <f t="shared" si="282"/>
        <v>0</v>
      </c>
      <c r="BC330" s="47">
        <f t="shared" si="283"/>
        <v>1303958.0906457552</v>
      </c>
      <c r="BD330" s="47">
        <f t="shared" si="284"/>
        <v>1667962.6581571004</v>
      </c>
    </row>
    <row r="331" spans="1:56" s="227" customFormat="1">
      <c r="A331" s="3"/>
      <c r="B331" s="37">
        <f>'12. Investeringen (bijschatten)'!B134</f>
        <v>115</v>
      </c>
      <c r="C331" s="48"/>
      <c r="D331" s="3"/>
      <c r="E331" s="48"/>
      <c r="F331" s="168">
        <f>'12. Investeringen (bijschatten)'!C134</f>
        <v>5364691.8499594387</v>
      </c>
      <c r="G331" s="3"/>
      <c r="H331" s="37">
        <f>'12. Investeringen (bijschatten)'!D134</f>
        <v>2025</v>
      </c>
      <c r="I331" s="37" t="str">
        <f>'12. Investeringen (bijschatten)'!E134</f>
        <v>16 LNG installaties</v>
      </c>
      <c r="J331" s="168">
        <f>_xlfn.XLOOKUP(I331,'3. Input (des)investeringen '!$B$11:$B$89,'3. Input (des)investeringen '!$D$11:$D$89)</f>
        <v>30</v>
      </c>
      <c r="M331" s="43">
        <f t="shared" si="249"/>
        <v>0</v>
      </c>
      <c r="N331" s="43">
        <f t="shared" si="250"/>
        <v>0</v>
      </c>
      <c r="O331" s="3"/>
      <c r="P331" s="137">
        <f t="shared" si="251"/>
        <v>0</v>
      </c>
      <c r="Q331" s="137">
        <f t="shared" si="252"/>
        <v>0</v>
      </c>
      <c r="R331" s="3"/>
      <c r="S331" s="43">
        <f t="shared" si="273"/>
        <v>5364691.8499594387</v>
      </c>
      <c r="T331" s="38">
        <f t="shared" si="274"/>
        <v>30</v>
      </c>
      <c r="U331" s="3"/>
      <c r="V331" s="43">
        <f t="shared" si="285"/>
        <v>0</v>
      </c>
      <c r="W331" s="43">
        <f t="shared" si="285"/>
        <v>0</v>
      </c>
      <c r="X331" s="43">
        <f t="shared" si="285"/>
        <v>0</v>
      </c>
      <c r="Y331" s="43">
        <f t="shared" si="285"/>
        <v>104611.49107420906</v>
      </c>
      <c r="Z331" s="43">
        <f t="shared" si="285"/>
        <v>204689.8175352024</v>
      </c>
      <c r="AA331" s="3"/>
      <c r="AB331" s="43">
        <f t="shared" si="286"/>
        <v>0</v>
      </c>
      <c r="AC331" s="43">
        <f t="shared" si="286"/>
        <v>0</v>
      </c>
      <c r="AD331" s="43">
        <f t="shared" si="286"/>
        <v>0</v>
      </c>
      <c r="AE331" s="43">
        <f t="shared" si="286"/>
        <v>8941.1530832657318</v>
      </c>
      <c r="AF331" s="43">
        <f t="shared" si="286"/>
        <v>17882.306166531464</v>
      </c>
      <c r="AG331" s="3"/>
      <c r="AH331" s="43">
        <f t="shared" si="275"/>
        <v>0</v>
      </c>
      <c r="AI331" s="43">
        <f t="shared" si="276"/>
        <v>0</v>
      </c>
      <c r="AJ331" s="43">
        <f t="shared" si="277"/>
        <v>0</v>
      </c>
      <c r="AK331" s="43">
        <f t="shared" si="278"/>
        <v>113552.64415747479</v>
      </c>
      <c r="AL331" s="43">
        <f t="shared" si="279"/>
        <v>222572.12370173386</v>
      </c>
      <c r="AM331" s="3"/>
      <c r="AN331" s="43">
        <f t="shared" si="253"/>
        <v>0</v>
      </c>
      <c r="AO331" s="43">
        <f t="shared" si="254"/>
        <v>0</v>
      </c>
      <c r="AP331" s="43">
        <f t="shared" si="255"/>
        <v>0</v>
      </c>
      <c r="AQ331" s="43">
        <f t="shared" si="256"/>
        <v>5251139.2058019638</v>
      </c>
      <c r="AR331" s="43">
        <f t="shared" si="257"/>
        <v>5028567.0821002303</v>
      </c>
      <c r="AS331" s="3"/>
      <c r="AT331" s="43">
        <f t="shared" si="287"/>
        <v>0</v>
      </c>
      <c r="AU331" s="43">
        <f t="shared" si="287"/>
        <v>0</v>
      </c>
      <c r="AV331" s="43">
        <f t="shared" si="287"/>
        <v>0</v>
      </c>
      <c r="AW331" s="43">
        <f t="shared" si="287"/>
        <v>53646.918499594387</v>
      </c>
      <c r="AX331" s="43">
        <f t="shared" si="287"/>
        <v>55462.759396968664</v>
      </c>
      <c r="AY331" s="3"/>
      <c r="AZ331" s="47">
        <f t="shared" si="280"/>
        <v>0</v>
      </c>
      <c r="BA331" s="47">
        <f t="shared" si="281"/>
        <v>0</v>
      </c>
      <c r="BB331" s="47">
        <f t="shared" si="282"/>
        <v>0</v>
      </c>
      <c r="BC331" s="47">
        <f t="shared" si="283"/>
        <v>366742.85247754381</v>
      </c>
      <c r="BD331" s="47">
        <f t="shared" si="284"/>
        <v>469120.43221851124</v>
      </c>
    </row>
    <row r="332" spans="1:56" s="227" customFormat="1">
      <c r="A332" s="3"/>
      <c r="B332" s="37">
        <f>'12. Investeringen (bijschatten)'!B135</f>
        <v>116</v>
      </c>
      <c r="C332" s="48"/>
      <c r="D332" s="3"/>
      <c r="E332" s="48"/>
      <c r="F332" s="168">
        <f>'12. Investeringen (bijschatten)'!C135</f>
        <v>2341962.8281327751</v>
      </c>
      <c r="G332" s="3"/>
      <c r="H332" s="37">
        <f>'12. Investeringen (bijschatten)'!D135</f>
        <v>2025</v>
      </c>
      <c r="I332" s="37" t="str">
        <f>'12. Investeringen (bijschatten)'!E135</f>
        <v>17 Mengstations</v>
      </c>
      <c r="J332" s="168">
        <f>_xlfn.XLOOKUP(I332,'3. Input (des)investeringen '!$B$11:$B$89,'3. Input (des)investeringen '!$D$11:$D$89)</f>
        <v>30</v>
      </c>
      <c r="M332" s="43">
        <f t="shared" si="249"/>
        <v>0</v>
      </c>
      <c r="N332" s="43">
        <f t="shared" si="250"/>
        <v>0</v>
      </c>
      <c r="O332" s="3"/>
      <c r="P332" s="137">
        <f t="shared" si="251"/>
        <v>0</v>
      </c>
      <c r="Q332" s="137">
        <f t="shared" si="252"/>
        <v>0</v>
      </c>
      <c r="R332" s="3"/>
      <c r="S332" s="43">
        <f t="shared" si="273"/>
        <v>2341962.8281327751</v>
      </c>
      <c r="T332" s="38">
        <f t="shared" si="274"/>
        <v>30</v>
      </c>
      <c r="U332" s="3"/>
      <c r="V332" s="43">
        <f t="shared" si="285"/>
        <v>0</v>
      </c>
      <c r="W332" s="43">
        <f t="shared" si="285"/>
        <v>0</v>
      </c>
      <c r="X332" s="43">
        <f t="shared" si="285"/>
        <v>0</v>
      </c>
      <c r="Y332" s="43">
        <f t="shared" si="285"/>
        <v>45668.275148589113</v>
      </c>
      <c r="Z332" s="43">
        <f t="shared" si="285"/>
        <v>89357.591707406042</v>
      </c>
      <c r="AA332" s="3"/>
      <c r="AB332" s="43">
        <f t="shared" si="286"/>
        <v>0</v>
      </c>
      <c r="AC332" s="43">
        <f t="shared" si="286"/>
        <v>0</v>
      </c>
      <c r="AD332" s="43">
        <f t="shared" si="286"/>
        <v>0</v>
      </c>
      <c r="AE332" s="43">
        <f t="shared" si="286"/>
        <v>3903.271380221292</v>
      </c>
      <c r="AF332" s="43">
        <f t="shared" si="286"/>
        <v>7806.542760442584</v>
      </c>
      <c r="AG332" s="3"/>
      <c r="AH332" s="43">
        <f t="shared" si="275"/>
        <v>0</v>
      </c>
      <c r="AI332" s="43">
        <f t="shared" si="276"/>
        <v>0</v>
      </c>
      <c r="AJ332" s="43">
        <f t="shared" si="277"/>
        <v>0</v>
      </c>
      <c r="AK332" s="43">
        <f t="shared" si="278"/>
        <v>49571.546528810402</v>
      </c>
      <c r="AL332" s="43">
        <f t="shared" si="279"/>
        <v>97164.13446784862</v>
      </c>
      <c r="AM332" s="3"/>
      <c r="AN332" s="43">
        <f t="shared" si="253"/>
        <v>0</v>
      </c>
      <c r="AO332" s="43">
        <f t="shared" si="254"/>
        <v>0</v>
      </c>
      <c r="AP332" s="43">
        <f t="shared" si="255"/>
        <v>0</v>
      </c>
      <c r="AQ332" s="43">
        <f t="shared" si="256"/>
        <v>2292391.281603965</v>
      </c>
      <c r="AR332" s="43">
        <f t="shared" si="257"/>
        <v>2195227.1471361164</v>
      </c>
      <c r="AS332" s="3"/>
      <c r="AT332" s="43">
        <f t="shared" si="287"/>
        <v>0</v>
      </c>
      <c r="AU332" s="43">
        <f t="shared" si="287"/>
        <v>0</v>
      </c>
      <c r="AV332" s="43">
        <f t="shared" si="287"/>
        <v>0</v>
      </c>
      <c r="AW332" s="43">
        <f t="shared" si="287"/>
        <v>23419.62828132775</v>
      </c>
      <c r="AX332" s="43">
        <f t="shared" si="287"/>
        <v>24212.335859394134</v>
      </c>
      <c r="AY332" s="3"/>
      <c r="AZ332" s="47">
        <f t="shared" si="280"/>
        <v>0</v>
      </c>
      <c r="BA332" s="47">
        <f t="shared" si="281"/>
        <v>0</v>
      </c>
      <c r="BB332" s="47">
        <f t="shared" si="282"/>
        <v>0</v>
      </c>
      <c r="BC332" s="47">
        <f t="shared" si="283"/>
        <v>160102.04351108882</v>
      </c>
      <c r="BD332" s="47">
        <f t="shared" si="284"/>
        <v>204795.1019184152</v>
      </c>
    </row>
    <row r="333" spans="1:56" s="227" customFormat="1">
      <c r="A333" s="3"/>
      <c r="B333" s="37">
        <f>'12. Investeringen (bijschatten)'!B136</f>
        <v>117</v>
      </c>
      <c r="C333" s="48"/>
      <c r="D333" s="3"/>
      <c r="E333" s="48"/>
      <c r="F333" s="168">
        <f>'12. Investeringen (bijschatten)'!C136</f>
        <v>19735264.894148596</v>
      </c>
      <c r="G333" s="3"/>
      <c r="H333" s="37">
        <f>'12. Investeringen (bijschatten)'!D136</f>
        <v>2025</v>
      </c>
      <c r="I333" s="37" t="str">
        <f>'12. Investeringen (bijschatten)'!E136</f>
        <v>21 Hoofdtransportleiding (TT-BT-AT)</v>
      </c>
      <c r="J333" s="168">
        <f>_xlfn.XLOOKUP(I333,'3. Input (des)investeringen '!$B$11:$B$89,'3. Input (des)investeringen '!$D$11:$D$89)</f>
        <v>55</v>
      </c>
      <c r="M333" s="43">
        <f t="shared" si="249"/>
        <v>0</v>
      </c>
      <c r="N333" s="43">
        <f t="shared" si="250"/>
        <v>0</v>
      </c>
      <c r="O333" s="3"/>
      <c r="P333" s="137">
        <f t="shared" si="251"/>
        <v>0</v>
      </c>
      <c r="Q333" s="137">
        <f t="shared" si="252"/>
        <v>0</v>
      </c>
      <c r="R333" s="3"/>
      <c r="S333" s="43">
        <f t="shared" si="273"/>
        <v>19735264.894148596</v>
      </c>
      <c r="T333" s="38">
        <f t="shared" si="274"/>
        <v>55</v>
      </c>
      <c r="U333" s="3"/>
      <c r="V333" s="43">
        <f t="shared" si="285"/>
        <v>0</v>
      </c>
      <c r="W333" s="43">
        <f t="shared" si="285"/>
        <v>0</v>
      </c>
      <c r="X333" s="43">
        <f t="shared" si="285"/>
        <v>0</v>
      </c>
      <c r="Y333" s="43">
        <f t="shared" si="285"/>
        <v>209911.45387412596</v>
      </c>
      <c r="Z333" s="43">
        <f t="shared" si="285"/>
        <v>414861.36429304531</v>
      </c>
      <c r="AA333" s="3"/>
      <c r="AB333" s="43">
        <f t="shared" si="286"/>
        <v>0</v>
      </c>
      <c r="AC333" s="43">
        <f t="shared" si="286"/>
        <v>0</v>
      </c>
      <c r="AD333" s="43">
        <f t="shared" si="286"/>
        <v>0</v>
      </c>
      <c r="AE333" s="43">
        <f t="shared" si="286"/>
        <v>17941.149903771449</v>
      </c>
      <c r="AF333" s="43">
        <f t="shared" si="286"/>
        <v>35882.299807542899</v>
      </c>
      <c r="AG333" s="3"/>
      <c r="AH333" s="43">
        <f t="shared" si="275"/>
        <v>0</v>
      </c>
      <c r="AI333" s="43">
        <f t="shared" si="276"/>
        <v>0</v>
      </c>
      <c r="AJ333" s="43">
        <f t="shared" si="277"/>
        <v>0</v>
      </c>
      <c r="AK333" s="43">
        <f t="shared" si="278"/>
        <v>227852.6037778974</v>
      </c>
      <c r="AL333" s="43">
        <f t="shared" si="279"/>
        <v>450743.66410058818</v>
      </c>
      <c r="AM333" s="3"/>
      <c r="AN333" s="43">
        <f t="shared" si="253"/>
        <v>0</v>
      </c>
      <c r="AO333" s="43">
        <f t="shared" si="254"/>
        <v>0</v>
      </c>
      <c r="AP333" s="43">
        <f t="shared" si="255"/>
        <v>0</v>
      </c>
      <c r="AQ333" s="43">
        <f t="shared" si="256"/>
        <v>19507412.290370699</v>
      </c>
      <c r="AR333" s="43">
        <f t="shared" si="257"/>
        <v>19056668.626270112</v>
      </c>
      <c r="AS333" s="3"/>
      <c r="AT333" s="43">
        <f t="shared" si="287"/>
        <v>0</v>
      </c>
      <c r="AU333" s="43">
        <f t="shared" si="287"/>
        <v>0</v>
      </c>
      <c r="AV333" s="43">
        <f t="shared" si="287"/>
        <v>0</v>
      </c>
      <c r="AW333" s="43">
        <f t="shared" si="287"/>
        <v>197352.64894148597</v>
      </c>
      <c r="AX333" s="43">
        <f t="shared" si="287"/>
        <v>204032.64140285738</v>
      </c>
      <c r="AY333" s="3"/>
      <c r="AZ333" s="47">
        <f t="shared" si="280"/>
        <v>0</v>
      </c>
      <c r="BA333" s="47">
        <f t="shared" si="281"/>
        <v>0</v>
      </c>
      <c r="BB333" s="47">
        <f t="shared" si="282"/>
        <v>0</v>
      </c>
      <c r="BC333" s="47">
        <f t="shared" si="283"/>
        <v>1166486.91975347</v>
      </c>
      <c r="BD333" s="47">
        <f t="shared" si="284"/>
        <v>1378929.7133017099</v>
      </c>
    </row>
    <row r="334" spans="1:56" s="227" customFormat="1">
      <c r="A334" s="3"/>
      <c r="B334" s="37">
        <f>'12. Investeringen (bijschatten)'!B137</f>
        <v>118</v>
      </c>
      <c r="C334" s="48"/>
      <c r="D334" s="3"/>
      <c r="E334" s="48"/>
      <c r="F334" s="168">
        <f>'12. Investeringen (bijschatten)'!C137</f>
        <v>909014.90836381866</v>
      </c>
      <c r="G334" s="3"/>
      <c r="H334" s="37">
        <f>'12. Investeringen (bijschatten)'!D137</f>
        <v>2025</v>
      </c>
      <c r="I334" s="37" t="str">
        <f>'12. Investeringen (bijschatten)'!E137</f>
        <v>32 M&amp;R stations</v>
      </c>
      <c r="J334" s="168">
        <f>_xlfn.XLOOKUP(I334,'3. Input (des)investeringen '!$B$11:$B$89,'3. Input (des)investeringen '!$D$11:$D$89)</f>
        <v>30</v>
      </c>
      <c r="M334" s="43">
        <f t="shared" si="249"/>
        <v>0</v>
      </c>
      <c r="N334" s="43">
        <f t="shared" si="250"/>
        <v>0</v>
      </c>
      <c r="O334" s="3"/>
      <c r="P334" s="137">
        <f t="shared" si="251"/>
        <v>0</v>
      </c>
      <c r="Q334" s="137">
        <f t="shared" si="252"/>
        <v>0</v>
      </c>
      <c r="R334" s="3"/>
      <c r="S334" s="43">
        <f t="shared" si="273"/>
        <v>909014.90836381866</v>
      </c>
      <c r="T334" s="38">
        <f t="shared" si="274"/>
        <v>30</v>
      </c>
      <c r="U334" s="3"/>
      <c r="V334" s="43">
        <f t="shared" si="285"/>
        <v>0</v>
      </c>
      <c r="W334" s="43">
        <f t="shared" si="285"/>
        <v>0</v>
      </c>
      <c r="X334" s="43">
        <f t="shared" si="285"/>
        <v>0</v>
      </c>
      <c r="Y334" s="43">
        <f t="shared" si="285"/>
        <v>17725.790713094466</v>
      </c>
      <c r="Z334" s="43">
        <f t="shared" si="285"/>
        <v>34683.463828621505</v>
      </c>
      <c r="AA334" s="3"/>
      <c r="AB334" s="43">
        <f t="shared" si="286"/>
        <v>0</v>
      </c>
      <c r="AC334" s="43">
        <f t="shared" si="286"/>
        <v>0</v>
      </c>
      <c r="AD334" s="43">
        <f t="shared" si="286"/>
        <v>0</v>
      </c>
      <c r="AE334" s="43">
        <f t="shared" si="286"/>
        <v>1515.0248472730311</v>
      </c>
      <c r="AF334" s="43">
        <f t="shared" si="286"/>
        <v>3030.0496945460623</v>
      </c>
      <c r="AG334" s="3"/>
      <c r="AH334" s="43">
        <f t="shared" si="275"/>
        <v>0</v>
      </c>
      <c r="AI334" s="43">
        <f t="shared" si="276"/>
        <v>0</v>
      </c>
      <c r="AJ334" s="43">
        <f t="shared" si="277"/>
        <v>0</v>
      </c>
      <c r="AK334" s="43">
        <f t="shared" si="278"/>
        <v>19240.815560367497</v>
      </c>
      <c r="AL334" s="43">
        <f t="shared" si="279"/>
        <v>37713.513523167567</v>
      </c>
      <c r="AM334" s="3"/>
      <c r="AN334" s="43">
        <f t="shared" si="253"/>
        <v>0</v>
      </c>
      <c r="AO334" s="43">
        <f t="shared" si="254"/>
        <v>0</v>
      </c>
      <c r="AP334" s="43">
        <f t="shared" si="255"/>
        <v>0</v>
      </c>
      <c r="AQ334" s="43">
        <f t="shared" si="256"/>
        <v>889774.09280345112</v>
      </c>
      <c r="AR334" s="43">
        <f t="shared" si="257"/>
        <v>852060.57928028353</v>
      </c>
      <c r="AS334" s="3"/>
      <c r="AT334" s="43">
        <f t="shared" si="287"/>
        <v>0</v>
      </c>
      <c r="AU334" s="43">
        <f t="shared" si="287"/>
        <v>0</v>
      </c>
      <c r="AV334" s="43">
        <f t="shared" si="287"/>
        <v>0</v>
      </c>
      <c r="AW334" s="43">
        <f t="shared" si="287"/>
        <v>9090.1490836381872</v>
      </c>
      <c r="AX334" s="43">
        <f t="shared" si="287"/>
        <v>9397.8324498211714</v>
      </c>
      <c r="AY334" s="3"/>
      <c r="AZ334" s="47">
        <f t="shared" si="280"/>
        <v>0</v>
      </c>
      <c r="BA334" s="47">
        <f t="shared" si="281"/>
        <v>0</v>
      </c>
      <c r="BB334" s="47">
        <f t="shared" si="282"/>
        <v>0</v>
      </c>
      <c r="BC334" s="47">
        <f t="shared" si="283"/>
        <v>62142.380170536824</v>
      </c>
      <c r="BD334" s="47">
        <f t="shared" si="284"/>
        <v>79489.647985639516</v>
      </c>
    </row>
    <row r="335" spans="1:56" s="227" customFormat="1">
      <c r="A335" s="3"/>
      <c r="B335" s="37">
        <f>'12. Investeringen (bijschatten)'!B138</f>
        <v>119</v>
      </c>
      <c r="C335" s="48"/>
      <c r="D335" s="3"/>
      <c r="E335" s="48"/>
      <c r="F335" s="168">
        <f>'12. Investeringen (bijschatten)'!C138</f>
        <v>7652.2709978681778</v>
      </c>
      <c r="G335" s="3"/>
      <c r="H335" s="37">
        <f>'12. Investeringen (bijschatten)'!D138</f>
        <v>2025</v>
      </c>
      <c r="I335" s="37" t="str">
        <f>'12. Investeringen (bijschatten)'!E138</f>
        <v>33 Exportstations</v>
      </c>
      <c r="J335" s="168">
        <f>_xlfn.XLOOKUP(I335,'3. Input (des)investeringen '!$B$11:$B$89,'3. Input (des)investeringen '!$D$11:$D$89)</f>
        <v>30</v>
      </c>
      <c r="M335" s="43">
        <f t="shared" si="249"/>
        <v>0</v>
      </c>
      <c r="N335" s="43">
        <f t="shared" si="250"/>
        <v>0</v>
      </c>
      <c r="O335" s="3"/>
      <c r="P335" s="137">
        <f t="shared" si="251"/>
        <v>0</v>
      </c>
      <c r="Q335" s="137">
        <f t="shared" si="252"/>
        <v>0</v>
      </c>
      <c r="R335" s="3"/>
      <c r="S335" s="43">
        <f t="shared" si="273"/>
        <v>7652.2709978681778</v>
      </c>
      <c r="T335" s="38">
        <f t="shared" si="274"/>
        <v>30</v>
      </c>
      <c r="U335" s="3"/>
      <c r="V335" s="43">
        <f t="shared" si="285"/>
        <v>0</v>
      </c>
      <c r="W335" s="43">
        <f t="shared" si="285"/>
        <v>0</v>
      </c>
      <c r="X335" s="43">
        <f t="shared" si="285"/>
        <v>0</v>
      </c>
      <c r="Y335" s="43">
        <f t="shared" si="285"/>
        <v>149.21928445842948</v>
      </c>
      <c r="Z335" s="43">
        <f t="shared" si="285"/>
        <v>291.97239992366036</v>
      </c>
      <c r="AA335" s="3"/>
      <c r="AB335" s="43">
        <f t="shared" si="286"/>
        <v>0</v>
      </c>
      <c r="AC335" s="43">
        <f t="shared" si="286"/>
        <v>0</v>
      </c>
      <c r="AD335" s="43">
        <f t="shared" si="286"/>
        <v>0</v>
      </c>
      <c r="AE335" s="43">
        <f t="shared" si="286"/>
        <v>12.753784996446964</v>
      </c>
      <c r="AF335" s="43">
        <f t="shared" si="286"/>
        <v>25.507569992893927</v>
      </c>
      <c r="AG335" s="3"/>
      <c r="AH335" s="43">
        <f t="shared" si="275"/>
        <v>0</v>
      </c>
      <c r="AI335" s="43">
        <f t="shared" si="276"/>
        <v>0</v>
      </c>
      <c r="AJ335" s="43">
        <f t="shared" si="277"/>
        <v>0</v>
      </c>
      <c r="AK335" s="43">
        <f t="shared" si="278"/>
        <v>161.97306945487645</v>
      </c>
      <c r="AL335" s="43">
        <f t="shared" si="279"/>
        <v>317.4799699165543</v>
      </c>
      <c r="AM335" s="3"/>
      <c r="AN335" s="43">
        <f t="shared" si="253"/>
        <v>0</v>
      </c>
      <c r="AO335" s="43">
        <f t="shared" si="254"/>
        <v>0</v>
      </c>
      <c r="AP335" s="43">
        <f t="shared" si="255"/>
        <v>0</v>
      </c>
      <c r="AQ335" s="43">
        <f t="shared" si="256"/>
        <v>7490.2979284133016</v>
      </c>
      <c r="AR335" s="43">
        <f t="shared" si="257"/>
        <v>7172.8179584967475</v>
      </c>
      <c r="AS335" s="3"/>
      <c r="AT335" s="43">
        <f t="shared" si="287"/>
        <v>0</v>
      </c>
      <c r="AU335" s="43">
        <f t="shared" si="287"/>
        <v>0</v>
      </c>
      <c r="AV335" s="43">
        <f t="shared" si="287"/>
        <v>0</v>
      </c>
      <c r="AW335" s="43">
        <f t="shared" si="287"/>
        <v>76.522709978681775</v>
      </c>
      <c r="AX335" s="43">
        <f t="shared" si="287"/>
        <v>79.112850666040202</v>
      </c>
      <c r="AY335" s="3"/>
      <c r="AZ335" s="47">
        <f t="shared" si="280"/>
        <v>0</v>
      </c>
      <c r="BA335" s="47">
        <f t="shared" si="281"/>
        <v>0</v>
      </c>
      <c r="BB335" s="47">
        <f t="shared" si="282"/>
        <v>0</v>
      </c>
      <c r="BC335" s="47">
        <f t="shared" si="283"/>
        <v>523.12710071326364</v>
      </c>
      <c r="BD335" s="47">
        <f t="shared" si="284"/>
        <v>669.15990300547094</v>
      </c>
    </row>
    <row r="336" spans="1:56" s="227" customFormat="1">
      <c r="A336" s="3"/>
      <c r="B336" s="37">
        <f>'12. Investeringen (bijschatten)'!B139</f>
        <v>120</v>
      </c>
      <c r="C336" s="48"/>
      <c r="D336" s="3"/>
      <c r="E336" s="48"/>
      <c r="F336" s="168">
        <f>'12. Investeringen (bijschatten)'!C139</f>
        <v>1515298.3484208267</v>
      </c>
      <c r="G336" s="3"/>
      <c r="H336" s="37">
        <f>'12. Investeringen (bijschatten)'!D139</f>
        <v>2025</v>
      </c>
      <c r="I336" s="37" t="str">
        <f>'12. Investeringen (bijschatten)'!E139</f>
        <v>34 Reduceerstations</v>
      </c>
      <c r="J336" s="168">
        <f>_xlfn.XLOOKUP(I336,'3. Input (des)investeringen '!$B$11:$B$89,'3. Input (des)investeringen '!$D$11:$D$89)</f>
        <v>30</v>
      </c>
      <c r="M336" s="43">
        <f t="shared" si="249"/>
        <v>0</v>
      </c>
      <c r="N336" s="43">
        <f t="shared" si="250"/>
        <v>0</v>
      </c>
      <c r="O336" s="3"/>
      <c r="P336" s="137">
        <f t="shared" si="251"/>
        <v>0</v>
      </c>
      <c r="Q336" s="137">
        <f t="shared" si="252"/>
        <v>0</v>
      </c>
      <c r="R336" s="3"/>
      <c r="S336" s="43">
        <f t="shared" si="273"/>
        <v>1515298.3484208267</v>
      </c>
      <c r="T336" s="38">
        <f t="shared" si="274"/>
        <v>30</v>
      </c>
      <c r="U336" s="3"/>
      <c r="V336" s="43">
        <f t="shared" ref="V336:Z339" si="288">IF($J336=0, 0, IF(OR($H336&gt;V$59,$H336+$J336&lt;V$59),0,
IF(OR($H336=2020,$H336=2021),VDB(ABS($S336)*(1-$F$28),0,$T336,V$59-2022,MIN($T336,V$59-2021),$F$22),
VDB(ABS($S336)*(1-$F$28),0,$T336,MAX(0,V$59-$H336-0.5),MIN($T336,V$59-$H336+0.5),$F$22,FALSE))))*IF($F336&lt;0,-1,1)</f>
        <v>0</v>
      </c>
      <c r="W336" s="43">
        <f t="shared" si="288"/>
        <v>0</v>
      </c>
      <c r="X336" s="43">
        <f t="shared" si="288"/>
        <v>0</v>
      </c>
      <c r="Y336" s="43">
        <f t="shared" si="288"/>
        <v>29548.317794206123</v>
      </c>
      <c r="Z336" s="43">
        <f t="shared" si="288"/>
        <v>57816.208483996648</v>
      </c>
      <c r="AA336" s="3"/>
      <c r="AB336" s="43">
        <f t="shared" ref="AB336:AF339" si="289">IF($J336 = 0, 0, IF(OR($H336&gt;AB$59,$H336+$J336&lt;AB$59),0,
IF(OR($H336=2020,$H336=2021),VDB(ABS($S336)*$F$28,0,$T336,AB$59-2022,MIN($T336,AB$59-2021),1),
VDB(ABS($S336)*$F$28,0,$T336,MAX(0,AB$59-$H336-0.5),MIN($T336,AB$59-$H336+0.5),1))))*IF($F336&lt;0,-1,1)</f>
        <v>0</v>
      </c>
      <c r="AC336" s="43">
        <f t="shared" si="289"/>
        <v>0</v>
      </c>
      <c r="AD336" s="43">
        <f t="shared" si="289"/>
        <v>0</v>
      </c>
      <c r="AE336" s="43">
        <f t="shared" si="289"/>
        <v>2525.4972473680446</v>
      </c>
      <c r="AF336" s="43">
        <f t="shared" si="289"/>
        <v>5050.9944947360891</v>
      </c>
      <c r="AG336" s="3"/>
      <c r="AH336" s="43">
        <f t="shared" si="275"/>
        <v>0</v>
      </c>
      <c r="AI336" s="43">
        <f t="shared" si="276"/>
        <v>0</v>
      </c>
      <c r="AJ336" s="43">
        <f t="shared" si="277"/>
        <v>0</v>
      </c>
      <c r="AK336" s="43">
        <f t="shared" si="278"/>
        <v>32073.815041574169</v>
      </c>
      <c r="AL336" s="43">
        <f t="shared" si="279"/>
        <v>62867.202978732734</v>
      </c>
      <c r="AM336" s="3"/>
      <c r="AN336" s="43">
        <f t="shared" si="253"/>
        <v>0</v>
      </c>
      <c r="AO336" s="43">
        <f t="shared" si="254"/>
        <v>0</v>
      </c>
      <c r="AP336" s="43">
        <f t="shared" si="255"/>
        <v>0</v>
      </c>
      <c r="AQ336" s="43">
        <f t="shared" si="256"/>
        <v>1483224.5333792525</v>
      </c>
      <c r="AR336" s="43">
        <f t="shared" si="257"/>
        <v>1420357.3304005198</v>
      </c>
      <c r="AS336" s="3"/>
      <c r="AT336" s="43">
        <f t="shared" ref="AT336:AX339" si="290">IF($H336&lt;=AT$215,$F336*INDEX($H$40:$N$46,$H336-2019,AT$215-2019)*INDEX($H$49:$N$55,$H336-2019,AT$215-2019)*$F$19,0)</f>
        <v>0</v>
      </c>
      <c r="AU336" s="43">
        <f t="shared" si="290"/>
        <v>0</v>
      </c>
      <c r="AV336" s="43">
        <f t="shared" si="290"/>
        <v>0</v>
      </c>
      <c r="AW336" s="43">
        <f t="shared" si="290"/>
        <v>15152.983484208267</v>
      </c>
      <c r="AX336" s="43">
        <f t="shared" si="290"/>
        <v>15665.881669181748</v>
      </c>
      <c r="AY336" s="3"/>
      <c r="AZ336" s="47">
        <f t="shared" si="280"/>
        <v>0</v>
      </c>
      <c r="BA336" s="47">
        <f t="shared" si="281"/>
        <v>0</v>
      </c>
      <c r="BB336" s="47">
        <f t="shared" si="282"/>
        <v>0</v>
      </c>
      <c r="BC336" s="47">
        <f t="shared" si="283"/>
        <v>103589.33079419403</v>
      </c>
      <c r="BD336" s="47">
        <f t="shared" si="284"/>
        <v>132506.66320313423</v>
      </c>
    </row>
    <row r="337" spans="1:56" s="227" customFormat="1">
      <c r="A337" s="3"/>
      <c r="B337" s="37">
        <f>'12. Investeringen (bijschatten)'!B140</f>
        <v>121</v>
      </c>
      <c r="C337" s="48"/>
      <c r="D337" s="3"/>
      <c r="E337" s="48"/>
      <c r="F337" s="168">
        <f>'12. Investeringen (bijschatten)'!C140</f>
        <v>221.45402760640519</v>
      </c>
      <c r="G337" s="3"/>
      <c r="H337" s="37">
        <f>'12. Investeringen (bijschatten)'!D140</f>
        <v>2025</v>
      </c>
      <c r="I337" s="37" t="str">
        <f>'12. Investeringen (bijschatten)'!E140</f>
        <v>35 Injectiestations</v>
      </c>
      <c r="J337" s="168">
        <f>_xlfn.XLOOKUP(I337,'3. Input (des)investeringen '!$B$11:$B$89,'3. Input (des)investeringen '!$D$11:$D$89)</f>
        <v>30</v>
      </c>
      <c r="M337" s="43">
        <f t="shared" si="249"/>
        <v>0</v>
      </c>
      <c r="N337" s="43">
        <f t="shared" si="250"/>
        <v>0</v>
      </c>
      <c r="O337" s="3"/>
      <c r="P337" s="137">
        <f t="shared" si="251"/>
        <v>0</v>
      </c>
      <c r="Q337" s="137">
        <f t="shared" si="252"/>
        <v>0</v>
      </c>
      <c r="R337" s="3"/>
      <c r="S337" s="43">
        <f t="shared" si="273"/>
        <v>221.45402760640519</v>
      </c>
      <c r="T337" s="38">
        <f t="shared" si="274"/>
        <v>30</v>
      </c>
      <c r="U337" s="3"/>
      <c r="V337" s="43">
        <f t="shared" si="288"/>
        <v>0</v>
      </c>
      <c r="W337" s="43">
        <f t="shared" si="288"/>
        <v>0</v>
      </c>
      <c r="X337" s="43">
        <f t="shared" si="288"/>
        <v>0</v>
      </c>
      <c r="Y337" s="43">
        <f t="shared" si="288"/>
        <v>4.3183535383249012</v>
      </c>
      <c r="Z337" s="43">
        <f t="shared" si="288"/>
        <v>8.4495784233223912</v>
      </c>
      <c r="AA337" s="3"/>
      <c r="AB337" s="43">
        <f t="shared" si="289"/>
        <v>0</v>
      </c>
      <c r="AC337" s="43">
        <f t="shared" si="289"/>
        <v>0</v>
      </c>
      <c r="AD337" s="43">
        <f t="shared" si="289"/>
        <v>0</v>
      </c>
      <c r="AE337" s="43">
        <f t="shared" si="289"/>
        <v>0.36909004601067535</v>
      </c>
      <c r="AF337" s="43">
        <f t="shared" si="289"/>
        <v>0.73818009202135071</v>
      </c>
      <c r="AG337" s="3"/>
      <c r="AH337" s="43">
        <f t="shared" si="275"/>
        <v>0</v>
      </c>
      <c r="AI337" s="43">
        <f t="shared" si="276"/>
        <v>0</v>
      </c>
      <c r="AJ337" s="43">
        <f t="shared" si="277"/>
        <v>0</v>
      </c>
      <c r="AK337" s="43">
        <f t="shared" si="278"/>
        <v>4.6874435843355764</v>
      </c>
      <c r="AL337" s="43">
        <f t="shared" si="279"/>
        <v>9.1877585153437415</v>
      </c>
      <c r="AM337" s="3"/>
      <c r="AN337" s="43">
        <f t="shared" si="253"/>
        <v>0</v>
      </c>
      <c r="AO337" s="43">
        <f t="shared" si="254"/>
        <v>0</v>
      </c>
      <c r="AP337" s="43">
        <f t="shared" si="255"/>
        <v>0</v>
      </c>
      <c r="AQ337" s="43">
        <f t="shared" si="256"/>
        <v>216.76658402206962</v>
      </c>
      <c r="AR337" s="43">
        <f t="shared" si="257"/>
        <v>207.57882550672588</v>
      </c>
      <c r="AS337" s="3"/>
      <c r="AT337" s="43">
        <f t="shared" si="290"/>
        <v>0</v>
      </c>
      <c r="AU337" s="43">
        <f t="shared" si="290"/>
        <v>0</v>
      </c>
      <c r="AV337" s="43">
        <f t="shared" si="290"/>
        <v>0</v>
      </c>
      <c r="AW337" s="43">
        <f t="shared" si="290"/>
        <v>2.214540276064052</v>
      </c>
      <c r="AX337" s="43">
        <f t="shared" si="290"/>
        <v>2.2894980353282679</v>
      </c>
      <c r="AY337" s="3"/>
      <c r="AZ337" s="47">
        <f t="shared" si="280"/>
        <v>0</v>
      </c>
      <c r="BA337" s="47">
        <f t="shared" si="281"/>
        <v>0</v>
      </c>
      <c r="BB337" s="47">
        <f t="shared" si="282"/>
        <v>0</v>
      </c>
      <c r="BC337" s="47">
        <f t="shared" si="283"/>
        <v>15.139114053238274</v>
      </c>
      <c r="BD337" s="47">
        <f t="shared" si="284"/>
        <v>19.365251919927594</v>
      </c>
    </row>
    <row r="338" spans="1:56" s="227" customFormat="1">
      <c r="A338" s="3"/>
      <c r="B338" s="37">
        <f>'12. Investeringen (bijschatten)'!B141</f>
        <v>122</v>
      </c>
      <c r="C338" s="48"/>
      <c r="D338" s="3"/>
      <c r="E338" s="48"/>
      <c r="F338" s="168">
        <f>'12. Investeringen (bijschatten)'!C141</f>
        <v>3130803.2248994284</v>
      </c>
      <c r="G338" s="3"/>
      <c r="H338" s="37">
        <f>'12. Investeringen (bijschatten)'!D141</f>
        <v>2025</v>
      </c>
      <c r="I338" s="37" t="str">
        <f>'12. Investeringen (bijschatten)'!E141</f>
        <v>36 Luchtscheidingsunit</v>
      </c>
      <c r="J338" s="168">
        <f>_xlfn.XLOOKUP(I338,'3. Input (des)investeringen '!$B$11:$B$89,'3. Input (des)investeringen '!$D$11:$D$89)</f>
        <v>30</v>
      </c>
      <c r="M338" s="43">
        <f t="shared" si="249"/>
        <v>0</v>
      </c>
      <c r="N338" s="43">
        <f t="shared" si="250"/>
        <v>0</v>
      </c>
      <c r="O338" s="3"/>
      <c r="P338" s="137">
        <f t="shared" si="251"/>
        <v>0</v>
      </c>
      <c r="Q338" s="137">
        <f t="shared" si="252"/>
        <v>0</v>
      </c>
      <c r="R338" s="3"/>
      <c r="S338" s="43">
        <f t="shared" si="273"/>
        <v>3130803.2248994284</v>
      </c>
      <c r="T338" s="38">
        <f t="shared" si="274"/>
        <v>30</v>
      </c>
      <c r="U338" s="3"/>
      <c r="V338" s="43">
        <f t="shared" si="288"/>
        <v>0</v>
      </c>
      <c r="W338" s="43">
        <f t="shared" si="288"/>
        <v>0</v>
      </c>
      <c r="X338" s="43">
        <f t="shared" si="288"/>
        <v>0</v>
      </c>
      <c r="Y338" s="43">
        <f t="shared" si="288"/>
        <v>61050.662885538855</v>
      </c>
      <c r="Z338" s="43">
        <f t="shared" si="288"/>
        <v>119455.7970460377</v>
      </c>
      <c r="AA338" s="3"/>
      <c r="AB338" s="43">
        <f t="shared" si="289"/>
        <v>0</v>
      </c>
      <c r="AC338" s="43">
        <f t="shared" si="289"/>
        <v>0</v>
      </c>
      <c r="AD338" s="43">
        <f t="shared" si="289"/>
        <v>0</v>
      </c>
      <c r="AE338" s="43">
        <f t="shared" si="289"/>
        <v>5218.0053748323808</v>
      </c>
      <c r="AF338" s="43">
        <f t="shared" si="289"/>
        <v>10436.010749664762</v>
      </c>
      <c r="AG338" s="3"/>
      <c r="AH338" s="43">
        <f t="shared" si="275"/>
        <v>0</v>
      </c>
      <c r="AI338" s="43">
        <f t="shared" si="276"/>
        <v>0</v>
      </c>
      <c r="AJ338" s="43">
        <f t="shared" si="277"/>
        <v>0</v>
      </c>
      <c r="AK338" s="43">
        <f t="shared" si="278"/>
        <v>66268.66826037124</v>
      </c>
      <c r="AL338" s="43">
        <f t="shared" si="279"/>
        <v>129891.80779570245</v>
      </c>
      <c r="AM338" s="3"/>
      <c r="AN338" s="43">
        <f t="shared" si="253"/>
        <v>0</v>
      </c>
      <c r="AO338" s="43">
        <f t="shared" si="254"/>
        <v>0</v>
      </c>
      <c r="AP338" s="43">
        <f t="shared" si="255"/>
        <v>0</v>
      </c>
      <c r="AQ338" s="43">
        <f t="shared" si="256"/>
        <v>3064534.5566390571</v>
      </c>
      <c r="AR338" s="43">
        <f t="shared" si="257"/>
        <v>2934642.7488433546</v>
      </c>
      <c r="AS338" s="3"/>
      <c r="AT338" s="43">
        <f t="shared" si="290"/>
        <v>0</v>
      </c>
      <c r="AU338" s="43">
        <f t="shared" si="290"/>
        <v>0</v>
      </c>
      <c r="AV338" s="43">
        <f t="shared" si="290"/>
        <v>0</v>
      </c>
      <c r="AW338" s="43">
        <f t="shared" si="290"/>
        <v>31308.032248994285</v>
      </c>
      <c r="AX338" s="43">
        <f t="shared" si="290"/>
        <v>32367.746524558239</v>
      </c>
      <c r="AY338" s="3"/>
      <c r="AZ338" s="47">
        <f t="shared" si="280"/>
        <v>0</v>
      </c>
      <c r="BA338" s="47">
        <f t="shared" si="281"/>
        <v>0</v>
      </c>
      <c r="BB338" s="47">
        <f t="shared" si="282"/>
        <v>0</v>
      </c>
      <c r="BC338" s="47">
        <f t="shared" si="283"/>
        <v>214029.01366164969</v>
      </c>
      <c r="BD338" s="47">
        <f t="shared" si="284"/>
        <v>273775.97877630818</v>
      </c>
    </row>
    <row r="339" spans="1:56" s="227" customFormat="1">
      <c r="A339" s="3"/>
      <c r="B339" s="37">
        <f>'12. Investeringen (bijschatten)'!B142</f>
        <v>123</v>
      </c>
      <c r="C339" s="48"/>
      <c r="D339" s="3"/>
      <c r="E339" s="48"/>
      <c r="F339" s="168">
        <f>'12. Investeringen (bijschatten)'!C142</f>
        <v>-7007442.2366909012</v>
      </c>
      <c r="G339" s="3"/>
      <c r="H339" s="37">
        <f>'12. Investeringen (bijschatten)'!D142</f>
        <v>2025</v>
      </c>
      <c r="I339" s="37" t="str">
        <f>'12. Investeringen (bijschatten)'!E142</f>
        <v>42 Vulgas</v>
      </c>
      <c r="J339" s="168">
        <f>_xlfn.XLOOKUP(I339,'3. Input (des)investeringen '!$B$11:$B$89,'3. Input (des)investeringen '!$D$11:$D$89)</f>
        <v>0</v>
      </c>
      <c r="M339" s="43">
        <f t="shared" si="249"/>
        <v>0</v>
      </c>
      <c r="N339" s="43">
        <f t="shared" si="250"/>
        <v>0</v>
      </c>
      <c r="O339" s="3"/>
      <c r="P339" s="137">
        <f t="shared" si="251"/>
        <v>0</v>
      </c>
      <c r="Q339" s="137">
        <f t="shared" si="252"/>
        <v>0</v>
      </c>
      <c r="R339" s="3"/>
      <c r="S339" s="43">
        <f t="shared" si="273"/>
        <v>-7007442.2366909012</v>
      </c>
      <c r="T339" s="38">
        <f t="shared" si="274"/>
        <v>0</v>
      </c>
      <c r="U339" s="3"/>
      <c r="V339" s="43">
        <f t="shared" si="288"/>
        <v>0</v>
      </c>
      <c r="W339" s="43">
        <f t="shared" si="288"/>
        <v>0</v>
      </c>
      <c r="X339" s="43">
        <f t="shared" si="288"/>
        <v>0</v>
      </c>
      <c r="Y339" s="43">
        <f t="shared" si="288"/>
        <v>0</v>
      </c>
      <c r="Z339" s="43">
        <f t="shared" si="288"/>
        <v>0</v>
      </c>
      <c r="AA339" s="3"/>
      <c r="AB339" s="43">
        <f t="shared" si="289"/>
        <v>0</v>
      </c>
      <c r="AC339" s="43">
        <f t="shared" si="289"/>
        <v>0</v>
      </c>
      <c r="AD339" s="43">
        <f t="shared" si="289"/>
        <v>0</v>
      </c>
      <c r="AE339" s="43">
        <f t="shared" si="289"/>
        <v>0</v>
      </c>
      <c r="AF339" s="43">
        <f t="shared" si="289"/>
        <v>0</v>
      </c>
      <c r="AG339" s="3"/>
      <c r="AH339" s="43">
        <f t="shared" si="275"/>
        <v>0</v>
      </c>
      <c r="AI339" s="43">
        <f t="shared" si="276"/>
        <v>0</v>
      </c>
      <c r="AJ339" s="43">
        <f t="shared" si="277"/>
        <v>0</v>
      </c>
      <c r="AK339" s="43">
        <f t="shared" si="278"/>
        <v>0</v>
      </c>
      <c r="AL339" s="43">
        <f t="shared" si="279"/>
        <v>0</v>
      </c>
      <c r="AM339" s="3"/>
      <c r="AN339" s="43">
        <f t="shared" si="253"/>
        <v>0</v>
      </c>
      <c r="AO339" s="43">
        <f t="shared" si="254"/>
        <v>0</v>
      </c>
      <c r="AP339" s="43">
        <f t="shared" si="255"/>
        <v>0</v>
      </c>
      <c r="AQ339" s="43">
        <f t="shared" si="256"/>
        <v>-7007442.2366909012</v>
      </c>
      <c r="AR339" s="43">
        <f t="shared" si="257"/>
        <v>-7007442.2366909012</v>
      </c>
      <c r="AS339" s="3"/>
      <c r="AT339" s="43">
        <f t="shared" si="290"/>
        <v>0</v>
      </c>
      <c r="AU339" s="43">
        <f t="shared" si="290"/>
        <v>0</v>
      </c>
      <c r="AV339" s="43">
        <f t="shared" si="290"/>
        <v>0</v>
      </c>
      <c r="AW339" s="43">
        <f t="shared" si="290"/>
        <v>-70074.422366909013</v>
      </c>
      <c r="AX339" s="43">
        <f t="shared" si="290"/>
        <v>-72446.301415184149</v>
      </c>
      <c r="AY339" s="3"/>
      <c r="AZ339" s="47">
        <f t="shared" si="280"/>
        <v>0</v>
      </c>
      <c r="BA339" s="47">
        <f t="shared" si="281"/>
        <v>0</v>
      </c>
      <c r="BB339" s="47">
        <f t="shared" si="282"/>
        <v>0</v>
      </c>
      <c r="BC339" s="47">
        <f t="shared" si="283"/>
        <v>-336357.22736116324</v>
      </c>
      <c r="BD339" s="47">
        <f t="shared" si="284"/>
        <v>-338729.10640943842</v>
      </c>
    </row>
    <row r="340" spans="1:56" ht="13.5" customHeight="1">
      <c r="A340" s="227"/>
      <c r="C340" s="48"/>
      <c r="E340" s="48"/>
      <c r="F340" s="154"/>
      <c r="AR340" s="88"/>
    </row>
    <row r="341" spans="1:56" s="33" customFormat="1">
      <c r="A341" s="97"/>
      <c r="B341" s="33" t="s">
        <v>938</v>
      </c>
      <c r="J341" s="33" t="s">
        <v>934</v>
      </c>
    </row>
    <row r="342" spans="1:56" s="34" customFormat="1">
      <c r="A342" s="98"/>
      <c r="D342" s="35" t="s">
        <v>935</v>
      </c>
      <c r="J342" s="100">
        <v>2022</v>
      </c>
      <c r="K342" s="100">
        <v>2023</v>
      </c>
      <c r="L342" s="100">
        <v>2024</v>
      </c>
      <c r="M342" s="100">
        <v>2025</v>
      </c>
      <c r="N342" s="100">
        <v>2026</v>
      </c>
    </row>
    <row r="343" spans="1:56">
      <c r="C343" s="48"/>
      <c r="E343" s="48"/>
      <c r="AR343" s="88"/>
    </row>
    <row r="344" spans="1:56">
      <c r="B344" s="3" t="s">
        <v>939</v>
      </c>
      <c r="C344" s="48"/>
      <c r="D344" s="3">
        <v>2020</v>
      </c>
      <c r="E344" s="48"/>
      <c r="J344" s="47">
        <f t="shared" ref="J344:N346" si="291">SUMIFS(AZ$217:AZ$339, $H$217:$H$339,$D344)</f>
        <v>9233560.7003606651</v>
      </c>
      <c r="K344" s="47">
        <f t="shared" si="291"/>
        <v>8555993.2364601251</v>
      </c>
      <c r="L344" s="47">
        <f t="shared" si="291"/>
        <v>8778487.873406047</v>
      </c>
      <c r="M344" s="47">
        <f t="shared" si="291"/>
        <v>8193399.1175383404</v>
      </c>
      <c r="N344" s="47">
        <f t="shared" si="291"/>
        <v>7644008.4104809426</v>
      </c>
      <c r="P344" s="5"/>
      <c r="AR344" s="88"/>
    </row>
    <row r="345" spans="1:56">
      <c r="B345" s="3" t="s">
        <v>939</v>
      </c>
      <c r="C345" s="48"/>
      <c r="D345" s="3">
        <v>2021</v>
      </c>
      <c r="E345" s="48"/>
      <c r="J345" s="47">
        <f t="shared" si="291"/>
        <v>8497419.0957247205</v>
      </c>
      <c r="K345" s="47">
        <f t="shared" si="291"/>
        <v>7585714.20728698</v>
      </c>
      <c r="L345" s="47">
        <f t="shared" si="291"/>
        <v>7687390.3961598752</v>
      </c>
      <c r="M345" s="47">
        <f t="shared" si="291"/>
        <v>7485666.0735283894</v>
      </c>
      <c r="N345" s="47">
        <f t="shared" si="291"/>
        <v>6597119.75333496</v>
      </c>
      <c r="AR345" s="88"/>
    </row>
    <row r="346" spans="1:56">
      <c r="B346" s="3" t="s">
        <v>939</v>
      </c>
      <c r="C346" s="48"/>
      <c r="D346" s="3">
        <v>2022</v>
      </c>
      <c r="E346" s="48"/>
      <c r="J346" s="47">
        <f t="shared" si="291"/>
        <v>4782494.0361667611</v>
      </c>
      <c r="K346" s="47">
        <f t="shared" si="291"/>
        <v>5962998.5874395613</v>
      </c>
      <c r="L346" s="47">
        <f t="shared" si="291"/>
        <v>6213032.0444317097</v>
      </c>
      <c r="M346" s="47">
        <f t="shared" si="291"/>
        <v>6054783.3855633335</v>
      </c>
      <c r="N346" s="47">
        <f t="shared" si="291"/>
        <v>5919429.8624747666</v>
      </c>
      <c r="AR346" s="88"/>
    </row>
    <row r="347" spans="1:56">
      <c r="B347" s="3" t="s">
        <v>939</v>
      </c>
      <c r="C347" s="48"/>
      <c r="D347" s="3">
        <v>2023</v>
      </c>
      <c r="E347" s="48"/>
      <c r="J347" s="96"/>
      <c r="K347" s="47">
        <f>SUMIFS(BA$217:BA$339, $H$217:$H$339,$D347)</f>
        <v>3602822.9773279442</v>
      </c>
      <c r="L347" s="47">
        <f>SUMIFS(BB$217:BB$339, $H$217:$H$339,$D347)</f>
        <v>4804946.7147781914</v>
      </c>
      <c r="M347" s="47">
        <f>SUMIFS(BC$217:BC$339, $H$217:$H$339,$D347)</f>
        <v>4699913.7718138332</v>
      </c>
      <c r="N347" s="47">
        <f>SUMIFS(BD$217:BD$339, $H$217:$H$339,$D347)</f>
        <v>4606438.8534539146</v>
      </c>
      <c r="AR347" s="88"/>
    </row>
    <row r="348" spans="1:56">
      <c r="B348" s="3" t="s">
        <v>939</v>
      </c>
      <c r="C348" s="48"/>
      <c r="D348" s="3">
        <v>2024</v>
      </c>
      <c r="E348" s="48"/>
      <c r="J348" s="96"/>
      <c r="K348" s="96"/>
      <c r="L348" s="47">
        <f>SUMIFS(BB$217:BB$339, $H$217:$H$339,$D348)</f>
        <v>5899286.5445526922</v>
      </c>
      <c r="M348" s="47">
        <f>SUMIFS(BC$217:BC$339, $H$217:$H$339,$D348)</f>
        <v>7279687.9881038954</v>
      </c>
      <c r="N348" s="47">
        <f>SUMIFS(BD$217:BD$339, $H$217:$H$339,$D348)</f>
        <v>7085480.2243359182</v>
      </c>
      <c r="AR348" s="88"/>
    </row>
    <row r="349" spans="1:56">
      <c r="B349" s="3" t="s">
        <v>939</v>
      </c>
      <c r="C349" s="48"/>
      <c r="D349" s="3">
        <v>2025</v>
      </c>
      <c r="E349" s="48"/>
      <c r="J349" s="96"/>
      <c r="K349" s="96"/>
      <c r="L349" s="96"/>
      <c r="M349" s="47">
        <f>SUMIFS(BC$217:BC$339, $H$217:$H$339,$D349)</f>
        <v>6998868.2380911736</v>
      </c>
      <c r="N349" s="47">
        <f>SUMIFS(BD$217:BD$339, $H$217:$H$339,$D349)</f>
        <v>8637747.8542151991</v>
      </c>
      <c r="AR349" s="88"/>
    </row>
    <row r="350" spans="1:56">
      <c r="B350" s="3" t="s">
        <v>939</v>
      </c>
      <c r="C350" s="48"/>
      <c r="D350" s="3">
        <v>2026</v>
      </c>
      <c r="E350" s="48"/>
      <c r="J350" s="96"/>
      <c r="K350" s="96"/>
      <c r="L350" s="96"/>
      <c r="M350" s="96"/>
      <c r="N350" s="96"/>
      <c r="AR350" s="88"/>
    </row>
    <row r="352" spans="1:56" s="8" customFormat="1">
      <c r="A352" s="149"/>
      <c r="B352" s="8" t="s">
        <v>940</v>
      </c>
      <c r="D352" s="8" t="s">
        <v>204</v>
      </c>
      <c r="J352" s="46">
        <v>2022</v>
      </c>
      <c r="K352" s="46">
        <v>2023</v>
      </c>
      <c r="L352" s="46">
        <v>2024</v>
      </c>
      <c r="M352" s="46">
        <v>2025</v>
      </c>
      <c r="N352" s="46">
        <v>2026</v>
      </c>
      <c r="O352" s="46">
        <v>2027</v>
      </c>
    </row>
    <row r="354" spans="2:15">
      <c r="B354" s="3" t="s">
        <v>941</v>
      </c>
      <c r="D354" s="3" t="s">
        <v>482</v>
      </c>
      <c r="J354" s="47">
        <f t="shared" ref="J354:N356" si="292">J344-J205</f>
        <v>-12756559.43889554</v>
      </c>
      <c r="K354" s="47">
        <f t="shared" si="292"/>
        <v>-11018374.816815039</v>
      </c>
      <c r="L354" s="47">
        <f t="shared" si="292"/>
        <v>-10839203.388769312</v>
      </c>
      <c r="M354" s="47">
        <f t="shared" si="292"/>
        <v>-9184753.292657651</v>
      </c>
      <c r="N354" s="47">
        <f t="shared" si="292"/>
        <v>-7789752.885051636</v>
      </c>
      <c r="O354" s="96"/>
    </row>
    <row r="355" spans="2:15">
      <c r="B355" s="3" t="s">
        <v>942</v>
      </c>
      <c r="D355" s="3" t="s">
        <v>482</v>
      </c>
      <c r="J355" s="47">
        <f t="shared" si="292"/>
        <v>-13837484.211981896</v>
      </c>
      <c r="K355" s="47">
        <f t="shared" si="292"/>
        <v>-12505574.939146273</v>
      </c>
      <c r="L355" s="47">
        <f t="shared" si="292"/>
        <v>-12477143.420360353</v>
      </c>
      <c r="M355" s="47">
        <f t="shared" si="292"/>
        <v>-11944801.475117594</v>
      </c>
      <c r="N355" s="47">
        <f t="shared" si="292"/>
        <v>-10738764.065285737</v>
      </c>
      <c r="O355" s="96"/>
    </row>
    <row r="356" spans="2:15">
      <c r="B356" s="3" t="s">
        <v>943</v>
      </c>
      <c r="D356" s="3" t="s">
        <v>482</v>
      </c>
      <c r="J356" s="47">
        <f t="shared" si="292"/>
        <v>-11332587.168613983</v>
      </c>
      <c r="K356" s="47">
        <f t="shared" si="292"/>
        <v>-15705466.585948357</v>
      </c>
      <c r="L356" s="47">
        <f t="shared" si="292"/>
        <v>-14925157.671221215</v>
      </c>
      <c r="M356" s="47">
        <f t="shared" si="292"/>
        <v>-14237662.265062112</v>
      </c>
      <c r="N356" s="47">
        <f t="shared" si="292"/>
        <v>-13714084.274515573</v>
      </c>
      <c r="O356" s="96"/>
    </row>
    <row r="357" spans="2:15">
      <c r="B357" s="3" t="s">
        <v>944</v>
      </c>
      <c r="D357" s="3" t="s">
        <v>482</v>
      </c>
      <c r="J357" s="96"/>
      <c r="K357" s="47">
        <f>K347-K208</f>
        <v>-12510056.898220608</v>
      </c>
      <c r="L357" s="47">
        <f>L347-L208</f>
        <v>-18170099.194502193</v>
      </c>
      <c r="M357" s="47">
        <f>M347-M208</f>
        <v>-16632374.35250546</v>
      </c>
      <c r="N357" s="47">
        <f>N347-N208</f>
        <v>-15891143.500042979</v>
      </c>
      <c r="O357" s="96"/>
    </row>
    <row r="358" spans="2:15">
      <c r="B358" s="3" t="s">
        <v>945</v>
      </c>
      <c r="D358" s="3" t="s">
        <v>482</v>
      </c>
      <c r="J358" s="96"/>
      <c r="K358" s="96"/>
      <c r="L358" s="47">
        <f>L348-L209</f>
        <v>-11488590.38723753</v>
      </c>
      <c r="M358" s="47">
        <f>M348-M209</f>
        <v>-15878320.322108783</v>
      </c>
      <c r="N358" s="47">
        <f>N348-N209</f>
        <v>-14428275.80711663</v>
      </c>
      <c r="O358" s="96"/>
    </row>
    <row r="359" spans="2:15">
      <c r="B359" s="3" t="s">
        <v>946</v>
      </c>
      <c r="D359" s="3" t="s">
        <v>482</v>
      </c>
      <c r="J359" s="96"/>
      <c r="K359" s="96"/>
      <c r="L359" s="96"/>
      <c r="M359" s="47">
        <f>M349-M210</f>
        <v>-10613868.718180954</v>
      </c>
      <c r="N359" s="47">
        <f>N349-N210</f>
        <v>-14841975.798717419</v>
      </c>
      <c r="O359" s="96"/>
    </row>
    <row r="360" spans="2:15">
      <c r="B360" s="3" t="s">
        <v>947</v>
      </c>
      <c r="D360" s="3" t="s">
        <v>482</v>
      </c>
      <c r="J360" s="96"/>
      <c r="K360" s="96"/>
      <c r="L360" s="96"/>
      <c r="M360" s="96"/>
      <c r="N360" s="96"/>
      <c r="O360" s="96"/>
    </row>
    <row r="362" spans="2:15">
      <c r="B362" s="3" t="s">
        <v>948</v>
      </c>
      <c r="D362" s="3" t="s">
        <v>482</v>
      </c>
      <c r="J362" s="47">
        <f>J354</f>
        <v>-12756559.43889554</v>
      </c>
      <c r="K362" s="47">
        <f>K354+K355+J355*K33</f>
        <v>-37638183.652182847</v>
      </c>
      <c r="L362" s="43">
        <f>L354+L355+L356+K356*L34+J356*L33</f>
        <v>-66596798.198202893</v>
      </c>
      <c r="M362" s="43">
        <f>SUM(M354:M357)+L357*M35+K357*M34+J357*M33</f>
        <v>-85362788.83980006</v>
      </c>
      <c r="N362" s="47">
        <f>SUM(N354:N358)+M358*N36+L358*N35+K358*N34+J358*N33</f>
        <v>-92141688.170288146</v>
      </c>
      <c r="O362" s="337">
        <f>M359*O36+N359*O37</f>
        <v>-27025999.470919721</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7059-B200-4123-B64B-A5D378C9DA1F}">
  <sheetPr>
    <tabColor rgb="FFFFFFCC"/>
  </sheetPr>
  <dimension ref="A2:AY529"/>
  <sheetViews>
    <sheetView showGridLines="0" zoomScale="82" zoomScaleNormal="85" workbookViewId="0">
      <pane xSplit="4" ySplit="11" topLeftCell="E12" activePane="bottomRight" state="frozen"/>
      <selection pane="bottomRight"/>
      <selection pane="bottomLeft" activeCell="A11" sqref="A11"/>
      <selection pane="topRight" activeCell="E1" sqref="E1"/>
    </sheetView>
  </sheetViews>
  <sheetFormatPr defaultColWidth="13.5703125" defaultRowHeight="12.75"/>
  <cols>
    <col min="1" max="1" width="2.5703125" style="3" customWidth="1"/>
    <col min="2" max="2" width="59.85546875" style="3" customWidth="1"/>
    <col min="3" max="3" width="2.5703125" style="3" customWidth="1"/>
    <col min="4" max="4" width="36.28515625" style="3" customWidth="1"/>
    <col min="5" max="5" width="2.5703125" style="3" customWidth="1"/>
    <col min="6" max="6" width="27" style="3" bestFit="1" customWidth="1"/>
    <col min="7" max="7" width="29" style="3" bestFit="1" customWidth="1"/>
    <col min="8" max="8" width="23" style="3" customWidth="1"/>
    <col min="9" max="9" width="31" style="3" customWidth="1"/>
    <col min="10" max="11" width="23" style="3" customWidth="1"/>
    <col min="12" max="12" width="15.5703125" style="3" customWidth="1"/>
    <col min="13" max="13" width="21.28515625" style="3" customWidth="1"/>
    <col min="14" max="14" width="33.5703125" style="3" bestFit="1" customWidth="1"/>
    <col min="15" max="15" width="2.5703125" style="3" customWidth="1"/>
    <col min="16" max="17" width="14.28515625" style="3" customWidth="1"/>
    <col min="18" max="18" width="15" style="3" customWidth="1"/>
    <col min="19" max="19" width="15.5703125" style="3" customWidth="1"/>
    <col min="20" max="20" width="13.5703125" style="3" customWidth="1"/>
    <col min="21" max="21" width="2.5703125" style="3" customWidth="1"/>
    <col min="22" max="22" width="12.5703125" style="3" customWidth="1"/>
    <col min="23" max="26" width="15.5703125" style="3" customWidth="1"/>
    <col min="27" max="27" width="2.5703125" style="3" customWidth="1"/>
    <col min="28" max="28" width="13.28515625" style="3" customWidth="1"/>
    <col min="29" max="32" width="15.5703125" style="3" customWidth="1"/>
    <col min="33" max="33" width="2.5703125" style="3" customWidth="1"/>
    <col min="34" max="34" width="15" style="3" customWidth="1"/>
    <col min="35" max="38" width="15.5703125" style="3" customWidth="1"/>
    <col min="39" max="39" width="2.5703125" style="3" customWidth="1"/>
    <col min="40" max="40" width="14" style="3" bestFit="1" customWidth="1"/>
    <col min="41" max="44" width="13.5703125" style="3"/>
    <col min="52" max="52" width="15.5703125" style="3" customWidth="1"/>
    <col min="53" max="16384" width="13.5703125" style="3"/>
  </cols>
  <sheetData>
    <row r="2" spans="1:51" s="12" customFormat="1" ht="18">
      <c r="B2" s="12" t="s">
        <v>949</v>
      </c>
    </row>
    <row r="4" spans="1:51">
      <c r="B4" s="16" t="s">
        <v>893</v>
      </c>
    </row>
    <row r="5" spans="1:51" ht="63.75" customHeight="1">
      <c r="B5" s="359" t="s">
        <v>950</v>
      </c>
      <c r="C5" s="359"/>
      <c r="D5" s="359"/>
      <c r="F5" s="183"/>
    </row>
    <row r="7" spans="1:51">
      <c r="B7" s="367" t="s">
        <v>895</v>
      </c>
      <c r="C7" s="369"/>
      <c r="D7" s="369"/>
      <c r="F7" s="13"/>
      <c r="AS7" s="3"/>
      <c r="AT7" s="3"/>
      <c r="AU7" s="3"/>
      <c r="AV7" s="3"/>
      <c r="AW7" s="3"/>
      <c r="AX7" s="3"/>
      <c r="AY7" s="3"/>
    </row>
    <row r="8" spans="1:51" ht="67.5" customHeight="1">
      <c r="B8" s="359" t="s">
        <v>951</v>
      </c>
      <c r="C8" s="359"/>
      <c r="D8" s="359"/>
      <c r="F8" s="13"/>
      <c r="AS8" s="3"/>
      <c r="AT8" s="3"/>
      <c r="AU8" s="3"/>
      <c r="AV8" s="3"/>
      <c r="AW8" s="3"/>
      <c r="AX8" s="3"/>
      <c r="AY8" s="3"/>
    </row>
    <row r="9" spans="1:51" ht="13.9" customHeight="1">
      <c r="B9" s="1"/>
      <c r="C9" s="1"/>
      <c r="D9" s="1"/>
      <c r="F9" s="13"/>
      <c r="AS9" s="3"/>
      <c r="AT9" s="3"/>
      <c r="AU9" s="3"/>
      <c r="AV9" s="3"/>
      <c r="AW9" s="3"/>
      <c r="AX9" s="3"/>
      <c r="AY9" s="3"/>
    </row>
    <row r="11" spans="1:51" s="8" customFormat="1">
      <c r="B11" s="8" t="s">
        <v>162</v>
      </c>
      <c r="H11" s="53"/>
      <c r="I11" s="46"/>
      <c r="J11" s="53"/>
      <c r="K11" s="46"/>
      <c r="L11" s="46"/>
      <c r="M11" s="46"/>
    </row>
    <row r="13" spans="1:51" s="33" customFormat="1">
      <c r="A13" s="97"/>
      <c r="B13" s="33" t="s">
        <v>897</v>
      </c>
    </row>
    <row r="14" spans="1:51" s="34" customFormat="1">
      <c r="A14" s="98"/>
      <c r="B14" s="34" t="s">
        <v>162</v>
      </c>
      <c r="D14" s="34" t="s">
        <v>204</v>
      </c>
      <c r="F14" s="34" t="s">
        <v>205</v>
      </c>
      <c r="H14" s="100">
        <v>2022</v>
      </c>
      <c r="I14" s="100">
        <v>2023</v>
      </c>
      <c r="J14" s="100">
        <v>2024</v>
      </c>
      <c r="K14" s="100">
        <v>2025</v>
      </c>
      <c r="L14" s="100">
        <v>2026</v>
      </c>
      <c r="M14" s="100">
        <v>2027</v>
      </c>
    </row>
    <row r="15" spans="1:51" s="101" customFormat="1">
      <c r="H15" s="102"/>
      <c r="I15" s="103"/>
      <c r="J15" s="102"/>
      <c r="K15" s="103"/>
      <c r="L15" s="103"/>
      <c r="Q15" s="103"/>
      <c r="U15" s="103"/>
      <c r="V15" s="103"/>
      <c r="W15" s="103"/>
      <c r="AA15" s="103"/>
      <c r="AB15" s="103"/>
      <c r="AC15" s="103"/>
    </row>
    <row r="16" spans="1:51">
      <c r="B16" s="16" t="s">
        <v>211</v>
      </c>
    </row>
    <row r="17" spans="1:51">
      <c r="B17" s="147" t="s">
        <v>898</v>
      </c>
      <c r="D17" s="3" t="s">
        <v>214</v>
      </c>
      <c r="H17" s="139">
        <f>IF(ISBLANK('2. Parameters'!M23),'2. Parameters'!M19,'2. Parameters'!M23)</f>
        <v>4.1000000000000002E-2</v>
      </c>
      <c r="I17" s="139">
        <f>IF(ISBLANK('2. Parameters'!N23),'2. Parameters'!N19,'2. Parameters'!N23)</f>
        <v>5.0999999999999997E-2</v>
      </c>
      <c r="J17" s="139">
        <f>IF(ISBLANK('2. Parameters'!O23),'2. Parameters'!O19,'2. Parameters'!O23)</f>
        <v>5.0999999999999997E-2</v>
      </c>
      <c r="K17" s="139">
        <f>IF(ISBLANK('2. Parameters'!P23),'2. Parameters'!P19,'2. Parameters'!P23)</f>
        <v>5.5E-2</v>
      </c>
      <c r="L17" s="139">
        <f>IF(ISBLANK('2. Parameters'!Q23),'2. Parameters'!Q19,'2. Parameters'!Q23)</f>
        <v>3.7999999999999999E-2</v>
      </c>
      <c r="M17" s="10"/>
    </row>
    <row r="19" spans="1:51">
      <c r="B19" s="16" t="s">
        <v>223</v>
      </c>
    </row>
    <row r="20" spans="1:51">
      <c r="B20" s="3" t="s">
        <v>223</v>
      </c>
      <c r="D20" s="3" t="s">
        <v>214</v>
      </c>
      <c r="F20" s="77">
        <f>'2. Parameters'!F27</f>
        <v>0.01</v>
      </c>
    </row>
    <row r="21" spans="1:51" s="89" customFormat="1">
      <c r="A21" s="3"/>
      <c r="F21" s="105"/>
    </row>
    <row r="22" spans="1:51" s="89" customFormat="1">
      <c r="A22" s="3"/>
      <c r="B22" s="106" t="s">
        <v>249</v>
      </c>
      <c r="F22" s="105"/>
    </row>
    <row r="23" spans="1:51">
      <c r="B23" s="3" t="s">
        <v>249</v>
      </c>
      <c r="F23" s="107">
        <f>'2. Parameters'!F83</f>
        <v>1.3</v>
      </c>
    </row>
    <row r="25" spans="1:51">
      <c r="B25" s="2" t="s">
        <v>250</v>
      </c>
    </row>
    <row r="26" spans="1:51">
      <c r="B26" s="3" t="s">
        <v>250</v>
      </c>
      <c r="D26" s="3" t="s">
        <v>214</v>
      </c>
      <c r="F26" s="78">
        <f>'2. Parameters'!F87</f>
        <v>0.1</v>
      </c>
    </row>
    <row r="28" spans="1:51">
      <c r="B28" s="2" t="s">
        <v>251</v>
      </c>
    </row>
    <row r="29" spans="1:51">
      <c r="B29" s="3" t="s">
        <v>251</v>
      </c>
      <c r="D29" s="3" t="s">
        <v>214</v>
      </c>
      <c r="F29" s="78">
        <f>'2. Parameters'!F91</f>
        <v>0.9</v>
      </c>
    </row>
    <row r="31" spans="1:51">
      <c r="B31" s="2" t="s">
        <v>248</v>
      </c>
      <c r="AS31" s="3"/>
      <c r="AT31" s="3"/>
      <c r="AU31" s="3"/>
      <c r="AV31" s="3"/>
      <c r="AW31" s="3"/>
      <c r="AX31" s="3"/>
      <c r="AY31" s="3"/>
    </row>
    <row r="32" spans="1:51">
      <c r="B32" s="3" t="s">
        <v>248</v>
      </c>
      <c r="D32" s="3" t="s">
        <v>214</v>
      </c>
      <c r="F32" s="148">
        <f>'2. Parameters'!F79</f>
        <v>1</v>
      </c>
      <c r="AS32" s="3"/>
      <c r="AT32" s="3"/>
      <c r="AU32" s="3"/>
      <c r="AV32" s="3"/>
      <c r="AW32" s="3"/>
      <c r="AX32" s="3"/>
      <c r="AY32" s="3"/>
    </row>
    <row r="33" spans="2:51">
      <c r="AS33" s="3"/>
      <c r="AT33" s="3"/>
      <c r="AU33" s="3"/>
      <c r="AV33" s="3"/>
      <c r="AW33" s="3"/>
      <c r="AX33" s="3"/>
      <c r="AY33" s="3"/>
    </row>
    <row r="34" spans="2:51">
      <c r="B34" s="16" t="s">
        <v>243</v>
      </c>
    </row>
    <row r="35" spans="2:51">
      <c r="B35" s="28" t="s">
        <v>233</v>
      </c>
      <c r="D35" s="3" t="s">
        <v>899</v>
      </c>
      <c r="H35" s="32">
        <f>'2. Parameters'!M71</f>
        <v>1</v>
      </c>
      <c r="I35" s="32">
        <f>'2. Parameters'!N71</f>
        <v>1.02</v>
      </c>
      <c r="J35" s="32">
        <f>'2. Parameters'!O71</f>
        <v>1.0608</v>
      </c>
      <c r="K35" s="32">
        <f>'2. Parameters'!P71</f>
        <v>1.1350560000000001</v>
      </c>
      <c r="L35" s="32">
        <f>'2. Parameters'!Q71</f>
        <v>1.1918088000000002</v>
      </c>
      <c r="M35" s="32">
        <f>'2. Parameters'!R71</f>
        <v>1.2394811520000002</v>
      </c>
    </row>
    <row r="36" spans="2:51">
      <c r="B36" s="28" t="s">
        <v>234</v>
      </c>
      <c r="D36" s="3" t="s">
        <v>899</v>
      </c>
      <c r="H36" s="10"/>
      <c r="I36" s="32">
        <f>'2. Parameters'!N72</f>
        <v>1</v>
      </c>
      <c r="J36" s="32">
        <f>'2. Parameters'!O72</f>
        <v>1.04</v>
      </c>
      <c r="K36" s="32">
        <f>'2. Parameters'!P72</f>
        <v>1.1128</v>
      </c>
      <c r="L36" s="32">
        <f>'2. Parameters'!Q72</f>
        <v>1.1684400000000001</v>
      </c>
      <c r="M36" s="32">
        <f>'2. Parameters'!R72</f>
        <v>1.2151776000000003</v>
      </c>
    </row>
    <row r="37" spans="2:51">
      <c r="B37" s="28" t="s">
        <v>235</v>
      </c>
      <c r="D37" s="3" t="s">
        <v>899</v>
      </c>
      <c r="H37" s="10"/>
      <c r="I37" s="10"/>
      <c r="J37" s="32">
        <f>'2. Parameters'!O73</f>
        <v>1</v>
      </c>
      <c r="K37" s="32">
        <f>'2. Parameters'!P73</f>
        <v>1.07</v>
      </c>
      <c r="L37" s="32">
        <f>'2. Parameters'!Q73</f>
        <v>1.1235000000000002</v>
      </c>
      <c r="M37" s="32">
        <f>'2. Parameters'!R73</f>
        <v>1.1684400000000001</v>
      </c>
    </row>
    <row r="38" spans="2:51">
      <c r="B38" s="28" t="s">
        <v>236</v>
      </c>
      <c r="D38" s="3" t="s">
        <v>899</v>
      </c>
      <c r="H38" s="10"/>
      <c r="I38" s="10"/>
      <c r="J38" s="10"/>
      <c r="K38" s="32">
        <f>'2. Parameters'!P74</f>
        <v>1</v>
      </c>
      <c r="L38" s="32">
        <f>'2. Parameters'!Q74</f>
        <v>1.05</v>
      </c>
      <c r="M38" s="32">
        <f>'2. Parameters'!R74</f>
        <v>1.0920000000000001</v>
      </c>
    </row>
    <row r="39" spans="2:51">
      <c r="B39" s="28" t="s">
        <v>237</v>
      </c>
      <c r="D39" s="3" t="s">
        <v>899</v>
      </c>
      <c r="H39" s="10"/>
      <c r="I39" s="10"/>
      <c r="J39" s="10"/>
      <c r="K39" s="10"/>
      <c r="L39" s="32">
        <f>'2. Parameters'!Q75</f>
        <v>1</v>
      </c>
      <c r="M39" s="32">
        <f>'2. Parameters'!R75</f>
        <v>1.04</v>
      </c>
    </row>
    <row r="41" spans="2:51">
      <c r="B41" s="2" t="s">
        <v>224</v>
      </c>
    </row>
    <row r="42" spans="2:51">
      <c r="B42" s="3" t="s">
        <v>902</v>
      </c>
      <c r="D42" s="3" t="s">
        <v>228</v>
      </c>
      <c r="H42" s="32">
        <f>'2. Parameters'!M40</f>
        <v>1</v>
      </c>
      <c r="I42" s="32">
        <f>'2. Parameters'!N40</f>
        <v>1.0620000000000001</v>
      </c>
      <c r="J42" s="32">
        <f>'2. Parameters'!O40</f>
        <v>1.1469600000000002</v>
      </c>
      <c r="K42" s="32">
        <f>'2. Parameters'!P40</f>
        <v>1.1790748800000002</v>
      </c>
      <c r="L42" s="32">
        <f>'2. Parameters'!Q40</f>
        <v>1.2238797254400002</v>
      </c>
      <c r="M42" s="10"/>
    </row>
    <row r="43" spans="2:51">
      <c r="B43" s="3" t="s">
        <v>903</v>
      </c>
      <c r="D43" s="3" t="s">
        <v>228</v>
      </c>
      <c r="H43" s="10"/>
      <c r="I43" s="32">
        <f>'2. Parameters'!N41</f>
        <v>1</v>
      </c>
      <c r="J43" s="32">
        <f>'2. Parameters'!O41</f>
        <v>1.08</v>
      </c>
      <c r="K43" s="32">
        <f>'2. Parameters'!P41</f>
        <v>1.1102400000000001</v>
      </c>
      <c r="L43" s="32">
        <f>'2. Parameters'!Q41</f>
        <v>1.1524291200000001</v>
      </c>
      <c r="M43" s="10"/>
    </row>
    <row r="44" spans="2:51">
      <c r="B44" s="3" t="s">
        <v>904</v>
      </c>
      <c r="D44" s="3" t="s">
        <v>228</v>
      </c>
      <c r="H44" s="10"/>
      <c r="I44" s="10"/>
      <c r="J44" s="32">
        <f>'2. Parameters'!O42</f>
        <v>1</v>
      </c>
      <c r="K44" s="32">
        <f>'2. Parameters'!P42</f>
        <v>1.028</v>
      </c>
      <c r="L44" s="32">
        <f>'2. Parameters'!Q42</f>
        <v>1.067064</v>
      </c>
      <c r="M44" s="10"/>
    </row>
    <row r="45" spans="2:51">
      <c r="B45" s="3" t="s">
        <v>905</v>
      </c>
      <c r="D45" s="3" t="s">
        <v>228</v>
      </c>
      <c r="H45" s="10"/>
      <c r="I45" s="10"/>
      <c r="J45" s="10"/>
      <c r="K45" s="32">
        <f>'2. Parameters'!P43</f>
        <v>1</v>
      </c>
      <c r="L45" s="32">
        <f>'2. Parameters'!Q43</f>
        <v>1.038</v>
      </c>
      <c r="M45" s="10"/>
    </row>
    <row r="46" spans="2:51">
      <c r="B46" s="3" t="s">
        <v>906</v>
      </c>
      <c r="D46" s="3" t="s">
        <v>228</v>
      </c>
      <c r="H46" s="10"/>
      <c r="I46" s="10"/>
      <c r="J46" s="10"/>
      <c r="K46" s="10"/>
      <c r="L46" s="32">
        <f>'2. Parameters'!Q44</f>
        <v>1</v>
      </c>
      <c r="M46" s="10"/>
    </row>
    <row r="48" spans="2:51" s="33" customFormat="1">
      <c r="B48" s="33" t="s">
        <v>952</v>
      </c>
    </row>
    <row r="49" spans="1:51" s="36" customFormat="1">
      <c r="P49" s="36" t="s">
        <v>911</v>
      </c>
      <c r="V49" s="36" t="s">
        <v>912</v>
      </c>
      <c r="AB49" s="36" t="s">
        <v>913</v>
      </c>
      <c r="AH49" s="36" t="s">
        <v>914</v>
      </c>
      <c r="AN49" s="36" t="s">
        <v>915</v>
      </c>
    </row>
    <row r="50" spans="1:51" s="39" customFormat="1">
      <c r="B50" s="39" t="s">
        <v>918</v>
      </c>
      <c r="F50" s="39" t="s">
        <v>953</v>
      </c>
      <c r="G50" s="40" t="s">
        <v>576</v>
      </c>
      <c r="H50" s="40" t="s">
        <v>954</v>
      </c>
      <c r="I50" s="40" t="s">
        <v>920</v>
      </c>
      <c r="J50" s="39" t="s">
        <v>955</v>
      </c>
      <c r="K50" s="39" t="s">
        <v>391</v>
      </c>
      <c r="M50" s="39" t="s">
        <v>922</v>
      </c>
      <c r="N50" s="39" t="s">
        <v>956</v>
      </c>
      <c r="P50" s="45">
        <v>2022</v>
      </c>
      <c r="Q50" s="45">
        <v>2023</v>
      </c>
      <c r="R50" s="45">
        <v>2024</v>
      </c>
      <c r="S50" s="45">
        <v>2025</v>
      </c>
      <c r="T50" s="45">
        <v>2026</v>
      </c>
      <c r="V50" s="45">
        <v>2022</v>
      </c>
      <c r="W50" s="45">
        <v>2023</v>
      </c>
      <c r="X50" s="45">
        <v>2024</v>
      </c>
      <c r="Y50" s="45">
        <v>2025</v>
      </c>
      <c r="Z50" s="45">
        <v>2026</v>
      </c>
      <c r="AB50" s="45">
        <v>2022</v>
      </c>
      <c r="AC50" s="45">
        <v>2023</v>
      </c>
      <c r="AD50" s="45">
        <v>2024</v>
      </c>
      <c r="AE50" s="45">
        <v>2025</v>
      </c>
      <c r="AF50" s="45">
        <v>2026</v>
      </c>
      <c r="AH50" s="45">
        <v>2022</v>
      </c>
      <c r="AI50" s="45">
        <v>2023</v>
      </c>
      <c r="AJ50" s="45">
        <v>2024</v>
      </c>
      <c r="AK50" s="45">
        <v>2025</v>
      </c>
      <c r="AL50" s="45">
        <v>2026</v>
      </c>
      <c r="AN50" s="45">
        <v>2022</v>
      </c>
      <c r="AO50" s="45">
        <v>2023</v>
      </c>
      <c r="AP50" s="45">
        <v>2024</v>
      </c>
      <c r="AQ50" s="45">
        <v>2025</v>
      </c>
      <c r="AR50" s="45">
        <v>2026</v>
      </c>
    </row>
    <row r="51" spans="1:51" s="48" customFormat="1">
      <c r="F51" s="353"/>
      <c r="G51" s="49"/>
      <c r="H51" s="49"/>
      <c r="I51" s="49"/>
    </row>
    <row r="52" spans="1:51">
      <c r="A52" s="48"/>
      <c r="B52" s="37">
        <f>'13. Desinvesteringen'!B335</f>
        <v>316</v>
      </c>
      <c r="C52" s="48"/>
      <c r="D52" s="48"/>
      <c r="E52" s="48"/>
      <c r="F52" s="354">
        <f>'5. Input GAW-waarde desinv.'!D11</f>
        <v>0</v>
      </c>
      <c r="G52" s="175">
        <f>'13. Desinvesteringen'!D335</f>
        <v>1949</v>
      </c>
      <c r="H52" s="175">
        <f>'13. Desinvesteringen'!G335</f>
        <v>2022</v>
      </c>
      <c r="I52" s="37" t="str">
        <f>'13. Desinvesteringen'!C335</f>
        <v>01 Regionale leidingen</v>
      </c>
      <c r="J52" s="165">
        <f>'13. Desinvesteringen'!F335</f>
        <v>0</v>
      </c>
      <c r="K52" s="38">
        <f>_xlfn.XLOOKUP(I52,'3. Input (des)investeringen '!$B$11:$B$89,'3. Input (des)investeringen '!$E$11:$E$89)</f>
        <v>1</v>
      </c>
      <c r="L52" s="48"/>
      <c r="M52" s="38">
        <f>_xlfn.XLOOKUP(I52,'3. Input (des)investeringen '!$B$11:$B$89,'3. Input (des)investeringen '!$D$11:$D$89,0)</f>
        <v>55</v>
      </c>
      <c r="N52" s="38">
        <f>IF($M52&gt;0, MAX(0,IF(G52&lt;2022,M52-2021+G52-0.5,M52)), 0)</f>
        <v>0</v>
      </c>
      <c r="P52" s="43">
        <f t="shared" ref="P52:T61" si="0">IF($M52&gt;0, IF(OR($G52&gt;P$50,$G52+$M52&lt;P$50),0,
VDB($F52,0,$N52,MAX(0,P$50-2022),MIN($N52,P$50-2021),$F$23,FALSE))*(1-$F$26), 0)</f>
        <v>0</v>
      </c>
      <c r="Q52" s="43">
        <f t="shared" si="0"/>
        <v>0</v>
      </c>
      <c r="R52" s="43">
        <f t="shared" si="0"/>
        <v>0</v>
      </c>
      <c r="S52" s="43">
        <f t="shared" si="0"/>
        <v>0</v>
      </c>
      <c r="T52" s="43">
        <f t="shared" si="0"/>
        <v>0</v>
      </c>
      <c r="V52" s="43">
        <f t="shared" ref="V52:V115" si="1">IF($M52&gt;0, IF(OR($G52&gt;V$50,$G52+$M52&lt;V$50),0,
VDB($F52,0,$N52,MAX(0,P$50-2022),MIN($N52,P$50-2021),1,FALSE))*$F$26, 0)</f>
        <v>0</v>
      </c>
      <c r="W52" s="43">
        <f t="shared" ref="W52:W115" si="2">IF($M52&gt;0, IF(OR($G52&gt;W$50,$G52+$M52&lt;W$50),0,
VDB($F52,0,$N52,MAX(0,Q$50-2022),MIN($N52,Q$50-2021),1,FALSE))*$F$26, 0)</f>
        <v>0</v>
      </c>
      <c r="X52" s="43">
        <f t="shared" ref="X52:X115" si="3">IF($M52&gt;0, IF(OR($G52&gt;X$50,$G52+$M52&lt;X$50),0,
VDB($F52,0,$N52,MAX(0,R$50-2022),MIN($N52,R$50-2021),1,FALSE))*$F$26, 0)</f>
        <v>0</v>
      </c>
      <c r="Y52" s="43">
        <f t="shared" ref="Y52:Y115" si="4">IF($M52&gt;0, IF(OR($G52&gt;Y$50,$G52+$M52&lt;Y$50),0,
VDB($F52,0,$N52,MAX(0,S$50-2022),MIN($N52,S$50-2021),1,FALSE))*$F$26, 0)</f>
        <v>0</v>
      </c>
      <c r="Z52" s="43">
        <f t="shared" ref="Z52:Z115" si="5">IF($M52&gt;0, IF(OR($G52&gt;Z$50,$G52+$M52&lt;Z$50),0,
VDB($F52,0,$N52,MAX(0,T$50-2022),MIN($N52,T$50-2021),1,FALSE))*$F$26, 0)</f>
        <v>0</v>
      </c>
      <c r="AB52" s="43">
        <f>P52+V52</f>
        <v>0</v>
      </c>
      <c r="AC52" s="43">
        <f>Q52+W52</f>
        <v>0</v>
      </c>
      <c r="AD52" s="43">
        <f>R52+X52</f>
        <v>0</v>
      </c>
      <c r="AE52" s="43">
        <f t="shared" ref="AE52:AF52" si="6">S52+Y52</f>
        <v>0</v>
      </c>
      <c r="AF52" s="43">
        <f t="shared" si="6"/>
        <v>0</v>
      </c>
      <c r="AH52" s="43">
        <f>IF($M52&gt;0, IF($M52&gt;0,IF(OR($G52&gt;AH$50,$G52+$M52&lt;=AH$50),0,IF(AH$50=2022,$F52-AB52,AG52-AB52))), $F52)</f>
        <v>0</v>
      </c>
      <c r="AI52" s="43">
        <f>IF($M52&gt;0, IF(OR($G52&gt;AI$50,$G52+$M52&lt;=AI$50),0,IF(AI$50=2022,$F52-AC52,AH52-AC52)), AH52)</f>
        <v>0</v>
      </c>
      <c r="AJ52" s="43">
        <f t="shared" ref="AJ52:AL52" si="7">IF($M52&gt;0, IF(OR($G52&gt;AJ$50,$G52+$M52&lt;=AJ$50),0,IF(AJ$50=2022,$F52-AD52,AI52-AD52)), AI52)</f>
        <v>0</v>
      </c>
      <c r="AK52" s="43">
        <f t="shared" si="7"/>
        <v>0</v>
      </c>
      <c r="AL52" s="43">
        <f t="shared" si="7"/>
        <v>0</v>
      </c>
      <c r="AN52" s="47">
        <f t="shared" ref="AN52" si="8">(AB52+AH52*H$17)*IF($K52=1,$F$32,1)</f>
        <v>0</v>
      </c>
      <c r="AO52" s="47">
        <f t="shared" ref="AO52" si="9">(AC52+AI52*I$17)*IF($K52=1,$F$32,1)</f>
        <v>0</v>
      </c>
      <c r="AP52" s="47">
        <f t="shared" ref="AP52" si="10">(AD52+AJ52*J$17)*IF($K52=1,$F$32,1)</f>
        <v>0</v>
      </c>
      <c r="AQ52" s="47">
        <f t="shared" ref="AQ52" si="11">(AE52+AK52*K$17)*IF($K52=1,$F$32,1)</f>
        <v>0</v>
      </c>
      <c r="AR52" s="43">
        <f t="shared" ref="AR52" si="12">(AF52+AL52*L$17)*IF($K52=1,$F$32,1)</f>
        <v>0</v>
      </c>
      <c r="AY52" s="3"/>
    </row>
    <row r="53" spans="1:51">
      <c r="A53" s="48"/>
      <c r="B53" s="37">
        <f>'13. Desinvesteringen'!B336</f>
        <v>317</v>
      </c>
      <c r="C53" s="48"/>
      <c r="D53" s="48"/>
      <c r="E53" s="48"/>
      <c r="F53" s="354">
        <f>'5. Input GAW-waarde desinv.'!D12</f>
        <v>0</v>
      </c>
      <c r="G53" s="175">
        <f>'13. Desinvesteringen'!D336</f>
        <v>1951</v>
      </c>
      <c r="H53" s="175">
        <f>'13. Desinvesteringen'!G336</f>
        <v>2022</v>
      </c>
      <c r="I53" s="37" t="str">
        <f>'13. Desinvesteringen'!C336</f>
        <v>01 Regionale leidingen</v>
      </c>
      <c r="J53" s="165">
        <f>'13. Desinvesteringen'!F336</f>
        <v>0</v>
      </c>
      <c r="K53" s="38">
        <f>_xlfn.XLOOKUP(I53,'3. Input (des)investeringen '!$B$11:$B$89,'3. Input (des)investeringen '!$E$11:$E$89)</f>
        <v>1</v>
      </c>
      <c r="L53" s="48"/>
      <c r="M53" s="38">
        <f>_xlfn.XLOOKUP(I53,'3. Input (des)investeringen '!$B$11:$B$89,'3. Input (des)investeringen '!$D$11:$D$89,0)</f>
        <v>55</v>
      </c>
      <c r="N53" s="38">
        <f t="shared" ref="N53:N116" si="13">IF($M53&gt;0, MAX(0,IF(G53&lt;2022,M53-2021+G53-0.5,M53)), 0)</f>
        <v>0</v>
      </c>
      <c r="P53" s="43">
        <f t="shared" si="0"/>
        <v>0</v>
      </c>
      <c r="Q53" s="43">
        <f t="shared" si="0"/>
        <v>0</v>
      </c>
      <c r="R53" s="43">
        <f t="shared" si="0"/>
        <v>0</v>
      </c>
      <c r="S53" s="43">
        <f t="shared" si="0"/>
        <v>0</v>
      </c>
      <c r="T53" s="43">
        <f t="shared" si="0"/>
        <v>0</v>
      </c>
      <c r="V53" s="43">
        <f t="shared" si="1"/>
        <v>0</v>
      </c>
      <c r="W53" s="43">
        <f t="shared" si="2"/>
        <v>0</v>
      </c>
      <c r="X53" s="43">
        <f t="shared" si="3"/>
        <v>0</v>
      </c>
      <c r="Y53" s="43">
        <f t="shared" si="4"/>
        <v>0</v>
      </c>
      <c r="Z53" s="43">
        <f t="shared" si="5"/>
        <v>0</v>
      </c>
      <c r="AB53" s="43">
        <f t="shared" ref="AB53:AB116" si="14">P53+V53</f>
        <v>0</v>
      </c>
      <c r="AC53" s="43">
        <f t="shared" ref="AC53:AC116" si="15">Q53+W53</f>
        <v>0</v>
      </c>
      <c r="AD53" s="43">
        <f t="shared" ref="AD53:AD116" si="16">R53+X53</f>
        <v>0</v>
      </c>
      <c r="AE53" s="43">
        <f t="shared" ref="AE53:AE116" si="17">S53+Y53</f>
        <v>0</v>
      </c>
      <c r="AF53" s="43">
        <f t="shared" ref="AF53:AF116" si="18">T53+Z53</f>
        <v>0</v>
      </c>
      <c r="AH53" s="43">
        <f t="shared" ref="AH53:AH116" si="19">IF($M53&gt;0, IF($M53&gt;0,IF(OR($G53&gt;AH$50,$G53+$M53&lt;=AH$50),0,IF(AH$50=2022,$F53-AB53,AG53-AB53))), $F53)</f>
        <v>0</v>
      </c>
      <c r="AI53" s="43">
        <f t="shared" ref="AI53:AI116" si="20">IF($M53&gt;0, IF(OR($G53&gt;AI$50,$G53+$M53&lt;=AI$50),0,IF(AI$50=2022,$F53-AC53,AH53-AC53)), AH53)</f>
        <v>0</v>
      </c>
      <c r="AJ53" s="43">
        <f t="shared" ref="AJ53:AJ116" si="21">IF($M53&gt;0, IF(OR($G53&gt;AJ$50,$G53+$M53&lt;=AJ$50),0,IF(AJ$50=2022,$F53-AD53,AI53-AD53)), AI53)</f>
        <v>0</v>
      </c>
      <c r="AK53" s="43">
        <f t="shared" ref="AK53:AK116" si="22">IF($M53&gt;0, IF(OR($G53&gt;AK$50,$G53+$M53&lt;=AK$50),0,IF(AK$50=2022,$F53-AE53,AJ53-AE53)), AJ53)</f>
        <v>0</v>
      </c>
      <c r="AL53" s="43">
        <f t="shared" ref="AL53:AL116" si="23">IF($M53&gt;0, IF(OR($G53&gt;AL$50,$G53+$M53&lt;=AL$50),0,IF(AL$50=2022,$F53-AF53,AK53-AF53)), AK53)</f>
        <v>0</v>
      </c>
      <c r="AN53" s="47">
        <f t="shared" ref="AN53:AN116" si="24">(AB53+AH53*H$17)*IF($K53=1,$F$32,1)</f>
        <v>0</v>
      </c>
      <c r="AO53" s="47">
        <f t="shared" ref="AO53:AO116" si="25">(AC53+AI53*I$17)*IF($K53=1,$F$32,1)</f>
        <v>0</v>
      </c>
      <c r="AP53" s="47">
        <f t="shared" ref="AP53:AP116" si="26">(AD53+AJ53*J$17)*IF($K53=1,$F$32,1)</f>
        <v>0</v>
      </c>
      <c r="AQ53" s="47">
        <f t="shared" ref="AQ53:AQ116" si="27">(AE53+AK53*K$17)*IF($K53=1,$F$32,1)</f>
        <v>0</v>
      </c>
      <c r="AR53" s="43">
        <f t="shared" ref="AR53:AR116" si="28">(AF53+AL53*L$17)*IF($K53=1,$F$32,1)</f>
        <v>0</v>
      </c>
      <c r="AY53" s="3"/>
    </row>
    <row r="54" spans="1:51">
      <c r="A54" s="48"/>
      <c r="B54" s="37">
        <f>'13. Desinvesteringen'!B337</f>
        <v>318</v>
      </c>
      <c r="C54" s="48"/>
      <c r="D54" s="48"/>
      <c r="E54" s="48"/>
      <c r="F54" s="354">
        <f>'5. Input GAW-waarde desinv.'!D13</f>
        <v>0</v>
      </c>
      <c r="G54" s="175">
        <f>'13. Desinvesteringen'!D337</f>
        <v>1955</v>
      </c>
      <c r="H54" s="175">
        <f>'13. Desinvesteringen'!G337</f>
        <v>2022</v>
      </c>
      <c r="I54" s="37" t="str">
        <f>'13. Desinvesteringen'!C337</f>
        <v>01 Regionale leidingen</v>
      </c>
      <c r="J54" s="165">
        <f>'13. Desinvesteringen'!F337</f>
        <v>0</v>
      </c>
      <c r="K54" s="38">
        <f>_xlfn.XLOOKUP(I54,'3. Input (des)investeringen '!$B$11:$B$89,'3. Input (des)investeringen '!$E$11:$E$89)</f>
        <v>1</v>
      </c>
      <c r="L54" s="48"/>
      <c r="M54" s="38">
        <f>_xlfn.XLOOKUP(I54,'3. Input (des)investeringen '!$B$11:$B$89,'3. Input (des)investeringen '!$D$11:$D$89,0)</f>
        <v>55</v>
      </c>
      <c r="N54" s="38">
        <f t="shared" si="13"/>
        <v>0</v>
      </c>
      <c r="P54" s="43">
        <f t="shared" si="0"/>
        <v>0</v>
      </c>
      <c r="Q54" s="43">
        <f t="shared" si="0"/>
        <v>0</v>
      </c>
      <c r="R54" s="43">
        <f t="shared" si="0"/>
        <v>0</v>
      </c>
      <c r="S54" s="43">
        <f t="shared" si="0"/>
        <v>0</v>
      </c>
      <c r="T54" s="43">
        <f t="shared" si="0"/>
        <v>0</v>
      </c>
      <c r="V54" s="43">
        <f t="shared" si="1"/>
        <v>0</v>
      </c>
      <c r="W54" s="43">
        <f t="shared" si="2"/>
        <v>0</v>
      </c>
      <c r="X54" s="43">
        <f t="shared" si="3"/>
        <v>0</v>
      </c>
      <c r="Y54" s="43">
        <f t="shared" si="4"/>
        <v>0</v>
      </c>
      <c r="Z54" s="43">
        <f t="shared" si="5"/>
        <v>0</v>
      </c>
      <c r="AB54" s="43">
        <f t="shared" si="14"/>
        <v>0</v>
      </c>
      <c r="AC54" s="43">
        <f t="shared" si="15"/>
        <v>0</v>
      </c>
      <c r="AD54" s="43">
        <f t="shared" si="16"/>
        <v>0</v>
      </c>
      <c r="AE54" s="43">
        <f t="shared" si="17"/>
        <v>0</v>
      </c>
      <c r="AF54" s="43">
        <f t="shared" si="18"/>
        <v>0</v>
      </c>
      <c r="AH54" s="43">
        <f t="shared" si="19"/>
        <v>0</v>
      </c>
      <c r="AI54" s="43">
        <f t="shared" si="20"/>
        <v>0</v>
      </c>
      <c r="AJ54" s="43">
        <f t="shared" si="21"/>
        <v>0</v>
      </c>
      <c r="AK54" s="43">
        <f t="shared" si="22"/>
        <v>0</v>
      </c>
      <c r="AL54" s="43">
        <f t="shared" si="23"/>
        <v>0</v>
      </c>
      <c r="AN54" s="47">
        <f t="shared" si="24"/>
        <v>0</v>
      </c>
      <c r="AO54" s="47">
        <f t="shared" si="25"/>
        <v>0</v>
      </c>
      <c r="AP54" s="47">
        <f t="shared" si="26"/>
        <v>0</v>
      </c>
      <c r="AQ54" s="47">
        <f t="shared" si="27"/>
        <v>0</v>
      </c>
      <c r="AR54" s="43">
        <f t="shared" si="28"/>
        <v>0</v>
      </c>
      <c r="AY54" s="3"/>
    </row>
    <row r="55" spans="1:51">
      <c r="A55" s="48"/>
      <c r="B55" s="37">
        <f>'13. Desinvesteringen'!B338</f>
        <v>319</v>
      </c>
      <c r="C55" s="48"/>
      <c r="D55" s="48"/>
      <c r="E55" s="48"/>
      <c r="F55" s="354">
        <f>'5. Input GAW-waarde desinv.'!D14</f>
        <v>0</v>
      </c>
      <c r="G55" s="175">
        <f>'13. Desinvesteringen'!D338</f>
        <v>1960</v>
      </c>
      <c r="H55" s="175">
        <f>'13. Desinvesteringen'!G338</f>
        <v>2022</v>
      </c>
      <c r="I55" s="37" t="str">
        <f>'13. Desinvesteringen'!C338</f>
        <v>01 Regionale leidingen</v>
      </c>
      <c r="J55" s="165">
        <f>'13. Desinvesteringen'!F338</f>
        <v>0</v>
      </c>
      <c r="K55" s="38">
        <f>_xlfn.XLOOKUP(I55,'3. Input (des)investeringen '!$B$11:$B$89,'3. Input (des)investeringen '!$E$11:$E$89)</f>
        <v>1</v>
      </c>
      <c r="L55" s="48"/>
      <c r="M55" s="38">
        <f>_xlfn.XLOOKUP(I55,'3. Input (des)investeringen '!$B$11:$B$89,'3. Input (des)investeringen '!$D$11:$D$89,0)</f>
        <v>55</v>
      </c>
      <c r="N55" s="38">
        <f t="shared" si="13"/>
        <v>0</v>
      </c>
      <c r="P55" s="43">
        <f t="shared" si="0"/>
        <v>0</v>
      </c>
      <c r="Q55" s="43">
        <f t="shared" si="0"/>
        <v>0</v>
      </c>
      <c r="R55" s="43">
        <f t="shared" si="0"/>
        <v>0</v>
      </c>
      <c r="S55" s="43">
        <f t="shared" si="0"/>
        <v>0</v>
      </c>
      <c r="T55" s="43">
        <f t="shared" si="0"/>
        <v>0</v>
      </c>
      <c r="V55" s="43">
        <f t="shared" si="1"/>
        <v>0</v>
      </c>
      <c r="W55" s="43">
        <f t="shared" si="2"/>
        <v>0</v>
      </c>
      <c r="X55" s="43">
        <f t="shared" si="3"/>
        <v>0</v>
      </c>
      <c r="Y55" s="43">
        <f t="shared" si="4"/>
        <v>0</v>
      </c>
      <c r="Z55" s="43">
        <f t="shared" si="5"/>
        <v>0</v>
      </c>
      <c r="AB55" s="43">
        <f t="shared" si="14"/>
        <v>0</v>
      </c>
      <c r="AC55" s="43">
        <f t="shared" si="15"/>
        <v>0</v>
      </c>
      <c r="AD55" s="43">
        <f t="shared" si="16"/>
        <v>0</v>
      </c>
      <c r="AE55" s="43">
        <f t="shared" si="17"/>
        <v>0</v>
      </c>
      <c r="AF55" s="43">
        <f t="shared" si="18"/>
        <v>0</v>
      </c>
      <c r="AH55" s="43">
        <f t="shared" si="19"/>
        <v>0</v>
      </c>
      <c r="AI55" s="43">
        <f t="shared" si="20"/>
        <v>0</v>
      </c>
      <c r="AJ55" s="43">
        <f t="shared" si="21"/>
        <v>0</v>
      </c>
      <c r="AK55" s="43">
        <f t="shared" si="22"/>
        <v>0</v>
      </c>
      <c r="AL55" s="43">
        <f t="shared" si="23"/>
        <v>0</v>
      </c>
      <c r="AN55" s="47">
        <f t="shared" si="24"/>
        <v>0</v>
      </c>
      <c r="AO55" s="47">
        <f t="shared" si="25"/>
        <v>0</v>
      </c>
      <c r="AP55" s="47">
        <f t="shared" si="26"/>
        <v>0</v>
      </c>
      <c r="AQ55" s="47">
        <f t="shared" si="27"/>
        <v>0</v>
      </c>
      <c r="AR55" s="43">
        <f t="shared" si="28"/>
        <v>0</v>
      </c>
      <c r="AY55" s="3"/>
    </row>
    <row r="56" spans="1:51">
      <c r="A56" s="48"/>
      <c r="B56" s="37">
        <f>'13. Desinvesteringen'!B339</f>
        <v>320</v>
      </c>
      <c r="C56" s="48"/>
      <c r="D56" s="48"/>
      <c r="E56" s="48"/>
      <c r="F56" s="354">
        <f>'5. Input GAW-waarde desinv.'!D15</f>
        <v>0</v>
      </c>
      <c r="G56" s="175">
        <f>'13. Desinvesteringen'!D339</f>
        <v>1964</v>
      </c>
      <c r="H56" s="175">
        <f>'13. Desinvesteringen'!G339</f>
        <v>2022</v>
      </c>
      <c r="I56" s="37" t="str">
        <f>'13. Desinvesteringen'!C339</f>
        <v>01 Regionale leidingen</v>
      </c>
      <c r="J56" s="165">
        <f>'13. Desinvesteringen'!F339</f>
        <v>0</v>
      </c>
      <c r="K56" s="38">
        <f>_xlfn.XLOOKUP(I56,'3. Input (des)investeringen '!$B$11:$B$89,'3. Input (des)investeringen '!$E$11:$E$89)</f>
        <v>1</v>
      </c>
      <c r="L56" s="48"/>
      <c r="M56" s="38">
        <f>_xlfn.XLOOKUP(I56,'3. Input (des)investeringen '!$B$11:$B$89,'3. Input (des)investeringen '!$D$11:$D$89,0)</f>
        <v>55</v>
      </c>
      <c r="N56" s="38">
        <f t="shared" si="13"/>
        <v>0</v>
      </c>
      <c r="P56" s="43">
        <f t="shared" si="0"/>
        <v>0</v>
      </c>
      <c r="Q56" s="43">
        <f t="shared" si="0"/>
        <v>0</v>
      </c>
      <c r="R56" s="43">
        <f t="shared" si="0"/>
        <v>0</v>
      </c>
      <c r="S56" s="43">
        <f t="shared" si="0"/>
        <v>0</v>
      </c>
      <c r="T56" s="43">
        <f t="shared" si="0"/>
        <v>0</v>
      </c>
      <c r="V56" s="43">
        <f t="shared" si="1"/>
        <v>0</v>
      </c>
      <c r="W56" s="43">
        <f t="shared" si="2"/>
        <v>0</v>
      </c>
      <c r="X56" s="43">
        <f t="shared" si="3"/>
        <v>0</v>
      </c>
      <c r="Y56" s="43">
        <f t="shared" si="4"/>
        <v>0</v>
      </c>
      <c r="Z56" s="43">
        <f t="shared" si="5"/>
        <v>0</v>
      </c>
      <c r="AB56" s="43">
        <f t="shared" si="14"/>
        <v>0</v>
      </c>
      <c r="AC56" s="43">
        <f t="shared" si="15"/>
        <v>0</v>
      </c>
      <c r="AD56" s="43">
        <f t="shared" si="16"/>
        <v>0</v>
      </c>
      <c r="AE56" s="43">
        <f t="shared" si="17"/>
        <v>0</v>
      </c>
      <c r="AF56" s="43">
        <f t="shared" si="18"/>
        <v>0</v>
      </c>
      <c r="AH56" s="43">
        <f t="shared" si="19"/>
        <v>0</v>
      </c>
      <c r="AI56" s="43">
        <f t="shared" si="20"/>
        <v>0</v>
      </c>
      <c r="AJ56" s="43">
        <f t="shared" si="21"/>
        <v>0</v>
      </c>
      <c r="AK56" s="43">
        <f t="shared" si="22"/>
        <v>0</v>
      </c>
      <c r="AL56" s="43">
        <f t="shared" si="23"/>
        <v>0</v>
      </c>
      <c r="AN56" s="47">
        <f t="shared" si="24"/>
        <v>0</v>
      </c>
      <c r="AO56" s="47">
        <f t="shared" si="25"/>
        <v>0</v>
      </c>
      <c r="AP56" s="47">
        <f t="shared" si="26"/>
        <v>0</v>
      </c>
      <c r="AQ56" s="47">
        <f t="shared" si="27"/>
        <v>0</v>
      </c>
      <c r="AR56" s="43">
        <f t="shared" si="28"/>
        <v>0</v>
      </c>
      <c r="AY56" s="3"/>
    </row>
    <row r="57" spans="1:51">
      <c r="A57" s="48"/>
      <c r="B57" s="37">
        <f>'13. Desinvesteringen'!B340</f>
        <v>321</v>
      </c>
      <c r="C57" s="48"/>
      <c r="D57" s="48"/>
      <c r="E57" s="48"/>
      <c r="F57" s="354">
        <f>'5. Input GAW-waarde desinv.'!D16</f>
        <v>0</v>
      </c>
      <c r="G57" s="175">
        <f>'13. Desinvesteringen'!D340</f>
        <v>1965</v>
      </c>
      <c r="H57" s="175">
        <f>'13. Desinvesteringen'!G340</f>
        <v>2022</v>
      </c>
      <c r="I57" s="37" t="str">
        <f>'13. Desinvesteringen'!C340</f>
        <v>01 Regionale leidingen</v>
      </c>
      <c r="J57" s="165">
        <f>'13. Desinvesteringen'!F340</f>
        <v>0</v>
      </c>
      <c r="K57" s="38">
        <f>_xlfn.XLOOKUP(I57,'3. Input (des)investeringen '!$B$11:$B$89,'3. Input (des)investeringen '!$E$11:$E$89)</f>
        <v>1</v>
      </c>
      <c r="L57" s="48"/>
      <c r="M57" s="38">
        <f>_xlfn.XLOOKUP(I57,'3. Input (des)investeringen '!$B$11:$B$89,'3. Input (des)investeringen '!$D$11:$D$89,0)</f>
        <v>55</v>
      </c>
      <c r="N57" s="38">
        <f t="shared" si="13"/>
        <v>0</v>
      </c>
      <c r="P57" s="43">
        <f t="shared" si="0"/>
        <v>0</v>
      </c>
      <c r="Q57" s="43">
        <f t="shared" si="0"/>
        <v>0</v>
      </c>
      <c r="R57" s="43">
        <f t="shared" si="0"/>
        <v>0</v>
      </c>
      <c r="S57" s="43">
        <f t="shared" si="0"/>
        <v>0</v>
      </c>
      <c r="T57" s="43">
        <f t="shared" si="0"/>
        <v>0</v>
      </c>
      <c r="V57" s="43">
        <f t="shared" si="1"/>
        <v>0</v>
      </c>
      <c r="W57" s="43">
        <f t="shared" si="2"/>
        <v>0</v>
      </c>
      <c r="X57" s="43">
        <f t="shared" si="3"/>
        <v>0</v>
      </c>
      <c r="Y57" s="43">
        <f t="shared" si="4"/>
        <v>0</v>
      </c>
      <c r="Z57" s="43">
        <f t="shared" si="5"/>
        <v>0</v>
      </c>
      <c r="AB57" s="43">
        <f t="shared" si="14"/>
        <v>0</v>
      </c>
      <c r="AC57" s="43">
        <f t="shared" si="15"/>
        <v>0</v>
      </c>
      <c r="AD57" s="43">
        <f t="shared" si="16"/>
        <v>0</v>
      </c>
      <c r="AE57" s="43">
        <f t="shared" si="17"/>
        <v>0</v>
      </c>
      <c r="AF57" s="43">
        <f t="shared" si="18"/>
        <v>0</v>
      </c>
      <c r="AH57" s="43">
        <f t="shared" si="19"/>
        <v>0</v>
      </c>
      <c r="AI57" s="43">
        <f t="shared" si="20"/>
        <v>0</v>
      </c>
      <c r="AJ57" s="43">
        <f t="shared" si="21"/>
        <v>0</v>
      </c>
      <c r="AK57" s="43">
        <f t="shared" si="22"/>
        <v>0</v>
      </c>
      <c r="AL57" s="43">
        <f t="shared" si="23"/>
        <v>0</v>
      </c>
      <c r="AN57" s="47">
        <f t="shared" si="24"/>
        <v>0</v>
      </c>
      <c r="AO57" s="47">
        <f t="shared" si="25"/>
        <v>0</v>
      </c>
      <c r="AP57" s="47">
        <f t="shared" si="26"/>
        <v>0</v>
      </c>
      <c r="AQ57" s="47">
        <f t="shared" si="27"/>
        <v>0</v>
      </c>
      <c r="AR57" s="43">
        <f t="shared" si="28"/>
        <v>0</v>
      </c>
      <c r="AY57" s="3"/>
    </row>
    <row r="58" spans="1:51">
      <c r="A58" s="48"/>
      <c r="B58" s="37">
        <f>'13. Desinvesteringen'!B341</f>
        <v>322</v>
      </c>
      <c r="C58" s="48"/>
      <c r="D58" s="48"/>
      <c r="E58" s="48"/>
      <c r="F58" s="354">
        <f>'5. Input GAW-waarde desinv.'!D17</f>
        <v>0</v>
      </c>
      <c r="G58" s="175">
        <f>'13. Desinvesteringen'!D341</f>
        <v>1966</v>
      </c>
      <c r="H58" s="175">
        <f>'13. Desinvesteringen'!G341</f>
        <v>2022</v>
      </c>
      <c r="I58" s="37" t="str">
        <f>'13. Desinvesteringen'!C341</f>
        <v>01 Regionale leidingen</v>
      </c>
      <c r="J58" s="165">
        <f>'13. Desinvesteringen'!F341</f>
        <v>0</v>
      </c>
      <c r="K58" s="38">
        <f>_xlfn.XLOOKUP(I58,'3. Input (des)investeringen '!$B$11:$B$89,'3. Input (des)investeringen '!$E$11:$E$89)</f>
        <v>1</v>
      </c>
      <c r="L58" s="48"/>
      <c r="M58" s="38">
        <f>_xlfn.XLOOKUP(I58,'3. Input (des)investeringen '!$B$11:$B$89,'3. Input (des)investeringen '!$D$11:$D$89,0)</f>
        <v>55</v>
      </c>
      <c r="N58" s="38">
        <f t="shared" si="13"/>
        <v>0</v>
      </c>
      <c r="P58" s="43">
        <f t="shared" si="0"/>
        <v>0</v>
      </c>
      <c r="Q58" s="43">
        <f t="shared" si="0"/>
        <v>0</v>
      </c>
      <c r="R58" s="43">
        <f t="shared" si="0"/>
        <v>0</v>
      </c>
      <c r="S58" s="43">
        <f t="shared" si="0"/>
        <v>0</v>
      </c>
      <c r="T58" s="43">
        <f t="shared" si="0"/>
        <v>0</v>
      </c>
      <c r="V58" s="43">
        <f t="shared" si="1"/>
        <v>0</v>
      </c>
      <c r="W58" s="43">
        <f t="shared" si="2"/>
        <v>0</v>
      </c>
      <c r="X58" s="43">
        <f t="shared" si="3"/>
        <v>0</v>
      </c>
      <c r="Y58" s="43">
        <f t="shared" si="4"/>
        <v>0</v>
      </c>
      <c r="Z58" s="43">
        <f t="shared" si="5"/>
        <v>0</v>
      </c>
      <c r="AB58" s="43">
        <f t="shared" si="14"/>
        <v>0</v>
      </c>
      <c r="AC58" s="43">
        <f t="shared" si="15"/>
        <v>0</v>
      </c>
      <c r="AD58" s="43">
        <f t="shared" si="16"/>
        <v>0</v>
      </c>
      <c r="AE58" s="43">
        <f t="shared" si="17"/>
        <v>0</v>
      </c>
      <c r="AF58" s="43">
        <f t="shared" si="18"/>
        <v>0</v>
      </c>
      <c r="AH58" s="43">
        <f t="shared" si="19"/>
        <v>0</v>
      </c>
      <c r="AI58" s="43">
        <f t="shared" si="20"/>
        <v>0</v>
      </c>
      <c r="AJ58" s="43">
        <f t="shared" si="21"/>
        <v>0</v>
      </c>
      <c r="AK58" s="43">
        <f t="shared" si="22"/>
        <v>0</v>
      </c>
      <c r="AL58" s="43">
        <f t="shared" si="23"/>
        <v>0</v>
      </c>
      <c r="AN58" s="47">
        <f t="shared" si="24"/>
        <v>0</v>
      </c>
      <c r="AO58" s="47">
        <f t="shared" si="25"/>
        <v>0</v>
      </c>
      <c r="AP58" s="47">
        <f t="shared" si="26"/>
        <v>0</v>
      </c>
      <c r="AQ58" s="47">
        <f t="shared" si="27"/>
        <v>0</v>
      </c>
      <c r="AR58" s="43">
        <f t="shared" si="28"/>
        <v>0</v>
      </c>
      <c r="AY58" s="3"/>
    </row>
    <row r="59" spans="1:51">
      <c r="A59" s="48"/>
      <c r="B59" s="37">
        <f>'13. Desinvesteringen'!B342</f>
        <v>323</v>
      </c>
      <c r="C59" s="48"/>
      <c r="D59" s="48"/>
      <c r="E59" s="48"/>
      <c r="F59" s="354">
        <f>'5. Input GAW-waarde desinv.'!D18</f>
        <v>4800.0618690721003</v>
      </c>
      <c r="G59" s="175">
        <f>'13. Desinvesteringen'!D342</f>
        <v>1967</v>
      </c>
      <c r="H59" s="175">
        <f>'13. Desinvesteringen'!G342</f>
        <v>2022</v>
      </c>
      <c r="I59" s="37" t="str">
        <f>'13. Desinvesteringen'!C342</f>
        <v>01 Regionale leidingen</v>
      </c>
      <c r="J59" s="165">
        <f>'13. Desinvesteringen'!F342</f>
        <v>0</v>
      </c>
      <c r="K59" s="38">
        <f>_xlfn.XLOOKUP(I59,'3. Input (des)investeringen '!$B$11:$B$89,'3. Input (des)investeringen '!$E$11:$E$89)</f>
        <v>1</v>
      </c>
      <c r="L59" s="48"/>
      <c r="M59" s="38">
        <f>_xlfn.XLOOKUP(I59,'3. Input (des)investeringen '!$B$11:$B$89,'3. Input (des)investeringen '!$D$11:$D$89,0)</f>
        <v>55</v>
      </c>
      <c r="N59" s="38">
        <f t="shared" si="13"/>
        <v>0.5</v>
      </c>
      <c r="P59" s="43">
        <f t="shared" si="0"/>
        <v>4320.0556821648906</v>
      </c>
      <c r="Q59" s="43">
        <f t="shared" si="0"/>
        <v>0</v>
      </c>
      <c r="R59" s="43">
        <f t="shared" si="0"/>
        <v>0</v>
      </c>
      <c r="S59" s="43">
        <f t="shared" si="0"/>
        <v>0</v>
      </c>
      <c r="T59" s="43">
        <f t="shared" si="0"/>
        <v>0</v>
      </c>
      <c r="V59" s="43">
        <f t="shared" si="1"/>
        <v>480.00618690721006</v>
      </c>
      <c r="W59" s="43">
        <f t="shared" si="2"/>
        <v>0</v>
      </c>
      <c r="X59" s="43">
        <f t="shared" si="3"/>
        <v>0</v>
      </c>
      <c r="Y59" s="43">
        <f t="shared" si="4"/>
        <v>0</v>
      </c>
      <c r="Z59" s="43">
        <f t="shared" si="5"/>
        <v>0</v>
      </c>
      <c r="AB59" s="43">
        <f t="shared" si="14"/>
        <v>4800.0618690721003</v>
      </c>
      <c r="AC59" s="43">
        <f t="shared" si="15"/>
        <v>0</v>
      </c>
      <c r="AD59" s="43">
        <f t="shared" si="16"/>
        <v>0</v>
      </c>
      <c r="AE59" s="43">
        <f t="shared" si="17"/>
        <v>0</v>
      </c>
      <c r="AF59" s="43">
        <f t="shared" si="18"/>
        <v>0</v>
      </c>
      <c r="AH59" s="43">
        <f t="shared" si="19"/>
        <v>0</v>
      </c>
      <c r="AI59" s="43">
        <f t="shared" si="20"/>
        <v>0</v>
      </c>
      <c r="AJ59" s="43">
        <f t="shared" si="21"/>
        <v>0</v>
      </c>
      <c r="AK59" s="43">
        <f t="shared" si="22"/>
        <v>0</v>
      </c>
      <c r="AL59" s="43">
        <f t="shared" si="23"/>
        <v>0</v>
      </c>
      <c r="AN59" s="47">
        <f t="shared" si="24"/>
        <v>4800.0618690721003</v>
      </c>
      <c r="AO59" s="47">
        <f t="shared" si="25"/>
        <v>0</v>
      </c>
      <c r="AP59" s="47">
        <f t="shared" si="26"/>
        <v>0</v>
      </c>
      <c r="AQ59" s="47">
        <f t="shared" si="27"/>
        <v>0</v>
      </c>
      <c r="AR59" s="43">
        <f t="shared" si="28"/>
        <v>0</v>
      </c>
      <c r="AY59" s="3"/>
    </row>
    <row r="60" spans="1:51">
      <c r="A60" s="48"/>
      <c r="B60" s="37">
        <f>'13. Desinvesteringen'!B343</f>
        <v>324</v>
      </c>
      <c r="C60" s="48"/>
      <c r="D60" s="48"/>
      <c r="E60" s="48"/>
      <c r="F60" s="354">
        <f>'5. Input GAW-waarde desinv.'!D19</f>
        <v>7362.4523493487277</v>
      </c>
      <c r="G60" s="175">
        <f>'13. Desinvesteringen'!D343</f>
        <v>1968</v>
      </c>
      <c r="H60" s="175">
        <f>'13. Desinvesteringen'!G343</f>
        <v>2022</v>
      </c>
      <c r="I60" s="37" t="str">
        <f>'13. Desinvesteringen'!C343</f>
        <v>01 Regionale leidingen</v>
      </c>
      <c r="J60" s="165">
        <f>'13. Desinvesteringen'!F343</f>
        <v>0</v>
      </c>
      <c r="K60" s="38">
        <f>_xlfn.XLOOKUP(I60,'3. Input (des)investeringen '!$B$11:$B$89,'3. Input (des)investeringen '!$E$11:$E$89)</f>
        <v>1</v>
      </c>
      <c r="L60" s="48"/>
      <c r="M60" s="38">
        <f>_xlfn.XLOOKUP(I60,'3. Input (des)investeringen '!$B$11:$B$89,'3. Input (des)investeringen '!$D$11:$D$89,0)</f>
        <v>55</v>
      </c>
      <c r="N60" s="38">
        <f t="shared" si="13"/>
        <v>1.5</v>
      </c>
      <c r="P60" s="43">
        <f t="shared" si="0"/>
        <v>5742.7128324920077</v>
      </c>
      <c r="Q60" s="43">
        <f t="shared" si="0"/>
        <v>883.49428192184735</v>
      </c>
      <c r="R60" s="43">
        <f t="shared" si="0"/>
        <v>0</v>
      </c>
      <c r="S60" s="43">
        <f t="shared" si="0"/>
        <v>0</v>
      </c>
      <c r="T60" s="43">
        <f t="shared" si="0"/>
        <v>0</v>
      </c>
      <c r="V60" s="43">
        <f t="shared" si="1"/>
        <v>490.83015662324851</v>
      </c>
      <c r="W60" s="43">
        <f t="shared" si="2"/>
        <v>245.41507831162426</v>
      </c>
      <c r="X60" s="43">
        <f t="shared" si="3"/>
        <v>0</v>
      </c>
      <c r="Y60" s="43">
        <f t="shared" si="4"/>
        <v>0</v>
      </c>
      <c r="Z60" s="43">
        <f t="shared" si="5"/>
        <v>0</v>
      </c>
      <c r="AB60" s="43">
        <f t="shared" si="14"/>
        <v>6233.5429891152562</v>
      </c>
      <c r="AC60" s="43">
        <f t="shared" si="15"/>
        <v>1128.9093602334715</v>
      </c>
      <c r="AD60" s="43">
        <f t="shared" si="16"/>
        <v>0</v>
      </c>
      <c r="AE60" s="43">
        <f t="shared" si="17"/>
        <v>0</v>
      </c>
      <c r="AF60" s="43">
        <f t="shared" si="18"/>
        <v>0</v>
      </c>
      <c r="AH60" s="43">
        <f t="shared" si="19"/>
        <v>1128.9093602334715</v>
      </c>
      <c r="AI60" s="43">
        <f t="shared" si="20"/>
        <v>0</v>
      </c>
      <c r="AJ60" s="43">
        <f t="shared" si="21"/>
        <v>0</v>
      </c>
      <c r="AK60" s="43">
        <f t="shared" si="22"/>
        <v>0</v>
      </c>
      <c r="AL60" s="43">
        <f t="shared" si="23"/>
        <v>0</v>
      </c>
      <c r="AN60" s="47">
        <f t="shared" si="24"/>
        <v>6279.8282728848289</v>
      </c>
      <c r="AO60" s="47">
        <f t="shared" si="25"/>
        <v>1128.9093602334715</v>
      </c>
      <c r="AP60" s="47">
        <f t="shared" si="26"/>
        <v>0</v>
      </c>
      <c r="AQ60" s="47">
        <f t="shared" si="27"/>
        <v>0</v>
      </c>
      <c r="AR60" s="43">
        <f t="shared" si="28"/>
        <v>0</v>
      </c>
      <c r="AY60" s="3"/>
    </row>
    <row r="61" spans="1:51">
      <c r="A61" s="48"/>
      <c r="B61" s="37">
        <f>'13. Desinvesteringen'!B344</f>
        <v>325</v>
      </c>
      <c r="C61" s="48"/>
      <c r="D61" s="48"/>
      <c r="E61" s="48"/>
      <c r="F61" s="354">
        <f>'5. Input GAW-waarde desinv.'!D20</f>
        <v>19106.465971183679</v>
      </c>
      <c r="G61" s="175">
        <f>'13. Desinvesteringen'!D344</f>
        <v>1969</v>
      </c>
      <c r="H61" s="175">
        <f>'13. Desinvesteringen'!G344</f>
        <v>2022</v>
      </c>
      <c r="I61" s="37" t="str">
        <f>'13. Desinvesteringen'!C344</f>
        <v>01 Regionale leidingen</v>
      </c>
      <c r="J61" s="165">
        <f>'13. Desinvesteringen'!F344</f>
        <v>0</v>
      </c>
      <c r="K61" s="38">
        <f>_xlfn.XLOOKUP(I61,'3. Input (des)investeringen '!$B$11:$B$89,'3. Input (des)investeringen '!$E$11:$E$89)</f>
        <v>1</v>
      </c>
      <c r="L61" s="48"/>
      <c r="M61" s="38">
        <f>_xlfn.XLOOKUP(I61,'3. Input (des)investeringen '!$B$11:$B$89,'3. Input (des)investeringen '!$D$11:$D$89,0)</f>
        <v>55</v>
      </c>
      <c r="N61" s="38">
        <f t="shared" si="13"/>
        <v>2.5</v>
      </c>
      <c r="P61" s="43">
        <f t="shared" si="0"/>
        <v>8941.8260745139614</v>
      </c>
      <c r="Q61" s="43">
        <f t="shared" si="0"/>
        <v>5502.6621997009006</v>
      </c>
      <c r="R61" s="43">
        <f t="shared" si="0"/>
        <v>2751.3310998504503</v>
      </c>
      <c r="S61" s="43">
        <f t="shared" si="0"/>
        <v>0</v>
      </c>
      <c r="T61" s="43">
        <f t="shared" si="0"/>
        <v>0</v>
      </c>
      <c r="V61" s="43">
        <f t="shared" si="1"/>
        <v>764.25863884734724</v>
      </c>
      <c r="W61" s="43">
        <f t="shared" si="2"/>
        <v>764.25863884734724</v>
      </c>
      <c r="X61" s="43">
        <f t="shared" si="3"/>
        <v>382.12931942367362</v>
      </c>
      <c r="Y61" s="43">
        <f t="shared" si="4"/>
        <v>0</v>
      </c>
      <c r="Z61" s="43">
        <f t="shared" si="5"/>
        <v>0</v>
      </c>
      <c r="AB61" s="43">
        <f t="shared" si="14"/>
        <v>9706.0847133613079</v>
      </c>
      <c r="AC61" s="43">
        <f t="shared" si="15"/>
        <v>6266.920838548248</v>
      </c>
      <c r="AD61" s="43">
        <f t="shared" si="16"/>
        <v>3133.460419274124</v>
      </c>
      <c r="AE61" s="43">
        <f t="shared" si="17"/>
        <v>0</v>
      </c>
      <c r="AF61" s="43">
        <f t="shared" si="18"/>
        <v>0</v>
      </c>
      <c r="AH61" s="43">
        <f t="shared" si="19"/>
        <v>9400.3812578223715</v>
      </c>
      <c r="AI61" s="43">
        <f t="shared" si="20"/>
        <v>3133.4604192741235</v>
      </c>
      <c r="AJ61" s="43">
        <f t="shared" si="21"/>
        <v>0</v>
      </c>
      <c r="AK61" s="43">
        <f t="shared" si="22"/>
        <v>0</v>
      </c>
      <c r="AL61" s="43">
        <f t="shared" si="23"/>
        <v>0</v>
      </c>
      <c r="AN61" s="47">
        <f t="shared" si="24"/>
        <v>10091.500344932025</v>
      </c>
      <c r="AO61" s="47">
        <f t="shared" si="25"/>
        <v>6426.7273199312285</v>
      </c>
      <c r="AP61" s="47">
        <f t="shared" si="26"/>
        <v>3133.460419274124</v>
      </c>
      <c r="AQ61" s="47">
        <f t="shared" si="27"/>
        <v>0</v>
      </c>
      <c r="AR61" s="43">
        <f t="shared" si="28"/>
        <v>0</v>
      </c>
      <c r="AY61" s="3"/>
    </row>
    <row r="62" spans="1:51">
      <c r="A62" s="48"/>
      <c r="B62" s="37">
        <f>'13. Desinvesteringen'!B345</f>
        <v>326</v>
      </c>
      <c r="C62" s="48"/>
      <c r="D62" s="48"/>
      <c r="E62" s="48"/>
      <c r="F62" s="354">
        <f>'5. Input GAW-waarde desinv.'!D21</f>
        <v>34361.047919882221</v>
      </c>
      <c r="G62" s="175">
        <f>'13. Desinvesteringen'!D345</f>
        <v>1970</v>
      </c>
      <c r="H62" s="175">
        <f>'13. Desinvesteringen'!G345</f>
        <v>2022</v>
      </c>
      <c r="I62" s="37" t="str">
        <f>'13. Desinvesteringen'!C345</f>
        <v>01 Regionale leidingen</v>
      </c>
      <c r="J62" s="165">
        <f>'13. Desinvesteringen'!F345</f>
        <v>0</v>
      </c>
      <c r="K62" s="38">
        <f>_xlfn.XLOOKUP(I62,'3. Input (des)investeringen '!$B$11:$B$89,'3. Input (des)investeringen '!$E$11:$E$89)</f>
        <v>1</v>
      </c>
      <c r="L62" s="48"/>
      <c r="M62" s="38">
        <f>_xlfn.XLOOKUP(I62,'3. Input (des)investeringen '!$B$11:$B$89,'3. Input (des)investeringen '!$D$11:$D$89,0)</f>
        <v>55</v>
      </c>
      <c r="N62" s="38">
        <f t="shared" si="13"/>
        <v>3.5</v>
      </c>
      <c r="P62" s="43">
        <f t="shared" ref="P62:T71" si="29">IF($M62&gt;0, IF(OR($G62&gt;P$50,$G62+$M62&lt;P$50),0,
VDB($F62,0,$N62,MAX(0,P$50-2022),MIN($N62,P$50-2021),$F$23,FALSE))*(1-$F$26), 0)</f>
        <v>11486.407447503487</v>
      </c>
      <c r="Q62" s="43">
        <f t="shared" si="29"/>
        <v>7775.4142721562039</v>
      </c>
      <c r="R62" s="43">
        <f t="shared" si="29"/>
        <v>7775.4142721562039</v>
      </c>
      <c r="S62" s="43">
        <f t="shared" si="29"/>
        <v>3887.7071360781019</v>
      </c>
      <c r="T62" s="43">
        <f t="shared" si="29"/>
        <v>0</v>
      </c>
      <c r="V62" s="43">
        <f t="shared" si="1"/>
        <v>981.74422628234925</v>
      </c>
      <c r="W62" s="43">
        <f t="shared" si="2"/>
        <v>981.74422628234936</v>
      </c>
      <c r="X62" s="43">
        <f t="shared" si="3"/>
        <v>981.74422628234936</v>
      </c>
      <c r="Y62" s="43">
        <f t="shared" si="4"/>
        <v>490.87211314117468</v>
      </c>
      <c r="Z62" s="43">
        <f t="shared" si="5"/>
        <v>0</v>
      </c>
      <c r="AB62" s="43">
        <f t="shared" si="14"/>
        <v>12468.151673785836</v>
      </c>
      <c r="AC62" s="43">
        <f t="shared" si="15"/>
        <v>8757.1584984385536</v>
      </c>
      <c r="AD62" s="43">
        <f t="shared" si="16"/>
        <v>8757.1584984385536</v>
      </c>
      <c r="AE62" s="43">
        <f t="shared" si="17"/>
        <v>4378.5792492192768</v>
      </c>
      <c r="AF62" s="43">
        <f t="shared" si="18"/>
        <v>0</v>
      </c>
      <c r="AH62" s="43">
        <f t="shared" si="19"/>
        <v>21892.896246096385</v>
      </c>
      <c r="AI62" s="43">
        <f t="shared" si="20"/>
        <v>13135.737747657831</v>
      </c>
      <c r="AJ62" s="43">
        <f t="shared" si="21"/>
        <v>4378.5792492192777</v>
      </c>
      <c r="AK62" s="43">
        <f t="shared" si="22"/>
        <v>0</v>
      </c>
      <c r="AL62" s="43">
        <f t="shared" si="23"/>
        <v>0</v>
      </c>
      <c r="AN62" s="47">
        <f t="shared" si="24"/>
        <v>13365.760419875789</v>
      </c>
      <c r="AO62" s="47">
        <f t="shared" si="25"/>
        <v>9427.0811235691035</v>
      </c>
      <c r="AP62" s="47">
        <f t="shared" si="26"/>
        <v>8980.4660401487363</v>
      </c>
      <c r="AQ62" s="47">
        <f t="shared" si="27"/>
        <v>4378.5792492192768</v>
      </c>
      <c r="AR62" s="43">
        <f t="shared" si="28"/>
        <v>0</v>
      </c>
      <c r="AY62" s="3"/>
    </row>
    <row r="63" spans="1:51">
      <c r="A63" s="48"/>
      <c r="B63" s="37">
        <f>'13. Desinvesteringen'!B346</f>
        <v>327</v>
      </c>
      <c r="C63" s="48"/>
      <c r="D63" s="48"/>
      <c r="E63" s="48"/>
      <c r="F63" s="354">
        <f>'5. Input GAW-waarde desinv.'!D22</f>
        <v>24689.78297700132</v>
      </c>
      <c r="G63" s="175">
        <f>'13. Desinvesteringen'!D346</f>
        <v>1971</v>
      </c>
      <c r="H63" s="175">
        <f>'13. Desinvesteringen'!G346</f>
        <v>2022</v>
      </c>
      <c r="I63" s="37" t="str">
        <f>'13. Desinvesteringen'!C346</f>
        <v>01 Regionale leidingen</v>
      </c>
      <c r="J63" s="165">
        <f>'13. Desinvesteringen'!F346</f>
        <v>0</v>
      </c>
      <c r="K63" s="38">
        <f>_xlfn.XLOOKUP(I63,'3. Input (des)investeringen '!$B$11:$B$89,'3. Input (des)investeringen '!$E$11:$E$89)</f>
        <v>1</v>
      </c>
      <c r="L63" s="48"/>
      <c r="M63" s="38">
        <f>_xlfn.XLOOKUP(I63,'3. Input (des)investeringen '!$B$11:$B$89,'3. Input (des)investeringen '!$D$11:$D$89,0)</f>
        <v>55</v>
      </c>
      <c r="N63" s="38">
        <f t="shared" si="13"/>
        <v>4.5</v>
      </c>
      <c r="P63" s="43">
        <f t="shared" si="29"/>
        <v>6419.343574020344</v>
      </c>
      <c r="Q63" s="43">
        <f t="shared" si="29"/>
        <v>4564.8665415255773</v>
      </c>
      <c r="R63" s="43">
        <f t="shared" si="29"/>
        <v>4494.6378255021073</v>
      </c>
      <c r="S63" s="43">
        <f t="shared" si="29"/>
        <v>4494.6378255021073</v>
      </c>
      <c r="T63" s="43">
        <f t="shared" si="29"/>
        <v>2247.3189127510536</v>
      </c>
      <c r="V63" s="43">
        <f t="shared" si="1"/>
        <v>548.66184393336266</v>
      </c>
      <c r="W63" s="43">
        <f t="shared" si="2"/>
        <v>548.66184393336277</v>
      </c>
      <c r="X63" s="43">
        <f t="shared" si="3"/>
        <v>548.66184393336277</v>
      </c>
      <c r="Y63" s="43">
        <f t="shared" si="4"/>
        <v>548.66184393336277</v>
      </c>
      <c r="Z63" s="43">
        <f t="shared" si="5"/>
        <v>274.33092196668139</v>
      </c>
      <c r="AB63" s="43">
        <f t="shared" si="14"/>
        <v>6968.0054179537065</v>
      </c>
      <c r="AC63" s="43">
        <f t="shared" si="15"/>
        <v>5113.5283854589397</v>
      </c>
      <c r="AD63" s="43">
        <f t="shared" si="16"/>
        <v>5043.2996694354697</v>
      </c>
      <c r="AE63" s="43">
        <f t="shared" si="17"/>
        <v>5043.2996694354697</v>
      </c>
      <c r="AF63" s="43">
        <f t="shared" si="18"/>
        <v>2521.6498347177348</v>
      </c>
      <c r="AH63" s="43">
        <f t="shared" si="19"/>
        <v>17721.777559047612</v>
      </c>
      <c r="AI63" s="43">
        <f t="shared" si="20"/>
        <v>12608.249173588672</v>
      </c>
      <c r="AJ63" s="43">
        <f t="shared" si="21"/>
        <v>7564.9495041532027</v>
      </c>
      <c r="AK63" s="43">
        <f t="shared" si="22"/>
        <v>2521.649834717733</v>
      </c>
      <c r="AL63" s="43">
        <f t="shared" si="23"/>
        <v>0</v>
      </c>
      <c r="AN63" s="47">
        <f t="shared" si="24"/>
        <v>7694.5982978746588</v>
      </c>
      <c r="AO63" s="47">
        <f t="shared" si="25"/>
        <v>5756.5490933119618</v>
      </c>
      <c r="AP63" s="47">
        <f t="shared" si="26"/>
        <v>5429.1120941472827</v>
      </c>
      <c r="AQ63" s="47">
        <f t="shared" si="27"/>
        <v>5181.9904103449453</v>
      </c>
      <c r="AR63" s="43">
        <f t="shared" si="28"/>
        <v>2521.6498347177348</v>
      </c>
      <c r="AY63" s="3"/>
    </row>
    <row r="64" spans="1:51">
      <c r="A64" s="48"/>
      <c r="B64" s="37">
        <f>'13. Desinvesteringen'!B347</f>
        <v>328</v>
      </c>
      <c r="C64" s="48"/>
      <c r="D64" s="48"/>
      <c r="E64" s="48"/>
      <c r="F64" s="354">
        <f>'5. Input GAW-waarde desinv.'!D23</f>
        <v>84795.96142136406</v>
      </c>
      <c r="G64" s="175">
        <f>'13. Desinvesteringen'!D347</f>
        <v>1972</v>
      </c>
      <c r="H64" s="175">
        <f>'13. Desinvesteringen'!G347</f>
        <v>2022</v>
      </c>
      <c r="I64" s="37" t="str">
        <f>'13. Desinvesteringen'!C347</f>
        <v>01 Regionale leidingen</v>
      </c>
      <c r="J64" s="165">
        <f>'13. Desinvesteringen'!F347</f>
        <v>0</v>
      </c>
      <c r="K64" s="38">
        <f>_xlfn.XLOOKUP(I64,'3. Input (des)investeringen '!$B$11:$B$89,'3. Input (des)investeringen '!$E$11:$E$89)</f>
        <v>1</v>
      </c>
      <c r="L64" s="48"/>
      <c r="M64" s="38">
        <f>_xlfn.XLOOKUP(I64,'3. Input (des)investeringen '!$B$11:$B$89,'3. Input (des)investeringen '!$D$11:$D$89,0)</f>
        <v>55</v>
      </c>
      <c r="N64" s="38">
        <f t="shared" si="13"/>
        <v>5.5</v>
      </c>
      <c r="P64" s="43">
        <f t="shared" si="29"/>
        <v>18038.413611453812</v>
      </c>
      <c r="Q64" s="43">
        <f t="shared" si="29"/>
        <v>13774.788576019271</v>
      </c>
      <c r="R64" s="43">
        <f t="shared" si="29"/>
        <v>12715.189454787022</v>
      </c>
      <c r="S64" s="43">
        <f t="shared" si="29"/>
        <v>12715.189454787022</v>
      </c>
      <c r="T64" s="43">
        <f t="shared" si="29"/>
        <v>12715.189454787022</v>
      </c>
      <c r="V64" s="43">
        <f t="shared" si="1"/>
        <v>1541.7447531157104</v>
      </c>
      <c r="W64" s="43">
        <f t="shared" si="2"/>
        <v>1541.7447531157104</v>
      </c>
      <c r="X64" s="43">
        <f t="shared" si="3"/>
        <v>1541.7447531157104</v>
      </c>
      <c r="Y64" s="43">
        <f t="shared" si="4"/>
        <v>1541.7447531157104</v>
      </c>
      <c r="Z64" s="43">
        <f t="shared" si="5"/>
        <v>1541.7447531157104</v>
      </c>
      <c r="AB64" s="43">
        <f t="shared" si="14"/>
        <v>19580.158364569521</v>
      </c>
      <c r="AC64" s="43">
        <f t="shared" si="15"/>
        <v>15316.533329134982</v>
      </c>
      <c r="AD64" s="43">
        <f t="shared" si="16"/>
        <v>14256.934207902732</v>
      </c>
      <c r="AE64" s="43">
        <f t="shared" si="17"/>
        <v>14256.934207902732</v>
      </c>
      <c r="AF64" s="43">
        <f t="shared" si="18"/>
        <v>14256.934207902732</v>
      </c>
      <c r="AH64" s="43">
        <f t="shared" si="19"/>
        <v>65215.803056794539</v>
      </c>
      <c r="AI64" s="43">
        <f t="shared" si="20"/>
        <v>49899.269727659557</v>
      </c>
      <c r="AJ64" s="43">
        <f t="shared" si="21"/>
        <v>35642.335519756823</v>
      </c>
      <c r="AK64" s="43">
        <f t="shared" si="22"/>
        <v>21385.40131185409</v>
      </c>
      <c r="AL64" s="43">
        <f t="shared" si="23"/>
        <v>7128.4671039513578</v>
      </c>
      <c r="AN64" s="47">
        <f t="shared" si="24"/>
        <v>22254.006289898098</v>
      </c>
      <c r="AO64" s="47">
        <f t="shared" si="25"/>
        <v>17861.396085245618</v>
      </c>
      <c r="AP64" s="47">
        <f t="shared" si="26"/>
        <v>16074.693319410329</v>
      </c>
      <c r="AQ64" s="47">
        <f t="shared" si="27"/>
        <v>15433.131280054708</v>
      </c>
      <c r="AR64" s="43">
        <f t="shared" si="28"/>
        <v>14527.815957852883</v>
      </c>
      <c r="AY64" s="3"/>
    </row>
    <row r="65" spans="1:51">
      <c r="A65" s="48"/>
      <c r="B65" s="37">
        <f>'13. Desinvesteringen'!B348</f>
        <v>329</v>
      </c>
      <c r="C65" s="48"/>
      <c r="D65" s="48"/>
      <c r="E65" s="48"/>
      <c r="F65" s="354">
        <f>'5. Input GAW-waarde desinv.'!D24</f>
        <v>73143.543504977206</v>
      </c>
      <c r="G65" s="175">
        <f>'13. Desinvesteringen'!D348</f>
        <v>1973</v>
      </c>
      <c r="H65" s="175">
        <f>'13. Desinvesteringen'!G348</f>
        <v>2022</v>
      </c>
      <c r="I65" s="37" t="str">
        <f>'13. Desinvesteringen'!C348</f>
        <v>01 Regionale leidingen</v>
      </c>
      <c r="J65" s="165">
        <f>'13. Desinvesteringen'!F348</f>
        <v>0</v>
      </c>
      <c r="K65" s="38">
        <f>_xlfn.XLOOKUP(I65,'3. Input (des)investeringen '!$B$11:$B$89,'3. Input (des)investeringen '!$E$11:$E$89)</f>
        <v>1</v>
      </c>
      <c r="L65" s="48"/>
      <c r="M65" s="38">
        <f>_xlfn.XLOOKUP(I65,'3. Input (des)investeringen '!$B$11:$B$89,'3. Input (des)investeringen '!$D$11:$D$89,0)</f>
        <v>55</v>
      </c>
      <c r="N65" s="38">
        <f t="shared" si="13"/>
        <v>6.5</v>
      </c>
      <c r="P65" s="43">
        <f t="shared" si="29"/>
        <v>13165.837830895898</v>
      </c>
      <c r="Q65" s="43">
        <f t="shared" si="29"/>
        <v>10532.670264716719</v>
      </c>
      <c r="R65" s="43">
        <f t="shared" si="29"/>
        <v>9362.3735686370837</v>
      </c>
      <c r="S65" s="43">
        <f t="shared" si="29"/>
        <v>9362.3735686370837</v>
      </c>
      <c r="T65" s="43">
        <f t="shared" si="29"/>
        <v>9362.3735686370837</v>
      </c>
      <c r="V65" s="43">
        <f t="shared" si="1"/>
        <v>1125.285284691957</v>
      </c>
      <c r="W65" s="43">
        <f t="shared" si="2"/>
        <v>1125.285284691957</v>
      </c>
      <c r="X65" s="43">
        <f t="shared" si="3"/>
        <v>1125.285284691957</v>
      </c>
      <c r="Y65" s="43">
        <f t="shared" si="4"/>
        <v>1125.285284691957</v>
      </c>
      <c r="Z65" s="43">
        <f t="shared" si="5"/>
        <v>1125.285284691957</v>
      </c>
      <c r="AB65" s="43">
        <f t="shared" si="14"/>
        <v>14291.123115587856</v>
      </c>
      <c r="AC65" s="43">
        <f t="shared" si="15"/>
        <v>11657.955549408676</v>
      </c>
      <c r="AD65" s="43">
        <f t="shared" si="16"/>
        <v>10487.658853329041</v>
      </c>
      <c r="AE65" s="43">
        <f t="shared" si="17"/>
        <v>10487.658853329041</v>
      </c>
      <c r="AF65" s="43">
        <f t="shared" si="18"/>
        <v>10487.658853329041</v>
      </c>
      <c r="AH65" s="43">
        <f t="shared" si="19"/>
        <v>58852.42038938935</v>
      </c>
      <c r="AI65" s="43">
        <f t="shared" si="20"/>
        <v>47194.464839980676</v>
      </c>
      <c r="AJ65" s="43">
        <f t="shared" si="21"/>
        <v>36706.805986651634</v>
      </c>
      <c r="AK65" s="43">
        <f t="shared" si="22"/>
        <v>26219.147133322593</v>
      </c>
      <c r="AL65" s="43">
        <f t="shared" si="23"/>
        <v>15731.488279993551</v>
      </c>
      <c r="AN65" s="47">
        <f t="shared" si="24"/>
        <v>16704.072351552819</v>
      </c>
      <c r="AO65" s="47">
        <f t="shared" si="25"/>
        <v>14064.873256247691</v>
      </c>
      <c r="AP65" s="47">
        <f t="shared" si="26"/>
        <v>12359.705958648276</v>
      </c>
      <c r="AQ65" s="47">
        <f t="shared" si="27"/>
        <v>11929.711945661784</v>
      </c>
      <c r="AR65" s="43">
        <f t="shared" si="28"/>
        <v>11085.455407968797</v>
      </c>
      <c r="AY65" s="3"/>
    </row>
    <row r="66" spans="1:51">
      <c r="A66" s="48"/>
      <c r="B66" s="37">
        <f>'13. Desinvesteringen'!B349</f>
        <v>330</v>
      </c>
      <c r="C66" s="48"/>
      <c r="D66" s="48"/>
      <c r="E66" s="48"/>
      <c r="F66" s="354">
        <f>'5. Input GAW-waarde desinv.'!D25</f>
        <v>28650.688160986421</v>
      </c>
      <c r="G66" s="175">
        <f>'13. Desinvesteringen'!D349</f>
        <v>1974</v>
      </c>
      <c r="H66" s="175">
        <f>'13. Desinvesteringen'!G349</f>
        <v>2022</v>
      </c>
      <c r="I66" s="37" t="str">
        <f>'13. Desinvesteringen'!C349</f>
        <v>01 Regionale leidingen</v>
      </c>
      <c r="J66" s="165">
        <f>'13. Desinvesteringen'!F349</f>
        <v>0</v>
      </c>
      <c r="K66" s="38">
        <f>_xlfn.XLOOKUP(I66,'3. Input (des)investeringen '!$B$11:$B$89,'3. Input (des)investeringen '!$E$11:$E$89)</f>
        <v>1</v>
      </c>
      <c r="L66" s="48"/>
      <c r="M66" s="38">
        <f>_xlfn.XLOOKUP(I66,'3. Input (des)investeringen '!$B$11:$B$89,'3. Input (des)investeringen '!$D$11:$D$89,0)</f>
        <v>55</v>
      </c>
      <c r="N66" s="38">
        <f t="shared" si="13"/>
        <v>7.5</v>
      </c>
      <c r="P66" s="43">
        <f t="shared" si="29"/>
        <v>4469.5073531138823</v>
      </c>
      <c r="Q66" s="43">
        <f t="shared" si="29"/>
        <v>3694.7927452408089</v>
      </c>
      <c r="R66" s="43">
        <f t="shared" si="29"/>
        <v>3203.8762266423801</v>
      </c>
      <c r="S66" s="43">
        <f t="shared" si="29"/>
        <v>3203.8762266423801</v>
      </c>
      <c r="T66" s="43">
        <f t="shared" si="29"/>
        <v>3203.8762266423801</v>
      </c>
      <c r="V66" s="43">
        <f t="shared" si="1"/>
        <v>382.00917547981896</v>
      </c>
      <c r="W66" s="43">
        <f t="shared" si="2"/>
        <v>382.00917547981902</v>
      </c>
      <c r="X66" s="43">
        <f t="shared" si="3"/>
        <v>382.00917547981902</v>
      </c>
      <c r="Y66" s="43">
        <f t="shared" si="4"/>
        <v>382.00917547981902</v>
      </c>
      <c r="Z66" s="43">
        <f t="shared" si="5"/>
        <v>382.00917547981902</v>
      </c>
      <c r="AB66" s="43">
        <f t="shared" si="14"/>
        <v>4851.516528593701</v>
      </c>
      <c r="AC66" s="43">
        <f t="shared" si="15"/>
        <v>4076.801920720628</v>
      </c>
      <c r="AD66" s="43">
        <f t="shared" si="16"/>
        <v>3585.8854021221991</v>
      </c>
      <c r="AE66" s="43">
        <f t="shared" si="17"/>
        <v>3585.8854021221991</v>
      </c>
      <c r="AF66" s="43">
        <f t="shared" si="18"/>
        <v>3585.8854021221991</v>
      </c>
      <c r="AH66" s="43">
        <f t="shared" si="19"/>
        <v>23799.171632392721</v>
      </c>
      <c r="AI66" s="43">
        <f t="shared" si="20"/>
        <v>19722.369711672094</v>
      </c>
      <c r="AJ66" s="43">
        <f t="shared" si="21"/>
        <v>16136.484309549895</v>
      </c>
      <c r="AK66" s="43">
        <f t="shared" si="22"/>
        <v>12550.598907427695</v>
      </c>
      <c r="AL66" s="43">
        <f t="shared" si="23"/>
        <v>8964.7135053054953</v>
      </c>
      <c r="AN66" s="47">
        <f t="shared" si="24"/>
        <v>5827.2825655218021</v>
      </c>
      <c r="AO66" s="47">
        <f t="shared" si="25"/>
        <v>5082.6427760159049</v>
      </c>
      <c r="AP66" s="47">
        <f t="shared" si="26"/>
        <v>4408.8461019092438</v>
      </c>
      <c r="AQ66" s="47">
        <f t="shared" si="27"/>
        <v>4276.1683420307227</v>
      </c>
      <c r="AR66" s="43">
        <f t="shared" si="28"/>
        <v>3926.5445153238079</v>
      </c>
      <c r="AY66" s="3"/>
    </row>
    <row r="67" spans="1:51">
      <c r="A67" s="48"/>
      <c r="B67" s="37">
        <f>'13. Desinvesteringen'!B350</f>
        <v>331</v>
      </c>
      <c r="C67" s="48"/>
      <c r="D67" s="48"/>
      <c r="E67" s="48"/>
      <c r="F67" s="354">
        <f>'5. Input GAW-waarde desinv.'!D26</f>
        <v>22915.340357348177</v>
      </c>
      <c r="G67" s="175">
        <f>'13. Desinvesteringen'!D350</f>
        <v>1975</v>
      </c>
      <c r="H67" s="175">
        <f>'13. Desinvesteringen'!G350</f>
        <v>2022</v>
      </c>
      <c r="I67" s="37" t="str">
        <f>'13. Desinvesteringen'!C350</f>
        <v>01 Regionale leidingen</v>
      </c>
      <c r="J67" s="165">
        <f>'13. Desinvesteringen'!F350</f>
        <v>0</v>
      </c>
      <c r="K67" s="38">
        <f>_xlfn.XLOOKUP(I67,'3. Input (des)investeringen '!$B$11:$B$89,'3. Input (des)investeringen '!$E$11:$E$89)</f>
        <v>1</v>
      </c>
      <c r="L67" s="48"/>
      <c r="M67" s="38">
        <f>_xlfn.XLOOKUP(I67,'3. Input (des)investeringen '!$B$11:$B$89,'3. Input (des)investeringen '!$D$11:$D$89,0)</f>
        <v>55</v>
      </c>
      <c r="N67" s="38">
        <f t="shared" si="13"/>
        <v>8.5</v>
      </c>
      <c r="P67" s="43">
        <f t="shared" si="29"/>
        <v>3154.2292021291023</v>
      </c>
      <c r="Q67" s="43">
        <f t="shared" si="29"/>
        <v>2671.8176770975924</v>
      </c>
      <c r="R67" s="43">
        <f t="shared" si="29"/>
        <v>2276.5783757517943</v>
      </c>
      <c r="S67" s="43">
        <f t="shared" si="29"/>
        <v>2276.5783757517943</v>
      </c>
      <c r="T67" s="43">
        <f t="shared" si="29"/>
        <v>2276.5783757517943</v>
      </c>
      <c r="V67" s="43">
        <f t="shared" si="1"/>
        <v>269.59223949821387</v>
      </c>
      <c r="W67" s="43">
        <f t="shared" si="2"/>
        <v>269.59223949821387</v>
      </c>
      <c r="X67" s="43">
        <f t="shared" si="3"/>
        <v>269.59223949821387</v>
      </c>
      <c r="Y67" s="43">
        <f t="shared" si="4"/>
        <v>269.59223949821387</v>
      </c>
      <c r="Z67" s="43">
        <f t="shared" si="5"/>
        <v>269.59223949821387</v>
      </c>
      <c r="AB67" s="43">
        <f t="shared" si="14"/>
        <v>3423.8214416273163</v>
      </c>
      <c r="AC67" s="43">
        <f t="shared" si="15"/>
        <v>2941.4099165958064</v>
      </c>
      <c r="AD67" s="43">
        <f t="shared" si="16"/>
        <v>2546.1706152500083</v>
      </c>
      <c r="AE67" s="43">
        <f t="shared" si="17"/>
        <v>2546.1706152500083</v>
      </c>
      <c r="AF67" s="43">
        <f t="shared" si="18"/>
        <v>2546.1706152500083</v>
      </c>
      <c r="AH67" s="43">
        <f t="shared" si="19"/>
        <v>19491.518915720862</v>
      </c>
      <c r="AI67" s="43">
        <f t="shared" si="20"/>
        <v>16550.108999125056</v>
      </c>
      <c r="AJ67" s="43">
        <f t="shared" si="21"/>
        <v>14003.938383875047</v>
      </c>
      <c r="AK67" s="43">
        <f t="shared" si="22"/>
        <v>11457.767768625039</v>
      </c>
      <c r="AL67" s="43">
        <f t="shared" si="23"/>
        <v>8911.5971533750308</v>
      </c>
      <c r="AN67" s="47">
        <f t="shared" si="24"/>
        <v>4222.9737171718716</v>
      </c>
      <c r="AO67" s="47">
        <f t="shared" si="25"/>
        <v>3785.4654755511842</v>
      </c>
      <c r="AP67" s="47">
        <f t="shared" si="26"/>
        <v>3260.3714728276354</v>
      </c>
      <c r="AQ67" s="47">
        <f t="shared" si="27"/>
        <v>3176.3478425243857</v>
      </c>
      <c r="AR67" s="43">
        <f t="shared" si="28"/>
        <v>2884.8113070782592</v>
      </c>
      <c r="AY67" s="3"/>
    </row>
    <row r="68" spans="1:51">
      <c r="A68" s="48"/>
      <c r="B68" s="37">
        <f>'13. Desinvesteringen'!B351</f>
        <v>332</v>
      </c>
      <c r="C68" s="48"/>
      <c r="D68" s="48"/>
      <c r="E68" s="48"/>
      <c r="F68" s="354">
        <f>'5. Input GAW-waarde desinv.'!D27</f>
        <v>52322.526677778427</v>
      </c>
      <c r="G68" s="175">
        <f>'13. Desinvesteringen'!D351</f>
        <v>1976</v>
      </c>
      <c r="H68" s="175">
        <f>'13. Desinvesteringen'!G351</f>
        <v>2022</v>
      </c>
      <c r="I68" s="37" t="str">
        <f>'13. Desinvesteringen'!C351</f>
        <v>01 Regionale leidingen</v>
      </c>
      <c r="J68" s="165">
        <f>'13. Desinvesteringen'!F351</f>
        <v>0</v>
      </c>
      <c r="K68" s="38">
        <f>_xlfn.XLOOKUP(I68,'3. Input (des)investeringen '!$B$11:$B$89,'3. Input (des)investeringen '!$E$11:$E$89)</f>
        <v>1</v>
      </c>
      <c r="L68" s="48"/>
      <c r="M68" s="38">
        <f>_xlfn.XLOOKUP(I68,'3. Input (des)investeringen '!$B$11:$B$89,'3. Input (des)investeringen '!$D$11:$D$89,0)</f>
        <v>55</v>
      </c>
      <c r="N68" s="38">
        <f t="shared" si="13"/>
        <v>9.5</v>
      </c>
      <c r="P68" s="43">
        <f t="shared" si="29"/>
        <v>6443.9322329474489</v>
      </c>
      <c r="Q68" s="43">
        <f t="shared" si="29"/>
        <v>5562.1309800177987</v>
      </c>
      <c r="R68" s="43">
        <f t="shared" si="29"/>
        <v>4800.9972669627305</v>
      </c>
      <c r="S68" s="43">
        <f t="shared" si="29"/>
        <v>4658.9559277034778</v>
      </c>
      <c r="T68" s="43">
        <f t="shared" si="29"/>
        <v>4658.9559277034778</v>
      </c>
      <c r="V68" s="43">
        <f t="shared" si="1"/>
        <v>550.76343871345716</v>
      </c>
      <c r="W68" s="43">
        <f t="shared" si="2"/>
        <v>550.76343871345716</v>
      </c>
      <c r="X68" s="43">
        <f t="shared" si="3"/>
        <v>550.76343871345716</v>
      </c>
      <c r="Y68" s="43">
        <f t="shared" si="4"/>
        <v>550.76343871345716</v>
      </c>
      <c r="Z68" s="43">
        <f t="shared" si="5"/>
        <v>550.76343871345716</v>
      </c>
      <c r="AB68" s="43">
        <f t="shared" si="14"/>
        <v>6994.6956716609056</v>
      </c>
      <c r="AC68" s="43">
        <f t="shared" si="15"/>
        <v>6112.8944187312554</v>
      </c>
      <c r="AD68" s="43">
        <f t="shared" si="16"/>
        <v>5351.7607056761881</v>
      </c>
      <c r="AE68" s="43">
        <f t="shared" si="17"/>
        <v>5209.7193664169354</v>
      </c>
      <c r="AF68" s="43">
        <f t="shared" si="18"/>
        <v>5209.7193664169354</v>
      </c>
      <c r="AH68" s="43">
        <f t="shared" si="19"/>
        <v>45327.831006117522</v>
      </c>
      <c r="AI68" s="43">
        <f t="shared" si="20"/>
        <v>39214.93658738627</v>
      </c>
      <c r="AJ68" s="43">
        <f t="shared" si="21"/>
        <v>33863.175881710078</v>
      </c>
      <c r="AK68" s="43">
        <f t="shared" si="22"/>
        <v>28653.456515293143</v>
      </c>
      <c r="AL68" s="43">
        <f t="shared" si="23"/>
        <v>23443.737148876207</v>
      </c>
      <c r="AN68" s="47">
        <f t="shared" si="24"/>
        <v>8853.1367429117236</v>
      </c>
      <c r="AO68" s="47">
        <f t="shared" si="25"/>
        <v>8112.8561846879547</v>
      </c>
      <c r="AP68" s="47">
        <f t="shared" si="26"/>
        <v>7078.7826756434024</v>
      </c>
      <c r="AQ68" s="47">
        <f t="shared" si="27"/>
        <v>6785.6594747580584</v>
      </c>
      <c r="AR68" s="43">
        <f t="shared" si="28"/>
        <v>6100.581378074231</v>
      </c>
      <c r="AY68" s="3"/>
    </row>
    <row r="69" spans="1:51">
      <c r="A69" s="48"/>
      <c r="B69" s="37">
        <f>'13. Desinvesteringen'!B352</f>
        <v>333</v>
      </c>
      <c r="C69" s="48"/>
      <c r="D69" s="48"/>
      <c r="E69" s="48"/>
      <c r="F69" s="354">
        <f>'5. Input GAW-waarde desinv.'!D28</f>
        <v>22168.241432612802</v>
      </c>
      <c r="G69" s="175">
        <f>'13. Desinvesteringen'!D352</f>
        <v>1977</v>
      </c>
      <c r="H69" s="175">
        <f>'13. Desinvesteringen'!G352</f>
        <v>2022</v>
      </c>
      <c r="I69" s="37" t="str">
        <f>'13. Desinvesteringen'!C352</f>
        <v>01 Regionale leidingen</v>
      </c>
      <c r="J69" s="165">
        <f>'13. Desinvesteringen'!F352</f>
        <v>0</v>
      </c>
      <c r="K69" s="38">
        <f>_xlfn.XLOOKUP(I69,'3. Input (des)investeringen '!$B$11:$B$89,'3. Input (des)investeringen '!$E$11:$E$89)</f>
        <v>1</v>
      </c>
      <c r="L69" s="48"/>
      <c r="M69" s="38">
        <f>_xlfn.XLOOKUP(I69,'3. Input (des)investeringen '!$B$11:$B$89,'3. Input (des)investeringen '!$D$11:$D$89,0)</f>
        <v>55</v>
      </c>
      <c r="N69" s="38">
        <f t="shared" si="13"/>
        <v>10.5</v>
      </c>
      <c r="P69" s="43">
        <f t="shared" si="29"/>
        <v>2470.1754739197127</v>
      </c>
      <c r="Q69" s="43">
        <f t="shared" si="29"/>
        <v>2164.3442247677481</v>
      </c>
      <c r="R69" s="43">
        <f t="shared" si="29"/>
        <v>1896.3777969393602</v>
      </c>
      <c r="S69" s="43">
        <f t="shared" si="29"/>
        <v>1789.4026391632935</v>
      </c>
      <c r="T69" s="43">
        <f t="shared" si="29"/>
        <v>1789.4026391632935</v>
      </c>
      <c r="V69" s="43">
        <f t="shared" si="1"/>
        <v>211.12610888202667</v>
      </c>
      <c r="W69" s="43">
        <f t="shared" si="2"/>
        <v>211.12610888202673</v>
      </c>
      <c r="X69" s="43">
        <f t="shared" si="3"/>
        <v>211.12610888202673</v>
      </c>
      <c r="Y69" s="43">
        <f t="shared" si="4"/>
        <v>211.12610888202673</v>
      </c>
      <c r="Z69" s="43">
        <f t="shared" si="5"/>
        <v>211.12610888202673</v>
      </c>
      <c r="AB69" s="43">
        <f t="shared" si="14"/>
        <v>2681.3015828017392</v>
      </c>
      <c r="AC69" s="43">
        <f t="shared" si="15"/>
        <v>2375.4703336497746</v>
      </c>
      <c r="AD69" s="43">
        <f t="shared" si="16"/>
        <v>2107.503905821387</v>
      </c>
      <c r="AE69" s="43">
        <f t="shared" si="17"/>
        <v>2000.5287480453203</v>
      </c>
      <c r="AF69" s="43">
        <f t="shared" si="18"/>
        <v>2000.5287480453203</v>
      </c>
      <c r="AH69" s="43">
        <f t="shared" si="19"/>
        <v>19486.939849811064</v>
      </c>
      <c r="AI69" s="43">
        <f t="shared" si="20"/>
        <v>17111.469516161291</v>
      </c>
      <c r="AJ69" s="43">
        <f t="shared" si="21"/>
        <v>15003.965610339903</v>
      </c>
      <c r="AK69" s="43">
        <f t="shared" si="22"/>
        <v>13003.436862294582</v>
      </c>
      <c r="AL69" s="43">
        <f t="shared" si="23"/>
        <v>11002.908114249261</v>
      </c>
      <c r="AN69" s="47">
        <f t="shared" si="24"/>
        <v>3480.266116643993</v>
      </c>
      <c r="AO69" s="47">
        <f t="shared" si="25"/>
        <v>3248.1552789740003</v>
      </c>
      <c r="AP69" s="47">
        <f t="shared" si="26"/>
        <v>2872.706151948722</v>
      </c>
      <c r="AQ69" s="47">
        <f t="shared" si="27"/>
        <v>2715.7177754715221</v>
      </c>
      <c r="AR69" s="43">
        <f t="shared" si="28"/>
        <v>2418.6392563867921</v>
      </c>
      <c r="AY69" s="3"/>
    </row>
    <row r="70" spans="1:51">
      <c r="A70" s="48"/>
      <c r="B70" s="37">
        <f>'13. Desinvesteringen'!B353</f>
        <v>334</v>
      </c>
      <c r="C70" s="48"/>
      <c r="D70" s="48"/>
      <c r="E70" s="48"/>
      <c r="F70" s="354">
        <f>'5. Input GAW-waarde desinv.'!D29</f>
        <v>74293.951826154895</v>
      </c>
      <c r="G70" s="175">
        <f>'13. Desinvesteringen'!D353</f>
        <v>1980</v>
      </c>
      <c r="H70" s="175">
        <f>'13. Desinvesteringen'!G353</f>
        <v>2022</v>
      </c>
      <c r="I70" s="37" t="str">
        <f>'13. Desinvesteringen'!C353</f>
        <v>01 Regionale leidingen</v>
      </c>
      <c r="J70" s="165">
        <f>'13. Desinvesteringen'!F353</f>
        <v>0</v>
      </c>
      <c r="K70" s="38">
        <f>_xlfn.XLOOKUP(I70,'3. Input (des)investeringen '!$B$11:$B$89,'3. Input (des)investeringen '!$E$11:$E$89)</f>
        <v>1</v>
      </c>
      <c r="L70" s="48"/>
      <c r="M70" s="38">
        <f>_xlfn.XLOOKUP(I70,'3. Input (des)investeringen '!$B$11:$B$89,'3. Input (des)investeringen '!$D$11:$D$89,0)</f>
        <v>55</v>
      </c>
      <c r="N70" s="38">
        <f t="shared" si="13"/>
        <v>13.5</v>
      </c>
      <c r="P70" s="43">
        <f t="shared" si="29"/>
        <v>6438.8091582667575</v>
      </c>
      <c r="Q70" s="43">
        <f t="shared" si="29"/>
        <v>5818.7756837669958</v>
      </c>
      <c r="R70" s="43">
        <f t="shared" si="29"/>
        <v>5258.4491364412843</v>
      </c>
      <c r="S70" s="43">
        <f t="shared" si="29"/>
        <v>4752.0799603395308</v>
      </c>
      <c r="T70" s="43">
        <f t="shared" si="29"/>
        <v>4694.3623899710346</v>
      </c>
      <c r="V70" s="43">
        <f t="shared" si="1"/>
        <v>550.32556908262893</v>
      </c>
      <c r="W70" s="43">
        <f t="shared" si="2"/>
        <v>550.32556908262893</v>
      </c>
      <c r="X70" s="43">
        <f t="shared" si="3"/>
        <v>550.32556908262893</v>
      </c>
      <c r="Y70" s="43">
        <f t="shared" si="4"/>
        <v>550.32556908262893</v>
      </c>
      <c r="Z70" s="43">
        <f t="shared" si="5"/>
        <v>550.32556908262893</v>
      </c>
      <c r="AB70" s="43">
        <f t="shared" si="14"/>
        <v>6989.1347273493866</v>
      </c>
      <c r="AC70" s="43">
        <f t="shared" si="15"/>
        <v>6369.1012528496249</v>
      </c>
      <c r="AD70" s="43">
        <f t="shared" si="16"/>
        <v>5808.7747055239133</v>
      </c>
      <c r="AE70" s="43">
        <f t="shared" si="17"/>
        <v>5302.4055294221598</v>
      </c>
      <c r="AF70" s="43">
        <f t="shared" si="18"/>
        <v>5244.6879590536637</v>
      </c>
      <c r="AH70" s="43">
        <f t="shared" si="19"/>
        <v>67304.817098805506</v>
      </c>
      <c r="AI70" s="43">
        <f t="shared" si="20"/>
        <v>60935.715845955885</v>
      </c>
      <c r="AJ70" s="43">
        <f t="shared" si="21"/>
        <v>55126.941140431969</v>
      </c>
      <c r="AK70" s="43">
        <f t="shared" si="22"/>
        <v>49824.535611009807</v>
      </c>
      <c r="AL70" s="43">
        <f t="shared" si="23"/>
        <v>44579.847651956145</v>
      </c>
      <c r="AN70" s="47">
        <f t="shared" si="24"/>
        <v>9748.6322284004127</v>
      </c>
      <c r="AO70" s="47">
        <f t="shared" si="25"/>
        <v>9476.8227609933747</v>
      </c>
      <c r="AP70" s="47">
        <f t="shared" si="26"/>
        <v>8620.2487036859438</v>
      </c>
      <c r="AQ70" s="47">
        <f t="shared" si="27"/>
        <v>8042.7549880276993</v>
      </c>
      <c r="AR70" s="43">
        <f t="shared" si="28"/>
        <v>6938.7221698279973</v>
      </c>
      <c r="AY70" s="3"/>
    </row>
    <row r="71" spans="1:51">
      <c r="A71" s="48"/>
      <c r="B71" s="37">
        <f>'13. Desinvesteringen'!B354</f>
        <v>335</v>
      </c>
      <c r="C71" s="48"/>
      <c r="D71" s="48"/>
      <c r="E71" s="48"/>
      <c r="F71" s="354">
        <f>'5. Input GAW-waarde desinv.'!D30</f>
        <v>357.48421114725051</v>
      </c>
      <c r="G71" s="175">
        <f>'13. Desinvesteringen'!D354</f>
        <v>1986</v>
      </c>
      <c r="H71" s="175">
        <f>'13. Desinvesteringen'!G354</f>
        <v>2022</v>
      </c>
      <c r="I71" s="37" t="str">
        <f>'13. Desinvesteringen'!C354</f>
        <v>01 Regionale leidingen</v>
      </c>
      <c r="J71" s="165">
        <f>'13. Desinvesteringen'!F354</f>
        <v>0</v>
      </c>
      <c r="K71" s="38">
        <f>_xlfn.XLOOKUP(I71,'3. Input (des)investeringen '!$B$11:$B$89,'3. Input (des)investeringen '!$E$11:$E$89)</f>
        <v>1</v>
      </c>
      <c r="L71" s="48"/>
      <c r="M71" s="38">
        <f>_xlfn.XLOOKUP(I71,'3. Input (des)investeringen '!$B$11:$B$89,'3. Input (des)investeringen '!$D$11:$D$89,0)</f>
        <v>55</v>
      </c>
      <c r="N71" s="38">
        <f t="shared" si="13"/>
        <v>19.5</v>
      </c>
      <c r="P71" s="43">
        <f t="shared" si="29"/>
        <v>21.44905266883503</v>
      </c>
      <c r="Q71" s="43">
        <f t="shared" si="29"/>
        <v>20.019115824246029</v>
      </c>
      <c r="R71" s="43">
        <f t="shared" si="29"/>
        <v>18.684508102629628</v>
      </c>
      <c r="S71" s="43">
        <f t="shared" si="29"/>
        <v>17.438874229120984</v>
      </c>
      <c r="T71" s="43">
        <f t="shared" si="29"/>
        <v>16.276282613846252</v>
      </c>
      <c r="V71" s="43">
        <f t="shared" si="1"/>
        <v>1.833252364857695</v>
      </c>
      <c r="W71" s="43">
        <f t="shared" si="2"/>
        <v>1.833252364857695</v>
      </c>
      <c r="X71" s="43">
        <f t="shared" si="3"/>
        <v>1.833252364857695</v>
      </c>
      <c r="Y71" s="43">
        <f t="shared" si="4"/>
        <v>1.833252364857695</v>
      </c>
      <c r="Z71" s="43">
        <f t="shared" si="5"/>
        <v>1.833252364857695</v>
      </c>
      <c r="AB71" s="43">
        <f t="shared" si="14"/>
        <v>23.282305033692726</v>
      </c>
      <c r="AC71" s="43">
        <f t="shared" si="15"/>
        <v>21.852368189103725</v>
      </c>
      <c r="AD71" s="43">
        <f t="shared" si="16"/>
        <v>20.517760467487324</v>
      </c>
      <c r="AE71" s="43">
        <f t="shared" si="17"/>
        <v>19.27212659397868</v>
      </c>
      <c r="AF71" s="43">
        <f t="shared" si="18"/>
        <v>18.109534978703948</v>
      </c>
      <c r="AH71" s="43">
        <f t="shared" si="19"/>
        <v>334.20190611355775</v>
      </c>
      <c r="AI71" s="43">
        <f t="shared" si="20"/>
        <v>312.34953792445401</v>
      </c>
      <c r="AJ71" s="43">
        <f t="shared" si="21"/>
        <v>291.83177745696668</v>
      </c>
      <c r="AK71" s="43">
        <f t="shared" si="22"/>
        <v>272.55965086298801</v>
      </c>
      <c r="AL71" s="43">
        <f t="shared" si="23"/>
        <v>254.45011588428406</v>
      </c>
      <c r="AN71" s="47">
        <f t="shared" si="24"/>
        <v>36.984583184348594</v>
      </c>
      <c r="AO71" s="47">
        <f t="shared" si="25"/>
        <v>37.782194623250881</v>
      </c>
      <c r="AP71" s="47">
        <f t="shared" si="26"/>
        <v>35.401181117792625</v>
      </c>
      <c r="AQ71" s="47">
        <f t="shared" si="27"/>
        <v>34.262907391443022</v>
      </c>
      <c r="AR71" s="43">
        <f t="shared" si="28"/>
        <v>27.778639382306743</v>
      </c>
      <c r="AY71" s="3"/>
    </row>
    <row r="72" spans="1:51">
      <c r="A72" s="48"/>
      <c r="B72" s="37">
        <f>'13. Desinvesteringen'!B355</f>
        <v>336</v>
      </c>
      <c r="C72" s="48"/>
      <c r="D72" s="48"/>
      <c r="E72" s="48"/>
      <c r="F72" s="354">
        <f>'5. Input GAW-waarde desinv.'!D31</f>
        <v>38915.650783577308</v>
      </c>
      <c r="G72" s="175">
        <f>'13. Desinvesteringen'!D355</f>
        <v>1987</v>
      </c>
      <c r="H72" s="175">
        <f>'13. Desinvesteringen'!G355</f>
        <v>2022</v>
      </c>
      <c r="I72" s="37" t="str">
        <f>'13. Desinvesteringen'!C355</f>
        <v>01 Regionale leidingen</v>
      </c>
      <c r="J72" s="165">
        <f>'13. Desinvesteringen'!F355</f>
        <v>0</v>
      </c>
      <c r="K72" s="38">
        <f>_xlfn.XLOOKUP(I72,'3. Input (des)investeringen '!$B$11:$B$89,'3. Input (des)investeringen '!$E$11:$E$89)</f>
        <v>1</v>
      </c>
      <c r="L72" s="48"/>
      <c r="M72" s="38">
        <f>_xlfn.XLOOKUP(I72,'3. Input (des)investeringen '!$B$11:$B$89,'3. Input (des)investeringen '!$D$11:$D$89,0)</f>
        <v>55</v>
      </c>
      <c r="N72" s="38">
        <f t="shared" si="13"/>
        <v>20.5</v>
      </c>
      <c r="P72" s="43">
        <f t="shared" ref="P72:T81" si="30">IF($M72&gt;0, IF(OR($G72&gt;P$50,$G72+$M72&lt;P$50),0,
VDB($F72,0,$N72,MAX(0,P$50-2022),MIN($N72,P$50-2021),$F$23,FALSE))*(1-$F$26), 0)</f>
        <v>2221.0395813066075</v>
      </c>
      <c r="Q72" s="43">
        <f t="shared" si="30"/>
        <v>2080.1931688335053</v>
      </c>
      <c r="R72" s="43">
        <f t="shared" si="30"/>
        <v>1948.2784800782101</v>
      </c>
      <c r="S72" s="43">
        <f t="shared" si="30"/>
        <v>1824.7291130488604</v>
      </c>
      <c r="T72" s="43">
        <f t="shared" si="30"/>
        <v>1709.0145839286888</v>
      </c>
      <c r="V72" s="43">
        <f t="shared" si="1"/>
        <v>189.83244284671858</v>
      </c>
      <c r="W72" s="43">
        <f t="shared" si="2"/>
        <v>189.83244284671855</v>
      </c>
      <c r="X72" s="43">
        <f t="shared" si="3"/>
        <v>189.83244284671855</v>
      </c>
      <c r="Y72" s="43">
        <f t="shared" si="4"/>
        <v>189.83244284671855</v>
      </c>
      <c r="Z72" s="43">
        <f t="shared" si="5"/>
        <v>189.83244284671855</v>
      </c>
      <c r="AB72" s="43">
        <f t="shared" si="14"/>
        <v>2410.872024153326</v>
      </c>
      <c r="AC72" s="43">
        <f t="shared" si="15"/>
        <v>2270.0256116802238</v>
      </c>
      <c r="AD72" s="43">
        <f t="shared" si="16"/>
        <v>2138.1109229249287</v>
      </c>
      <c r="AE72" s="43">
        <f t="shared" si="17"/>
        <v>2014.561555895579</v>
      </c>
      <c r="AF72" s="43">
        <f t="shared" si="18"/>
        <v>1898.8470267754074</v>
      </c>
      <c r="AH72" s="43">
        <f t="shared" si="19"/>
        <v>36504.778759423985</v>
      </c>
      <c r="AI72" s="43">
        <f t="shared" si="20"/>
        <v>34234.753147743759</v>
      </c>
      <c r="AJ72" s="43">
        <f t="shared" si="21"/>
        <v>32096.642224818832</v>
      </c>
      <c r="AK72" s="43">
        <f t="shared" si="22"/>
        <v>30082.080668923252</v>
      </c>
      <c r="AL72" s="43">
        <f t="shared" si="23"/>
        <v>28183.233642147847</v>
      </c>
      <c r="AN72" s="47">
        <f t="shared" si="24"/>
        <v>3907.5679532897093</v>
      </c>
      <c r="AO72" s="47">
        <f t="shared" si="25"/>
        <v>4015.9980222151553</v>
      </c>
      <c r="AP72" s="47">
        <f t="shared" si="26"/>
        <v>3775.0396763906892</v>
      </c>
      <c r="AQ72" s="47">
        <f t="shared" si="27"/>
        <v>3669.0759926863579</v>
      </c>
      <c r="AR72" s="43">
        <f t="shared" si="28"/>
        <v>2969.8099051770255</v>
      </c>
      <c r="AY72" s="3"/>
    </row>
    <row r="73" spans="1:51">
      <c r="A73" s="48"/>
      <c r="B73" s="37">
        <f>'13. Desinvesteringen'!B356</f>
        <v>337</v>
      </c>
      <c r="C73" s="48"/>
      <c r="D73" s="48"/>
      <c r="E73" s="48"/>
      <c r="F73" s="354">
        <f>'5. Input GAW-waarde desinv.'!D32</f>
        <v>22545.342886393813</v>
      </c>
      <c r="G73" s="175">
        <f>'13. Desinvesteringen'!D356</f>
        <v>1991</v>
      </c>
      <c r="H73" s="175">
        <f>'13. Desinvesteringen'!G356</f>
        <v>2022</v>
      </c>
      <c r="I73" s="37" t="str">
        <f>'13. Desinvesteringen'!C356</f>
        <v>01 Regionale leidingen</v>
      </c>
      <c r="J73" s="165">
        <f>'13. Desinvesteringen'!F356</f>
        <v>0</v>
      </c>
      <c r="K73" s="38">
        <f>_xlfn.XLOOKUP(I73,'3. Input (des)investeringen '!$B$11:$B$89,'3. Input (des)investeringen '!$E$11:$E$89)</f>
        <v>1</v>
      </c>
      <c r="L73" s="48"/>
      <c r="M73" s="38">
        <f>_xlfn.XLOOKUP(I73,'3. Input (des)investeringen '!$B$11:$B$89,'3. Input (des)investeringen '!$D$11:$D$89,0)</f>
        <v>55</v>
      </c>
      <c r="N73" s="38">
        <f t="shared" si="13"/>
        <v>24.5</v>
      </c>
      <c r="P73" s="43">
        <f t="shared" si="30"/>
        <v>1076.6551500849291</v>
      </c>
      <c r="Q73" s="43">
        <f t="shared" si="30"/>
        <v>1019.5265094681778</v>
      </c>
      <c r="R73" s="43">
        <f t="shared" si="30"/>
        <v>965.42918447598879</v>
      </c>
      <c r="S73" s="43">
        <f t="shared" si="30"/>
        <v>914.20232978950764</v>
      </c>
      <c r="T73" s="43">
        <f t="shared" si="30"/>
        <v>865.69363473945202</v>
      </c>
      <c r="V73" s="43">
        <f t="shared" si="1"/>
        <v>92.02180769956658</v>
      </c>
      <c r="W73" s="43">
        <f t="shared" si="2"/>
        <v>92.021807699566594</v>
      </c>
      <c r="X73" s="43">
        <f t="shared" si="3"/>
        <v>92.021807699566594</v>
      </c>
      <c r="Y73" s="43">
        <f t="shared" si="4"/>
        <v>92.021807699566594</v>
      </c>
      <c r="Z73" s="43">
        <f t="shared" si="5"/>
        <v>92.021807699566594</v>
      </c>
      <c r="AB73" s="43">
        <f t="shared" si="14"/>
        <v>1168.6769577844957</v>
      </c>
      <c r="AC73" s="43">
        <f t="shared" si="15"/>
        <v>1111.5483171677445</v>
      </c>
      <c r="AD73" s="43">
        <f t="shared" si="16"/>
        <v>1057.4509921755555</v>
      </c>
      <c r="AE73" s="43">
        <f t="shared" si="17"/>
        <v>1006.2241374890742</v>
      </c>
      <c r="AF73" s="43">
        <f t="shared" si="18"/>
        <v>957.7154424390186</v>
      </c>
      <c r="AH73" s="43">
        <f t="shared" si="19"/>
        <v>21376.665928609316</v>
      </c>
      <c r="AI73" s="43">
        <f t="shared" si="20"/>
        <v>20265.117611441572</v>
      </c>
      <c r="AJ73" s="43">
        <f t="shared" si="21"/>
        <v>19207.666619266016</v>
      </c>
      <c r="AK73" s="43">
        <f t="shared" si="22"/>
        <v>18201.442481776943</v>
      </c>
      <c r="AL73" s="43">
        <f t="shared" si="23"/>
        <v>17243.727039337926</v>
      </c>
      <c r="AN73" s="47">
        <f t="shared" si="24"/>
        <v>2045.1202608574777</v>
      </c>
      <c r="AO73" s="47">
        <f t="shared" si="25"/>
        <v>2145.0693153512648</v>
      </c>
      <c r="AP73" s="47">
        <f t="shared" si="26"/>
        <v>2037.0419897581223</v>
      </c>
      <c r="AQ73" s="47">
        <f t="shared" si="27"/>
        <v>2007.3034739868062</v>
      </c>
      <c r="AR73" s="43">
        <f t="shared" si="28"/>
        <v>1612.9770699338596</v>
      </c>
      <c r="AY73" s="3"/>
    </row>
    <row r="74" spans="1:51">
      <c r="A74" s="48"/>
      <c r="B74" s="37">
        <f>'13. Desinvesteringen'!B357</f>
        <v>338</v>
      </c>
      <c r="C74" s="48"/>
      <c r="D74" s="48"/>
      <c r="E74" s="48"/>
      <c r="F74" s="354">
        <f>'5. Input GAW-waarde desinv.'!D33</f>
        <v>91128.347042326975</v>
      </c>
      <c r="G74" s="175">
        <f>'13. Desinvesteringen'!D357</f>
        <v>1994</v>
      </c>
      <c r="H74" s="175">
        <f>'13. Desinvesteringen'!G357</f>
        <v>2022</v>
      </c>
      <c r="I74" s="37" t="str">
        <f>'13. Desinvesteringen'!C357</f>
        <v>01 Regionale leidingen</v>
      </c>
      <c r="J74" s="165">
        <f>'13. Desinvesteringen'!F357</f>
        <v>0</v>
      </c>
      <c r="K74" s="38">
        <f>_xlfn.XLOOKUP(I74,'3. Input (des)investeringen '!$B$11:$B$89,'3. Input (des)investeringen '!$E$11:$E$89)</f>
        <v>1</v>
      </c>
      <c r="L74" s="48"/>
      <c r="M74" s="38">
        <f>_xlfn.XLOOKUP(I74,'3. Input (des)investeringen '!$B$11:$B$89,'3. Input (des)investeringen '!$D$11:$D$89,0)</f>
        <v>55</v>
      </c>
      <c r="N74" s="38">
        <f t="shared" si="13"/>
        <v>27.5</v>
      </c>
      <c r="P74" s="43">
        <f t="shared" si="30"/>
        <v>3877.0969468917297</v>
      </c>
      <c r="Q74" s="43">
        <f t="shared" si="30"/>
        <v>3693.8160003113935</v>
      </c>
      <c r="R74" s="43">
        <f t="shared" si="30"/>
        <v>3519.1992439330365</v>
      </c>
      <c r="S74" s="43">
        <f t="shared" si="30"/>
        <v>3352.837097856202</v>
      </c>
      <c r="T74" s="43">
        <f t="shared" si="30"/>
        <v>3194.3393441393632</v>
      </c>
      <c r="V74" s="43">
        <f t="shared" si="1"/>
        <v>331.37580742664358</v>
      </c>
      <c r="W74" s="43">
        <f t="shared" si="2"/>
        <v>331.37580742664363</v>
      </c>
      <c r="X74" s="43">
        <f t="shared" si="3"/>
        <v>331.37580742664363</v>
      </c>
      <c r="Y74" s="43">
        <f t="shared" si="4"/>
        <v>331.37580742664363</v>
      </c>
      <c r="Z74" s="43">
        <f t="shared" si="5"/>
        <v>331.37580742664363</v>
      </c>
      <c r="AB74" s="43">
        <f t="shared" si="14"/>
        <v>4208.4727543183735</v>
      </c>
      <c r="AC74" s="43">
        <f t="shared" si="15"/>
        <v>4025.1918077380369</v>
      </c>
      <c r="AD74" s="43">
        <f t="shared" si="16"/>
        <v>3850.5750513596804</v>
      </c>
      <c r="AE74" s="43">
        <f t="shared" si="17"/>
        <v>3684.2129052828459</v>
      </c>
      <c r="AF74" s="43">
        <f t="shared" si="18"/>
        <v>3525.7151515660071</v>
      </c>
      <c r="AH74" s="43">
        <f t="shared" si="19"/>
        <v>86919.874288008607</v>
      </c>
      <c r="AI74" s="43">
        <f t="shared" si="20"/>
        <v>82894.682480270567</v>
      </c>
      <c r="AJ74" s="43">
        <f t="shared" si="21"/>
        <v>79044.10742891088</v>
      </c>
      <c r="AK74" s="43">
        <f t="shared" si="22"/>
        <v>75359.894523628027</v>
      </c>
      <c r="AL74" s="43">
        <f t="shared" si="23"/>
        <v>71834.179372062019</v>
      </c>
      <c r="AN74" s="47">
        <f t="shared" si="24"/>
        <v>7772.1876001267265</v>
      </c>
      <c r="AO74" s="47">
        <f t="shared" si="25"/>
        <v>8252.8206142318359</v>
      </c>
      <c r="AP74" s="47">
        <f t="shared" si="26"/>
        <v>7881.8245302341347</v>
      </c>
      <c r="AQ74" s="47">
        <f t="shared" si="27"/>
        <v>7829.0071040823877</v>
      </c>
      <c r="AR74" s="43">
        <f t="shared" si="28"/>
        <v>6255.413967704364</v>
      </c>
      <c r="AY74" s="3"/>
    </row>
    <row r="75" spans="1:51">
      <c r="A75" s="48"/>
      <c r="B75" s="37">
        <f>'13. Desinvesteringen'!B358</f>
        <v>339</v>
      </c>
      <c r="C75" s="48"/>
      <c r="D75" s="48"/>
      <c r="E75" s="48"/>
      <c r="F75" s="354">
        <f>'5. Input GAW-waarde desinv.'!D34</f>
        <v>19475.506076320318</v>
      </c>
      <c r="G75" s="175">
        <f>'13. Desinvesteringen'!D358</f>
        <v>1995</v>
      </c>
      <c r="H75" s="175">
        <f>'13. Desinvesteringen'!G358</f>
        <v>2022</v>
      </c>
      <c r="I75" s="37" t="str">
        <f>'13. Desinvesteringen'!C358</f>
        <v>01 Regionale leidingen</v>
      </c>
      <c r="J75" s="165">
        <f>'13. Desinvesteringen'!F358</f>
        <v>0</v>
      </c>
      <c r="K75" s="38">
        <f>_xlfn.XLOOKUP(I75,'3. Input (des)investeringen '!$B$11:$B$89,'3. Input (des)investeringen '!$E$11:$E$89)</f>
        <v>1</v>
      </c>
      <c r="L75" s="48"/>
      <c r="M75" s="38">
        <f>_xlfn.XLOOKUP(I75,'3. Input (des)investeringen '!$B$11:$B$89,'3. Input (des)investeringen '!$D$11:$D$89,0)</f>
        <v>55</v>
      </c>
      <c r="N75" s="38">
        <f t="shared" si="13"/>
        <v>28.5</v>
      </c>
      <c r="P75" s="43">
        <f t="shared" si="30"/>
        <v>799.52077576472891</v>
      </c>
      <c r="Q75" s="43">
        <f t="shared" si="30"/>
        <v>763.05140704563598</v>
      </c>
      <c r="R75" s="43">
        <f t="shared" si="30"/>
        <v>728.24555339092285</v>
      </c>
      <c r="S75" s="43">
        <f t="shared" si="30"/>
        <v>695.02733516607361</v>
      </c>
      <c r="T75" s="43">
        <f t="shared" si="30"/>
        <v>663.3243339128843</v>
      </c>
      <c r="V75" s="43">
        <f t="shared" si="1"/>
        <v>68.335109039720422</v>
      </c>
      <c r="W75" s="43">
        <f t="shared" si="2"/>
        <v>68.335109039720422</v>
      </c>
      <c r="X75" s="43">
        <f t="shared" si="3"/>
        <v>68.335109039720422</v>
      </c>
      <c r="Y75" s="43">
        <f t="shared" si="4"/>
        <v>68.335109039720422</v>
      </c>
      <c r="Z75" s="43">
        <f t="shared" si="5"/>
        <v>68.335109039720422</v>
      </c>
      <c r="AB75" s="43">
        <f t="shared" si="14"/>
        <v>867.85588480444937</v>
      </c>
      <c r="AC75" s="43">
        <f t="shared" si="15"/>
        <v>831.38651608535645</v>
      </c>
      <c r="AD75" s="43">
        <f t="shared" si="16"/>
        <v>796.58066243064332</v>
      </c>
      <c r="AE75" s="43">
        <f t="shared" si="17"/>
        <v>763.36244420579408</v>
      </c>
      <c r="AF75" s="43">
        <f t="shared" si="18"/>
        <v>731.65944295260476</v>
      </c>
      <c r="AH75" s="43">
        <f t="shared" si="19"/>
        <v>18607.65019151587</v>
      </c>
      <c r="AI75" s="43">
        <f t="shared" si="20"/>
        <v>17776.263675430513</v>
      </c>
      <c r="AJ75" s="43">
        <f t="shared" si="21"/>
        <v>16979.683012999871</v>
      </c>
      <c r="AK75" s="43">
        <f t="shared" si="22"/>
        <v>16216.320568794077</v>
      </c>
      <c r="AL75" s="43">
        <f t="shared" si="23"/>
        <v>15484.661125841472</v>
      </c>
      <c r="AN75" s="47">
        <f t="shared" si="24"/>
        <v>1630.7695426566002</v>
      </c>
      <c r="AO75" s="47">
        <f t="shared" si="25"/>
        <v>1737.9759635323126</v>
      </c>
      <c r="AP75" s="47">
        <f t="shared" si="26"/>
        <v>1662.5444960936366</v>
      </c>
      <c r="AQ75" s="47">
        <f t="shared" si="27"/>
        <v>1655.2600754894684</v>
      </c>
      <c r="AR75" s="43">
        <f t="shared" si="28"/>
        <v>1320.0765657345805</v>
      </c>
      <c r="AY75" s="3"/>
    </row>
    <row r="76" spans="1:51">
      <c r="A76" s="48"/>
      <c r="B76" s="37">
        <f>'13. Desinvesteringen'!B359</f>
        <v>340</v>
      </c>
      <c r="C76" s="48"/>
      <c r="D76" s="48"/>
      <c r="E76" s="48"/>
      <c r="F76" s="354">
        <f>'5. Input GAW-waarde desinv.'!D35</f>
        <v>4265.7894840755598</v>
      </c>
      <c r="G76" s="175">
        <f>'13. Desinvesteringen'!D359</f>
        <v>1997</v>
      </c>
      <c r="H76" s="175">
        <f>'13. Desinvesteringen'!G359</f>
        <v>2022</v>
      </c>
      <c r="I76" s="37" t="str">
        <f>'13. Desinvesteringen'!C359</f>
        <v>01 Regionale leidingen</v>
      </c>
      <c r="J76" s="165">
        <f>'13. Desinvesteringen'!F359</f>
        <v>0</v>
      </c>
      <c r="K76" s="38">
        <f>_xlfn.XLOOKUP(I76,'3. Input (des)investeringen '!$B$11:$B$89,'3. Input (des)investeringen '!$E$11:$E$89)</f>
        <v>1</v>
      </c>
      <c r="L76" s="48"/>
      <c r="M76" s="38">
        <f>_xlfn.XLOOKUP(I76,'3. Input (des)investeringen '!$B$11:$B$89,'3. Input (des)investeringen '!$D$11:$D$89,0)</f>
        <v>55</v>
      </c>
      <c r="N76" s="38">
        <f t="shared" si="13"/>
        <v>30.5</v>
      </c>
      <c r="P76" s="43">
        <f t="shared" si="30"/>
        <v>163.63848184814444</v>
      </c>
      <c r="Q76" s="43">
        <f t="shared" si="30"/>
        <v>156.6637268841252</v>
      </c>
      <c r="R76" s="43">
        <f t="shared" si="30"/>
        <v>149.98625655791653</v>
      </c>
      <c r="S76" s="43">
        <f t="shared" si="30"/>
        <v>143.59339972102177</v>
      </c>
      <c r="T76" s="43">
        <f t="shared" si="30"/>
        <v>137.47302530668313</v>
      </c>
      <c r="V76" s="43">
        <f t="shared" si="1"/>
        <v>13.986195029755933</v>
      </c>
      <c r="W76" s="43">
        <f t="shared" si="2"/>
        <v>13.986195029755937</v>
      </c>
      <c r="X76" s="43">
        <f t="shared" si="3"/>
        <v>13.986195029755937</v>
      </c>
      <c r="Y76" s="43">
        <f t="shared" si="4"/>
        <v>13.986195029755937</v>
      </c>
      <c r="Z76" s="43">
        <f t="shared" si="5"/>
        <v>13.986195029755937</v>
      </c>
      <c r="AB76" s="43">
        <f t="shared" si="14"/>
        <v>177.62467687790036</v>
      </c>
      <c r="AC76" s="43">
        <f t="shared" si="15"/>
        <v>170.64992191388114</v>
      </c>
      <c r="AD76" s="43">
        <f t="shared" si="16"/>
        <v>163.97245158767248</v>
      </c>
      <c r="AE76" s="43">
        <f t="shared" si="17"/>
        <v>157.57959475077772</v>
      </c>
      <c r="AF76" s="43">
        <f t="shared" si="18"/>
        <v>151.45922033643907</v>
      </c>
      <c r="AH76" s="43">
        <f t="shared" si="19"/>
        <v>4088.1648071976597</v>
      </c>
      <c r="AI76" s="43">
        <f t="shared" si="20"/>
        <v>3917.5148852837783</v>
      </c>
      <c r="AJ76" s="43">
        <f t="shared" si="21"/>
        <v>3753.5424336961059</v>
      </c>
      <c r="AK76" s="43">
        <f t="shared" si="22"/>
        <v>3595.9628389453283</v>
      </c>
      <c r="AL76" s="43">
        <f t="shared" si="23"/>
        <v>3444.5036186088892</v>
      </c>
      <c r="AN76" s="47">
        <f t="shared" si="24"/>
        <v>345.23943397300445</v>
      </c>
      <c r="AO76" s="47">
        <f t="shared" si="25"/>
        <v>370.44318106335379</v>
      </c>
      <c r="AP76" s="47">
        <f t="shared" si="26"/>
        <v>355.40311570617388</v>
      </c>
      <c r="AQ76" s="47">
        <f t="shared" si="27"/>
        <v>355.35755089277075</v>
      </c>
      <c r="AR76" s="43">
        <f t="shared" si="28"/>
        <v>282.35035784357683</v>
      </c>
      <c r="AY76" s="3"/>
    </row>
    <row r="77" spans="1:51">
      <c r="A77" s="48"/>
      <c r="B77" s="37">
        <f>'13. Desinvesteringen'!B360</f>
        <v>341</v>
      </c>
      <c r="C77" s="48"/>
      <c r="D77" s="48"/>
      <c r="E77" s="48"/>
      <c r="F77" s="354">
        <f>'5. Input GAW-waarde desinv.'!D36</f>
        <v>6065.0353725967525</v>
      </c>
      <c r="G77" s="175">
        <f>'13. Desinvesteringen'!D360</f>
        <v>2001</v>
      </c>
      <c r="H77" s="175">
        <f>'13. Desinvesteringen'!G360</f>
        <v>2022</v>
      </c>
      <c r="I77" s="37" t="str">
        <f>'13. Desinvesteringen'!C360</f>
        <v>01 Regionale leidingen</v>
      </c>
      <c r="J77" s="165">
        <f>'13. Desinvesteringen'!F360</f>
        <v>0</v>
      </c>
      <c r="K77" s="38">
        <f>_xlfn.XLOOKUP(I77,'3. Input (des)investeringen '!$B$11:$B$89,'3. Input (des)investeringen '!$E$11:$E$89)</f>
        <v>1</v>
      </c>
      <c r="L77" s="48"/>
      <c r="M77" s="38">
        <f>_xlfn.XLOOKUP(I77,'3. Input (des)investeringen '!$B$11:$B$89,'3. Input (des)investeringen '!$D$11:$D$89,0)</f>
        <v>55</v>
      </c>
      <c r="N77" s="38">
        <f t="shared" si="13"/>
        <v>34.5</v>
      </c>
      <c r="P77" s="43">
        <f t="shared" si="30"/>
        <v>205.6838082880638</v>
      </c>
      <c r="Q77" s="43">
        <f t="shared" si="30"/>
        <v>197.93340391778895</v>
      </c>
      <c r="R77" s="43">
        <f t="shared" si="30"/>
        <v>190.47504377016213</v>
      </c>
      <c r="S77" s="43">
        <f t="shared" si="30"/>
        <v>183.29772328027195</v>
      </c>
      <c r="T77" s="43">
        <f t="shared" si="30"/>
        <v>176.39085254797183</v>
      </c>
      <c r="V77" s="43">
        <f t="shared" si="1"/>
        <v>17.579812674193487</v>
      </c>
      <c r="W77" s="43">
        <f t="shared" si="2"/>
        <v>17.579812674193487</v>
      </c>
      <c r="X77" s="43">
        <f t="shared" si="3"/>
        <v>17.579812674193487</v>
      </c>
      <c r="Y77" s="43">
        <f t="shared" si="4"/>
        <v>17.579812674193487</v>
      </c>
      <c r="Z77" s="43">
        <f t="shared" si="5"/>
        <v>17.579812674193487</v>
      </c>
      <c r="AB77" s="43">
        <f t="shared" si="14"/>
        <v>223.26362096225728</v>
      </c>
      <c r="AC77" s="43">
        <f t="shared" si="15"/>
        <v>215.51321659198243</v>
      </c>
      <c r="AD77" s="43">
        <f t="shared" si="16"/>
        <v>208.05485644435561</v>
      </c>
      <c r="AE77" s="43">
        <f t="shared" si="17"/>
        <v>200.87753595446543</v>
      </c>
      <c r="AF77" s="43">
        <f t="shared" si="18"/>
        <v>193.97066522216531</v>
      </c>
      <c r="AH77" s="43">
        <f t="shared" si="19"/>
        <v>5841.7717516344956</v>
      </c>
      <c r="AI77" s="43">
        <f t="shared" si="20"/>
        <v>5626.2585350425134</v>
      </c>
      <c r="AJ77" s="43">
        <f t="shared" si="21"/>
        <v>5418.2036785981581</v>
      </c>
      <c r="AK77" s="43">
        <f t="shared" si="22"/>
        <v>5217.3261426436929</v>
      </c>
      <c r="AL77" s="43">
        <f t="shared" si="23"/>
        <v>5023.3554774215272</v>
      </c>
      <c r="AN77" s="47">
        <f t="shared" si="24"/>
        <v>462.77626277927163</v>
      </c>
      <c r="AO77" s="47">
        <f t="shared" si="25"/>
        <v>502.45240187915061</v>
      </c>
      <c r="AP77" s="47">
        <f t="shared" si="26"/>
        <v>484.38324405286164</v>
      </c>
      <c r="AQ77" s="47">
        <f t="shared" si="27"/>
        <v>487.83047379986857</v>
      </c>
      <c r="AR77" s="43">
        <f t="shared" si="28"/>
        <v>384.85817336418336</v>
      </c>
      <c r="AY77" s="3"/>
    </row>
    <row r="78" spans="1:51">
      <c r="A78" s="48"/>
      <c r="B78" s="37">
        <f>'13. Desinvesteringen'!B361</f>
        <v>342</v>
      </c>
      <c r="C78" s="48"/>
      <c r="D78" s="48"/>
      <c r="E78" s="48"/>
      <c r="F78" s="354">
        <f>'5. Input GAW-waarde desinv.'!D37</f>
        <v>3963.0132452867715</v>
      </c>
      <c r="G78" s="175">
        <f>'13. Desinvesteringen'!D361</f>
        <v>2002</v>
      </c>
      <c r="H78" s="175">
        <f>'13. Desinvesteringen'!G361</f>
        <v>2022</v>
      </c>
      <c r="I78" s="37" t="str">
        <f>'13. Desinvesteringen'!C361</f>
        <v>01 Regionale leidingen</v>
      </c>
      <c r="J78" s="165">
        <f>'13. Desinvesteringen'!F361</f>
        <v>0</v>
      </c>
      <c r="K78" s="38">
        <f>_xlfn.XLOOKUP(I78,'3. Input (des)investeringen '!$B$11:$B$89,'3. Input (des)investeringen '!$E$11:$E$89)</f>
        <v>1</v>
      </c>
      <c r="L78" s="48"/>
      <c r="M78" s="38">
        <f>_xlfn.XLOOKUP(I78,'3. Input (des)investeringen '!$B$11:$B$89,'3. Input (des)investeringen '!$D$11:$D$89,0)</f>
        <v>55</v>
      </c>
      <c r="N78" s="38">
        <f t="shared" si="13"/>
        <v>35.5</v>
      </c>
      <c r="P78" s="43">
        <f t="shared" si="30"/>
        <v>130.61198583057811</v>
      </c>
      <c r="Q78" s="43">
        <f t="shared" si="30"/>
        <v>125.82901170157102</v>
      </c>
      <c r="R78" s="43">
        <f t="shared" si="30"/>
        <v>121.22118873785151</v>
      </c>
      <c r="S78" s="43">
        <f t="shared" si="30"/>
        <v>116.78210295308513</v>
      </c>
      <c r="T78" s="43">
        <f t="shared" si="30"/>
        <v>112.50557523931016</v>
      </c>
      <c r="V78" s="43">
        <f t="shared" si="1"/>
        <v>11.163417592357105</v>
      </c>
      <c r="W78" s="43">
        <f t="shared" si="2"/>
        <v>11.163417592357103</v>
      </c>
      <c r="X78" s="43">
        <f t="shared" si="3"/>
        <v>11.163417592357103</v>
      </c>
      <c r="Y78" s="43">
        <f t="shared" si="4"/>
        <v>11.163417592357103</v>
      </c>
      <c r="Z78" s="43">
        <f t="shared" si="5"/>
        <v>11.163417592357103</v>
      </c>
      <c r="AB78" s="43">
        <f t="shared" si="14"/>
        <v>141.7754034229352</v>
      </c>
      <c r="AC78" s="43">
        <f t="shared" si="15"/>
        <v>136.99242929392813</v>
      </c>
      <c r="AD78" s="43">
        <f t="shared" si="16"/>
        <v>132.38460633020861</v>
      </c>
      <c r="AE78" s="43">
        <f t="shared" si="17"/>
        <v>127.94552054544224</v>
      </c>
      <c r="AF78" s="43">
        <f t="shared" si="18"/>
        <v>123.66899283166727</v>
      </c>
      <c r="AH78" s="43">
        <f t="shared" si="19"/>
        <v>3821.2378418638364</v>
      </c>
      <c r="AI78" s="43">
        <f t="shared" si="20"/>
        <v>3684.2454125699082</v>
      </c>
      <c r="AJ78" s="43">
        <f t="shared" si="21"/>
        <v>3551.8608062396997</v>
      </c>
      <c r="AK78" s="43">
        <f t="shared" si="22"/>
        <v>3423.9152856942574</v>
      </c>
      <c r="AL78" s="43">
        <f t="shared" si="23"/>
        <v>3300.2462928625901</v>
      </c>
      <c r="AN78" s="47">
        <f t="shared" si="24"/>
        <v>298.44615493935248</v>
      </c>
      <c r="AO78" s="47">
        <f t="shared" si="25"/>
        <v>324.88894533499342</v>
      </c>
      <c r="AP78" s="47">
        <f t="shared" si="26"/>
        <v>313.52950744843326</v>
      </c>
      <c r="AQ78" s="47">
        <f t="shared" si="27"/>
        <v>316.26086125862639</v>
      </c>
      <c r="AR78" s="43">
        <f t="shared" si="28"/>
        <v>249.07835196044567</v>
      </c>
      <c r="AY78" s="3"/>
    </row>
    <row r="79" spans="1:51">
      <c r="A79" s="48"/>
      <c r="B79" s="37">
        <f>'13. Desinvesteringen'!B362</f>
        <v>343</v>
      </c>
      <c r="C79" s="48"/>
      <c r="D79" s="48"/>
      <c r="E79" s="48"/>
      <c r="F79" s="354">
        <f>'5. Input GAW-waarde desinv.'!D38</f>
        <v>99386.826026262308</v>
      </c>
      <c r="G79" s="175">
        <f>'13. Desinvesteringen'!D362</f>
        <v>2004</v>
      </c>
      <c r="H79" s="175">
        <f>'13. Desinvesteringen'!G362</f>
        <v>2022</v>
      </c>
      <c r="I79" s="37" t="str">
        <f>'13. Desinvesteringen'!C362</f>
        <v>01 Regionale leidingen</v>
      </c>
      <c r="J79" s="165">
        <f>'13. Desinvesteringen'!F362</f>
        <v>0</v>
      </c>
      <c r="K79" s="38">
        <f>_xlfn.XLOOKUP(I79,'3. Input (des)investeringen '!$B$11:$B$89,'3. Input (des)investeringen '!$E$11:$E$89)</f>
        <v>1</v>
      </c>
      <c r="L79" s="48"/>
      <c r="M79" s="38">
        <f>_xlfn.XLOOKUP(I79,'3. Input (des)investeringen '!$B$11:$B$89,'3. Input (des)investeringen '!$D$11:$D$89,0)</f>
        <v>55</v>
      </c>
      <c r="N79" s="38">
        <f t="shared" si="13"/>
        <v>37.5</v>
      </c>
      <c r="P79" s="43">
        <f t="shared" si="30"/>
        <v>3100.8689720193838</v>
      </c>
      <c r="Q79" s="43">
        <f t="shared" si="30"/>
        <v>2993.3721809893782</v>
      </c>
      <c r="R79" s="43">
        <f t="shared" si="30"/>
        <v>2889.6019453817466</v>
      </c>
      <c r="S79" s="43">
        <f t="shared" si="30"/>
        <v>2789.4290779418461</v>
      </c>
      <c r="T79" s="43">
        <f t="shared" si="30"/>
        <v>2692.7288699065289</v>
      </c>
      <c r="V79" s="43">
        <f t="shared" si="1"/>
        <v>265.03153607003281</v>
      </c>
      <c r="W79" s="43">
        <f t="shared" si="2"/>
        <v>265.03153607003281</v>
      </c>
      <c r="X79" s="43">
        <f t="shared" si="3"/>
        <v>265.03153607003281</v>
      </c>
      <c r="Y79" s="43">
        <f t="shared" si="4"/>
        <v>265.03153607003281</v>
      </c>
      <c r="Z79" s="43">
        <f t="shared" si="5"/>
        <v>265.03153607003281</v>
      </c>
      <c r="AB79" s="43">
        <f t="shared" si="14"/>
        <v>3365.9005080894167</v>
      </c>
      <c r="AC79" s="43">
        <f t="shared" si="15"/>
        <v>3258.4037170594111</v>
      </c>
      <c r="AD79" s="43">
        <f t="shared" si="16"/>
        <v>3154.6334814517795</v>
      </c>
      <c r="AE79" s="43">
        <f t="shared" si="17"/>
        <v>3054.460614011879</v>
      </c>
      <c r="AF79" s="43">
        <f t="shared" si="18"/>
        <v>2957.7604059765617</v>
      </c>
      <c r="AH79" s="43">
        <f t="shared" si="19"/>
        <v>96020.925518172895</v>
      </c>
      <c r="AI79" s="43">
        <f t="shared" si="20"/>
        <v>92762.521801113486</v>
      </c>
      <c r="AJ79" s="43">
        <f t="shared" si="21"/>
        <v>89607.88831966171</v>
      </c>
      <c r="AK79" s="43">
        <f t="shared" si="22"/>
        <v>86553.427705649825</v>
      </c>
      <c r="AL79" s="43">
        <f t="shared" si="23"/>
        <v>83595.667299673267</v>
      </c>
      <c r="AN79" s="47">
        <f t="shared" si="24"/>
        <v>7302.7584543345056</v>
      </c>
      <c r="AO79" s="47">
        <f t="shared" si="25"/>
        <v>7989.2923289161981</v>
      </c>
      <c r="AP79" s="47">
        <f t="shared" si="26"/>
        <v>7724.6357857545263</v>
      </c>
      <c r="AQ79" s="47">
        <f t="shared" si="27"/>
        <v>7814.8991378226201</v>
      </c>
      <c r="AR79" s="43">
        <f t="shared" si="28"/>
        <v>6134.3957633641458</v>
      </c>
      <c r="AY79" s="3"/>
    </row>
    <row r="80" spans="1:51">
      <c r="A80" s="48"/>
      <c r="B80" s="37">
        <f>'13. Desinvesteringen'!B363</f>
        <v>344</v>
      </c>
      <c r="C80" s="48"/>
      <c r="D80" s="48"/>
      <c r="E80" s="48"/>
      <c r="F80" s="354">
        <f>'5. Input GAW-waarde desinv.'!D39</f>
        <v>21724.935672167638</v>
      </c>
      <c r="G80" s="175">
        <f>'13. Desinvesteringen'!D363</f>
        <v>2005</v>
      </c>
      <c r="H80" s="175">
        <f>'13. Desinvesteringen'!G363</f>
        <v>2022</v>
      </c>
      <c r="I80" s="37" t="str">
        <f>'13. Desinvesteringen'!C363</f>
        <v>01 Regionale leidingen</v>
      </c>
      <c r="J80" s="165">
        <f>'13. Desinvesteringen'!F363</f>
        <v>0</v>
      </c>
      <c r="K80" s="38">
        <f>_xlfn.XLOOKUP(I80,'3. Input (des)investeringen '!$B$11:$B$89,'3. Input (des)investeringen '!$E$11:$E$89)</f>
        <v>1</v>
      </c>
      <c r="L80" s="48"/>
      <c r="M80" s="38">
        <f>_xlfn.XLOOKUP(I80,'3. Input (des)investeringen '!$B$11:$B$89,'3. Input (des)investeringen '!$D$11:$D$89,0)</f>
        <v>55</v>
      </c>
      <c r="N80" s="38">
        <f t="shared" si="13"/>
        <v>38.5</v>
      </c>
      <c r="P80" s="43">
        <f t="shared" si="30"/>
        <v>660.21233081652315</v>
      </c>
      <c r="Q80" s="43">
        <f t="shared" si="30"/>
        <v>637.91944691882236</v>
      </c>
      <c r="R80" s="43">
        <f t="shared" si="30"/>
        <v>616.37930975013478</v>
      </c>
      <c r="S80" s="43">
        <f t="shared" si="30"/>
        <v>595.56650188844196</v>
      </c>
      <c r="T80" s="43">
        <f t="shared" si="30"/>
        <v>575.45646416233865</v>
      </c>
      <c r="V80" s="43">
        <f t="shared" si="1"/>
        <v>56.428404343292577</v>
      </c>
      <c r="W80" s="43">
        <f t="shared" si="2"/>
        <v>56.428404343292563</v>
      </c>
      <c r="X80" s="43">
        <f t="shared" si="3"/>
        <v>56.428404343292563</v>
      </c>
      <c r="Y80" s="43">
        <f t="shared" si="4"/>
        <v>56.428404343292563</v>
      </c>
      <c r="Z80" s="43">
        <f t="shared" si="5"/>
        <v>56.428404343292563</v>
      </c>
      <c r="AB80" s="43">
        <f t="shared" si="14"/>
        <v>716.64073515981568</v>
      </c>
      <c r="AC80" s="43">
        <f t="shared" si="15"/>
        <v>694.34785126211489</v>
      </c>
      <c r="AD80" s="43">
        <f t="shared" si="16"/>
        <v>672.80771409342731</v>
      </c>
      <c r="AE80" s="43">
        <f t="shared" si="17"/>
        <v>651.99490623173449</v>
      </c>
      <c r="AF80" s="43">
        <f t="shared" si="18"/>
        <v>631.88486850563118</v>
      </c>
      <c r="AH80" s="43">
        <f t="shared" si="19"/>
        <v>21008.29493700782</v>
      </c>
      <c r="AI80" s="43">
        <f t="shared" si="20"/>
        <v>20313.947085745705</v>
      </c>
      <c r="AJ80" s="43">
        <f t="shared" si="21"/>
        <v>19641.13937165228</v>
      </c>
      <c r="AK80" s="43">
        <f t="shared" si="22"/>
        <v>18989.144465420544</v>
      </c>
      <c r="AL80" s="43">
        <f t="shared" si="23"/>
        <v>18357.259596914912</v>
      </c>
      <c r="AN80" s="47">
        <f t="shared" si="24"/>
        <v>1577.9808275771363</v>
      </c>
      <c r="AO80" s="47">
        <f t="shared" si="25"/>
        <v>1730.3591526351456</v>
      </c>
      <c r="AP80" s="47">
        <f t="shared" si="26"/>
        <v>1674.5058220476935</v>
      </c>
      <c r="AQ80" s="47">
        <f t="shared" si="27"/>
        <v>1696.3978518298645</v>
      </c>
      <c r="AR80" s="43">
        <f t="shared" si="28"/>
        <v>1329.4607331883976</v>
      </c>
      <c r="AY80" s="3"/>
    </row>
    <row r="81" spans="1:51">
      <c r="A81" s="48"/>
      <c r="B81" s="37">
        <f>'13. Desinvesteringen'!B364</f>
        <v>345</v>
      </c>
      <c r="C81" s="48"/>
      <c r="D81" s="48"/>
      <c r="E81" s="48"/>
      <c r="F81" s="354">
        <f>'5. Input GAW-waarde desinv.'!D40</f>
        <v>354150.64233630133</v>
      </c>
      <c r="G81" s="175">
        <f>'13. Desinvesteringen'!D364</f>
        <v>2009</v>
      </c>
      <c r="H81" s="175">
        <f>'13. Desinvesteringen'!G364</f>
        <v>2022</v>
      </c>
      <c r="I81" s="37" t="str">
        <f>'13. Desinvesteringen'!C364</f>
        <v>01 Regionale leidingen</v>
      </c>
      <c r="J81" s="165">
        <f>'13. Desinvesteringen'!F364</f>
        <v>0</v>
      </c>
      <c r="K81" s="38">
        <f>_xlfn.XLOOKUP(I81,'3. Input (des)investeringen '!$B$11:$B$89,'3. Input (des)investeringen '!$E$11:$E$89)</f>
        <v>1</v>
      </c>
      <c r="L81" s="48"/>
      <c r="M81" s="38">
        <f>_xlfn.XLOOKUP(I81,'3. Input (des)investeringen '!$B$11:$B$89,'3. Input (des)investeringen '!$D$11:$D$89,0)</f>
        <v>55</v>
      </c>
      <c r="N81" s="38">
        <f t="shared" si="13"/>
        <v>42.5</v>
      </c>
      <c r="P81" s="43">
        <f t="shared" si="30"/>
        <v>9749.5588596111193</v>
      </c>
      <c r="Q81" s="43">
        <f t="shared" si="30"/>
        <v>9451.3370591994844</v>
      </c>
      <c r="R81" s="43">
        <f t="shared" si="30"/>
        <v>9162.2373373886767</v>
      </c>
      <c r="S81" s="43">
        <f t="shared" si="30"/>
        <v>8881.9806658920825</v>
      </c>
      <c r="T81" s="43">
        <f t="shared" si="30"/>
        <v>8610.2965514059724</v>
      </c>
      <c r="V81" s="43">
        <f t="shared" si="1"/>
        <v>833.29562902659154</v>
      </c>
      <c r="W81" s="43">
        <f t="shared" si="2"/>
        <v>833.29562902659154</v>
      </c>
      <c r="X81" s="43">
        <f t="shared" si="3"/>
        <v>833.29562902659154</v>
      </c>
      <c r="Y81" s="43">
        <f t="shared" si="4"/>
        <v>833.29562902659154</v>
      </c>
      <c r="Z81" s="43">
        <f t="shared" si="5"/>
        <v>833.29562902659154</v>
      </c>
      <c r="AB81" s="43">
        <f t="shared" si="14"/>
        <v>10582.854488637711</v>
      </c>
      <c r="AC81" s="43">
        <f t="shared" si="15"/>
        <v>10284.632688226076</v>
      </c>
      <c r="AD81" s="43">
        <f t="shared" si="16"/>
        <v>9995.5329664152687</v>
      </c>
      <c r="AE81" s="43">
        <f t="shared" si="17"/>
        <v>9715.2762949186745</v>
      </c>
      <c r="AF81" s="43">
        <f t="shared" si="18"/>
        <v>9443.5921804325644</v>
      </c>
      <c r="AH81" s="43">
        <f t="shared" si="19"/>
        <v>343567.78784766363</v>
      </c>
      <c r="AI81" s="43">
        <f t="shared" si="20"/>
        <v>333283.15515943756</v>
      </c>
      <c r="AJ81" s="43">
        <f t="shared" si="21"/>
        <v>323287.62219302228</v>
      </c>
      <c r="AK81" s="43">
        <f t="shared" si="22"/>
        <v>313572.34589810361</v>
      </c>
      <c r="AL81" s="43">
        <f t="shared" si="23"/>
        <v>304128.75371767103</v>
      </c>
      <c r="AN81" s="47">
        <f t="shared" si="24"/>
        <v>24669.133790391919</v>
      </c>
      <c r="AO81" s="47">
        <f t="shared" si="25"/>
        <v>27282.073601357391</v>
      </c>
      <c r="AP81" s="47">
        <f t="shared" si="26"/>
        <v>26483.201698259407</v>
      </c>
      <c r="AQ81" s="47">
        <f t="shared" si="27"/>
        <v>26961.755319314376</v>
      </c>
      <c r="AR81" s="43">
        <f t="shared" si="28"/>
        <v>21000.484821704064</v>
      </c>
      <c r="AY81" s="3"/>
    </row>
    <row r="82" spans="1:51">
      <c r="A82" s="48"/>
      <c r="B82" s="37">
        <f>'13. Desinvesteringen'!B365</f>
        <v>346</v>
      </c>
      <c r="C82" s="48"/>
      <c r="D82" s="48"/>
      <c r="E82" s="48"/>
      <c r="F82" s="354">
        <f>'5. Input GAW-waarde desinv.'!D41</f>
        <v>152476.71374613314</v>
      </c>
      <c r="G82" s="175">
        <f>'13. Desinvesteringen'!D365</f>
        <v>2010</v>
      </c>
      <c r="H82" s="175">
        <f>'13. Desinvesteringen'!G365</f>
        <v>2022</v>
      </c>
      <c r="I82" s="37" t="str">
        <f>'13. Desinvesteringen'!C365</f>
        <v>01 Regionale leidingen</v>
      </c>
      <c r="J82" s="165">
        <f>'13. Desinvesteringen'!F365</f>
        <v>0</v>
      </c>
      <c r="K82" s="38">
        <f>_xlfn.XLOOKUP(I82,'3. Input (des)investeringen '!$B$11:$B$89,'3. Input (des)investeringen '!$E$11:$E$89)</f>
        <v>1</v>
      </c>
      <c r="L82" s="48"/>
      <c r="M82" s="38">
        <f>_xlfn.XLOOKUP(I82,'3. Input (des)investeringen '!$B$11:$B$89,'3. Input (des)investeringen '!$D$11:$D$89,0)</f>
        <v>55</v>
      </c>
      <c r="N82" s="38">
        <f t="shared" si="13"/>
        <v>43.5</v>
      </c>
      <c r="P82" s="43">
        <f t="shared" ref="P82:T91" si="31">IF($M82&gt;0, IF(OR($G82&gt;P$50,$G82+$M82&lt;P$50),0,
VDB($F82,0,$N82,MAX(0,P$50-2022),MIN($N82,P$50-2021),$F$23,FALSE))*(1-$F$26), 0)</f>
        <v>4101.0978179994436</v>
      </c>
      <c r="Q82" s="43">
        <f t="shared" si="31"/>
        <v>3978.5362740132528</v>
      </c>
      <c r="R82" s="43">
        <f t="shared" si="31"/>
        <v>3859.6374888128566</v>
      </c>
      <c r="S82" s="43">
        <f t="shared" si="31"/>
        <v>3744.2920006414374</v>
      </c>
      <c r="T82" s="43">
        <f t="shared" si="31"/>
        <v>3632.3936190130726</v>
      </c>
      <c r="V82" s="43">
        <f t="shared" si="1"/>
        <v>350.52118102559348</v>
      </c>
      <c r="W82" s="43">
        <f t="shared" si="2"/>
        <v>350.52118102559342</v>
      </c>
      <c r="X82" s="43">
        <f t="shared" si="3"/>
        <v>350.52118102559342</v>
      </c>
      <c r="Y82" s="43">
        <f t="shared" si="4"/>
        <v>350.52118102559342</v>
      </c>
      <c r="Z82" s="43">
        <f t="shared" si="5"/>
        <v>350.52118102559342</v>
      </c>
      <c r="AB82" s="43">
        <f t="shared" si="14"/>
        <v>4451.6189990250368</v>
      </c>
      <c r="AC82" s="43">
        <f t="shared" si="15"/>
        <v>4329.0574550388465</v>
      </c>
      <c r="AD82" s="43">
        <f t="shared" si="16"/>
        <v>4210.1586698384499</v>
      </c>
      <c r="AE82" s="43">
        <f t="shared" si="17"/>
        <v>4094.8131816670307</v>
      </c>
      <c r="AF82" s="43">
        <f t="shared" si="18"/>
        <v>3982.9148000386658</v>
      </c>
      <c r="AH82" s="43">
        <f t="shared" si="19"/>
        <v>148025.09474710812</v>
      </c>
      <c r="AI82" s="43">
        <f t="shared" si="20"/>
        <v>143696.03729206926</v>
      </c>
      <c r="AJ82" s="43">
        <f t="shared" si="21"/>
        <v>139485.87862223081</v>
      </c>
      <c r="AK82" s="43">
        <f t="shared" si="22"/>
        <v>135391.06544056378</v>
      </c>
      <c r="AL82" s="43">
        <f t="shared" si="23"/>
        <v>131408.1506405251</v>
      </c>
      <c r="AN82" s="47">
        <f t="shared" si="24"/>
        <v>10520.647883656471</v>
      </c>
      <c r="AO82" s="47">
        <f t="shared" si="25"/>
        <v>11657.555356934379</v>
      </c>
      <c r="AP82" s="47">
        <f t="shared" si="26"/>
        <v>11323.938479572222</v>
      </c>
      <c r="AQ82" s="47">
        <f t="shared" si="27"/>
        <v>11541.321780898039</v>
      </c>
      <c r="AR82" s="43">
        <f t="shared" si="28"/>
        <v>8976.424524378619</v>
      </c>
      <c r="AY82" s="3"/>
    </row>
    <row r="83" spans="1:51">
      <c r="A83" s="48"/>
      <c r="B83" s="37">
        <f>'13. Desinvesteringen'!B366</f>
        <v>347</v>
      </c>
      <c r="C83" s="48"/>
      <c r="D83" s="48"/>
      <c r="E83" s="48"/>
      <c r="F83" s="354">
        <f>'5. Input GAW-waarde desinv.'!D42</f>
        <v>56089.001773568591</v>
      </c>
      <c r="G83" s="175">
        <f>'13. Desinvesteringen'!D366</f>
        <v>2011</v>
      </c>
      <c r="H83" s="175">
        <f>'13. Desinvesteringen'!G366</f>
        <v>2022</v>
      </c>
      <c r="I83" s="37" t="str">
        <f>'13. Desinvesteringen'!C366</f>
        <v>01 Regionale leidingen</v>
      </c>
      <c r="J83" s="165">
        <f>'13. Desinvesteringen'!F366</f>
        <v>0</v>
      </c>
      <c r="K83" s="38">
        <f>_xlfn.XLOOKUP(I83,'3. Input (des)investeringen '!$B$11:$B$89,'3. Input (des)investeringen '!$E$11:$E$89)</f>
        <v>1</v>
      </c>
      <c r="L83" s="48"/>
      <c r="M83" s="38">
        <f>_xlfn.XLOOKUP(I83,'3. Input (des)investeringen '!$B$11:$B$89,'3. Input (des)investeringen '!$D$11:$D$89,0)</f>
        <v>55</v>
      </c>
      <c r="N83" s="38">
        <f t="shared" si="13"/>
        <v>44.5</v>
      </c>
      <c r="P83" s="43">
        <f t="shared" si="31"/>
        <v>1474.6995971927024</v>
      </c>
      <c r="Q83" s="43">
        <f t="shared" si="31"/>
        <v>1431.6184853646012</v>
      </c>
      <c r="R83" s="43">
        <f t="shared" si="31"/>
        <v>1389.7959228708037</v>
      </c>
      <c r="S83" s="43">
        <f t="shared" si="31"/>
        <v>1349.1951431015443</v>
      </c>
      <c r="T83" s="43">
        <f t="shared" si="31"/>
        <v>1309.7804535277912</v>
      </c>
      <c r="V83" s="43">
        <f t="shared" si="1"/>
        <v>126.04270061476089</v>
      </c>
      <c r="W83" s="43">
        <f t="shared" si="2"/>
        <v>126.04270061476089</v>
      </c>
      <c r="X83" s="43">
        <f t="shared" si="3"/>
        <v>126.04270061476089</v>
      </c>
      <c r="Y83" s="43">
        <f t="shared" si="4"/>
        <v>126.04270061476089</v>
      </c>
      <c r="Z83" s="43">
        <f t="shared" si="5"/>
        <v>126.04270061476089</v>
      </c>
      <c r="AB83" s="43">
        <f t="shared" si="14"/>
        <v>1600.7422978074633</v>
      </c>
      <c r="AC83" s="43">
        <f t="shared" si="15"/>
        <v>1557.661185979362</v>
      </c>
      <c r="AD83" s="43">
        <f t="shared" si="16"/>
        <v>1515.8386234855645</v>
      </c>
      <c r="AE83" s="43">
        <f t="shared" si="17"/>
        <v>1475.2378437163052</v>
      </c>
      <c r="AF83" s="43">
        <f t="shared" si="18"/>
        <v>1435.8231541425521</v>
      </c>
      <c r="AH83" s="43">
        <f t="shared" si="19"/>
        <v>54488.25947576113</v>
      </c>
      <c r="AI83" s="43">
        <f t="shared" si="20"/>
        <v>52930.598289781767</v>
      </c>
      <c r="AJ83" s="43">
        <f t="shared" si="21"/>
        <v>51414.759666296202</v>
      </c>
      <c r="AK83" s="43">
        <f t="shared" si="22"/>
        <v>49939.521822579896</v>
      </c>
      <c r="AL83" s="43">
        <f t="shared" si="23"/>
        <v>48503.698668437341</v>
      </c>
      <c r="AN83" s="47">
        <f t="shared" si="24"/>
        <v>3834.7609363136698</v>
      </c>
      <c r="AO83" s="47">
        <f t="shared" si="25"/>
        <v>4257.121698758232</v>
      </c>
      <c r="AP83" s="47">
        <f t="shared" si="26"/>
        <v>4137.991366466671</v>
      </c>
      <c r="AQ83" s="47">
        <f t="shared" si="27"/>
        <v>4221.9115439582001</v>
      </c>
      <c r="AR83" s="43">
        <f t="shared" si="28"/>
        <v>3278.9637035431711</v>
      </c>
      <c r="AY83" s="3"/>
    </row>
    <row r="84" spans="1:51">
      <c r="A84" s="48"/>
      <c r="B84" s="37">
        <f>'13. Desinvesteringen'!B367</f>
        <v>348</v>
      </c>
      <c r="C84" s="48"/>
      <c r="D84" s="48"/>
      <c r="E84" s="48"/>
      <c r="F84" s="354">
        <f>'5. Input GAW-waarde desinv.'!D43</f>
        <v>89195.270846924876</v>
      </c>
      <c r="G84" s="175">
        <f>'13. Desinvesteringen'!D367</f>
        <v>2012</v>
      </c>
      <c r="H84" s="175">
        <f>'13. Desinvesteringen'!G367</f>
        <v>2022</v>
      </c>
      <c r="I84" s="37" t="str">
        <f>'13. Desinvesteringen'!C367</f>
        <v>01 Regionale leidingen</v>
      </c>
      <c r="J84" s="165">
        <f>'13. Desinvesteringen'!F367</f>
        <v>0</v>
      </c>
      <c r="K84" s="38">
        <f>_xlfn.XLOOKUP(I84,'3. Input (des)investeringen '!$B$11:$B$89,'3. Input (des)investeringen '!$E$11:$E$89)</f>
        <v>1</v>
      </c>
      <c r="L84" s="48"/>
      <c r="M84" s="38">
        <f>_xlfn.XLOOKUP(I84,'3. Input (des)investeringen '!$B$11:$B$89,'3. Input (des)investeringen '!$D$11:$D$89,0)</f>
        <v>55</v>
      </c>
      <c r="N84" s="38">
        <f t="shared" si="13"/>
        <v>45.5</v>
      </c>
      <c r="P84" s="43">
        <f t="shared" si="31"/>
        <v>2293.5926789209257</v>
      </c>
      <c r="Q84" s="43">
        <f t="shared" si="31"/>
        <v>2228.061459523185</v>
      </c>
      <c r="R84" s="43">
        <f t="shared" si="31"/>
        <v>2164.4025606796654</v>
      </c>
      <c r="S84" s="43">
        <f t="shared" si="31"/>
        <v>2102.5624875173889</v>
      </c>
      <c r="T84" s="43">
        <f t="shared" si="31"/>
        <v>2042.4892735883207</v>
      </c>
      <c r="V84" s="43">
        <f t="shared" si="1"/>
        <v>196.03356230093382</v>
      </c>
      <c r="W84" s="43">
        <f t="shared" si="2"/>
        <v>196.0335623009338</v>
      </c>
      <c r="X84" s="43">
        <f t="shared" si="3"/>
        <v>196.0335623009338</v>
      </c>
      <c r="Y84" s="43">
        <f t="shared" si="4"/>
        <v>196.0335623009338</v>
      </c>
      <c r="Z84" s="43">
        <f t="shared" si="5"/>
        <v>196.0335623009338</v>
      </c>
      <c r="AB84" s="43">
        <f t="shared" si="14"/>
        <v>2489.6262412218593</v>
      </c>
      <c r="AC84" s="43">
        <f t="shared" si="15"/>
        <v>2424.0950218241187</v>
      </c>
      <c r="AD84" s="43">
        <f t="shared" si="16"/>
        <v>2360.4361229805991</v>
      </c>
      <c r="AE84" s="43">
        <f t="shared" si="17"/>
        <v>2298.5960498183226</v>
      </c>
      <c r="AF84" s="43">
        <f t="shared" si="18"/>
        <v>2238.5228358892546</v>
      </c>
      <c r="AH84" s="43">
        <f t="shared" si="19"/>
        <v>86705.644605703012</v>
      </c>
      <c r="AI84" s="43">
        <f t="shared" si="20"/>
        <v>84281.549583878892</v>
      </c>
      <c r="AJ84" s="43">
        <f t="shared" si="21"/>
        <v>81921.113460898297</v>
      </c>
      <c r="AK84" s="43">
        <f t="shared" si="22"/>
        <v>79622.517411079971</v>
      </c>
      <c r="AL84" s="43">
        <f t="shared" si="23"/>
        <v>77383.994575190722</v>
      </c>
      <c r="AN84" s="47">
        <f t="shared" si="24"/>
        <v>6044.557670055683</v>
      </c>
      <c r="AO84" s="47">
        <f t="shared" si="25"/>
        <v>6722.4540506019421</v>
      </c>
      <c r="AP84" s="47">
        <f t="shared" si="26"/>
        <v>6538.412909486412</v>
      </c>
      <c r="AQ84" s="47">
        <f t="shared" si="27"/>
        <v>6677.8345074277204</v>
      </c>
      <c r="AR84" s="43">
        <f t="shared" si="28"/>
        <v>5179.114629746502</v>
      </c>
      <c r="AY84" s="3"/>
    </row>
    <row r="85" spans="1:51">
      <c r="A85" s="48"/>
      <c r="B85" s="37">
        <f>'13. Desinvesteringen'!B368</f>
        <v>349</v>
      </c>
      <c r="C85" s="48"/>
      <c r="D85" s="48"/>
      <c r="E85" s="48"/>
      <c r="F85" s="354">
        <f>'5. Input GAW-waarde desinv.'!D44</f>
        <v>160239.08891040052</v>
      </c>
      <c r="G85" s="175">
        <f>'13. Desinvesteringen'!D368</f>
        <v>2013</v>
      </c>
      <c r="H85" s="175">
        <f>'13. Desinvesteringen'!G368</f>
        <v>2022</v>
      </c>
      <c r="I85" s="37" t="str">
        <f>'13. Desinvesteringen'!C368</f>
        <v>01 Regionale leidingen</v>
      </c>
      <c r="J85" s="165">
        <f>'13. Desinvesteringen'!F368</f>
        <v>0</v>
      </c>
      <c r="K85" s="38">
        <f>_xlfn.XLOOKUP(I85,'3. Input (des)investeringen '!$B$11:$B$89,'3. Input (des)investeringen '!$E$11:$E$89)</f>
        <v>1</v>
      </c>
      <c r="L85" s="48"/>
      <c r="M85" s="38">
        <f>_xlfn.XLOOKUP(I85,'3. Input (des)investeringen '!$B$11:$B$89,'3. Input (des)investeringen '!$D$11:$D$89,0)</f>
        <v>55</v>
      </c>
      <c r="N85" s="38">
        <f t="shared" si="13"/>
        <v>46.5</v>
      </c>
      <c r="P85" s="43">
        <f t="shared" si="31"/>
        <v>4031.8222371004008</v>
      </c>
      <c r="Q85" s="43">
        <f t="shared" si="31"/>
        <v>3919.104626170712</v>
      </c>
      <c r="R85" s="43">
        <f t="shared" si="31"/>
        <v>3809.5382602777672</v>
      </c>
      <c r="S85" s="43">
        <f t="shared" si="31"/>
        <v>3703.0350400979587</v>
      </c>
      <c r="T85" s="43">
        <f t="shared" si="31"/>
        <v>3599.5093292995211</v>
      </c>
      <c r="V85" s="43">
        <f t="shared" si="1"/>
        <v>344.60019120516245</v>
      </c>
      <c r="W85" s="43">
        <f t="shared" si="2"/>
        <v>344.60019120516239</v>
      </c>
      <c r="X85" s="43">
        <f t="shared" si="3"/>
        <v>344.60019120516239</v>
      </c>
      <c r="Y85" s="43">
        <f t="shared" si="4"/>
        <v>344.60019120516239</v>
      </c>
      <c r="Z85" s="43">
        <f t="shared" si="5"/>
        <v>344.60019120516239</v>
      </c>
      <c r="AB85" s="43">
        <f t="shared" si="14"/>
        <v>4376.4224283055628</v>
      </c>
      <c r="AC85" s="43">
        <f t="shared" si="15"/>
        <v>4263.704817375874</v>
      </c>
      <c r="AD85" s="43">
        <f t="shared" si="16"/>
        <v>4154.1384514829297</v>
      </c>
      <c r="AE85" s="43">
        <f t="shared" si="17"/>
        <v>4047.6352313031211</v>
      </c>
      <c r="AF85" s="43">
        <f t="shared" si="18"/>
        <v>3944.1095205046836</v>
      </c>
      <c r="AH85" s="43">
        <f t="shared" si="19"/>
        <v>155862.66648209497</v>
      </c>
      <c r="AI85" s="43">
        <f t="shared" si="20"/>
        <v>151598.9616647191</v>
      </c>
      <c r="AJ85" s="43">
        <f t="shared" si="21"/>
        <v>147444.82321323617</v>
      </c>
      <c r="AK85" s="43">
        <f t="shared" si="22"/>
        <v>143397.18798193306</v>
      </c>
      <c r="AL85" s="43">
        <f t="shared" si="23"/>
        <v>139453.07846142838</v>
      </c>
      <c r="AN85" s="47">
        <f t="shared" si="24"/>
        <v>10766.791754071457</v>
      </c>
      <c r="AO85" s="47">
        <f t="shared" si="25"/>
        <v>11995.251862276547</v>
      </c>
      <c r="AP85" s="47">
        <f t="shared" si="26"/>
        <v>11673.824435357974</v>
      </c>
      <c r="AQ85" s="47">
        <f t="shared" si="27"/>
        <v>11934.480570309439</v>
      </c>
      <c r="AR85" s="43">
        <f t="shared" si="28"/>
        <v>9243.3265020389626</v>
      </c>
      <c r="AY85" s="3"/>
    </row>
    <row r="86" spans="1:51">
      <c r="A86" s="48"/>
      <c r="B86" s="37">
        <f>'13. Desinvesteringen'!B369</f>
        <v>350</v>
      </c>
      <c r="C86" s="48"/>
      <c r="D86" s="48"/>
      <c r="E86" s="48"/>
      <c r="F86" s="354">
        <f>'5. Input GAW-waarde desinv.'!D45</f>
        <v>0</v>
      </c>
      <c r="G86" s="175">
        <f>'13. Desinvesteringen'!D369</f>
        <v>1965</v>
      </c>
      <c r="H86" s="175">
        <f>'13. Desinvesteringen'!G369</f>
        <v>2022</v>
      </c>
      <c r="I86" s="37" t="str">
        <f>'13. Desinvesteringen'!C369</f>
        <v>02 Gasontvangststations</v>
      </c>
      <c r="J86" s="165">
        <f>'13. Desinvesteringen'!F369</f>
        <v>0</v>
      </c>
      <c r="K86" s="38">
        <f>_xlfn.XLOOKUP(I86,'3. Input (des)investeringen '!$B$11:$B$89,'3. Input (des)investeringen '!$E$11:$E$89)</f>
        <v>0</v>
      </c>
      <c r="L86" s="48"/>
      <c r="M86" s="38">
        <f>_xlfn.XLOOKUP(I86,'3. Input (des)investeringen '!$B$11:$B$89,'3. Input (des)investeringen '!$D$11:$D$89,0)</f>
        <v>30</v>
      </c>
      <c r="N86" s="38">
        <f t="shared" si="13"/>
        <v>0</v>
      </c>
      <c r="P86" s="43">
        <f t="shared" si="31"/>
        <v>0</v>
      </c>
      <c r="Q86" s="43">
        <f t="shared" si="31"/>
        <v>0</v>
      </c>
      <c r="R86" s="43">
        <f t="shared" si="31"/>
        <v>0</v>
      </c>
      <c r="S86" s="43">
        <f t="shared" si="31"/>
        <v>0</v>
      </c>
      <c r="T86" s="43">
        <f t="shared" si="31"/>
        <v>0</v>
      </c>
      <c r="V86" s="43">
        <f t="shared" si="1"/>
        <v>0</v>
      </c>
      <c r="W86" s="43">
        <f t="shared" si="2"/>
        <v>0</v>
      </c>
      <c r="X86" s="43">
        <f t="shared" si="3"/>
        <v>0</v>
      </c>
      <c r="Y86" s="43">
        <f t="shared" si="4"/>
        <v>0</v>
      </c>
      <c r="Z86" s="43">
        <f t="shared" si="5"/>
        <v>0</v>
      </c>
      <c r="AB86" s="43">
        <f t="shared" si="14"/>
        <v>0</v>
      </c>
      <c r="AC86" s="43">
        <f t="shared" si="15"/>
        <v>0</v>
      </c>
      <c r="AD86" s="43">
        <f t="shared" si="16"/>
        <v>0</v>
      </c>
      <c r="AE86" s="43">
        <f t="shared" si="17"/>
        <v>0</v>
      </c>
      <c r="AF86" s="43">
        <f t="shared" si="18"/>
        <v>0</v>
      </c>
      <c r="AH86" s="43">
        <f t="shared" si="19"/>
        <v>0</v>
      </c>
      <c r="AI86" s="43">
        <f t="shared" si="20"/>
        <v>0</v>
      </c>
      <c r="AJ86" s="43">
        <f t="shared" si="21"/>
        <v>0</v>
      </c>
      <c r="AK86" s="43">
        <f t="shared" si="22"/>
        <v>0</v>
      </c>
      <c r="AL86" s="43">
        <f t="shared" si="23"/>
        <v>0</v>
      </c>
      <c r="AN86" s="47">
        <f t="shared" si="24"/>
        <v>0</v>
      </c>
      <c r="AO86" s="47">
        <f t="shared" si="25"/>
        <v>0</v>
      </c>
      <c r="AP86" s="47">
        <f t="shared" si="26"/>
        <v>0</v>
      </c>
      <c r="AQ86" s="47">
        <f t="shared" si="27"/>
        <v>0</v>
      </c>
      <c r="AR86" s="43">
        <f t="shared" si="28"/>
        <v>0</v>
      </c>
      <c r="AY86" s="3"/>
    </row>
    <row r="87" spans="1:51">
      <c r="A87" s="48"/>
      <c r="B87" s="37">
        <f>'13. Desinvesteringen'!B370</f>
        <v>351</v>
      </c>
      <c r="C87" s="48"/>
      <c r="D87" s="48"/>
      <c r="E87" s="48"/>
      <c r="F87" s="354">
        <f>'5. Input GAW-waarde desinv.'!D46</f>
        <v>0</v>
      </c>
      <c r="G87" s="175">
        <f>'13. Desinvesteringen'!D370</f>
        <v>1966</v>
      </c>
      <c r="H87" s="175">
        <f>'13. Desinvesteringen'!G370</f>
        <v>2022</v>
      </c>
      <c r="I87" s="37" t="str">
        <f>'13. Desinvesteringen'!C370</f>
        <v>02 Gasontvangststations</v>
      </c>
      <c r="J87" s="165">
        <f>'13. Desinvesteringen'!F370</f>
        <v>0</v>
      </c>
      <c r="K87" s="38">
        <f>_xlfn.XLOOKUP(I87,'3. Input (des)investeringen '!$B$11:$B$89,'3. Input (des)investeringen '!$E$11:$E$89)</f>
        <v>0</v>
      </c>
      <c r="L87" s="48"/>
      <c r="M87" s="38">
        <f>_xlfn.XLOOKUP(I87,'3. Input (des)investeringen '!$B$11:$B$89,'3. Input (des)investeringen '!$D$11:$D$89,0)</f>
        <v>30</v>
      </c>
      <c r="N87" s="38">
        <f t="shared" si="13"/>
        <v>0</v>
      </c>
      <c r="P87" s="43">
        <f t="shared" si="31"/>
        <v>0</v>
      </c>
      <c r="Q87" s="43">
        <f t="shared" si="31"/>
        <v>0</v>
      </c>
      <c r="R87" s="43">
        <f t="shared" si="31"/>
        <v>0</v>
      </c>
      <c r="S87" s="43">
        <f t="shared" si="31"/>
        <v>0</v>
      </c>
      <c r="T87" s="43">
        <f t="shared" si="31"/>
        <v>0</v>
      </c>
      <c r="V87" s="43">
        <f t="shared" si="1"/>
        <v>0</v>
      </c>
      <c r="W87" s="43">
        <f t="shared" si="2"/>
        <v>0</v>
      </c>
      <c r="X87" s="43">
        <f t="shared" si="3"/>
        <v>0</v>
      </c>
      <c r="Y87" s="43">
        <f t="shared" si="4"/>
        <v>0</v>
      </c>
      <c r="Z87" s="43">
        <f t="shared" si="5"/>
        <v>0</v>
      </c>
      <c r="AB87" s="43">
        <f t="shared" si="14"/>
        <v>0</v>
      </c>
      <c r="AC87" s="43">
        <f t="shared" si="15"/>
        <v>0</v>
      </c>
      <c r="AD87" s="43">
        <f t="shared" si="16"/>
        <v>0</v>
      </c>
      <c r="AE87" s="43">
        <f t="shared" si="17"/>
        <v>0</v>
      </c>
      <c r="AF87" s="43">
        <f t="shared" si="18"/>
        <v>0</v>
      </c>
      <c r="AH87" s="43">
        <f t="shared" si="19"/>
        <v>0</v>
      </c>
      <c r="AI87" s="43">
        <f t="shared" si="20"/>
        <v>0</v>
      </c>
      <c r="AJ87" s="43">
        <f t="shared" si="21"/>
        <v>0</v>
      </c>
      <c r="AK87" s="43">
        <f t="shared" si="22"/>
        <v>0</v>
      </c>
      <c r="AL87" s="43">
        <f t="shared" si="23"/>
        <v>0</v>
      </c>
      <c r="AN87" s="47">
        <f t="shared" si="24"/>
        <v>0</v>
      </c>
      <c r="AO87" s="47">
        <f t="shared" si="25"/>
        <v>0</v>
      </c>
      <c r="AP87" s="47">
        <f t="shared" si="26"/>
        <v>0</v>
      </c>
      <c r="AQ87" s="47">
        <f t="shared" si="27"/>
        <v>0</v>
      </c>
      <c r="AR87" s="43">
        <f t="shared" si="28"/>
        <v>0</v>
      </c>
      <c r="AY87" s="3"/>
    </row>
    <row r="88" spans="1:51">
      <c r="A88" s="48"/>
      <c r="B88" s="37">
        <f>'13. Desinvesteringen'!B371</f>
        <v>352</v>
      </c>
      <c r="C88" s="48"/>
      <c r="D88" s="48"/>
      <c r="E88" s="48"/>
      <c r="F88" s="354">
        <f>'5. Input GAW-waarde desinv.'!D47</f>
        <v>0</v>
      </c>
      <c r="G88" s="175">
        <f>'13. Desinvesteringen'!D371</f>
        <v>1967</v>
      </c>
      <c r="H88" s="175">
        <f>'13. Desinvesteringen'!G371</f>
        <v>2022</v>
      </c>
      <c r="I88" s="37" t="str">
        <f>'13. Desinvesteringen'!C371</f>
        <v>02 Gasontvangststations</v>
      </c>
      <c r="J88" s="165">
        <f>'13. Desinvesteringen'!F371</f>
        <v>0</v>
      </c>
      <c r="K88" s="38">
        <f>_xlfn.XLOOKUP(I88,'3. Input (des)investeringen '!$B$11:$B$89,'3. Input (des)investeringen '!$E$11:$E$89)</f>
        <v>0</v>
      </c>
      <c r="L88" s="48"/>
      <c r="M88" s="38">
        <f>_xlfn.XLOOKUP(I88,'3. Input (des)investeringen '!$B$11:$B$89,'3. Input (des)investeringen '!$D$11:$D$89,0)</f>
        <v>30</v>
      </c>
      <c r="N88" s="38">
        <f t="shared" si="13"/>
        <v>0</v>
      </c>
      <c r="P88" s="43">
        <f t="shared" si="31"/>
        <v>0</v>
      </c>
      <c r="Q88" s="43">
        <f t="shared" si="31"/>
        <v>0</v>
      </c>
      <c r="R88" s="43">
        <f t="shared" si="31"/>
        <v>0</v>
      </c>
      <c r="S88" s="43">
        <f t="shared" si="31"/>
        <v>0</v>
      </c>
      <c r="T88" s="43">
        <f t="shared" si="31"/>
        <v>0</v>
      </c>
      <c r="V88" s="43">
        <f t="shared" si="1"/>
        <v>0</v>
      </c>
      <c r="W88" s="43">
        <f t="shared" si="2"/>
        <v>0</v>
      </c>
      <c r="X88" s="43">
        <f t="shared" si="3"/>
        <v>0</v>
      </c>
      <c r="Y88" s="43">
        <f t="shared" si="4"/>
        <v>0</v>
      </c>
      <c r="Z88" s="43">
        <f t="shared" si="5"/>
        <v>0</v>
      </c>
      <c r="AB88" s="43">
        <f t="shared" si="14"/>
        <v>0</v>
      </c>
      <c r="AC88" s="43">
        <f t="shared" si="15"/>
        <v>0</v>
      </c>
      <c r="AD88" s="43">
        <f t="shared" si="16"/>
        <v>0</v>
      </c>
      <c r="AE88" s="43">
        <f t="shared" si="17"/>
        <v>0</v>
      </c>
      <c r="AF88" s="43">
        <f t="shared" si="18"/>
        <v>0</v>
      </c>
      <c r="AH88" s="43">
        <f t="shared" si="19"/>
        <v>0</v>
      </c>
      <c r="AI88" s="43">
        <f t="shared" si="20"/>
        <v>0</v>
      </c>
      <c r="AJ88" s="43">
        <f t="shared" si="21"/>
        <v>0</v>
      </c>
      <c r="AK88" s="43">
        <f t="shared" si="22"/>
        <v>0</v>
      </c>
      <c r="AL88" s="43">
        <f t="shared" si="23"/>
        <v>0</v>
      </c>
      <c r="AN88" s="47">
        <f t="shared" si="24"/>
        <v>0</v>
      </c>
      <c r="AO88" s="47">
        <f t="shared" si="25"/>
        <v>0</v>
      </c>
      <c r="AP88" s="47">
        <f t="shared" si="26"/>
        <v>0</v>
      </c>
      <c r="AQ88" s="47">
        <f t="shared" si="27"/>
        <v>0</v>
      </c>
      <c r="AR88" s="43">
        <f t="shared" si="28"/>
        <v>0</v>
      </c>
      <c r="AY88" s="3"/>
    </row>
    <row r="89" spans="1:51">
      <c r="A89" s="48"/>
      <c r="B89" s="37">
        <f>'13. Desinvesteringen'!B372</f>
        <v>353</v>
      </c>
      <c r="C89" s="48"/>
      <c r="D89" s="48"/>
      <c r="E89" s="48"/>
      <c r="F89" s="354">
        <f>'5. Input GAW-waarde desinv.'!D48</f>
        <v>0</v>
      </c>
      <c r="G89" s="175">
        <f>'13. Desinvesteringen'!D372</f>
        <v>1968</v>
      </c>
      <c r="H89" s="175">
        <f>'13. Desinvesteringen'!G372</f>
        <v>2022</v>
      </c>
      <c r="I89" s="37" t="str">
        <f>'13. Desinvesteringen'!C372</f>
        <v>02 Gasontvangststations</v>
      </c>
      <c r="J89" s="165">
        <f>'13. Desinvesteringen'!F372</f>
        <v>0</v>
      </c>
      <c r="K89" s="38">
        <f>_xlfn.XLOOKUP(I89,'3. Input (des)investeringen '!$B$11:$B$89,'3. Input (des)investeringen '!$E$11:$E$89)</f>
        <v>0</v>
      </c>
      <c r="L89" s="48"/>
      <c r="M89" s="38">
        <f>_xlfn.XLOOKUP(I89,'3. Input (des)investeringen '!$B$11:$B$89,'3. Input (des)investeringen '!$D$11:$D$89,0)</f>
        <v>30</v>
      </c>
      <c r="N89" s="38">
        <f t="shared" si="13"/>
        <v>0</v>
      </c>
      <c r="P89" s="43">
        <f t="shared" si="31"/>
        <v>0</v>
      </c>
      <c r="Q89" s="43">
        <f t="shared" si="31"/>
        <v>0</v>
      </c>
      <c r="R89" s="43">
        <f t="shared" si="31"/>
        <v>0</v>
      </c>
      <c r="S89" s="43">
        <f t="shared" si="31"/>
        <v>0</v>
      </c>
      <c r="T89" s="43">
        <f t="shared" si="31"/>
        <v>0</v>
      </c>
      <c r="V89" s="43">
        <f t="shared" si="1"/>
        <v>0</v>
      </c>
      <c r="W89" s="43">
        <f t="shared" si="2"/>
        <v>0</v>
      </c>
      <c r="X89" s="43">
        <f t="shared" si="3"/>
        <v>0</v>
      </c>
      <c r="Y89" s="43">
        <f t="shared" si="4"/>
        <v>0</v>
      </c>
      <c r="Z89" s="43">
        <f t="shared" si="5"/>
        <v>0</v>
      </c>
      <c r="AB89" s="43">
        <f t="shared" si="14"/>
        <v>0</v>
      </c>
      <c r="AC89" s="43">
        <f t="shared" si="15"/>
        <v>0</v>
      </c>
      <c r="AD89" s="43">
        <f t="shared" si="16"/>
        <v>0</v>
      </c>
      <c r="AE89" s="43">
        <f t="shared" si="17"/>
        <v>0</v>
      </c>
      <c r="AF89" s="43">
        <f t="shared" si="18"/>
        <v>0</v>
      </c>
      <c r="AH89" s="43">
        <f t="shared" si="19"/>
        <v>0</v>
      </c>
      <c r="AI89" s="43">
        <f t="shared" si="20"/>
        <v>0</v>
      </c>
      <c r="AJ89" s="43">
        <f t="shared" si="21"/>
        <v>0</v>
      </c>
      <c r="AK89" s="43">
        <f t="shared" si="22"/>
        <v>0</v>
      </c>
      <c r="AL89" s="43">
        <f t="shared" si="23"/>
        <v>0</v>
      </c>
      <c r="AN89" s="47">
        <f t="shared" si="24"/>
        <v>0</v>
      </c>
      <c r="AO89" s="47">
        <f t="shared" si="25"/>
        <v>0</v>
      </c>
      <c r="AP89" s="47">
        <f t="shared" si="26"/>
        <v>0</v>
      </c>
      <c r="AQ89" s="47">
        <f t="shared" si="27"/>
        <v>0</v>
      </c>
      <c r="AR89" s="43">
        <f t="shared" si="28"/>
        <v>0</v>
      </c>
      <c r="AY89" s="3"/>
    </row>
    <row r="90" spans="1:51">
      <c r="A90" s="48"/>
      <c r="B90" s="37">
        <f>'13. Desinvesteringen'!B373</f>
        <v>354</v>
      </c>
      <c r="C90" s="48"/>
      <c r="D90" s="48"/>
      <c r="E90" s="48"/>
      <c r="F90" s="354">
        <f>'5. Input GAW-waarde desinv.'!D49</f>
        <v>0</v>
      </c>
      <c r="G90" s="175">
        <f>'13. Desinvesteringen'!D373</f>
        <v>1969</v>
      </c>
      <c r="H90" s="175">
        <f>'13. Desinvesteringen'!G373</f>
        <v>2022</v>
      </c>
      <c r="I90" s="37" t="str">
        <f>'13. Desinvesteringen'!C373</f>
        <v>02 Gasontvangststations</v>
      </c>
      <c r="J90" s="165">
        <f>'13. Desinvesteringen'!F373</f>
        <v>0</v>
      </c>
      <c r="K90" s="38">
        <f>_xlfn.XLOOKUP(I90,'3. Input (des)investeringen '!$B$11:$B$89,'3. Input (des)investeringen '!$E$11:$E$89)</f>
        <v>0</v>
      </c>
      <c r="L90" s="48"/>
      <c r="M90" s="38">
        <f>_xlfn.XLOOKUP(I90,'3. Input (des)investeringen '!$B$11:$B$89,'3. Input (des)investeringen '!$D$11:$D$89,0)</f>
        <v>30</v>
      </c>
      <c r="N90" s="38">
        <f t="shared" si="13"/>
        <v>0</v>
      </c>
      <c r="P90" s="43">
        <f t="shared" si="31"/>
        <v>0</v>
      </c>
      <c r="Q90" s="43">
        <f t="shared" si="31"/>
        <v>0</v>
      </c>
      <c r="R90" s="43">
        <f t="shared" si="31"/>
        <v>0</v>
      </c>
      <c r="S90" s="43">
        <f t="shared" si="31"/>
        <v>0</v>
      </c>
      <c r="T90" s="43">
        <f t="shared" si="31"/>
        <v>0</v>
      </c>
      <c r="V90" s="43">
        <f t="shared" si="1"/>
        <v>0</v>
      </c>
      <c r="W90" s="43">
        <f t="shared" si="2"/>
        <v>0</v>
      </c>
      <c r="X90" s="43">
        <f t="shared" si="3"/>
        <v>0</v>
      </c>
      <c r="Y90" s="43">
        <f t="shared" si="4"/>
        <v>0</v>
      </c>
      <c r="Z90" s="43">
        <f t="shared" si="5"/>
        <v>0</v>
      </c>
      <c r="AB90" s="43">
        <f t="shared" si="14"/>
        <v>0</v>
      </c>
      <c r="AC90" s="43">
        <f t="shared" si="15"/>
        <v>0</v>
      </c>
      <c r="AD90" s="43">
        <f t="shared" si="16"/>
        <v>0</v>
      </c>
      <c r="AE90" s="43">
        <f t="shared" si="17"/>
        <v>0</v>
      </c>
      <c r="AF90" s="43">
        <f t="shared" si="18"/>
        <v>0</v>
      </c>
      <c r="AH90" s="43">
        <f t="shared" si="19"/>
        <v>0</v>
      </c>
      <c r="AI90" s="43">
        <f t="shared" si="20"/>
        <v>0</v>
      </c>
      <c r="AJ90" s="43">
        <f t="shared" si="21"/>
        <v>0</v>
      </c>
      <c r="AK90" s="43">
        <f t="shared" si="22"/>
        <v>0</v>
      </c>
      <c r="AL90" s="43">
        <f t="shared" si="23"/>
        <v>0</v>
      </c>
      <c r="AN90" s="47">
        <f t="shared" si="24"/>
        <v>0</v>
      </c>
      <c r="AO90" s="47">
        <f t="shared" si="25"/>
        <v>0</v>
      </c>
      <c r="AP90" s="47">
        <f t="shared" si="26"/>
        <v>0</v>
      </c>
      <c r="AQ90" s="47">
        <f t="shared" si="27"/>
        <v>0</v>
      </c>
      <c r="AR90" s="43">
        <f t="shared" si="28"/>
        <v>0</v>
      </c>
      <c r="AY90" s="3"/>
    </row>
    <row r="91" spans="1:51">
      <c r="A91" s="48"/>
      <c r="B91" s="37">
        <f>'13. Desinvesteringen'!B374</f>
        <v>355</v>
      </c>
      <c r="C91" s="48"/>
      <c r="D91" s="48"/>
      <c r="E91" s="48"/>
      <c r="F91" s="354">
        <f>'5. Input GAW-waarde desinv.'!D50</f>
        <v>0</v>
      </c>
      <c r="G91" s="175">
        <f>'13. Desinvesteringen'!D374</f>
        <v>1970</v>
      </c>
      <c r="H91" s="175">
        <f>'13. Desinvesteringen'!G374</f>
        <v>2022</v>
      </c>
      <c r="I91" s="37" t="str">
        <f>'13. Desinvesteringen'!C374</f>
        <v>02 Gasontvangststations</v>
      </c>
      <c r="J91" s="165">
        <f>'13. Desinvesteringen'!F374</f>
        <v>0</v>
      </c>
      <c r="K91" s="38">
        <f>_xlfn.XLOOKUP(I91,'3. Input (des)investeringen '!$B$11:$B$89,'3. Input (des)investeringen '!$E$11:$E$89)</f>
        <v>0</v>
      </c>
      <c r="L91" s="48"/>
      <c r="M91" s="38">
        <f>_xlfn.XLOOKUP(I91,'3. Input (des)investeringen '!$B$11:$B$89,'3. Input (des)investeringen '!$D$11:$D$89,0)</f>
        <v>30</v>
      </c>
      <c r="N91" s="38">
        <f t="shared" si="13"/>
        <v>0</v>
      </c>
      <c r="P91" s="43">
        <f t="shared" si="31"/>
        <v>0</v>
      </c>
      <c r="Q91" s="43">
        <f t="shared" si="31"/>
        <v>0</v>
      </c>
      <c r="R91" s="43">
        <f t="shared" si="31"/>
        <v>0</v>
      </c>
      <c r="S91" s="43">
        <f t="shared" si="31"/>
        <v>0</v>
      </c>
      <c r="T91" s="43">
        <f t="shared" si="31"/>
        <v>0</v>
      </c>
      <c r="V91" s="43">
        <f t="shared" si="1"/>
        <v>0</v>
      </c>
      <c r="W91" s="43">
        <f t="shared" si="2"/>
        <v>0</v>
      </c>
      <c r="X91" s="43">
        <f t="shared" si="3"/>
        <v>0</v>
      </c>
      <c r="Y91" s="43">
        <f t="shared" si="4"/>
        <v>0</v>
      </c>
      <c r="Z91" s="43">
        <f t="shared" si="5"/>
        <v>0</v>
      </c>
      <c r="AB91" s="43">
        <f t="shared" si="14"/>
        <v>0</v>
      </c>
      <c r="AC91" s="43">
        <f t="shared" si="15"/>
        <v>0</v>
      </c>
      <c r="AD91" s="43">
        <f t="shared" si="16"/>
        <v>0</v>
      </c>
      <c r="AE91" s="43">
        <f t="shared" si="17"/>
        <v>0</v>
      </c>
      <c r="AF91" s="43">
        <f t="shared" si="18"/>
        <v>0</v>
      </c>
      <c r="AH91" s="43">
        <f t="shared" si="19"/>
        <v>0</v>
      </c>
      <c r="AI91" s="43">
        <f t="shared" si="20"/>
        <v>0</v>
      </c>
      <c r="AJ91" s="43">
        <f t="shared" si="21"/>
        <v>0</v>
      </c>
      <c r="AK91" s="43">
        <f t="shared" si="22"/>
        <v>0</v>
      </c>
      <c r="AL91" s="43">
        <f t="shared" si="23"/>
        <v>0</v>
      </c>
      <c r="AN91" s="47">
        <f t="shared" si="24"/>
        <v>0</v>
      </c>
      <c r="AO91" s="47">
        <f t="shared" si="25"/>
        <v>0</v>
      </c>
      <c r="AP91" s="47">
        <f t="shared" si="26"/>
        <v>0</v>
      </c>
      <c r="AQ91" s="47">
        <f t="shared" si="27"/>
        <v>0</v>
      </c>
      <c r="AR91" s="43">
        <f t="shared" si="28"/>
        <v>0</v>
      </c>
      <c r="AY91" s="3"/>
    </row>
    <row r="92" spans="1:51">
      <c r="A92" s="48"/>
      <c r="B92" s="37">
        <f>'13. Desinvesteringen'!B375</f>
        <v>356</v>
      </c>
      <c r="C92" s="48"/>
      <c r="D92" s="48"/>
      <c r="E92" s="48"/>
      <c r="F92" s="354">
        <f>'5. Input GAW-waarde desinv.'!D51</f>
        <v>0</v>
      </c>
      <c r="G92" s="175">
        <f>'13. Desinvesteringen'!D375</f>
        <v>1971</v>
      </c>
      <c r="H92" s="175">
        <f>'13. Desinvesteringen'!G375</f>
        <v>2022</v>
      </c>
      <c r="I92" s="37" t="str">
        <f>'13. Desinvesteringen'!C375</f>
        <v>02 Gasontvangststations</v>
      </c>
      <c r="J92" s="165">
        <f>'13. Desinvesteringen'!F375</f>
        <v>0</v>
      </c>
      <c r="K92" s="38">
        <f>_xlfn.XLOOKUP(I92,'3. Input (des)investeringen '!$B$11:$B$89,'3. Input (des)investeringen '!$E$11:$E$89)</f>
        <v>0</v>
      </c>
      <c r="L92" s="48"/>
      <c r="M92" s="38">
        <f>_xlfn.XLOOKUP(I92,'3. Input (des)investeringen '!$B$11:$B$89,'3. Input (des)investeringen '!$D$11:$D$89,0)</f>
        <v>30</v>
      </c>
      <c r="N92" s="38">
        <f t="shared" si="13"/>
        <v>0</v>
      </c>
      <c r="P92" s="43">
        <f t="shared" ref="P92:T101" si="32">IF($M92&gt;0, IF(OR($G92&gt;P$50,$G92+$M92&lt;P$50),0,
VDB($F92,0,$N92,MAX(0,P$50-2022),MIN($N92,P$50-2021),$F$23,FALSE))*(1-$F$26), 0)</f>
        <v>0</v>
      </c>
      <c r="Q92" s="43">
        <f t="shared" si="32"/>
        <v>0</v>
      </c>
      <c r="R92" s="43">
        <f t="shared" si="32"/>
        <v>0</v>
      </c>
      <c r="S92" s="43">
        <f t="shared" si="32"/>
        <v>0</v>
      </c>
      <c r="T92" s="43">
        <f t="shared" si="32"/>
        <v>0</v>
      </c>
      <c r="V92" s="43">
        <f t="shared" si="1"/>
        <v>0</v>
      </c>
      <c r="W92" s="43">
        <f t="shared" si="2"/>
        <v>0</v>
      </c>
      <c r="X92" s="43">
        <f t="shared" si="3"/>
        <v>0</v>
      </c>
      <c r="Y92" s="43">
        <f t="shared" si="4"/>
        <v>0</v>
      </c>
      <c r="Z92" s="43">
        <f t="shared" si="5"/>
        <v>0</v>
      </c>
      <c r="AB92" s="43">
        <f t="shared" si="14"/>
        <v>0</v>
      </c>
      <c r="AC92" s="43">
        <f t="shared" si="15"/>
        <v>0</v>
      </c>
      <c r="AD92" s="43">
        <f t="shared" si="16"/>
        <v>0</v>
      </c>
      <c r="AE92" s="43">
        <f t="shared" si="17"/>
        <v>0</v>
      </c>
      <c r="AF92" s="43">
        <f t="shared" si="18"/>
        <v>0</v>
      </c>
      <c r="AH92" s="43">
        <f t="shared" si="19"/>
        <v>0</v>
      </c>
      <c r="AI92" s="43">
        <f t="shared" si="20"/>
        <v>0</v>
      </c>
      <c r="AJ92" s="43">
        <f t="shared" si="21"/>
        <v>0</v>
      </c>
      <c r="AK92" s="43">
        <f t="shared" si="22"/>
        <v>0</v>
      </c>
      <c r="AL92" s="43">
        <f t="shared" si="23"/>
        <v>0</v>
      </c>
      <c r="AN92" s="47">
        <f t="shared" si="24"/>
        <v>0</v>
      </c>
      <c r="AO92" s="47">
        <f t="shared" si="25"/>
        <v>0</v>
      </c>
      <c r="AP92" s="47">
        <f t="shared" si="26"/>
        <v>0</v>
      </c>
      <c r="AQ92" s="47">
        <f t="shared" si="27"/>
        <v>0</v>
      </c>
      <c r="AR92" s="43">
        <f t="shared" si="28"/>
        <v>0</v>
      </c>
      <c r="AY92" s="3"/>
    </row>
    <row r="93" spans="1:51">
      <c r="A93" s="48"/>
      <c r="B93" s="37">
        <f>'13. Desinvesteringen'!B376</f>
        <v>357</v>
      </c>
      <c r="C93" s="48"/>
      <c r="D93" s="48"/>
      <c r="E93" s="48"/>
      <c r="F93" s="354">
        <f>'5. Input GAW-waarde desinv.'!D52</f>
        <v>0</v>
      </c>
      <c r="G93" s="175">
        <f>'13. Desinvesteringen'!D376</f>
        <v>1972</v>
      </c>
      <c r="H93" s="175">
        <f>'13. Desinvesteringen'!G376</f>
        <v>2022</v>
      </c>
      <c r="I93" s="37" t="str">
        <f>'13. Desinvesteringen'!C376</f>
        <v>02 Gasontvangststations</v>
      </c>
      <c r="J93" s="165">
        <f>'13. Desinvesteringen'!F376</f>
        <v>0</v>
      </c>
      <c r="K93" s="38">
        <f>_xlfn.XLOOKUP(I93,'3. Input (des)investeringen '!$B$11:$B$89,'3. Input (des)investeringen '!$E$11:$E$89)</f>
        <v>0</v>
      </c>
      <c r="L93" s="48"/>
      <c r="M93" s="38">
        <f>_xlfn.XLOOKUP(I93,'3. Input (des)investeringen '!$B$11:$B$89,'3. Input (des)investeringen '!$D$11:$D$89,0)</f>
        <v>30</v>
      </c>
      <c r="N93" s="38">
        <f t="shared" si="13"/>
        <v>0</v>
      </c>
      <c r="P93" s="43">
        <f t="shared" si="32"/>
        <v>0</v>
      </c>
      <c r="Q93" s="43">
        <f t="shared" si="32"/>
        <v>0</v>
      </c>
      <c r="R93" s="43">
        <f t="shared" si="32"/>
        <v>0</v>
      </c>
      <c r="S93" s="43">
        <f t="shared" si="32"/>
        <v>0</v>
      </c>
      <c r="T93" s="43">
        <f t="shared" si="32"/>
        <v>0</v>
      </c>
      <c r="V93" s="43">
        <f t="shared" si="1"/>
        <v>0</v>
      </c>
      <c r="W93" s="43">
        <f t="shared" si="2"/>
        <v>0</v>
      </c>
      <c r="X93" s="43">
        <f t="shared" si="3"/>
        <v>0</v>
      </c>
      <c r="Y93" s="43">
        <f t="shared" si="4"/>
        <v>0</v>
      </c>
      <c r="Z93" s="43">
        <f t="shared" si="5"/>
        <v>0</v>
      </c>
      <c r="AB93" s="43">
        <f t="shared" si="14"/>
        <v>0</v>
      </c>
      <c r="AC93" s="43">
        <f t="shared" si="15"/>
        <v>0</v>
      </c>
      <c r="AD93" s="43">
        <f t="shared" si="16"/>
        <v>0</v>
      </c>
      <c r="AE93" s="43">
        <f t="shared" si="17"/>
        <v>0</v>
      </c>
      <c r="AF93" s="43">
        <f t="shared" si="18"/>
        <v>0</v>
      </c>
      <c r="AH93" s="43">
        <f t="shared" si="19"/>
        <v>0</v>
      </c>
      <c r="AI93" s="43">
        <f t="shared" si="20"/>
        <v>0</v>
      </c>
      <c r="AJ93" s="43">
        <f t="shared" si="21"/>
        <v>0</v>
      </c>
      <c r="AK93" s="43">
        <f t="shared" si="22"/>
        <v>0</v>
      </c>
      <c r="AL93" s="43">
        <f t="shared" si="23"/>
        <v>0</v>
      </c>
      <c r="AN93" s="47">
        <f t="shared" si="24"/>
        <v>0</v>
      </c>
      <c r="AO93" s="47">
        <f t="shared" si="25"/>
        <v>0</v>
      </c>
      <c r="AP93" s="47">
        <f t="shared" si="26"/>
        <v>0</v>
      </c>
      <c r="AQ93" s="47">
        <f t="shared" si="27"/>
        <v>0</v>
      </c>
      <c r="AR93" s="43">
        <f t="shared" si="28"/>
        <v>0</v>
      </c>
      <c r="AY93" s="3"/>
    </row>
    <row r="94" spans="1:51">
      <c r="A94" s="48"/>
      <c r="B94" s="37">
        <f>'13. Desinvesteringen'!B377</f>
        <v>358</v>
      </c>
      <c r="C94" s="48"/>
      <c r="D94" s="48"/>
      <c r="E94" s="48"/>
      <c r="F94" s="354">
        <f>'5. Input GAW-waarde desinv.'!D53</f>
        <v>0</v>
      </c>
      <c r="G94" s="175">
        <f>'13. Desinvesteringen'!D377</f>
        <v>1973</v>
      </c>
      <c r="H94" s="175">
        <f>'13. Desinvesteringen'!G377</f>
        <v>2022</v>
      </c>
      <c r="I94" s="37" t="str">
        <f>'13. Desinvesteringen'!C377</f>
        <v>02 Gasontvangststations</v>
      </c>
      <c r="J94" s="165">
        <f>'13. Desinvesteringen'!F377</f>
        <v>0</v>
      </c>
      <c r="K94" s="38">
        <f>_xlfn.XLOOKUP(I94,'3. Input (des)investeringen '!$B$11:$B$89,'3. Input (des)investeringen '!$E$11:$E$89)</f>
        <v>0</v>
      </c>
      <c r="L94" s="48"/>
      <c r="M94" s="38">
        <f>_xlfn.XLOOKUP(I94,'3. Input (des)investeringen '!$B$11:$B$89,'3. Input (des)investeringen '!$D$11:$D$89,0)</f>
        <v>30</v>
      </c>
      <c r="N94" s="38">
        <f t="shared" si="13"/>
        <v>0</v>
      </c>
      <c r="P94" s="43">
        <f t="shared" si="32"/>
        <v>0</v>
      </c>
      <c r="Q94" s="43">
        <f t="shared" si="32"/>
        <v>0</v>
      </c>
      <c r="R94" s="43">
        <f t="shared" si="32"/>
        <v>0</v>
      </c>
      <c r="S94" s="43">
        <f t="shared" si="32"/>
        <v>0</v>
      </c>
      <c r="T94" s="43">
        <f t="shared" si="32"/>
        <v>0</v>
      </c>
      <c r="V94" s="43">
        <f t="shared" si="1"/>
        <v>0</v>
      </c>
      <c r="W94" s="43">
        <f t="shared" si="2"/>
        <v>0</v>
      </c>
      <c r="X94" s="43">
        <f t="shared" si="3"/>
        <v>0</v>
      </c>
      <c r="Y94" s="43">
        <f t="shared" si="4"/>
        <v>0</v>
      </c>
      <c r="Z94" s="43">
        <f t="shared" si="5"/>
        <v>0</v>
      </c>
      <c r="AB94" s="43">
        <f t="shared" si="14"/>
        <v>0</v>
      </c>
      <c r="AC94" s="43">
        <f t="shared" si="15"/>
        <v>0</v>
      </c>
      <c r="AD94" s="43">
        <f t="shared" si="16"/>
        <v>0</v>
      </c>
      <c r="AE94" s="43">
        <f t="shared" si="17"/>
        <v>0</v>
      </c>
      <c r="AF94" s="43">
        <f t="shared" si="18"/>
        <v>0</v>
      </c>
      <c r="AH94" s="43">
        <f t="shared" si="19"/>
        <v>0</v>
      </c>
      <c r="AI94" s="43">
        <f t="shared" si="20"/>
        <v>0</v>
      </c>
      <c r="AJ94" s="43">
        <f t="shared" si="21"/>
        <v>0</v>
      </c>
      <c r="AK94" s="43">
        <f t="shared" si="22"/>
        <v>0</v>
      </c>
      <c r="AL94" s="43">
        <f t="shared" si="23"/>
        <v>0</v>
      </c>
      <c r="AN94" s="47">
        <f t="shared" si="24"/>
        <v>0</v>
      </c>
      <c r="AO94" s="47">
        <f t="shared" si="25"/>
        <v>0</v>
      </c>
      <c r="AP94" s="47">
        <f t="shared" si="26"/>
        <v>0</v>
      </c>
      <c r="AQ94" s="47">
        <f t="shared" si="27"/>
        <v>0</v>
      </c>
      <c r="AR94" s="43">
        <f t="shared" si="28"/>
        <v>0</v>
      </c>
      <c r="AY94" s="3"/>
    </row>
    <row r="95" spans="1:51">
      <c r="A95" s="48"/>
      <c r="B95" s="37">
        <f>'13. Desinvesteringen'!B378</f>
        <v>359</v>
      </c>
      <c r="C95" s="48"/>
      <c r="D95" s="48"/>
      <c r="E95" s="48"/>
      <c r="F95" s="354">
        <f>'5. Input GAW-waarde desinv.'!D54</f>
        <v>0</v>
      </c>
      <c r="G95" s="175">
        <f>'13. Desinvesteringen'!D378</f>
        <v>1974</v>
      </c>
      <c r="H95" s="175">
        <f>'13. Desinvesteringen'!G378</f>
        <v>2022</v>
      </c>
      <c r="I95" s="37" t="str">
        <f>'13. Desinvesteringen'!C378</f>
        <v>02 Gasontvangststations</v>
      </c>
      <c r="J95" s="165">
        <f>'13. Desinvesteringen'!F378</f>
        <v>0</v>
      </c>
      <c r="K95" s="38">
        <f>_xlfn.XLOOKUP(I95,'3. Input (des)investeringen '!$B$11:$B$89,'3. Input (des)investeringen '!$E$11:$E$89)</f>
        <v>0</v>
      </c>
      <c r="L95" s="48"/>
      <c r="M95" s="38">
        <f>_xlfn.XLOOKUP(I95,'3. Input (des)investeringen '!$B$11:$B$89,'3. Input (des)investeringen '!$D$11:$D$89,0)</f>
        <v>30</v>
      </c>
      <c r="N95" s="38">
        <f t="shared" si="13"/>
        <v>0</v>
      </c>
      <c r="P95" s="43">
        <f t="shared" si="32"/>
        <v>0</v>
      </c>
      <c r="Q95" s="43">
        <f t="shared" si="32"/>
        <v>0</v>
      </c>
      <c r="R95" s="43">
        <f t="shared" si="32"/>
        <v>0</v>
      </c>
      <c r="S95" s="43">
        <f t="shared" si="32"/>
        <v>0</v>
      </c>
      <c r="T95" s="43">
        <f t="shared" si="32"/>
        <v>0</v>
      </c>
      <c r="V95" s="43">
        <f t="shared" si="1"/>
        <v>0</v>
      </c>
      <c r="W95" s="43">
        <f t="shared" si="2"/>
        <v>0</v>
      </c>
      <c r="X95" s="43">
        <f t="shared" si="3"/>
        <v>0</v>
      </c>
      <c r="Y95" s="43">
        <f t="shared" si="4"/>
        <v>0</v>
      </c>
      <c r="Z95" s="43">
        <f t="shared" si="5"/>
        <v>0</v>
      </c>
      <c r="AB95" s="43">
        <f t="shared" si="14"/>
        <v>0</v>
      </c>
      <c r="AC95" s="43">
        <f t="shared" si="15"/>
        <v>0</v>
      </c>
      <c r="AD95" s="43">
        <f t="shared" si="16"/>
        <v>0</v>
      </c>
      <c r="AE95" s="43">
        <f t="shared" si="17"/>
        <v>0</v>
      </c>
      <c r="AF95" s="43">
        <f t="shared" si="18"/>
        <v>0</v>
      </c>
      <c r="AH95" s="43">
        <f t="shared" si="19"/>
        <v>0</v>
      </c>
      <c r="AI95" s="43">
        <f t="shared" si="20"/>
        <v>0</v>
      </c>
      <c r="AJ95" s="43">
        <f t="shared" si="21"/>
        <v>0</v>
      </c>
      <c r="AK95" s="43">
        <f t="shared" si="22"/>
        <v>0</v>
      </c>
      <c r="AL95" s="43">
        <f t="shared" si="23"/>
        <v>0</v>
      </c>
      <c r="AN95" s="47">
        <f t="shared" si="24"/>
        <v>0</v>
      </c>
      <c r="AO95" s="47">
        <f t="shared" si="25"/>
        <v>0</v>
      </c>
      <c r="AP95" s="47">
        <f t="shared" si="26"/>
        <v>0</v>
      </c>
      <c r="AQ95" s="47">
        <f t="shared" si="27"/>
        <v>0</v>
      </c>
      <c r="AR95" s="43">
        <f t="shared" si="28"/>
        <v>0</v>
      </c>
      <c r="AY95" s="3"/>
    </row>
    <row r="96" spans="1:51">
      <c r="A96" s="48"/>
      <c r="B96" s="37">
        <f>'13. Desinvesteringen'!B379</f>
        <v>360</v>
      </c>
      <c r="C96" s="48"/>
      <c r="D96" s="48"/>
      <c r="E96" s="48"/>
      <c r="F96" s="354">
        <f>'5. Input GAW-waarde desinv.'!D55</f>
        <v>0</v>
      </c>
      <c r="G96" s="175">
        <f>'13. Desinvesteringen'!D379</f>
        <v>1975</v>
      </c>
      <c r="H96" s="175">
        <f>'13. Desinvesteringen'!G379</f>
        <v>2022</v>
      </c>
      <c r="I96" s="37" t="str">
        <f>'13. Desinvesteringen'!C379</f>
        <v>02 Gasontvangststations</v>
      </c>
      <c r="J96" s="165">
        <f>'13. Desinvesteringen'!F379</f>
        <v>0</v>
      </c>
      <c r="K96" s="38">
        <f>_xlfn.XLOOKUP(I96,'3. Input (des)investeringen '!$B$11:$B$89,'3. Input (des)investeringen '!$E$11:$E$89)</f>
        <v>0</v>
      </c>
      <c r="L96" s="48"/>
      <c r="M96" s="38">
        <f>_xlfn.XLOOKUP(I96,'3. Input (des)investeringen '!$B$11:$B$89,'3. Input (des)investeringen '!$D$11:$D$89,0)</f>
        <v>30</v>
      </c>
      <c r="N96" s="38">
        <f t="shared" si="13"/>
        <v>0</v>
      </c>
      <c r="P96" s="43">
        <f t="shared" si="32"/>
        <v>0</v>
      </c>
      <c r="Q96" s="43">
        <f t="shared" si="32"/>
        <v>0</v>
      </c>
      <c r="R96" s="43">
        <f t="shared" si="32"/>
        <v>0</v>
      </c>
      <c r="S96" s="43">
        <f t="shared" si="32"/>
        <v>0</v>
      </c>
      <c r="T96" s="43">
        <f t="shared" si="32"/>
        <v>0</v>
      </c>
      <c r="V96" s="43">
        <f t="shared" si="1"/>
        <v>0</v>
      </c>
      <c r="W96" s="43">
        <f t="shared" si="2"/>
        <v>0</v>
      </c>
      <c r="X96" s="43">
        <f t="shared" si="3"/>
        <v>0</v>
      </c>
      <c r="Y96" s="43">
        <f t="shared" si="4"/>
        <v>0</v>
      </c>
      <c r="Z96" s="43">
        <f t="shared" si="5"/>
        <v>0</v>
      </c>
      <c r="AB96" s="43">
        <f t="shared" si="14"/>
        <v>0</v>
      </c>
      <c r="AC96" s="43">
        <f t="shared" si="15"/>
        <v>0</v>
      </c>
      <c r="AD96" s="43">
        <f t="shared" si="16"/>
        <v>0</v>
      </c>
      <c r="AE96" s="43">
        <f t="shared" si="17"/>
        <v>0</v>
      </c>
      <c r="AF96" s="43">
        <f t="shared" si="18"/>
        <v>0</v>
      </c>
      <c r="AH96" s="43">
        <f t="shared" si="19"/>
        <v>0</v>
      </c>
      <c r="AI96" s="43">
        <f t="shared" si="20"/>
        <v>0</v>
      </c>
      <c r="AJ96" s="43">
        <f t="shared" si="21"/>
        <v>0</v>
      </c>
      <c r="AK96" s="43">
        <f t="shared" si="22"/>
        <v>0</v>
      </c>
      <c r="AL96" s="43">
        <f t="shared" si="23"/>
        <v>0</v>
      </c>
      <c r="AN96" s="47">
        <f t="shared" si="24"/>
        <v>0</v>
      </c>
      <c r="AO96" s="47">
        <f t="shared" si="25"/>
        <v>0</v>
      </c>
      <c r="AP96" s="47">
        <f t="shared" si="26"/>
        <v>0</v>
      </c>
      <c r="AQ96" s="47">
        <f t="shared" si="27"/>
        <v>0</v>
      </c>
      <c r="AR96" s="43">
        <f t="shared" si="28"/>
        <v>0</v>
      </c>
      <c r="AY96" s="3"/>
    </row>
    <row r="97" spans="1:51">
      <c r="A97" s="48"/>
      <c r="B97" s="37">
        <f>'13. Desinvesteringen'!B380</f>
        <v>361</v>
      </c>
      <c r="C97" s="48"/>
      <c r="D97" s="48"/>
      <c r="E97" s="48"/>
      <c r="F97" s="354">
        <f>'5. Input GAW-waarde desinv.'!D56</f>
        <v>0</v>
      </c>
      <c r="G97" s="175">
        <f>'13. Desinvesteringen'!D380</f>
        <v>1976</v>
      </c>
      <c r="H97" s="175">
        <f>'13. Desinvesteringen'!G380</f>
        <v>2022</v>
      </c>
      <c r="I97" s="37" t="str">
        <f>'13. Desinvesteringen'!C380</f>
        <v>02 Gasontvangststations</v>
      </c>
      <c r="J97" s="165">
        <f>'13. Desinvesteringen'!F380</f>
        <v>0</v>
      </c>
      <c r="K97" s="38">
        <f>_xlfn.XLOOKUP(I97,'3. Input (des)investeringen '!$B$11:$B$89,'3. Input (des)investeringen '!$E$11:$E$89)</f>
        <v>0</v>
      </c>
      <c r="L97" s="48"/>
      <c r="M97" s="38">
        <f>_xlfn.XLOOKUP(I97,'3. Input (des)investeringen '!$B$11:$B$89,'3. Input (des)investeringen '!$D$11:$D$89,0)</f>
        <v>30</v>
      </c>
      <c r="N97" s="38">
        <f t="shared" si="13"/>
        <v>0</v>
      </c>
      <c r="P97" s="43">
        <f t="shared" si="32"/>
        <v>0</v>
      </c>
      <c r="Q97" s="43">
        <f t="shared" si="32"/>
        <v>0</v>
      </c>
      <c r="R97" s="43">
        <f t="shared" si="32"/>
        <v>0</v>
      </c>
      <c r="S97" s="43">
        <f t="shared" si="32"/>
        <v>0</v>
      </c>
      <c r="T97" s="43">
        <f t="shared" si="32"/>
        <v>0</v>
      </c>
      <c r="V97" s="43">
        <f t="shared" si="1"/>
        <v>0</v>
      </c>
      <c r="W97" s="43">
        <f t="shared" si="2"/>
        <v>0</v>
      </c>
      <c r="X97" s="43">
        <f t="shared" si="3"/>
        <v>0</v>
      </c>
      <c r="Y97" s="43">
        <f t="shared" si="4"/>
        <v>0</v>
      </c>
      <c r="Z97" s="43">
        <f t="shared" si="5"/>
        <v>0</v>
      </c>
      <c r="AB97" s="43">
        <f t="shared" si="14"/>
        <v>0</v>
      </c>
      <c r="AC97" s="43">
        <f t="shared" si="15"/>
        <v>0</v>
      </c>
      <c r="AD97" s="43">
        <f t="shared" si="16"/>
        <v>0</v>
      </c>
      <c r="AE97" s="43">
        <f t="shared" si="17"/>
        <v>0</v>
      </c>
      <c r="AF97" s="43">
        <f t="shared" si="18"/>
        <v>0</v>
      </c>
      <c r="AH97" s="43">
        <f t="shared" si="19"/>
        <v>0</v>
      </c>
      <c r="AI97" s="43">
        <f t="shared" si="20"/>
        <v>0</v>
      </c>
      <c r="AJ97" s="43">
        <f t="shared" si="21"/>
        <v>0</v>
      </c>
      <c r="AK97" s="43">
        <f t="shared" si="22"/>
        <v>0</v>
      </c>
      <c r="AL97" s="43">
        <f t="shared" si="23"/>
        <v>0</v>
      </c>
      <c r="AN97" s="47">
        <f t="shared" si="24"/>
        <v>0</v>
      </c>
      <c r="AO97" s="47">
        <f t="shared" si="25"/>
        <v>0</v>
      </c>
      <c r="AP97" s="47">
        <f t="shared" si="26"/>
        <v>0</v>
      </c>
      <c r="AQ97" s="47">
        <f t="shared" si="27"/>
        <v>0</v>
      </c>
      <c r="AR97" s="43">
        <f t="shared" si="28"/>
        <v>0</v>
      </c>
      <c r="AY97" s="3"/>
    </row>
    <row r="98" spans="1:51">
      <c r="A98" s="48"/>
      <c r="B98" s="37">
        <f>'13. Desinvesteringen'!B381</f>
        <v>362</v>
      </c>
      <c r="C98" s="48"/>
      <c r="D98" s="48"/>
      <c r="E98" s="48"/>
      <c r="F98" s="354">
        <f>'5. Input GAW-waarde desinv.'!D57</f>
        <v>0</v>
      </c>
      <c r="G98" s="175">
        <f>'13. Desinvesteringen'!D381</f>
        <v>1977</v>
      </c>
      <c r="H98" s="175">
        <f>'13. Desinvesteringen'!G381</f>
        <v>2022</v>
      </c>
      <c r="I98" s="37" t="str">
        <f>'13. Desinvesteringen'!C381</f>
        <v>02 Gasontvangststations</v>
      </c>
      <c r="J98" s="165">
        <f>'13. Desinvesteringen'!F381</f>
        <v>0</v>
      </c>
      <c r="K98" s="38">
        <f>_xlfn.XLOOKUP(I98,'3. Input (des)investeringen '!$B$11:$B$89,'3. Input (des)investeringen '!$E$11:$E$89)</f>
        <v>0</v>
      </c>
      <c r="L98" s="48"/>
      <c r="M98" s="38">
        <f>_xlfn.XLOOKUP(I98,'3. Input (des)investeringen '!$B$11:$B$89,'3. Input (des)investeringen '!$D$11:$D$89,0)</f>
        <v>30</v>
      </c>
      <c r="N98" s="38">
        <f t="shared" si="13"/>
        <v>0</v>
      </c>
      <c r="P98" s="43">
        <f t="shared" si="32"/>
        <v>0</v>
      </c>
      <c r="Q98" s="43">
        <f t="shared" si="32"/>
        <v>0</v>
      </c>
      <c r="R98" s="43">
        <f t="shared" si="32"/>
        <v>0</v>
      </c>
      <c r="S98" s="43">
        <f t="shared" si="32"/>
        <v>0</v>
      </c>
      <c r="T98" s="43">
        <f t="shared" si="32"/>
        <v>0</v>
      </c>
      <c r="V98" s="43">
        <f t="shared" si="1"/>
        <v>0</v>
      </c>
      <c r="W98" s="43">
        <f t="shared" si="2"/>
        <v>0</v>
      </c>
      <c r="X98" s="43">
        <f t="shared" si="3"/>
        <v>0</v>
      </c>
      <c r="Y98" s="43">
        <f t="shared" si="4"/>
        <v>0</v>
      </c>
      <c r="Z98" s="43">
        <f t="shared" si="5"/>
        <v>0</v>
      </c>
      <c r="AB98" s="43">
        <f t="shared" si="14"/>
        <v>0</v>
      </c>
      <c r="AC98" s="43">
        <f t="shared" si="15"/>
        <v>0</v>
      </c>
      <c r="AD98" s="43">
        <f t="shared" si="16"/>
        <v>0</v>
      </c>
      <c r="AE98" s="43">
        <f t="shared" si="17"/>
        <v>0</v>
      </c>
      <c r="AF98" s="43">
        <f t="shared" si="18"/>
        <v>0</v>
      </c>
      <c r="AH98" s="43">
        <f t="shared" si="19"/>
        <v>0</v>
      </c>
      <c r="AI98" s="43">
        <f t="shared" si="20"/>
        <v>0</v>
      </c>
      <c r="AJ98" s="43">
        <f t="shared" si="21"/>
        <v>0</v>
      </c>
      <c r="AK98" s="43">
        <f t="shared" si="22"/>
        <v>0</v>
      </c>
      <c r="AL98" s="43">
        <f t="shared" si="23"/>
        <v>0</v>
      </c>
      <c r="AN98" s="47">
        <f t="shared" si="24"/>
        <v>0</v>
      </c>
      <c r="AO98" s="47">
        <f t="shared" si="25"/>
        <v>0</v>
      </c>
      <c r="AP98" s="47">
        <f t="shared" si="26"/>
        <v>0</v>
      </c>
      <c r="AQ98" s="47">
        <f t="shared" si="27"/>
        <v>0</v>
      </c>
      <c r="AR98" s="43">
        <f t="shared" si="28"/>
        <v>0</v>
      </c>
      <c r="AY98" s="3"/>
    </row>
    <row r="99" spans="1:51">
      <c r="A99" s="48"/>
      <c r="B99" s="37">
        <f>'13. Desinvesteringen'!B382</f>
        <v>363</v>
      </c>
      <c r="C99" s="48"/>
      <c r="D99" s="48"/>
      <c r="E99" s="48"/>
      <c r="F99" s="354">
        <f>'5. Input GAW-waarde desinv.'!D58</f>
        <v>0</v>
      </c>
      <c r="G99" s="175">
        <f>'13. Desinvesteringen'!D382</f>
        <v>1979</v>
      </c>
      <c r="H99" s="175">
        <f>'13. Desinvesteringen'!G382</f>
        <v>2022</v>
      </c>
      <c r="I99" s="37" t="str">
        <f>'13. Desinvesteringen'!C382</f>
        <v>02 Gasontvangststations</v>
      </c>
      <c r="J99" s="165">
        <f>'13. Desinvesteringen'!F382</f>
        <v>0</v>
      </c>
      <c r="K99" s="38">
        <f>_xlfn.XLOOKUP(I99,'3. Input (des)investeringen '!$B$11:$B$89,'3. Input (des)investeringen '!$E$11:$E$89)</f>
        <v>0</v>
      </c>
      <c r="L99" s="48"/>
      <c r="M99" s="38">
        <f>_xlfn.XLOOKUP(I99,'3. Input (des)investeringen '!$B$11:$B$89,'3. Input (des)investeringen '!$D$11:$D$89,0)</f>
        <v>30</v>
      </c>
      <c r="N99" s="38">
        <f t="shared" si="13"/>
        <v>0</v>
      </c>
      <c r="P99" s="43">
        <f t="shared" si="32"/>
        <v>0</v>
      </c>
      <c r="Q99" s="43">
        <f t="shared" si="32"/>
        <v>0</v>
      </c>
      <c r="R99" s="43">
        <f t="shared" si="32"/>
        <v>0</v>
      </c>
      <c r="S99" s="43">
        <f t="shared" si="32"/>
        <v>0</v>
      </c>
      <c r="T99" s="43">
        <f t="shared" si="32"/>
        <v>0</v>
      </c>
      <c r="V99" s="43">
        <f t="shared" si="1"/>
        <v>0</v>
      </c>
      <c r="W99" s="43">
        <f t="shared" si="2"/>
        <v>0</v>
      </c>
      <c r="X99" s="43">
        <f t="shared" si="3"/>
        <v>0</v>
      </c>
      <c r="Y99" s="43">
        <f t="shared" si="4"/>
        <v>0</v>
      </c>
      <c r="Z99" s="43">
        <f t="shared" si="5"/>
        <v>0</v>
      </c>
      <c r="AB99" s="43">
        <f t="shared" si="14"/>
        <v>0</v>
      </c>
      <c r="AC99" s="43">
        <f t="shared" si="15"/>
        <v>0</v>
      </c>
      <c r="AD99" s="43">
        <f t="shared" si="16"/>
        <v>0</v>
      </c>
      <c r="AE99" s="43">
        <f t="shared" si="17"/>
        <v>0</v>
      </c>
      <c r="AF99" s="43">
        <f t="shared" si="18"/>
        <v>0</v>
      </c>
      <c r="AH99" s="43">
        <f t="shared" si="19"/>
        <v>0</v>
      </c>
      <c r="AI99" s="43">
        <f t="shared" si="20"/>
        <v>0</v>
      </c>
      <c r="AJ99" s="43">
        <f t="shared" si="21"/>
        <v>0</v>
      </c>
      <c r="AK99" s="43">
        <f t="shared" si="22"/>
        <v>0</v>
      </c>
      <c r="AL99" s="43">
        <f t="shared" si="23"/>
        <v>0</v>
      </c>
      <c r="AN99" s="47">
        <f t="shared" si="24"/>
        <v>0</v>
      </c>
      <c r="AO99" s="47">
        <f t="shared" si="25"/>
        <v>0</v>
      </c>
      <c r="AP99" s="47">
        <f t="shared" si="26"/>
        <v>0</v>
      </c>
      <c r="AQ99" s="47">
        <f t="shared" si="27"/>
        <v>0</v>
      </c>
      <c r="AR99" s="43">
        <f t="shared" si="28"/>
        <v>0</v>
      </c>
      <c r="AY99" s="3"/>
    </row>
    <row r="100" spans="1:51">
      <c r="A100" s="48"/>
      <c r="B100" s="37">
        <f>'13. Desinvesteringen'!B383</f>
        <v>364</v>
      </c>
      <c r="C100" s="48"/>
      <c r="D100" s="48"/>
      <c r="E100" s="48"/>
      <c r="F100" s="354">
        <f>'5. Input GAW-waarde desinv.'!D59</f>
        <v>0</v>
      </c>
      <c r="G100" s="175">
        <f>'13. Desinvesteringen'!D383</f>
        <v>1980</v>
      </c>
      <c r="H100" s="175">
        <f>'13. Desinvesteringen'!G383</f>
        <v>2022</v>
      </c>
      <c r="I100" s="37" t="str">
        <f>'13. Desinvesteringen'!C383</f>
        <v>02 Gasontvangststations</v>
      </c>
      <c r="J100" s="165">
        <f>'13. Desinvesteringen'!F383</f>
        <v>0</v>
      </c>
      <c r="K100" s="38">
        <f>_xlfn.XLOOKUP(I100,'3. Input (des)investeringen '!$B$11:$B$89,'3. Input (des)investeringen '!$E$11:$E$89)</f>
        <v>0</v>
      </c>
      <c r="L100" s="48"/>
      <c r="M100" s="38">
        <f>_xlfn.XLOOKUP(I100,'3. Input (des)investeringen '!$B$11:$B$89,'3. Input (des)investeringen '!$D$11:$D$89,0)</f>
        <v>30</v>
      </c>
      <c r="N100" s="38">
        <f t="shared" si="13"/>
        <v>0</v>
      </c>
      <c r="P100" s="43">
        <f t="shared" si="32"/>
        <v>0</v>
      </c>
      <c r="Q100" s="43">
        <f t="shared" si="32"/>
        <v>0</v>
      </c>
      <c r="R100" s="43">
        <f t="shared" si="32"/>
        <v>0</v>
      </c>
      <c r="S100" s="43">
        <f t="shared" si="32"/>
        <v>0</v>
      </c>
      <c r="T100" s="43">
        <f t="shared" si="32"/>
        <v>0</v>
      </c>
      <c r="V100" s="43">
        <f t="shared" si="1"/>
        <v>0</v>
      </c>
      <c r="W100" s="43">
        <f t="shared" si="2"/>
        <v>0</v>
      </c>
      <c r="X100" s="43">
        <f t="shared" si="3"/>
        <v>0</v>
      </c>
      <c r="Y100" s="43">
        <f t="shared" si="4"/>
        <v>0</v>
      </c>
      <c r="Z100" s="43">
        <f t="shared" si="5"/>
        <v>0</v>
      </c>
      <c r="AB100" s="43">
        <f t="shared" si="14"/>
        <v>0</v>
      </c>
      <c r="AC100" s="43">
        <f t="shared" si="15"/>
        <v>0</v>
      </c>
      <c r="AD100" s="43">
        <f t="shared" si="16"/>
        <v>0</v>
      </c>
      <c r="AE100" s="43">
        <f t="shared" si="17"/>
        <v>0</v>
      </c>
      <c r="AF100" s="43">
        <f t="shared" si="18"/>
        <v>0</v>
      </c>
      <c r="AH100" s="43">
        <f t="shared" si="19"/>
        <v>0</v>
      </c>
      <c r="AI100" s="43">
        <f t="shared" si="20"/>
        <v>0</v>
      </c>
      <c r="AJ100" s="43">
        <f t="shared" si="21"/>
        <v>0</v>
      </c>
      <c r="AK100" s="43">
        <f t="shared" si="22"/>
        <v>0</v>
      </c>
      <c r="AL100" s="43">
        <f t="shared" si="23"/>
        <v>0</v>
      </c>
      <c r="AN100" s="47">
        <f t="shared" si="24"/>
        <v>0</v>
      </c>
      <c r="AO100" s="47">
        <f t="shared" si="25"/>
        <v>0</v>
      </c>
      <c r="AP100" s="47">
        <f t="shared" si="26"/>
        <v>0</v>
      </c>
      <c r="AQ100" s="47">
        <f t="shared" si="27"/>
        <v>0</v>
      </c>
      <c r="AR100" s="43">
        <f t="shared" si="28"/>
        <v>0</v>
      </c>
      <c r="AY100" s="3"/>
    </row>
    <row r="101" spans="1:51">
      <c r="A101" s="48"/>
      <c r="B101" s="37">
        <f>'13. Desinvesteringen'!B384</f>
        <v>365</v>
      </c>
      <c r="C101" s="48"/>
      <c r="D101" s="48"/>
      <c r="E101" s="48"/>
      <c r="F101" s="354">
        <f>'5. Input GAW-waarde desinv.'!D60</f>
        <v>0</v>
      </c>
      <c r="G101" s="175">
        <f>'13. Desinvesteringen'!D384</f>
        <v>1981</v>
      </c>
      <c r="H101" s="175">
        <f>'13. Desinvesteringen'!G384</f>
        <v>2022</v>
      </c>
      <c r="I101" s="37" t="str">
        <f>'13. Desinvesteringen'!C384</f>
        <v>02 Gasontvangststations</v>
      </c>
      <c r="J101" s="165">
        <f>'13. Desinvesteringen'!F384</f>
        <v>0</v>
      </c>
      <c r="K101" s="38">
        <f>_xlfn.XLOOKUP(I101,'3. Input (des)investeringen '!$B$11:$B$89,'3. Input (des)investeringen '!$E$11:$E$89)</f>
        <v>0</v>
      </c>
      <c r="L101" s="48"/>
      <c r="M101" s="38">
        <f>_xlfn.XLOOKUP(I101,'3. Input (des)investeringen '!$B$11:$B$89,'3. Input (des)investeringen '!$D$11:$D$89,0)</f>
        <v>30</v>
      </c>
      <c r="N101" s="38">
        <f t="shared" si="13"/>
        <v>0</v>
      </c>
      <c r="P101" s="43">
        <f t="shared" si="32"/>
        <v>0</v>
      </c>
      <c r="Q101" s="43">
        <f t="shared" si="32"/>
        <v>0</v>
      </c>
      <c r="R101" s="43">
        <f t="shared" si="32"/>
        <v>0</v>
      </c>
      <c r="S101" s="43">
        <f t="shared" si="32"/>
        <v>0</v>
      </c>
      <c r="T101" s="43">
        <f t="shared" si="32"/>
        <v>0</v>
      </c>
      <c r="V101" s="43">
        <f t="shared" si="1"/>
        <v>0</v>
      </c>
      <c r="W101" s="43">
        <f t="shared" si="2"/>
        <v>0</v>
      </c>
      <c r="X101" s="43">
        <f t="shared" si="3"/>
        <v>0</v>
      </c>
      <c r="Y101" s="43">
        <f t="shared" si="4"/>
        <v>0</v>
      </c>
      <c r="Z101" s="43">
        <f t="shared" si="5"/>
        <v>0</v>
      </c>
      <c r="AB101" s="43">
        <f t="shared" si="14"/>
        <v>0</v>
      </c>
      <c r="AC101" s="43">
        <f t="shared" si="15"/>
        <v>0</v>
      </c>
      <c r="AD101" s="43">
        <f t="shared" si="16"/>
        <v>0</v>
      </c>
      <c r="AE101" s="43">
        <f t="shared" si="17"/>
        <v>0</v>
      </c>
      <c r="AF101" s="43">
        <f t="shared" si="18"/>
        <v>0</v>
      </c>
      <c r="AH101" s="43">
        <f t="shared" si="19"/>
        <v>0</v>
      </c>
      <c r="AI101" s="43">
        <f t="shared" si="20"/>
        <v>0</v>
      </c>
      <c r="AJ101" s="43">
        <f t="shared" si="21"/>
        <v>0</v>
      </c>
      <c r="AK101" s="43">
        <f t="shared" si="22"/>
        <v>0</v>
      </c>
      <c r="AL101" s="43">
        <f t="shared" si="23"/>
        <v>0</v>
      </c>
      <c r="AN101" s="47">
        <f t="shared" si="24"/>
        <v>0</v>
      </c>
      <c r="AO101" s="47">
        <f t="shared" si="25"/>
        <v>0</v>
      </c>
      <c r="AP101" s="47">
        <f t="shared" si="26"/>
        <v>0</v>
      </c>
      <c r="AQ101" s="47">
        <f t="shared" si="27"/>
        <v>0</v>
      </c>
      <c r="AR101" s="43">
        <f t="shared" si="28"/>
        <v>0</v>
      </c>
      <c r="AY101" s="3"/>
    </row>
    <row r="102" spans="1:51">
      <c r="A102" s="48"/>
      <c r="B102" s="37">
        <f>'13. Desinvesteringen'!B385</f>
        <v>366</v>
      </c>
      <c r="C102" s="48"/>
      <c r="D102" s="48"/>
      <c r="E102" s="48"/>
      <c r="F102" s="354">
        <f>'5. Input GAW-waarde desinv.'!D61</f>
        <v>0</v>
      </c>
      <c r="G102" s="175">
        <f>'13. Desinvesteringen'!D385</f>
        <v>1982</v>
      </c>
      <c r="H102" s="175">
        <f>'13. Desinvesteringen'!G385</f>
        <v>2022</v>
      </c>
      <c r="I102" s="37" t="str">
        <f>'13. Desinvesteringen'!C385</f>
        <v>02 Gasontvangststations</v>
      </c>
      <c r="J102" s="165">
        <f>'13. Desinvesteringen'!F385</f>
        <v>0</v>
      </c>
      <c r="K102" s="38">
        <f>_xlfn.XLOOKUP(I102,'3. Input (des)investeringen '!$B$11:$B$89,'3. Input (des)investeringen '!$E$11:$E$89)</f>
        <v>0</v>
      </c>
      <c r="L102" s="48"/>
      <c r="M102" s="38">
        <f>_xlfn.XLOOKUP(I102,'3. Input (des)investeringen '!$B$11:$B$89,'3. Input (des)investeringen '!$D$11:$D$89,0)</f>
        <v>30</v>
      </c>
      <c r="N102" s="38">
        <f t="shared" si="13"/>
        <v>0</v>
      </c>
      <c r="P102" s="43">
        <f t="shared" ref="P102:T111" si="33">IF($M102&gt;0, IF(OR($G102&gt;P$50,$G102+$M102&lt;P$50),0,
VDB($F102,0,$N102,MAX(0,P$50-2022),MIN($N102,P$50-2021),$F$23,FALSE))*(1-$F$26), 0)</f>
        <v>0</v>
      </c>
      <c r="Q102" s="43">
        <f t="shared" si="33"/>
        <v>0</v>
      </c>
      <c r="R102" s="43">
        <f t="shared" si="33"/>
        <v>0</v>
      </c>
      <c r="S102" s="43">
        <f t="shared" si="33"/>
        <v>0</v>
      </c>
      <c r="T102" s="43">
        <f t="shared" si="33"/>
        <v>0</v>
      </c>
      <c r="V102" s="43">
        <f t="shared" si="1"/>
        <v>0</v>
      </c>
      <c r="W102" s="43">
        <f t="shared" si="2"/>
        <v>0</v>
      </c>
      <c r="X102" s="43">
        <f t="shared" si="3"/>
        <v>0</v>
      </c>
      <c r="Y102" s="43">
        <f t="shared" si="4"/>
        <v>0</v>
      </c>
      <c r="Z102" s="43">
        <f t="shared" si="5"/>
        <v>0</v>
      </c>
      <c r="AB102" s="43">
        <f t="shared" si="14"/>
        <v>0</v>
      </c>
      <c r="AC102" s="43">
        <f t="shared" si="15"/>
        <v>0</v>
      </c>
      <c r="AD102" s="43">
        <f t="shared" si="16"/>
        <v>0</v>
      </c>
      <c r="AE102" s="43">
        <f t="shared" si="17"/>
        <v>0</v>
      </c>
      <c r="AF102" s="43">
        <f t="shared" si="18"/>
        <v>0</v>
      </c>
      <c r="AH102" s="43">
        <f t="shared" si="19"/>
        <v>0</v>
      </c>
      <c r="AI102" s="43">
        <f t="shared" si="20"/>
        <v>0</v>
      </c>
      <c r="AJ102" s="43">
        <f t="shared" si="21"/>
        <v>0</v>
      </c>
      <c r="AK102" s="43">
        <f t="shared" si="22"/>
        <v>0</v>
      </c>
      <c r="AL102" s="43">
        <f t="shared" si="23"/>
        <v>0</v>
      </c>
      <c r="AN102" s="47">
        <f t="shared" si="24"/>
        <v>0</v>
      </c>
      <c r="AO102" s="47">
        <f t="shared" si="25"/>
        <v>0</v>
      </c>
      <c r="AP102" s="47">
        <f t="shared" si="26"/>
        <v>0</v>
      </c>
      <c r="AQ102" s="47">
        <f t="shared" si="27"/>
        <v>0</v>
      </c>
      <c r="AR102" s="43">
        <f t="shared" si="28"/>
        <v>0</v>
      </c>
      <c r="AY102" s="3"/>
    </row>
    <row r="103" spans="1:51">
      <c r="A103" s="48"/>
      <c r="B103" s="37">
        <f>'13. Desinvesteringen'!B386</f>
        <v>367</v>
      </c>
      <c r="C103" s="48"/>
      <c r="D103" s="48"/>
      <c r="E103" s="48"/>
      <c r="F103" s="354">
        <f>'5. Input GAW-waarde desinv.'!D62</f>
        <v>0</v>
      </c>
      <c r="G103" s="175">
        <f>'13. Desinvesteringen'!D386</f>
        <v>1984</v>
      </c>
      <c r="H103" s="175">
        <f>'13. Desinvesteringen'!G386</f>
        <v>2022</v>
      </c>
      <c r="I103" s="37" t="str">
        <f>'13. Desinvesteringen'!C386</f>
        <v>02 Gasontvangststations</v>
      </c>
      <c r="J103" s="165">
        <f>'13. Desinvesteringen'!F386</f>
        <v>0</v>
      </c>
      <c r="K103" s="38">
        <f>_xlfn.XLOOKUP(I103,'3. Input (des)investeringen '!$B$11:$B$89,'3. Input (des)investeringen '!$E$11:$E$89)</f>
        <v>0</v>
      </c>
      <c r="L103" s="48"/>
      <c r="M103" s="38">
        <f>_xlfn.XLOOKUP(I103,'3. Input (des)investeringen '!$B$11:$B$89,'3. Input (des)investeringen '!$D$11:$D$89,0)</f>
        <v>30</v>
      </c>
      <c r="N103" s="38">
        <f t="shared" si="13"/>
        <v>0</v>
      </c>
      <c r="P103" s="43">
        <f t="shared" si="33"/>
        <v>0</v>
      </c>
      <c r="Q103" s="43">
        <f t="shared" si="33"/>
        <v>0</v>
      </c>
      <c r="R103" s="43">
        <f t="shared" si="33"/>
        <v>0</v>
      </c>
      <c r="S103" s="43">
        <f t="shared" si="33"/>
        <v>0</v>
      </c>
      <c r="T103" s="43">
        <f t="shared" si="33"/>
        <v>0</v>
      </c>
      <c r="V103" s="43">
        <f t="shared" si="1"/>
        <v>0</v>
      </c>
      <c r="W103" s="43">
        <f t="shared" si="2"/>
        <v>0</v>
      </c>
      <c r="X103" s="43">
        <f t="shared" si="3"/>
        <v>0</v>
      </c>
      <c r="Y103" s="43">
        <f t="shared" si="4"/>
        <v>0</v>
      </c>
      <c r="Z103" s="43">
        <f t="shared" si="5"/>
        <v>0</v>
      </c>
      <c r="AB103" s="43">
        <f t="shared" si="14"/>
        <v>0</v>
      </c>
      <c r="AC103" s="43">
        <f t="shared" si="15"/>
        <v>0</v>
      </c>
      <c r="AD103" s="43">
        <f t="shared" si="16"/>
        <v>0</v>
      </c>
      <c r="AE103" s="43">
        <f t="shared" si="17"/>
        <v>0</v>
      </c>
      <c r="AF103" s="43">
        <f t="shared" si="18"/>
        <v>0</v>
      </c>
      <c r="AH103" s="43">
        <f t="shared" si="19"/>
        <v>0</v>
      </c>
      <c r="AI103" s="43">
        <f t="shared" si="20"/>
        <v>0</v>
      </c>
      <c r="AJ103" s="43">
        <f t="shared" si="21"/>
        <v>0</v>
      </c>
      <c r="AK103" s="43">
        <f t="shared" si="22"/>
        <v>0</v>
      </c>
      <c r="AL103" s="43">
        <f t="shared" si="23"/>
        <v>0</v>
      </c>
      <c r="AN103" s="47">
        <f t="shared" si="24"/>
        <v>0</v>
      </c>
      <c r="AO103" s="47">
        <f t="shared" si="25"/>
        <v>0</v>
      </c>
      <c r="AP103" s="47">
        <f t="shared" si="26"/>
        <v>0</v>
      </c>
      <c r="AQ103" s="47">
        <f t="shared" si="27"/>
        <v>0</v>
      </c>
      <c r="AR103" s="43">
        <f t="shared" si="28"/>
        <v>0</v>
      </c>
      <c r="AY103" s="3"/>
    </row>
    <row r="104" spans="1:51">
      <c r="A104" s="48"/>
      <c r="B104" s="37">
        <f>'13. Desinvesteringen'!B387</f>
        <v>368</v>
      </c>
      <c r="C104" s="48"/>
      <c r="D104" s="48"/>
      <c r="E104" s="48"/>
      <c r="F104" s="354">
        <f>'5. Input GAW-waarde desinv.'!D63</f>
        <v>0</v>
      </c>
      <c r="G104" s="175">
        <f>'13. Desinvesteringen'!D387</f>
        <v>1989</v>
      </c>
      <c r="H104" s="175">
        <f>'13. Desinvesteringen'!G387</f>
        <v>2022</v>
      </c>
      <c r="I104" s="37" t="str">
        <f>'13. Desinvesteringen'!C387</f>
        <v>02 Gasontvangststations</v>
      </c>
      <c r="J104" s="165">
        <f>'13. Desinvesteringen'!F387</f>
        <v>0</v>
      </c>
      <c r="K104" s="38">
        <f>_xlfn.XLOOKUP(I104,'3. Input (des)investeringen '!$B$11:$B$89,'3. Input (des)investeringen '!$E$11:$E$89)</f>
        <v>0</v>
      </c>
      <c r="L104" s="48"/>
      <c r="M104" s="38">
        <f>_xlfn.XLOOKUP(I104,'3. Input (des)investeringen '!$B$11:$B$89,'3. Input (des)investeringen '!$D$11:$D$89,0)</f>
        <v>30</v>
      </c>
      <c r="N104" s="38">
        <f t="shared" si="13"/>
        <v>0</v>
      </c>
      <c r="P104" s="43">
        <f t="shared" si="33"/>
        <v>0</v>
      </c>
      <c r="Q104" s="43">
        <f t="shared" si="33"/>
        <v>0</v>
      </c>
      <c r="R104" s="43">
        <f t="shared" si="33"/>
        <v>0</v>
      </c>
      <c r="S104" s="43">
        <f t="shared" si="33"/>
        <v>0</v>
      </c>
      <c r="T104" s="43">
        <f t="shared" si="33"/>
        <v>0</v>
      </c>
      <c r="V104" s="43">
        <f t="shared" si="1"/>
        <v>0</v>
      </c>
      <c r="W104" s="43">
        <f t="shared" si="2"/>
        <v>0</v>
      </c>
      <c r="X104" s="43">
        <f t="shared" si="3"/>
        <v>0</v>
      </c>
      <c r="Y104" s="43">
        <f t="shared" si="4"/>
        <v>0</v>
      </c>
      <c r="Z104" s="43">
        <f t="shared" si="5"/>
        <v>0</v>
      </c>
      <c r="AB104" s="43">
        <f t="shared" si="14"/>
        <v>0</v>
      </c>
      <c r="AC104" s="43">
        <f t="shared" si="15"/>
        <v>0</v>
      </c>
      <c r="AD104" s="43">
        <f t="shared" si="16"/>
        <v>0</v>
      </c>
      <c r="AE104" s="43">
        <f t="shared" si="17"/>
        <v>0</v>
      </c>
      <c r="AF104" s="43">
        <f t="shared" si="18"/>
        <v>0</v>
      </c>
      <c r="AH104" s="43">
        <f t="shared" si="19"/>
        <v>0</v>
      </c>
      <c r="AI104" s="43">
        <f t="shared" si="20"/>
        <v>0</v>
      </c>
      <c r="AJ104" s="43">
        <f t="shared" si="21"/>
        <v>0</v>
      </c>
      <c r="AK104" s="43">
        <f t="shared" si="22"/>
        <v>0</v>
      </c>
      <c r="AL104" s="43">
        <f t="shared" si="23"/>
        <v>0</v>
      </c>
      <c r="AN104" s="47">
        <f t="shared" si="24"/>
        <v>0</v>
      </c>
      <c r="AO104" s="47">
        <f t="shared" si="25"/>
        <v>0</v>
      </c>
      <c r="AP104" s="47">
        <f t="shared" si="26"/>
        <v>0</v>
      </c>
      <c r="AQ104" s="47">
        <f t="shared" si="27"/>
        <v>0</v>
      </c>
      <c r="AR104" s="43">
        <f t="shared" si="28"/>
        <v>0</v>
      </c>
      <c r="AY104" s="3"/>
    </row>
    <row r="105" spans="1:51">
      <c r="A105" s="48"/>
      <c r="B105" s="37">
        <f>'13. Desinvesteringen'!B388</f>
        <v>369</v>
      </c>
      <c r="C105" s="48"/>
      <c r="D105" s="48"/>
      <c r="E105" s="48"/>
      <c r="F105" s="354">
        <f>'5. Input GAW-waarde desinv.'!D64</f>
        <v>0</v>
      </c>
      <c r="G105" s="175">
        <f>'13. Desinvesteringen'!D388</f>
        <v>1990</v>
      </c>
      <c r="H105" s="175">
        <f>'13. Desinvesteringen'!G388</f>
        <v>2022</v>
      </c>
      <c r="I105" s="37" t="str">
        <f>'13. Desinvesteringen'!C388</f>
        <v>02 Gasontvangststations</v>
      </c>
      <c r="J105" s="165">
        <f>'13. Desinvesteringen'!F388</f>
        <v>0</v>
      </c>
      <c r="K105" s="38">
        <f>_xlfn.XLOOKUP(I105,'3. Input (des)investeringen '!$B$11:$B$89,'3. Input (des)investeringen '!$E$11:$E$89)</f>
        <v>0</v>
      </c>
      <c r="L105" s="48"/>
      <c r="M105" s="38">
        <f>_xlfn.XLOOKUP(I105,'3. Input (des)investeringen '!$B$11:$B$89,'3. Input (des)investeringen '!$D$11:$D$89,0)</f>
        <v>30</v>
      </c>
      <c r="N105" s="38">
        <f t="shared" si="13"/>
        <v>0</v>
      </c>
      <c r="P105" s="43">
        <f t="shared" si="33"/>
        <v>0</v>
      </c>
      <c r="Q105" s="43">
        <f t="shared" si="33"/>
        <v>0</v>
      </c>
      <c r="R105" s="43">
        <f t="shared" si="33"/>
        <v>0</v>
      </c>
      <c r="S105" s="43">
        <f t="shared" si="33"/>
        <v>0</v>
      </c>
      <c r="T105" s="43">
        <f t="shared" si="33"/>
        <v>0</v>
      </c>
      <c r="V105" s="43">
        <f t="shared" si="1"/>
        <v>0</v>
      </c>
      <c r="W105" s="43">
        <f t="shared" si="2"/>
        <v>0</v>
      </c>
      <c r="X105" s="43">
        <f t="shared" si="3"/>
        <v>0</v>
      </c>
      <c r="Y105" s="43">
        <f t="shared" si="4"/>
        <v>0</v>
      </c>
      <c r="Z105" s="43">
        <f t="shared" si="5"/>
        <v>0</v>
      </c>
      <c r="AB105" s="43">
        <f t="shared" si="14"/>
        <v>0</v>
      </c>
      <c r="AC105" s="43">
        <f t="shared" si="15"/>
        <v>0</v>
      </c>
      <c r="AD105" s="43">
        <f t="shared" si="16"/>
        <v>0</v>
      </c>
      <c r="AE105" s="43">
        <f t="shared" si="17"/>
        <v>0</v>
      </c>
      <c r="AF105" s="43">
        <f t="shared" si="18"/>
        <v>0</v>
      </c>
      <c r="AH105" s="43">
        <f t="shared" si="19"/>
        <v>0</v>
      </c>
      <c r="AI105" s="43">
        <f t="shared" si="20"/>
        <v>0</v>
      </c>
      <c r="AJ105" s="43">
        <f t="shared" si="21"/>
        <v>0</v>
      </c>
      <c r="AK105" s="43">
        <f t="shared" si="22"/>
        <v>0</v>
      </c>
      <c r="AL105" s="43">
        <f t="shared" si="23"/>
        <v>0</v>
      </c>
      <c r="AN105" s="47">
        <f t="shared" si="24"/>
        <v>0</v>
      </c>
      <c r="AO105" s="47">
        <f t="shared" si="25"/>
        <v>0</v>
      </c>
      <c r="AP105" s="47">
        <f t="shared" si="26"/>
        <v>0</v>
      </c>
      <c r="AQ105" s="47">
        <f t="shared" si="27"/>
        <v>0</v>
      </c>
      <c r="AR105" s="43">
        <f t="shared" si="28"/>
        <v>0</v>
      </c>
      <c r="AY105" s="3"/>
    </row>
    <row r="106" spans="1:51">
      <c r="A106" s="48"/>
      <c r="B106" s="37">
        <f>'13. Desinvesteringen'!B389</f>
        <v>370</v>
      </c>
      <c r="C106" s="48"/>
      <c r="D106" s="48"/>
      <c r="E106" s="48"/>
      <c r="F106" s="354">
        <f>'5. Input GAW-waarde desinv.'!D65</f>
        <v>0</v>
      </c>
      <c r="G106" s="175">
        <f>'13. Desinvesteringen'!D389</f>
        <v>1991</v>
      </c>
      <c r="H106" s="175">
        <f>'13. Desinvesteringen'!G389</f>
        <v>2022</v>
      </c>
      <c r="I106" s="37" t="str">
        <f>'13. Desinvesteringen'!C389</f>
        <v>02 Gasontvangststations</v>
      </c>
      <c r="J106" s="165">
        <f>'13. Desinvesteringen'!F389</f>
        <v>0</v>
      </c>
      <c r="K106" s="38">
        <f>_xlfn.XLOOKUP(I106,'3. Input (des)investeringen '!$B$11:$B$89,'3. Input (des)investeringen '!$E$11:$E$89)</f>
        <v>0</v>
      </c>
      <c r="L106" s="48"/>
      <c r="M106" s="38">
        <f>_xlfn.XLOOKUP(I106,'3. Input (des)investeringen '!$B$11:$B$89,'3. Input (des)investeringen '!$D$11:$D$89,0)</f>
        <v>30</v>
      </c>
      <c r="N106" s="38">
        <f t="shared" si="13"/>
        <v>0</v>
      </c>
      <c r="P106" s="43">
        <f t="shared" si="33"/>
        <v>0</v>
      </c>
      <c r="Q106" s="43">
        <f t="shared" si="33"/>
        <v>0</v>
      </c>
      <c r="R106" s="43">
        <f t="shared" si="33"/>
        <v>0</v>
      </c>
      <c r="S106" s="43">
        <f t="shared" si="33"/>
        <v>0</v>
      </c>
      <c r="T106" s="43">
        <f t="shared" si="33"/>
        <v>0</v>
      </c>
      <c r="V106" s="43">
        <f t="shared" si="1"/>
        <v>0</v>
      </c>
      <c r="W106" s="43">
        <f t="shared" si="2"/>
        <v>0</v>
      </c>
      <c r="X106" s="43">
        <f t="shared" si="3"/>
        <v>0</v>
      </c>
      <c r="Y106" s="43">
        <f t="shared" si="4"/>
        <v>0</v>
      </c>
      <c r="Z106" s="43">
        <f t="shared" si="5"/>
        <v>0</v>
      </c>
      <c r="AB106" s="43">
        <f t="shared" si="14"/>
        <v>0</v>
      </c>
      <c r="AC106" s="43">
        <f t="shared" si="15"/>
        <v>0</v>
      </c>
      <c r="AD106" s="43">
        <f t="shared" si="16"/>
        <v>0</v>
      </c>
      <c r="AE106" s="43">
        <f t="shared" si="17"/>
        <v>0</v>
      </c>
      <c r="AF106" s="43">
        <f t="shared" si="18"/>
        <v>0</v>
      </c>
      <c r="AH106" s="43">
        <f t="shared" si="19"/>
        <v>0</v>
      </c>
      <c r="AI106" s="43">
        <f t="shared" si="20"/>
        <v>0</v>
      </c>
      <c r="AJ106" s="43">
        <f t="shared" si="21"/>
        <v>0</v>
      </c>
      <c r="AK106" s="43">
        <f t="shared" si="22"/>
        <v>0</v>
      </c>
      <c r="AL106" s="43">
        <f t="shared" si="23"/>
        <v>0</v>
      </c>
      <c r="AN106" s="47">
        <f t="shared" si="24"/>
        <v>0</v>
      </c>
      <c r="AO106" s="47">
        <f t="shared" si="25"/>
        <v>0</v>
      </c>
      <c r="AP106" s="47">
        <f t="shared" si="26"/>
        <v>0</v>
      </c>
      <c r="AQ106" s="47">
        <f t="shared" si="27"/>
        <v>0</v>
      </c>
      <c r="AR106" s="43">
        <f t="shared" si="28"/>
        <v>0</v>
      </c>
      <c r="AY106" s="3"/>
    </row>
    <row r="107" spans="1:51">
      <c r="A107" s="48"/>
      <c r="B107" s="37">
        <f>'13. Desinvesteringen'!B390</f>
        <v>371</v>
      </c>
      <c r="C107" s="48"/>
      <c r="D107" s="48"/>
      <c r="E107" s="48"/>
      <c r="F107" s="354">
        <f>'5. Input GAW-waarde desinv.'!D66</f>
        <v>646.89002615775189</v>
      </c>
      <c r="G107" s="175">
        <f>'13. Desinvesteringen'!D390</f>
        <v>1992</v>
      </c>
      <c r="H107" s="175">
        <f>'13. Desinvesteringen'!G390</f>
        <v>2022</v>
      </c>
      <c r="I107" s="37" t="str">
        <f>'13. Desinvesteringen'!C390</f>
        <v>02 Gasontvangststations</v>
      </c>
      <c r="J107" s="165">
        <f>'13. Desinvesteringen'!F390</f>
        <v>0</v>
      </c>
      <c r="K107" s="38">
        <f>_xlfn.XLOOKUP(I107,'3. Input (des)investeringen '!$B$11:$B$89,'3. Input (des)investeringen '!$E$11:$E$89)</f>
        <v>0</v>
      </c>
      <c r="L107" s="48"/>
      <c r="M107" s="38">
        <f>_xlfn.XLOOKUP(I107,'3. Input (des)investeringen '!$B$11:$B$89,'3. Input (des)investeringen '!$D$11:$D$89,0)</f>
        <v>30</v>
      </c>
      <c r="N107" s="38">
        <f t="shared" si="13"/>
        <v>0.5</v>
      </c>
      <c r="P107" s="43">
        <f t="shared" si="33"/>
        <v>582.20102354197672</v>
      </c>
      <c r="Q107" s="43">
        <f t="shared" si="33"/>
        <v>0</v>
      </c>
      <c r="R107" s="43">
        <f t="shared" si="33"/>
        <v>0</v>
      </c>
      <c r="S107" s="43">
        <f t="shared" si="33"/>
        <v>0</v>
      </c>
      <c r="T107" s="43">
        <f t="shared" si="33"/>
        <v>0</v>
      </c>
      <c r="V107" s="43">
        <f t="shared" si="1"/>
        <v>64.689002615775195</v>
      </c>
      <c r="W107" s="43">
        <f t="shared" si="2"/>
        <v>0</v>
      </c>
      <c r="X107" s="43">
        <f t="shared" si="3"/>
        <v>0</v>
      </c>
      <c r="Y107" s="43">
        <f t="shared" si="4"/>
        <v>0</v>
      </c>
      <c r="Z107" s="43">
        <f t="shared" si="5"/>
        <v>0</v>
      </c>
      <c r="AB107" s="43">
        <f t="shared" si="14"/>
        <v>646.89002615775189</v>
      </c>
      <c r="AC107" s="43">
        <f t="shared" si="15"/>
        <v>0</v>
      </c>
      <c r="AD107" s="43">
        <f t="shared" si="16"/>
        <v>0</v>
      </c>
      <c r="AE107" s="43">
        <f t="shared" si="17"/>
        <v>0</v>
      </c>
      <c r="AF107" s="43">
        <f t="shared" si="18"/>
        <v>0</v>
      </c>
      <c r="AH107" s="43">
        <f t="shared" si="19"/>
        <v>0</v>
      </c>
      <c r="AI107" s="43">
        <f t="shared" si="20"/>
        <v>0</v>
      </c>
      <c r="AJ107" s="43">
        <f t="shared" si="21"/>
        <v>0</v>
      </c>
      <c r="AK107" s="43">
        <f t="shared" si="22"/>
        <v>0</v>
      </c>
      <c r="AL107" s="43">
        <f t="shared" si="23"/>
        <v>0</v>
      </c>
      <c r="AN107" s="47">
        <f t="shared" si="24"/>
        <v>646.89002615775189</v>
      </c>
      <c r="AO107" s="47">
        <f t="shared" si="25"/>
        <v>0</v>
      </c>
      <c r="AP107" s="47">
        <f t="shared" si="26"/>
        <v>0</v>
      </c>
      <c r="AQ107" s="47">
        <f t="shared" si="27"/>
        <v>0</v>
      </c>
      <c r="AR107" s="43">
        <f t="shared" si="28"/>
        <v>0</v>
      </c>
      <c r="AY107" s="3"/>
    </row>
    <row r="108" spans="1:51">
      <c r="A108" s="48"/>
      <c r="B108" s="37">
        <f>'13. Desinvesteringen'!B391</f>
        <v>372</v>
      </c>
      <c r="C108" s="48"/>
      <c r="D108" s="48"/>
      <c r="E108" s="48"/>
      <c r="F108" s="354">
        <f>'5. Input GAW-waarde desinv.'!D67</f>
        <v>1357.7574875549008</v>
      </c>
      <c r="G108" s="175">
        <f>'13. Desinvesteringen'!D391</f>
        <v>1993</v>
      </c>
      <c r="H108" s="175">
        <f>'13. Desinvesteringen'!G391</f>
        <v>2022</v>
      </c>
      <c r="I108" s="37" t="str">
        <f>'13. Desinvesteringen'!C391</f>
        <v>02 Gasontvangststations</v>
      </c>
      <c r="J108" s="165">
        <f>'13. Desinvesteringen'!F391</f>
        <v>0</v>
      </c>
      <c r="K108" s="38">
        <f>_xlfn.XLOOKUP(I108,'3. Input (des)investeringen '!$B$11:$B$89,'3. Input (des)investeringen '!$E$11:$E$89)</f>
        <v>0</v>
      </c>
      <c r="L108" s="48"/>
      <c r="M108" s="38">
        <f>_xlfn.XLOOKUP(I108,'3. Input (des)investeringen '!$B$11:$B$89,'3. Input (des)investeringen '!$D$11:$D$89,0)</f>
        <v>30</v>
      </c>
      <c r="N108" s="38">
        <f t="shared" si="13"/>
        <v>1.5</v>
      </c>
      <c r="P108" s="43">
        <f t="shared" si="33"/>
        <v>1059.0508402928226</v>
      </c>
      <c r="Q108" s="43">
        <f t="shared" si="33"/>
        <v>162.93089850658814</v>
      </c>
      <c r="R108" s="43">
        <f t="shared" si="33"/>
        <v>0</v>
      </c>
      <c r="S108" s="43">
        <f t="shared" si="33"/>
        <v>0</v>
      </c>
      <c r="T108" s="43">
        <f t="shared" si="33"/>
        <v>0</v>
      </c>
      <c r="V108" s="43">
        <f t="shared" si="1"/>
        <v>90.517165836993399</v>
      </c>
      <c r="W108" s="43">
        <f t="shared" si="2"/>
        <v>45.2585829184967</v>
      </c>
      <c r="X108" s="43">
        <f t="shared" si="3"/>
        <v>0</v>
      </c>
      <c r="Y108" s="43">
        <f t="shared" si="4"/>
        <v>0</v>
      </c>
      <c r="Z108" s="43">
        <f t="shared" si="5"/>
        <v>0</v>
      </c>
      <c r="AB108" s="43">
        <f t="shared" si="14"/>
        <v>1149.568006129816</v>
      </c>
      <c r="AC108" s="43">
        <f t="shared" si="15"/>
        <v>208.18948142508484</v>
      </c>
      <c r="AD108" s="43">
        <f t="shared" si="16"/>
        <v>0</v>
      </c>
      <c r="AE108" s="43">
        <f t="shared" si="17"/>
        <v>0</v>
      </c>
      <c r="AF108" s="43">
        <f t="shared" si="18"/>
        <v>0</v>
      </c>
      <c r="AH108" s="43">
        <f t="shared" si="19"/>
        <v>208.18948142508475</v>
      </c>
      <c r="AI108" s="43">
        <f t="shared" si="20"/>
        <v>0</v>
      </c>
      <c r="AJ108" s="43">
        <f t="shared" si="21"/>
        <v>0</v>
      </c>
      <c r="AK108" s="43">
        <f t="shared" si="22"/>
        <v>0</v>
      </c>
      <c r="AL108" s="43">
        <f t="shared" si="23"/>
        <v>0</v>
      </c>
      <c r="AN108" s="47">
        <f t="shared" si="24"/>
        <v>1158.1037748682445</v>
      </c>
      <c r="AO108" s="47">
        <f t="shared" si="25"/>
        <v>208.18948142508484</v>
      </c>
      <c r="AP108" s="47">
        <f t="shared" si="26"/>
        <v>0</v>
      </c>
      <c r="AQ108" s="47">
        <f t="shared" si="27"/>
        <v>0</v>
      </c>
      <c r="AR108" s="43">
        <f t="shared" si="28"/>
        <v>0</v>
      </c>
      <c r="AY108" s="3"/>
    </row>
    <row r="109" spans="1:51">
      <c r="A109" s="48"/>
      <c r="B109" s="37">
        <f>'13. Desinvesteringen'!B392</f>
        <v>373</v>
      </c>
      <c r="C109" s="48"/>
      <c r="D109" s="48"/>
      <c r="E109" s="48"/>
      <c r="F109" s="354">
        <f>'5. Input GAW-waarde desinv.'!D68</f>
        <v>7195.5569834638591</v>
      </c>
      <c r="G109" s="175">
        <f>'13. Desinvesteringen'!D392</f>
        <v>1994</v>
      </c>
      <c r="H109" s="175">
        <f>'13. Desinvesteringen'!G392</f>
        <v>2022</v>
      </c>
      <c r="I109" s="37" t="str">
        <f>'13. Desinvesteringen'!C392</f>
        <v>02 Gasontvangststations</v>
      </c>
      <c r="J109" s="165">
        <f>'13. Desinvesteringen'!F392</f>
        <v>0</v>
      </c>
      <c r="K109" s="38">
        <f>_xlfn.XLOOKUP(I109,'3. Input (des)investeringen '!$B$11:$B$89,'3. Input (des)investeringen '!$E$11:$E$89)</f>
        <v>0</v>
      </c>
      <c r="L109" s="48"/>
      <c r="M109" s="38">
        <f>_xlfn.XLOOKUP(I109,'3. Input (des)investeringen '!$B$11:$B$89,'3. Input (des)investeringen '!$D$11:$D$89,0)</f>
        <v>30</v>
      </c>
      <c r="N109" s="38">
        <f t="shared" si="13"/>
        <v>2.5</v>
      </c>
      <c r="P109" s="43">
        <f t="shared" si="33"/>
        <v>3367.5206682610865</v>
      </c>
      <c r="Q109" s="43">
        <f t="shared" si="33"/>
        <v>2072.3204112375911</v>
      </c>
      <c r="R109" s="43">
        <f t="shared" si="33"/>
        <v>1036.1602056187955</v>
      </c>
      <c r="S109" s="43">
        <f t="shared" si="33"/>
        <v>0</v>
      </c>
      <c r="T109" s="43">
        <f t="shared" si="33"/>
        <v>0</v>
      </c>
      <c r="V109" s="43">
        <f t="shared" si="1"/>
        <v>287.82227933855438</v>
      </c>
      <c r="W109" s="43">
        <f t="shared" si="2"/>
        <v>287.82227933855432</v>
      </c>
      <c r="X109" s="43">
        <f t="shared" si="3"/>
        <v>143.91113966927716</v>
      </c>
      <c r="Y109" s="43">
        <f t="shared" si="4"/>
        <v>0</v>
      </c>
      <c r="Z109" s="43">
        <f t="shared" si="5"/>
        <v>0</v>
      </c>
      <c r="AB109" s="43">
        <f t="shared" si="14"/>
        <v>3655.3429475996409</v>
      </c>
      <c r="AC109" s="43">
        <f t="shared" si="15"/>
        <v>2360.1426905761455</v>
      </c>
      <c r="AD109" s="43">
        <f t="shared" si="16"/>
        <v>1180.0713452880727</v>
      </c>
      <c r="AE109" s="43">
        <f t="shared" si="17"/>
        <v>0</v>
      </c>
      <c r="AF109" s="43">
        <f t="shared" si="18"/>
        <v>0</v>
      </c>
      <c r="AH109" s="43">
        <f t="shared" si="19"/>
        <v>3540.2140358642182</v>
      </c>
      <c r="AI109" s="43">
        <f t="shared" si="20"/>
        <v>1180.0713452880727</v>
      </c>
      <c r="AJ109" s="43">
        <f t="shared" si="21"/>
        <v>0</v>
      </c>
      <c r="AK109" s="43">
        <f t="shared" si="22"/>
        <v>0</v>
      </c>
      <c r="AL109" s="43">
        <f t="shared" si="23"/>
        <v>0</v>
      </c>
      <c r="AN109" s="47">
        <f t="shared" si="24"/>
        <v>3800.4917230700739</v>
      </c>
      <c r="AO109" s="47">
        <f t="shared" si="25"/>
        <v>2420.326329185837</v>
      </c>
      <c r="AP109" s="47">
        <f t="shared" si="26"/>
        <v>1180.0713452880727</v>
      </c>
      <c r="AQ109" s="47">
        <f t="shared" si="27"/>
        <v>0</v>
      </c>
      <c r="AR109" s="43">
        <f t="shared" si="28"/>
        <v>0</v>
      </c>
      <c r="AY109" s="3"/>
    </row>
    <row r="110" spans="1:51">
      <c r="A110" s="48"/>
      <c r="B110" s="37">
        <f>'13. Desinvesteringen'!B393</f>
        <v>374</v>
      </c>
      <c r="C110" s="48"/>
      <c r="D110" s="48"/>
      <c r="E110" s="48"/>
      <c r="F110" s="354">
        <f>'5. Input GAW-waarde desinv.'!D69</f>
        <v>11931.605633190833</v>
      </c>
      <c r="G110" s="175">
        <f>'13. Desinvesteringen'!D393</f>
        <v>1995</v>
      </c>
      <c r="H110" s="175">
        <f>'13. Desinvesteringen'!G393</f>
        <v>2022</v>
      </c>
      <c r="I110" s="37" t="str">
        <f>'13. Desinvesteringen'!C393</f>
        <v>02 Gasontvangststations</v>
      </c>
      <c r="J110" s="165">
        <f>'13. Desinvesteringen'!F393</f>
        <v>0</v>
      </c>
      <c r="K110" s="38">
        <f>_xlfn.XLOOKUP(I110,'3. Input (des)investeringen '!$B$11:$B$89,'3. Input (des)investeringen '!$E$11:$E$89)</f>
        <v>0</v>
      </c>
      <c r="L110" s="48"/>
      <c r="M110" s="38">
        <f>_xlfn.XLOOKUP(I110,'3. Input (des)investeringen '!$B$11:$B$89,'3. Input (des)investeringen '!$D$11:$D$89,0)</f>
        <v>30</v>
      </c>
      <c r="N110" s="38">
        <f t="shared" si="13"/>
        <v>3.5</v>
      </c>
      <c r="P110" s="43">
        <f t="shared" si="33"/>
        <v>3988.5653116666504</v>
      </c>
      <c r="Q110" s="43">
        <f t="shared" si="33"/>
        <v>2699.9519032820399</v>
      </c>
      <c r="R110" s="43">
        <f t="shared" si="33"/>
        <v>2699.9519032820399</v>
      </c>
      <c r="S110" s="43">
        <f t="shared" si="33"/>
        <v>1349.9759516410199</v>
      </c>
      <c r="T110" s="43">
        <f t="shared" si="33"/>
        <v>0</v>
      </c>
      <c r="V110" s="43">
        <f t="shared" si="1"/>
        <v>340.9030180911667</v>
      </c>
      <c r="W110" s="43">
        <f t="shared" si="2"/>
        <v>340.9030180911667</v>
      </c>
      <c r="X110" s="43">
        <f t="shared" si="3"/>
        <v>340.9030180911667</v>
      </c>
      <c r="Y110" s="43">
        <f t="shared" si="4"/>
        <v>170.45150904558335</v>
      </c>
      <c r="Z110" s="43">
        <f t="shared" si="5"/>
        <v>0</v>
      </c>
      <c r="AB110" s="43">
        <f t="shared" si="14"/>
        <v>4329.4683297578167</v>
      </c>
      <c r="AC110" s="43">
        <f t="shared" si="15"/>
        <v>3040.8549213732067</v>
      </c>
      <c r="AD110" s="43">
        <f t="shared" si="16"/>
        <v>3040.8549213732067</v>
      </c>
      <c r="AE110" s="43">
        <f t="shared" si="17"/>
        <v>1520.4274606866034</v>
      </c>
      <c r="AF110" s="43">
        <f t="shared" si="18"/>
        <v>0</v>
      </c>
      <c r="AH110" s="43">
        <f t="shared" si="19"/>
        <v>7602.1373034330163</v>
      </c>
      <c r="AI110" s="43">
        <f t="shared" si="20"/>
        <v>4561.2823820598096</v>
      </c>
      <c r="AJ110" s="43">
        <f t="shared" si="21"/>
        <v>1520.4274606866029</v>
      </c>
      <c r="AK110" s="43">
        <f t="shared" si="22"/>
        <v>0</v>
      </c>
      <c r="AL110" s="43">
        <f t="shared" si="23"/>
        <v>0</v>
      </c>
      <c r="AN110" s="47">
        <f t="shared" si="24"/>
        <v>4641.1559591985706</v>
      </c>
      <c r="AO110" s="47">
        <f t="shared" si="25"/>
        <v>3273.4803228582568</v>
      </c>
      <c r="AP110" s="47">
        <f t="shared" si="26"/>
        <v>3118.3967218682233</v>
      </c>
      <c r="AQ110" s="47">
        <f t="shared" si="27"/>
        <v>1520.4274606866034</v>
      </c>
      <c r="AR110" s="43">
        <f t="shared" si="28"/>
        <v>0</v>
      </c>
      <c r="AY110" s="3"/>
    </row>
    <row r="111" spans="1:51">
      <c r="A111" s="48"/>
      <c r="B111" s="37">
        <f>'13. Desinvesteringen'!B394</f>
        <v>375</v>
      </c>
      <c r="C111" s="48"/>
      <c r="D111" s="48"/>
      <c r="E111" s="48"/>
      <c r="F111" s="354">
        <f>'5. Input GAW-waarde desinv.'!D70</f>
        <v>4008.6360537194205</v>
      </c>
      <c r="G111" s="175">
        <f>'13. Desinvesteringen'!D394</f>
        <v>1996</v>
      </c>
      <c r="H111" s="175">
        <f>'13. Desinvesteringen'!G394</f>
        <v>2022</v>
      </c>
      <c r="I111" s="37" t="str">
        <f>'13. Desinvesteringen'!C394</f>
        <v>02 Gasontvangststations</v>
      </c>
      <c r="J111" s="165">
        <f>'13. Desinvesteringen'!F394</f>
        <v>0</v>
      </c>
      <c r="K111" s="38">
        <f>_xlfn.XLOOKUP(I111,'3. Input (des)investeringen '!$B$11:$B$89,'3. Input (des)investeringen '!$E$11:$E$89)</f>
        <v>0</v>
      </c>
      <c r="L111" s="48"/>
      <c r="M111" s="38">
        <f>_xlfn.XLOOKUP(I111,'3. Input (des)investeringen '!$B$11:$B$89,'3. Input (des)investeringen '!$D$11:$D$89,0)</f>
        <v>30</v>
      </c>
      <c r="N111" s="38">
        <f t="shared" si="13"/>
        <v>4.5</v>
      </c>
      <c r="P111" s="43">
        <f t="shared" si="33"/>
        <v>1042.2453739670493</v>
      </c>
      <c r="Q111" s="43">
        <f t="shared" si="33"/>
        <v>741.15226593212401</v>
      </c>
      <c r="R111" s="43">
        <f t="shared" si="33"/>
        <v>729.74992337932213</v>
      </c>
      <c r="S111" s="43">
        <f t="shared" si="33"/>
        <v>729.74992337932213</v>
      </c>
      <c r="T111" s="43">
        <f t="shared" si="33"/>
        <v>364.87496168966106</v>
      </c>
      <c r="V111" s="43">
        <f t="shared" si="1"/>
        <v>89.080801193764898</v>
      </c>
      <c r="W111" s="43">
        <f t="shared" si="2"/>
        <v>89.080801193764898</v>
      </c>
      <c r="X111" s="43">
        <f t="shared" si="3"/>
        <v>89.080801193764898</v>
      </c>
      <c r="Y111" s="43">
        <f t="shared" si="4"/>
        <v>89.080801193764898</v>
      </c>
      <c r="Z111" s="43">
        <f t="shared" si="5"/>
        <v>44.540400596882449</v>
      </c>
      <c r="AB111" s="43">
        <f t="shared" si="14"/>
        <v>1131.3261751608143</v>
      </c>
      <c r="AC111" s="43">
        <f t="shared" si="15"/>
        <v>830.23306712588897</v>
      </c>
      <c r="AD111" s="43">
        <f t="shared" si="16"/>
        <v>818.83072457308708</v>
      </c>
      <c r="AE111" s="43">
        <f t="shared" si="17"/>
        <v>818.83072457308708</v>
      </c>
      <c r="AF111" s="43">
        <f t="shared" si="18"/>
        <v>409.41536228654354</v>
      </c>
      <c r="AH111" s="43">
        <f t="shared" si="19"/>
        <v>2877.3098785586062</v>
      </c>
      <c r="AI111" s="43">
        <f t="shared" si="20"/>
        <v>2047.0768114327172</v>
      </c>
      <c r="AJ111" s="43">
        <f t="shared" si="21"/>
        <v>1228.2460868596302</v>
      </c>
      <c r="AK111" s="43">
        <f t="shared" si="22"/>
        <v>409.41536228654309</v>
      </c>
      <c r="AL111" s="43">
        <f t="shared" si="23"/>
        <v>0</v>
      </c>
      <c r="AN111" s="47">
        <f t="shared" si="24"/>
        <v>1249.2958801817172</v>
      </c>
      <c r="AO111" s="47">
        <f t="shared" si="25"/>
        <v>934.6339845089575</v>
      </c>
      <c r="AP111" s="47">
        <f t="shared" si="26"/>
        <v>881.47127500292822</v>
      </c>
      <c r="AQ111" s="47">
        <f t="shared" si="27"/>
        <v>841.34856949884693</v>
      </c>
      <c r="AR111" s="43">
        <f t="shared" si="28"/>
        <v>409.41536228654354</v>
      </c>
      <c r="AY111" s="3"/>
    </row>
    <row r="112" spans="1:51">
      <c r="A112" s="48"/>
      <c r="B112" s="37">
        <f>'13. Desinvesteringen'!B395</f>
        <v>376</v>
      </c>
      <c r="C112" s="48"/>
      <c r="D112" s="48"/>
      <c r="E112" s="48"/>
      <c r="F112" s="354">
        <f>'5. Input GAW-waarde desinv.'!D71</f>
        <v>4682.8462589200817</v>
      </c>
      <c r="G112" s="175">
        <f>'13. Desinvesteringen'!D395</f>
        <v>1997</v>
      </c>
      <c r="H112" s="175">
        <f>'13. Desinvesteringen'!G395</f>
        <v>2022</v>
      </c>
      <c r="I112" s="37" t="str">
        <f>'13. Desinvesteringen'!C395</f>
        <v>02 Gasontvangststations</v>
      </c>
      <c r="J112" s="165">
        <f>'13. Desinvesteringen'!F395</f>
        <v>0</v>
      </c>
      <c r="K112" s="38">
        <f>_xlfn.XLOOKUP(I112,'3. Input (des)investeringen '!$B$11:$B$89,'3. Input (des)investeringen '!$E$11:$E$89)</f>
        <v>0</v>
      </c>
      <c r="L112" s="48"/>
      <c r="M112" s="38">
        <f>_xlfn.XLOOKUP(I112,'3. Input (des)investeringen '!$B$11:$B$89,'3. Input (des)investeringen '!$D$11:$D$89,0)</f>
        <v>30</v>
      </c>
      <c r="N112" s="38">
        <f t="shared" si="13"/>
        <v>5.5</v>
      </c>
      <c r="P112" s="43">
        <f t="shared" ref="P112:T121" si="34">IF($M112&gt;0, IF(OR($G112&gt;P$50,$G112+$M112&lt;P$50),0,
VDB($F112,0,$N112,MAX(0,P$50-2022),MIN($N112,P$50-2021),$F$23,FALSE))*(1-$F$26), 0)</f>
        <v>996.169113261181</v>
      </c>
      <c r="Q112" s="43">
        <f t="shared" si="34"/>
        <v>760.71095921762912</v>
      </c>
      <c r="R112" s="43">
        <f t="shared" si="34"/>
        <v>702.19473158550386</v>
      </c>
      <c r="S112" s="43">
        <f t="shared" si="34"/>
        <v>702.19473158550386</v>
      </c>
      <c r="T112" s="43">
        <f t="shared" si="34"/>
        <v>702.19473158550386</v>
      </c>
      <c r="V112" s="43">
        <f t="shared" si="1"/>
        <v>85.142659253092404</v>
      </c>
      <c r="W112" s="43">
        <f t="shared" si="2"/>
        <v>85.142659253092404</v>
      </c>
      <c r="X112" s="43">
        <f t="shared" si="3"/>
        <v>85.142659253092404</v>
      </c>
      <c r="Y112" s="43">
        <f t="shared" si="4"/>
        <v>85.142659253092404</v>
      </c>
      <c r="Z112" s="43">
        <f t="shared" si="5"/>
        <v>85.142659253092404</v>
      </c>
      <c r="AB112" s="43">
        <f t="shared" si="14"/>
        <v>1081.3117725142733</v>
      </c>
      <c r="AC112" s="43">
        <f t="shared" si="15"/>
        <v>845.85361847072159</v>
      </c>
      <c r="AD112" s="43">
        <f t="shared" si="16"/>
        <v>787.33739083859632</v>
      </c>
      <c r="AE112" s="43">
        <f t="shared" si="17"/>
        <v>787.33739083859632</v>
      </c>
      <c r="AF112" s="43">
        <f t="shared" si="18"/>
        <v>787.33739083859632</v>
      </c>
      <c r="AH112" s="43">
        <f t="shared" si="19"/>
        <v>3601.5344864058084</v>
      </c>
      <c r="AI112" s="43">
        <f t="shared" si="20"/>
        <v>2755.680867935087</v>
      </c>
      <c r="AJ112" s="43">
        <f t="shared" si="21"/>
        <v>1968.3434770964907</v>
      </c>
      <c r="AK112" s="43">
        <f t="shared" si="22"/>
        <v>1181.0060862578944</v>
      </c>
      <c r="AL112" s="43">
        <f t="shared" si="23"/>
        <v>393.66869541929805</v>
      </c>
      <c r="AN112" s="47">
        <f t="shared" si="24"/>
        <v>1228.9746864569115</v>
      </c>
      <c r="AO112" s="47">
        <f t="shared" si="25"/>
        <v>986.39334273541101</v>
      </c>
      <c r="AP112" s="47">
        <f t="shared" si="26"/>
        <v>887.72290817051737</v>
      </c>
      <c r="AQ112" s="47">
        <f t="shared" si="27"/>
        <v>852.29272558278046</v>
      </c>
      <c r="AR112" s="43">
        <f t="shared" si="28"/>
        <v>802.29680126452968</v>
      </c>
      <c r="AY112" s="3"/>
    </row>
    <row r="113" spans="1:51">
      <c r="A113" s="48"/>
      <c r="B113" s="37">
        <f>'13. Desinvesteringen'!B396</f>
        <v>377</v>
      </c>
      <c r="C113" s="48"/>
      <c r="D113" s="48"/>
      <c r="E113" s="48"/>
      <c r="F113" s="354">
        <f>'5. Input GAW-waarde desinv.'!D72</f>
        <v>4626.8552263726942</v>
      </c>
      <c r="G113" s="175">
        <f>'13. Desinvesteringen'!D396</f>
        <v>2000</v>
      </c>
      <c r="H113" s="175">
        <f>'13. Desinvesteringen'!G396</f>
        <v>2022</v>
      </c>
      <c r="I113" s="37" t="str">
        <f>'13. Desinvesteringen'!C396</f>
        <v>02 Gasontvangststations</v>
      </c>
      <c r="J113" s="165">
        <f>'13. Desinvesteringen'!F396</f>
        <v>0</v>
      </c>
      <c r="K113" s="38">
        <f>_xlfn.XLOOKUP(I113,'3. Input (des)investeringen '!$B$11:$B$89,'3. Input (des)investeringen '!$E$11:$E$89)</f>
        <v>0</v>
      </c>
      <c r="L113" s="48"/>
      <c r="M113" s="38">
        <f>_xlfn.XLOOKUP(I113,'3. Input (des)investeringen '!$B$11:$B$89,'3. Input (des)investeringen '!$D$11:$D$89,0)</f>
        <v>30</v>
      </c>
      <c r="N113" s="38">
        <f t="shared" si="13"/>
        <v>8.5</v>
      </c>
      <c r="P113" s="43">
        <f t="shared" si="34"/>
        <v>636.87301351247675</v>
      </c>
      <c r="Q113" s="43">
        <f t="shared" si="34"/>
        <v>539.46890556350968</v>
      </c>
      <c r="R113" s="43">
        <f t="shared" si="34"/>
        <v>459.66581302452897</v>
      </c>
      <c r="S113" s="43">
        <f t="shared" si="34"/>
        <v>459.66581302452897</v>
      </c>
      <c r="T113" s="43">
        <f t="shared" si="34"/>
        <v>459.66581302452897</v>
      </c>
      <c r="V113" s="43">
        <f t="shared" si="1"/>
        <v>54.433590898502281</v>
      </c>
      <c r="W113" s="43">
        <f t="shared" si="2"/>
        <v>54.433590898502295</v>
      </c>
      <c r="X113" s="43">
        <f t="shared" si="3"/>
        <v>54.433590898502295</v>
      </c>
      <c r="Y113" s="43">
        <f t="shared" si="4"/>
        <v>54.433590898502295</v>
      </c>
      <c r="Z113" s="43">
        <f t="shared" si="5"/>
        <v>54.433590898502295</v>
      </c>
      <c r="AB113" s="43">
        <f t="shared" si="14"/>
        <v>691.30660441097905</v>
      </c>
      <c r="AC113" s="43">
        <f t="shared" si="15"/>
        <v>593.90249646201198</v>
      </c>
      <c r="AD113" s="43">
        <f t="shared" si="16"/>
        <v>514.09940392303122</v>
      </c>
      <c r="AE113" s="43">
        <f t="shared" si="17"/>
        <v>514.09940392303122</v>
      </c>
      <c r="AF113" s="43">
        <f t="shared" si="18"/>
        <v>514.09940392303122</v>
      </c>
      <c r="AH113" s="43">
        <f t="shared" si="19"/>
        <v>3935.5486219617151</v>
      </c>
      <c r="AI113" s="43">
        <f t="shared" si="20"/>
        <v>3341.646125499703</v>
      </c>
      <c r="AJ113" s="43">
        <f t="shared" si="21"/>
        <v>2827.5467215766716</v>
      </c>
      <c r="AK113" s="43">
        <f t="shared" si="22"/>
        <v>2313.4473176536403</v>
      </c>
      <c r="AL113" s="43">
        <f t="shared" si="23"/>
        <v>1799.347913730609</v>
      </c>
      <c r="AN113" s="47">
        <f t="shared" si="24"/>
        <v>852.66409791140939</v>
      </c>
      <c r="AO113" s="47">
        <f t="shared" si="25"/>
        <v>764.32644886249682</v>
      </c>
      <c r="AP113" s="47">
        <f t="shared" si="26"/>
        <v>658.30428672344146</v>
      </c>
      <c r="AQ113" s="47">
        <f t="shared" si="27"/>
        <v>641.33900639398144</v>
      </c>
      <c r="AR113" s="43">
        <f t="shared" si="28"/>
        <v>582.4746246447944</v>
      </c>
      <c r="AY113" s="3"/>
    </row>
    <row r="114" spans="1:51">
      <c r="A114" s="48"/>
      <c r="B114" s="37">
        <f>'13. Desinvesteringen'!B397</f>
        <v>378</v>
      </c>
      <c r="C114" s="48"/>
      <c r="D114" s="48"/>
      <c r="E114" s="48"/>
      <c r="F114" s="354">
        <f>'5. Input GAW-waarde desinv.'!D73</f>
        <v>4611.6740310663999</v>
      </c>
      <c r="G114" s="175">
        <f>'13. Desinvesteringen'!D397</f>
        <v>2002</v>
      </c>
      <c r="H114" s="175">
        <f>'13. Desinvesteringen'!G397</f>
        <v>2022</v>
      </c>
      <c r="I114" s="37" t="str">
        <f>'13. Desinvesteringen'!C397</f>
        <v>02 Gasontvangststations</v>
      </c>
      <c r="J114" s="165">
        <f>'13. Desinvesteringen'!F397</f>
        <v>0</v>
      </c>
      <c r="K114" s="38">
        <f>_xlfn.XLOOKUP(I114,'3. Input (des)investeringen '!$B$11:$B$89,'3. Input (des)investeringen '!$E$11:$E$89)</f>
        <v>0</v>
      </c>
      <c r="L114" s="48"/>
      <c r="M114" s="38">
        <f>_xlfn.XLOOKUP(I114,'3. Input (des)investeringen '!$B$11:$B$89,'3. Input (des)investeringen '!$D$11:$D$89,0)</f>
        <v>30</v>
      </c>
      <c r="N114" s="38">
        <f t="shared" si="13"/>
        <v>10.5</v>
      </c>
      <c r="P114" s="43">
        <f t="shared" si="34"/>
        <v>513.8722491759703</v>
      </c>
      <c r="Q114" s="43">
        <f t="shared" si="34"/>
        <v>450.24997070656451</v>
      </c>
      <c r="R114" s="43">
        <f t="shared" si="34"/>
        <v>394.50473623813264</v>
      </c>
      <c r="S114" s="43">
        <f t="shared" si="34"/>
        <v>372.25062291187896</v>
      </c>
      <c r="T114" s="43">
        <f t="shared" si="34"/>
        <v>372.25062291187896</v>
      </c>
      <c r="V114" s="43">
        <f t="shared" si="1"/>
        <v>43.920705057775244</v>
      </c>
      <c r="W114" s="43">
        <f t="shared" si="2"/>
        <v>43.920705057775244</v>
      </c>
      <c r="X114" s="43">
        <f t="shared" si="3"/>
        <v>43.920705057775244</v>
      </c>
      <c r="Y114" s="43">
        <f t="shared" si="4"/>
        <v>43.920705057775244</v>
      </c>
      <c r="Z114" s="43">
        <f t="shared" si="5"/>
        <v>43.920705057775244</v>
      </c>
      <c r="AB114" s="43">
        <f t="shared" si="14"/>
        <v>557.79295423374549</v>
      </c>
      <c r="AC114" s="43">
        <f t="shared" si="15"/>
        <v>494.17067576433976</v>
      </c>
      <c r="AD114" s="43">
        <f t="shared" si="16"/>
        <v>438.42544129590789</v>
      </c>
      <c r="AE114" s="43">
        <f t="shared" si="17"/>
        <v>416.17132796965421</v>
      </c>
      <c r="AF114" s="43">
        <f t="shared" si="18"/>
        <v>416.17132796965421</v>
      </c>
      <c r="AH114" s="43">
        <f t="shared" si="19"/>
        <v>4053.8810768326543</v>
      </c>
      <c r="AI114" s="43">
        <f t="shared" si="20"/>
        <v>3559.7104010683147</v>
      </c>
      <c r="AJ114" s="43">
        <f t="shared" si="21"/>
        <v>3121.2849597724066</v>
      </c>
      <c r="AK114" s="43">
        <f t="shared" si="22"/>
        <v>2705.1136318027525</v>
      </c>
      <c r="AL114" s="43">
        <f t="shared" si="23"/>
        <v>2288.9423038330983</v>
      </c>
      <c r="AN114" s="47">
        <f t="shared" si="24"/>
        <v>724.00207838388428</v>
      </c>
      <c r="AO114" s="47">
        <f t="shared" si="25"/>
        <v>675.71590621882376</v>
      </c>
      <c r="AP114" s="47">
        <f t="shared" si="26"/>
        <v>597.61097424430068</v>
      </c>
      <c r="AQ114" s="47">
        <f t="shared" si="27"/>
        <v>564.95257771880563</v>
      </c>
      <c r="AR114" s="43">
        <f t="shared" si="28"/>
        <v>503.15113551531192</v>
      </c>
      <c r="AY114" s="3"/>
    </row>
    <row r="115" spans="1:51">
      <c r="A115" s="48"/>
      <c r="B115" s="37">
        <f>'13. Desinvesteringen'!B398</f>
        <v>379</v>
      </c>
      <c r="C115" s="48"/>
      <c r="D115" s="48"/>
      <c r="E115" s="48"/>
      <c r="F115" s="354">
        <f>'5. Input GAW-waarde desinv.'!D74</f>
        <v>19084.802391040361</v>
      </c>
      <c r="G115" s="175">
        <f>'13. Desinvesteringen'!D398</f>
        <v>2003</v>
      </c>
      <c r="H115" s="175">
        <f>'13. Desinvesteringen'!G398</f>
        <v>2022</v>
      </c>
      <c r="I115" s="37" t="str">
        <f>'13. Desinvesteringen'!C398</f>
        <v>02 Gasontvangststations</v>
      </c>
      <c r="J115" s="165">
        <f>'13. Desinvesteringen'!F398</f>
        <v>0</v>
      </c>
      <c r="K115" s="38">
        <f>_xlfn.XLOOKUP(I115,'3. Input (des)investeringen '!$B$11:$B$89,'3. Input (des)investeringen '!$E$11:$E$89)</f>
        <v>0</v>
      </c>
      <c r="L115" s="48"/>
      <c r="M115" s="38">
        <f>_xlfn.XLOOKUP(I115,'3. Input (des)investeringen '!$B$11:$B$89,'3. Input (des)investeringen '!$D$11:$D$89,0)</f>
        <v>30</v>
      </c>
      <c r="N115" s="38">
        <f t="shared" si="13"/>
        <v>11.5</v>
      </c>
      <c r="P115" s="43">
        <f t="shared" si="34"/>
        <v>1941.6711997841064</v>
      </c>
      <c r="Q115" s="43">
        <f t="shared" si="34"/>
        <v>1722.1779337215553</v>
      </c>
      <c r="R115" s="43">
        <f t="shared" si="34"/>
        <v>1527.4969499095535</v>
      </c>
      <c r="S115" s="43">
        <f t="shared" si="34"/>
        <v>1409.9971845318955</v>
      </c>
      <c r="T115" s="43">
        <f t="shared" si="34"/>
        <v>1409.9971845318955</v>
      </c>
      <c r="V115" s="43">
        <f t="shared" si="1"/>
        <v>165.95480340035098</v>
      </c>
      <c r="W115" s="43">
        <f t="shared" si="2"/>
        <v>165.95480340035098</v>
      </c>
      <c r="X115" s="43">
        <f t="shared" si="3"/>
        <v>165.95480340035098</v>
      </c>
      <c r="Y115" s="43">
        <f t="shared" si="4"/>
        <v>165.95480340035098</v>
      </c>
      <c r="Z115" s="43">
        <f t="shared" si="5"/>
        <v>165.95480340035098</v>
      </c>
      <c r="AB115" s="43">
        <f t="shared" si="14"/>
        <v>2107.6260031844572</v>
      </c>
      <c r="AC115" s="43">
        <f t="shared" si="15"/>
        <v>1888.1327371219063</v>
      </c>
      <c r="AD115" s="43">
        <f t="shared" si="16"/>
        <v>1693.4517533099045</v>
      </c>
      <c r="AE115" s="43">
        <f t="shared" si="17"/>
        <v>1575.9519879322465</v>
      </c>
      <c r="AF115" s="43">
        <f t="shared" si="18"/>
        <v>1575.9519879322465</v>
      </c>
      <c r="AH115" s="43">
        <f t="shared" si="19"/>
        <v>16977.176387855903</v>
      </c>
      <c r="AI115" s="43">
        <f t="shared" si="20"/>
        <v>15089.043650733996</v>
      </c>
      <c r="AJ115" s="43">
        <f t="shared" si="21"/>
        <v>13395.591897424092</v>
      </c>
      <c r="AK115" s="43">
        <f t="shared" si="22"/>
        <v>11819.639909491845</v>
      </c>
      <c r="AL115" s="43">
        <f t="shared" si="23"/>
        <v>10243.687921559598</v>
      </c>
      <c r="AN115" s="47">
        <f t="shared" si="24"/>
        <v>2803.6902350865494</v>
      </c>
      <c r="AO115" s="47">
        <f t="shared" si="25"/>
        <v>2657.6739633093403</v>
      </c>
      <c r="AP115" s="47">
        <f t="shared" si="26"/>
        <v>2376.6269400785332</v>
      </c>
      <c r="AQ115" s="47">
        <f t="shared" si="27"/>
        <v>2226.0321829542982</v>
      </c>
      <c r="AR115" s="43">
        <f t="shared" si="28"/>
        <v>1965.2121289515112</v>
      </c>
      <c r="AY115" s="3"/>
    </row>
    <row r="116" spans="1:51">
      <c r="A116" s="48"/>
      <c r="B116" s="37">
        <f>'13. Desinvesteringen'!B399</f>
        <v>380</v>
      </c>
      <c r="C116" s="48"/>
      <c r="D116" s="48"/>
      <c r="E116" s="48"/>
      <c r="F116" s="354">
        <f>'5. Input GAW-waarde desinv.'!D75</f>
        <v>7912.0882258856245</v>
      </c>
      <c r="G116" s="175">
        <f>'13. Desinvesteringen'!D399</f>
        <v>2005</v>
      </c>
      <c r="H116" s="175">
        <f>'13. Desinvesteringen'!G399</f>
        <v>2022</v>
      </c>
      <c r="I116" s="37" t="str">
        <f>'13. Desinvesteringen'!C399</f>
        <v>02 Gasontvangststations</v>
      </c>
      <c r="J116" s="165">
        <f>'13. Desinvesteringen'!F399</f>
        <v>0</v>
      </c>
      <c r="K116" s="38">
        <f>_xlfn.XLOOKUP(I116,'3. Input (des)investeringen '!$B$11:$B$89,'3. Input (des)investeringen '!$E$11:$E$89)</f>
        <v>0</v>
      </c>
      <c r="L116" s="48"/>
      <c r="M116" s="38">
        <f>_xlfn.XLOOKUP(I116,'3. Input (des)investeringen '!$B$11:$B$89,'3. Input (des)investeringen '!$D$11:$D$89,0)</f>
        <v>30</v>
      </c>
      <c r="N116" s="38">
        <f t="shared" si="13"/>
        <v>13.5</v>
      </c>
      <c r="P116" s="43">
        <f t="shared" si="34"/>
        <v>685.71431291008741</v>
      </c>
      <c r="Q116" s="43">
        <f t="shared" si="34"/>
        <v>619.68256425948641</v>
      </c>
      <c r="R116" s="43">
        <f t="shared" si="34"/>
        <v>560.00942844190638</v>
      </c>
      <c r="S116" s="43">
        <f t="shared" si="34"/>
        <v>506.082594591945</v>
      </c>
      <c r="T116" s="43">
        <f t="shared" si="34"/>
        <v>499.93584243090925</v>
      </c>
      <c r="V116" s="43">
        <f t="shared" ref="V116:V179" si="35">IF($M116&gt;0, IF(OR($G116&gt;V$50,$G116+$M116&lt;V$50),0,
VDB($F116,0,$N116,MAX(0,P$50-2022),MIN($N116,P$50-2021),1,FALSE))*$F$26, 0)</f>
        <v>58.608060932486104</v>
      </c>
      <c r="W116" s="43">
        <f t="shared" ref="W116:W179" si="36">IF($M116&gt;0, IF(OR($G116&gt;W$50,$G116+$M116&lt;W$50),0,
VDB($F116,0,$N116,MAX(0,Q$50-2022),MIN($N116,Q$50-2021),1,FALSE))*$F$26, 0)</f>
        <v>58.608060932486104</v>
      </c>
      <c r="X116" s="43">
        <f t="shared" ref="X116:X179" si="37">IF($M116&gt;0, IF(OR($G116&gt;X$50,$G116+$M116&lt;X$50),0,
VDB($F116,0,$N116,MAX(0,R$50-2022),MIN($N116,R$50-2021),1,FALSE))*$F$26, 0)</f>
        <v>58.608060932486104</v>
      </c>
      <c r="Y116" s="43">
        <f t="shared" ref="Y116:Y179" si="38">IF($M116&gt;0, IF(OR($G116&gt;Y$50,$G116+$M116&lt;Y$50),0,
VDB($F116,0,$N116,MAX(0,S$50-2022),MIN($N116,S$50-2021),1,FALSE))*$F$26, 0)</f>
        <v>58.608060932486104</v>
      </c>
      <c r="Z116" s="43">
        <f t="shared" ref="Z116:Z179" si="39">IF($M116&gt;0, IF(OR($G116&gt;Z$50,$G116+$M116&lt;Z$50),0,
VDB($F116,0,$N116,MAX(0,T$50-2022),MIN($N116,T$50-2021),1,FALSE))*$F$26, 0)</f>
        <v>58.608060932486104</v>
      </c>
      <c r="AB116" s="43">
        <f t="shared" si="14"/>
        <v>744.32237384257348</v>
      </c>
      <c r="AC116" s="43">
        <f t="shared" si="15"/>
        <v>678.29062519197248</v>
      </c>
      <c r="AD116" s="43">
        <f t="shared" si="16"/>
        <v>618.61748937439245</v>
      </c>
      <c r="AE116" s="43">
        <f t="shared" si="17"/>
        <v>564.69065552443112</v>
      </c>
      <c r="AF116" s="43">
        <f t="shared" si="18"/>
        <v>558.54390336339532</v>
      </c>
      <c r="AH116" s="43">
        <f t="shared" si="19"/>
        <v>7167.7658520430514</v>
      </c>
      <c r="AI116" s="43">
        <f t="shared" si="20"/>
        <v>6489.4752268510792</v>
      </c>
      <c r="AJ116" s="43">
        <f t="shared" si="21"/>
        <v>5870.8577374766865</v>
      </c>
      <c r="AK116" s="43">
        <f t="shared" si="22"/>
        <v>5306.1670819522551</v>
      </c>
      <c r="AL116" s="43">
        <f t="shared" si="23"/>
        <v>4747.6231785888594</v>
      </c>
      <c r="AN116" s="47">
        <f t="shared" si="24"/>
        <v>1038.2007737763386</v>
      </c>
      <c r="AO116" s="47">
        <f t="shared" si="25"/>
        <v>1009.2538617613775</v>
      </c>
      <c r="AP116" s="47">
        <f t="shared" si="26"/>
        <v>918.03123398570347</v>
      </c>
      <c r="AQ116" s="47">
        <f t="shared" si="27"/>
        <v>856.52984503180517</v>
      </c>
      <c r="AR116" s="43">
        <f t="shared" si="28"/>
        <v>738.95358414977204</v>
      </c>
      <c r="AY116" s="3"/>
    </row>
    <row r="117" spans="1:51">
      <c r="A117" s="48"/>
      <c r="B117" s="37">
        <f>'13. Desinvesteringen'!B400</f>
        <v>381</v>
      </c>
      <c r="C117" s="48"/>
      <c r="D117" s="48"/>
      <c r="E117" s="48"/>
      <c r="F117" s="354">
        <f>'5. Input GAW-waarde desinv.'!D76</f>
        <v>204757.05379307119</v>
      </c>
      <c r="G117" s="175">
        <f>'13. Desinvesteringen'!D400</f>
        <v>2007</v>
      </c>
      <c r="H117" s="175">
        <f>'13. Desinvesteringen'!G400</f>
        <v>2022</v>
      </c>
      <c r="I117" s="37" t="str">
        <f>'13. Desinvesteringen'!C400</f>
        <v>02 Gasontvangststations</v>
      </c>
      <c r="J117" s="165">
        <f>'13. Desinvesteringen'!F400</f>
        <v>0</v>
      </c>
      <c r="K117" s="38">
        <f>_xlfn.XLOOKUP(I117,'3. Input (des)investeringen '!$B$11:$B$89,'3. Input (des)investeringen '!$E$11:$E$89)</f>
        <v>0</v>
      </c>
      <c r="L117" s="48"/>
      <c r="M117" s="38">
        <f>_xlfn.XLOOKUP(I117,'3. Input (des)investeringen '!$B$11:$B$89,'3. Input (des)investeringen '!$D$11:$D$89,0)</f>
        <v>30</v>
      </c>
      <c r="N117" s="38">
        <f t="shared" ref="N117:N143" si="40">IF($M117&gt;0, MAX(0,IF(G117&lt;2022,M117-2021+G117-0.5,M117)), 0)</f>
        <v>15.5</v>
      </c>
      <c r="P117" s="43">
        <f t="shared" si="34"/>
        <v>15455.855028251181</v>
      </c>
      <c r="Q117" s="43">
        <f t="shared" si="34"/>
        <v>14159.557509752696</v>
      </c>
      <c r="R117" s="43">
        <f t="shared" si="34"/>
        <v>12971.981718612145</v>
      </c>
      <c r="S117" s="43">
        <f t="shared" si="34"/>
        <v>11884.009058341451</v>
      </c>
      <c r="T117" s="43">
        <f t="shared" si="34"/>
        <v>11287.821312939703</v>
      </c>
      <c r="V117" s="43">
        <f t="shared" si="35"/>
        <v>1321.0132502778788</v>
      </c>
      <c r="W117" s="43">
        <f t="shared" si="36"/>
        <v>1321.0132502778788</v>
      </c>
      <c r="X117" s="43">
        <f t="shared" si="37"/>
        <v>1321.0132502778788</v>
      </c>
      <c r="Y117" s="43">
        <f t="shared" si="38"/>
        <v>1321.0132502778788</v>
      </c>
      <c r="Z117" s="43">
        <f t="shared" si="39"/>
        <v>1321.0132502778788</v>
      </c>
      <c r="AB117" s="43">
        <f t="shared" ref="AB117:AB143" si="41">P117+V117</f>
        <v>16776.868278529058</v>
      </c>
      <c r="AC117" s="43">
        <f t="shared" ref="AC117:AC143" si="42">Q117+W117</f>
        <v>15480.570760030576</v>
      </c>
      <c r="AD117" s="43">
        <f t="shared" ref="AD117:AD143" si="43">R117+X117</f>
        <v>14292.994968890023</v>
      </c>
      <c r="AE117" s="43">
        <f t="shared" ref="AE117:AE143" si="44">S117+Y117</f>
        <v>13205.022308619329</v>
      </c>
      <c r="AF117" s="43">
        <f t="shared" ref="AF117:AF143" si="45">T117+Z117</f>
        <v>12608.834563217581</v>
      </c>
      <c r="AH117" s="43">
        <f t="shared" ref="AH117:AH143" si="46">IF($M117&gt;0, IF($M117&gt;0,IF(OR($G117&gt;AH$50,$G117+$M117&lt;=AH$50),0,IF(AH$50=2022,$F117-AB117,AG117-AB117))), $F117)</f>
        <v>187980.18551454213</v>
      </c>
      <c r="AI117" s="43">
        <f t="shared" ref="AI117:AI143" si="47">IF($M117&gt;0, IF(OR($G117&gt;AI$50,$G117+$M117&lt;=AI$50),0,IF(AI$50=2022,$F117-AC117,AH117-AC117)), AH117)</f>
        <v>172499.61475451157</v>
      </c>
      <c r="AJ117" s="43">
        <f t="shared" ref="AJ117:AJ143" si="48">IF($M117&gt;0, IF(OR($G117&gt;AJ$50,$G117+$M117&lt;=AJ$50),0,IF(AJ$50=2022,$F117-AD117,AI117-AD117)), AI117)</f>
        <v>158206.61978562153</v>
      </c>
      <c r="AK117" s="43">
        <f t="shared" ref="AK117:AK143" si="49">IF($M117&gt;0, IF(OR($G117&gt;AK$50,$G117+$M117&lt;=AK$50),0,IF(AK$50=2022,$F117-AE117,AJ117-AE117)), AJ117)</f>
        <v>145001.59747700219</v>
      </c>
      <c r="AL117" s="43">
        <f t="shared" ref="AL117:AL143" si="50">IF($M117&gt;0, IF(OR($G117&gt;AL$50,$G117+$M117&lt;=AL$50),0,IF(AL$50=2022,$F117-AF117,AK117-AF117)), AK117)</f>
        <v>132392.76291378459</v>
      </c>
      <c r="AN117" s="47">
        <f t="shared" ref="AN117:AN143" si="51">(AB117+AH117*H$17)*IF($K117=1,$F$32,1)</f>
        <v>24484.055884625286</v>
      </c>
      <c r="AO117" s="47">
        <f t="shared" ref="AO117:AO143" si="52">(AC117+AI117*I$17)*IF($K117=1,$F$32,1)</f>
        <v>24278.051112510664</v>
      </c>
      <c r="AP117" s="47">
        <f t="shared" ref="AP117:AP143" si="53">(AD117+AJ117*J$17)*IF($K117=1,$F$32,1)</f>
        <v>22361.532577956721</v>
      </c>
      <c r="AQ117" s="47">
        <f t="shared" ref="AQ117:AQ143" si="54">(AE117+AK117*K$17)*IF($K117=1,$F$32,1)</f>
        <v>21180.110169854448</v>
      </c>
      <c r="AR117" s="43">
        <f t="shared" ref="AR117:AR143" si="55">(AF117+AL117*L$17)*IF($K117=1,$F$32,1)</f>
        <v>17639.759553941396</v>
      </c>
      <c r="AY117" s="3"/>
    </row>
    <row r="118" spans="1:51">
      <c r="A118" s="48"/>
      <c r="B118" s="37">
        <f>'13. Desinvesteringen'!B401</f>
        <v>382</v>
      </c>
      <c r="C118" s="48"/>
      <c r="D118" s="48"/>
      <c r="E118" s="48"/>
      <c r="F118" s="354">
        <f>'5. Input GAW-waarde desinv.'!D77</f>
        <v>114014.92388584625</v>
      </c>
      <c r="G118" s="175">
        <f>'13. Desinvesteringen'!D401</f>
        <v>2010</v>
      </c>
      <c r="H118" s="175">
        <f>'13. Desinvesteringen'!G401</f>
        <v>2022</v>
      </c>
      <c r="I118" s="37" t="str">
        <f>'13. Desinvesteringen'!C401</f>
        <v>02 Gasontvangststations</v>
      </c>
      <c r="J118" s="165">
        <f>'13. Desinvesteringen'!F401</f>
        <v>0</v>
      </c>
      <c r="K118" s="38">
        <f>_xlfn.XLOOKUP(I118,'3. Input (des)investeringen '!$B$11:$B$89,'3. Input (des)investeringen '!$E$11:$E$89)</f>
        <v>0</v>
      </c>
      <c r="L118" s="48"/>
      <c r="M118" s="38">
        <f>_xlfn.XLOOKUP(I118,'3. Input (des)investeringen '!$B$11:$B$89,'3. Input (des)investeringen '!$D$11:$D$89,0)</f>
        <v>30</v>
      </c>
      <c r="N118" s="38">
        <f t="shared" si="40"/>
        <v>18.5</v>
      </c>
      <c r="P118" s="43">
        <f t="shared" si="34"/>
        <v>7210.6735646724383</v>
      </c>
      <c r="Q118" s="43">
        <f t="shared" si="34"/>
        <v>6703.9775844522137</v>
      </c>
      <c r="R118" s="43">
        <f t="shared" si="34"/>
        <v>6232.887267706923</v>
      </c>
      <c r="S118" s="43">
        <f t="shared" si="34"/>
        <v>5794.9005948410313</v>
      </c>
      <c r="T118" s="43">
        <f t="shared" si="34"/>
        <v>5387.6913638522019</v>
      </c>
      <c r="V118" s="43">
        <f t="shared" si="35"/>
        <v>616.29688586943928</v>
      </c>
      <c r="W118" s="43">
        <f t="shared" si="36"/>
        <v>616.29688586943917</v>
      </c>
      <c r="X118" s="43">
        <f t="shared" si="37"/>
        <v>616.29688586943917</v>
      </c>
      <c r="Y118" s="43">
        <f t="shared" si="38"/>
        <v>616.29688586943917</v>
      </c>
      <c r="Z118" s="43">
        <f t="shared" si="39"/>
        <v>616.29688586943917</v>
      </c>
      <c r="AB118" s="43">
        <f t="shared" si="41"/>
        <v>7826.9704505418777</v>
      </c>
      <c r="AC118" s="43">
        <f t="shared" si="42"/>
        <v>7320.2744703216531</v>
      </c>
      <c r="AD118" s="43">
        <f t="shared" si="43"/>
        <v>6849.1841535763624</v>
      </c>
      <c r="AE118" s="43">
        <f t="shared" si="44"/>
        <v>6411.1974807104707</v>
      </c>
      <c r="AF118" s="43">
        <f t="shared" si="45"/>
        <v>6003.9882497216413</v>
      </c>
      <c r="AH118" s="43">
        <f t="shared" si="46"/>
        <v>106187.95343530437</v>
      </c>
      <c r="AI118" s="43">
        <f t="shared" si="47"/>
        <v>98867.678964982711</v>
      </c>
      <c r="AJ118" s="43">
        <f t="shared" si="48"/>
        <v>92018.494811406345</v>
      </c>
      <c r="AK118" s="43">
        <f t="shared" si="49"/>
        <v>85607.297330695874</v>
      </c>
      <c r="AL118" s="43">
        <f t="shared" si="50"/>
        <v>79603.309080974228</v>
      </c>
      <c r="AN118" s="47">
        <f t="shared" si="51"/>
        <v>12180.676541389357</v>
      </c>
      <c r="AO118" s="47">
        <f t="shared" si="52"/>
        <v>12362.526097535771</v>
      </c>
      <c r="AP118" s="47">
        <f t="shared" si="53"/>
        <v>11542.127388958084</v>
      </c>
      <c r="AQ118" s="47">
        <f t="shared" si="54"/>
        <v>11119.598833898744</v>
      </c>
      <c r="AR118" s="43">
        <f t="shared" si="55"/>
        <v>9028.9139947986623</v>
      </c>
      <c r="AY118" s="3"/>
    </row>
    <row r="119" spans="1:51">
      <c r="A119" s="48"/>
      <c r="B119" s="37">
        <f>'13. Desinvesteringen'!B402</f>
        <v>383</v>
      </c>
      <c r="C119" s="48"/>
      <c r="D119" s="48"/>
      <c r="E119" s="48"/>
      <c r="F119" s="354">
        <f>'5. Input GAW-waarde desinv.'!D78</f>
        <v>32772.828513993481</v>
      </c>
      <c r="G119" s="175">
        <f>'13. Desinvesteringen'!D402</f>
        <v>2012</v>
      </c>
      <c r="H119" s="175">
        <f>'13. Desinvesteringen'!G402</f>
        <v>2022</v>
      </c>
      <c r="I119" s="37" t="str">
        <f>'13. Desinvesteringen'!C402</f>
        <v>02 Gasontvangststations</v>
      </c>
      <c r="J119" s="165">
        <f>'13. Desinvesteringen'!F402</f>
        <v>0</v>
      </c>
      <c r="K119" s="38">
        <f>_xlfn.XLOOKUP(I119,'3. Input (des)investeringen '!$B$11:$B$89,'3. Input (des)investeringen '!$E$11:$E$89)</f>
        <v>0</v>
      </c>
      <c r="L119" s="48"/>
      <c r="M119" s="38">
        <f>_xlfn.XLOOKUP(I119,'3. Input (des)investeringen '!$B$11:$B$89,'3. Input (des)investeringen '!$D$11:$D$89,0)</f>
        <v>30</v>
      </c>
      <c r="N119" s="38">
        <f t="shared" si="40"/>
        <v>20.5</v>
      </c>
      <c r="P119" s="43">
        <f t="shared" si="34"/>
        <v>1870.4492371401157</v>
      </c>
      <c r="Q119" s="43">
        <f t="shared" si="34"/>
        <v>1751.8353830775718</v>
      </c>
      <c r="R119" s="43">
        <f t="shared" si="34"/>
        <v>1640.7433831750918</v>
      </c>
      <c r="S119" s="43">
        <f t="shared" si="34"/>
        <v>1536.6962418030128</v>
      </c>
      <c r="T119" s="43">
        <f t="shared" si="34"/>
        <v>1439.247211835017</v>
      </c>
      <c r="V119" s="43">
        <f t="shared" si="35"/>
        <v>159.86745616582186</v>
      </c>
      <c r="W119" s="43">
        <f t="shared" si="36"/>
        <v>159.86745616582186</v>
      </c>
      <c r="X119" s="43">
        <f t="shared" si="37"/>
        <v>159.86745616582186</v>
      </c>
      <c r="Y119" s="43">
        <f t="shared" si="38"/>
        <v>159.86745616582186</v>
      </c>
      <c r="Z119" s="43">
        <f t="shared" si="39"/>
        <v>159.86745616582186</v>
      </c>
      <c r="AB119" s="43">
        <f t="shared" si="41"/>
        <v>2030.3166933059374</v>
      </c>
      <c r="AC119" s="43">
        <f t="shared" si="42"/>
        <v>1911.7028392433936</v>
      </c>
      <c r="AD119" s="43">
        <f t="shared" si="43"/>
        <v>1800.6108393409136</v>
      </c>
      <c r="AE119" s="43">
        <f t="shared" si="44"/>
        <v>1696.5636979688347</v>
      </c>
      <c r="AF119" s="43">
        <f t="shared" si="45"/>
        <v>1599.1146680008387</v>
      </c>
      <c r="AH119" s="43">
        <f t="shared" si="46"/>
        <v>30742.511820687545</v>
      </c>
      <c r="AI119" s="43">
        <f t="shared" si="47"/>
        <v>28830.808981444152</v>
      </c>
      <c r="AJ119" s="43">
        <f t="shared" si="48"/>
        <v>27030.19814210324</v>
      </c>
      <c r="AK119" s="43">
        <f t="shared" si="49"/>
        <v>25333.634444134404</v>
      </c>
      <c r="AL119" s="43">
        <f t="shared" si="50"/>
        <v>23734.519776133566</v>
      </c>
      <c r="AN119" s="47">
        <f t="shared" si="51"/>
        <v>3290.7596779541268</v>
      </c>
      <c r="AO119" s="47">
        <f t="shared" si="52"/>
        <v>3382.0740972970452</v>
      </c>
      <c r="AP119" s="47">
        <f t="shared" si="53"/>
        <v>3179.1509445881784</v>
      </c>
      <c r="AQ119" s="47">
        <f t="shared" si="54"/>
        <v>3089.9135923962267</v>
      </c>
      <c r="AR119" s="43">
        <f t="shared" si="55"/>
        <v>2501.0264194939141</v>
      </c>
      <c r="AY119" s="3"/>
    </row>
    <row r="120" spans="1:51">
      <c r="A120" s="48"/>
      <c r="B120" s="37">
        <f>'13. Desinvesteringen'!B403</f>
        <v>384</v>
      </c>
      <c r="C120" s="48"/>
      <c r="D120" s="48"/>
      <c r="E120" s="48"/>
      <c r="F120" s="354">
        <f>'5. Input GAW-waarde desinv.'!D79</f>
        <v>0</v>
      </c>
      <c r="G120" s="175">
        <f>'13. Desinvesteringen'!D403</f>
        <v>1980</v>
      </c>
      <c r="H120" s="175">
        <f>'13. Desinvesteringen'!G403</f>
        <v>2022</v>
      </c>
      <c r="I120" s="37" t="str">
        <f>'13. Desinvesteringen'!C403</f>
        <v>06 Utiliteitsgebouwen</v>
      </c>
      <c r="J120" s="165">
        <f>'13. Desinvesteringen'!F403</f>
        <v>0</v>
      </c>
      <c r="K120" s="38">
        <f>_xlfn.XLOOKUP(I120,'3. Input (des)investeringen '!$B$11:$B$89,'3. Input (des)investeringen '!$E$11:$E$89)</f>
        <v>0</v>
      </c>
      <c r="L120" s="48"/>
      <c r="M120" s="38">
        <f>_xlfn.XLOOKUP(I120,'3. Input (des)investeringen '!$B$11:$B$89,'3. Input (des)investeringen '!$D$11:$D$89,0)</f>
        <v>30</v>
      </c>
      <c r="N120" s="38">
        <f t="shared" si="40"/>
        <v>0</v>
      </c>
      <c r="P120" s="43">
        <f t="shared" si="34"/>
        <v>0</v>
      </c>
      <c r="Q120" s="43">
        <f t="shared" si="34"/>
        <v>0</v>
      </c>
      <c r="R120" s="43">
        <f t="shared" si="34"/>
        <v>0</v>
      </c>
      <c r="S120" s="43">
        <f t="shared" si="34"/>
        <v>0</v>
      </c>
      <c r="T120" s="43">
        <f t="shared" si="34"/>
        <v>0</v>
      </c>
      <c r="V120" s="43">
        <f t="shared" si="35"/>
        <v>0</v>
      </c>
      <c r="W120" s="43">
        <f t="shared" si="36"/>
        <v>0</v>
      </c>
      <c r="X120" s="43">
        <f t="shared" si="37"/>
        <v>0</v>
      </c>
      <c r="Y120" s="43">
        <f t="shared" si="38"/>
        <v>0</v>
      </c>
      <c r="Z120" s="43">
        <f t="shared" si="39"/>
        <v>0</v>
      </c>
      <c r="AB120" s="43">
        <f t="shared" si="41"/>
        <v>0</v>
      </c>
      <c r="AC120" s="43">
        <f t="shared" si="42"/>
        <v>0</v>
      </c>
      <c r="AD120" s="43">
        <f t="shared" si="43"/>
        <v>0</v>
      </c>
      <c r="AE120" s="43">
        <f t="shared" si="44"/>
        <v>0</v>
      </c>
      <c r="AF120" s="43">
        <f t="shared" si="45"/>
        <v>0</v>
      </c>
      <c r="AH120" s="43">
        <f t="shared" si="46"/>
        <v>0</v>
      </c>
      <c r="AI120" s="43">
        <f t="shared" si="47"/>
        <v>0</v>
      </c>
      <c r="AJ120" s="43">
        <f t="shared" si="48"/>
        <v>0</v>
      </c>
      <c r="AK120" s="43">
        <f t="shared" si="49"/>
        <v>0</v>
      </c>
      <c r="AL120" s="43">
        <f t="shared" si="50"/>
        <v>0</v>
      </c>
      <c r="AN120" s="47">
        <f t="shared" si="51"/>
        <v>0</v>
      </c>
      <c r="AO120" s="47">
        <f t="shared" si="52"/>
        <v>0</v>
      </c>
      <c r="AP120" s="47">
        <f t="shared" si="53"/>
        <v>0</v>
      </c>
      <c r="AQ120" s="47">
        <f t="shared" si="54"/>
        <v>0</v>
      </c>
      <c r="AR120" s="43">
        <f t="shared" si="55"/>
        <v>0</v>
      </c>
      <c r="AY120" s="3"/>
    </row>
    <row r="121" spans="1:51">
      <c r="A121" s="48"/>
      <c r="B121" s="37">
        <f>'13. Desinvesteringen'!B404</f>
        <v>385</v>
      </c>
      <c r="C121" s="48"/>
      <c r="D121" s="48"/>
      <c r="E121" s="48"/>
      <c r="F121" s="354">
        <f>'5. Input GAW-waarde desinv.'!D80</f>
        <v>0</v>
      </c>
      <c r="G121" s="175">
        <f>'13. Desinvesteringen'!D404</f>
        <v>1970</v>
      </c>
      <c r="H121" s="175">
        <f>'13. Desinvesteringen'!G404</f>
        <v>2022</v>
      </c>
      <c r="I121" s="37" t="str">
        <f>'13. Desinvesteringen'!C404</f>
        <v>15 Compressorstations (TT-BT-AT)</v>
      </c>
      <c r="J121" s="165">
        <f>'13. Desinvesteringen'!F404</f>
        <v>0</v>
      </c>
      <c r="K121" s="38">
        <f>_xlfn.XLOOKUP(I121,'3. Input (des)investeringen '!$B$11:$B$89,'3. Input (des)investeringen '!$E$11:$E$89)</f>
        <v>1</v>
      </c>
      <c r="L121" s="48"/>
      <c r="M121" s="38">
        <f>_xlfn.XLOOKUP(I121,'3. Input (des)investeringen '!$B$11:$B$89,'3. Input (des)investeringen '!$D$11:$D$89,0)</f>
        <v>30</v>
      </c>
      <c r="N121" s="38">
        <f t="shared" si="40"/>
        <v>0</v>
      </c>
      <c r="P121" s="43">
        <f t="shared" si="34"/>
        <v>0</v>
      </c>
      <c r="Q121" s="43">
        <f t="shared" si="34"/>
        <v>0</v>
      </c>
      <c r="R121" s="43">
        <f t="shared" si="34"/>
        <v>0</v>
      </c>
      <c r="S121" s="43">
        <f t="shared" si="34"/>
        <v>0</v>
      </c>
      <c r="T121" s="43">
        <f t="shared" si="34"/>
        <v>0</v>
      </c>
      <c r="V121" s="43">
        <f t="shared" si="35"/>
        <v>0</v>
      </c>
      <c r="W121" s="43">
        <f t="shared" si="36"/>
        <v>0</v>
      </c>
      <c r="X121" s="43">
        <f t="shared" si="37"/>
        <v>0</v>
      </c>
      <c r="Y121" s="43">
        <f t="shared" si="38"/>
        <v>0</v>
      </c>
      <c r="Z121" s="43">
        <f t="shared" si="39"/>
        <v>0</v>
      </c>
      <c r="AB121" s="43">
        <f t="shared" si="41"/>
        <v>0</v>
      </c>
      <c r="AC121" s="43">
        <f t="shared" si="42"/>
        <v>0</v>
      </c>
      <c r="AD121" s="43">
        <f t="shared" si="43"/>
        <v>0</v>
      </c>
      <c r="AE121" s="43">
        <f t="shared" si="44"/>
        <v>0</v>
      </c>
      <c r="AF121" s="43">
        <f t="shared" si="45"/>
        <v>0</v>
      </c>
      <c r="AH121" s="43">
        <f t="shared" si="46"/>
        <v>0</v>
      </c>
      <c r="AI121" s="43">
        <f t="shared" si="47"/>
        <v>0</v>
      </c>
      <c r="AJ121" s="43">
        <f t="shared" si="48"/>
        <v>0</v>
      </c>
      <c r="AK121" s="43">
        <f t="shared" si="49"/>
        <v>0</v>
      </c>
      <c r="AL121" s="43">
        <f t="shared" si="50"/>
        <v>0</v>
      </c>
      <c r="AN121" s="47">
        <f t="shared" si="51"/>
        <v>0</v>
      </c>
      <c r="AO121" s="47">
        <f t="shared" si="52"/>
        <v>0</v>
      </c>
      <c r="AP121" s="47">
        <f t="shared" si="53"/>
        <v>0</v>
      </c>
      <c r="AQ121" s="47">
        <f t="shared" si="54"/>
        <v>0</v>
      </c>
      <c r="AR121" s="43">
        <f t="shared" si="55"/>
        <v>0</v>
      </c>
      <c r="AY121" s="3"/>
    </row>
    <row r="122" spans="1:51">
      <c r="A122" s="48"/>
      <c r="B122" s="37">
        <f>'13. Desinvesteringen'!B405</f>
        <v>386</v>
      </c>
      <c r="C122" s="48"/>
      <c r="D122" s="48"/>
      <c r="E122" s="48"/>
      <c r="F122" s="354">
        <f>'5. Input GAW-waarde desinv.'!D81</f>
        <v>0</v>
      </c>
      <c r="G122" s="175">
        <f>'13. Desinvesteringen'!D405</f>
        <v>1971</v>
      </c>
      <c r="H122" s="175">
        <f>'13. Desinvesteringen'!G405</f>
        <v>2022</v>
      </c>
      <c r="I122" s="37" t="str">
        <f>'13. Desinvesteringen'!C405</f>
        <v>15 Compressorstations (TT-BT-AT)</v>
      </c>
      <c r="J122" s="165">
        <f>'13. Desinvesteringen'!F405</f>
        <v>0</v>
      </c>
      <c r="K122" s="38">
        <f>_xlfn.XLOOKUP(I122,'3. Input (des)investeringen '!$B$11:$B$89,'3. Input (des)investeringen '!$E$11:$E$89)</f>
        <v>1</v>
      </c>
      <c r="L122" s="48"/>
      <c r="M122" s="38">
        <f>_xlfn.XLOOKUP(I122,'3. Input (des)investeringen '!$B$11:$B$89,'3. Input (des)investeringen '!$D$11:$D$89,0)</f>
        <v>30</v>
      </c>
      <c r="N122" s="38">
        <f t="shared" si="40"/>
        <v>0</v>
      </c>
      <c r="P122" s="43">
        <f t="shared" ref="P122:T131" si="56">IF($M122&gt;0, IF(OR($G122&gt;P$50,$G122+$M122&lt;P$50),0,
VDB($F122,0,$N122,MAX(0,P$50-2022),MIN($N122,P$50-2021),$F$23,FALSE))*(1-$F$26), 0)</f>
        <v>0</v>
      </c>
      <c r="Q122" s="43">
        <f t="shared" si="56"/>
        <v>0</v>
      </c>
      <c r="R122" s="43">
        <f t="shared" si="56"/>
        <v>0</v>
      </c>
      <c r="S122" s="43">
        <f t="shared" si="56"/>
        <v>0</v>
      </c>
      <c r="T122" s="43">
        <f t="shared" si="56"/>
        <v>0</v>
      </c>
      <c r="V122" s="43">
        <f t="shared" si="35"/>
        <v>0</v>
      </c>
      <c r="W122" s="43">
        <f t="shared" si="36"/>
        <v>0</v>
      </c>
      <c r="X122" s="43">
        <f t="shared" si="37"/>
        <v>0</v>
      </c>
      <c r="Y122" s="43">
        <f t="shared" si="38"/>
        <v>0</v>
      </c>
      <c r="Z122" s="43">
        <f t="shared" si="39"/>
        <v>0</v>
      </c>
      <c r="AB122" s="43">
        <f t="shared" si="41"/>
        <v>0</v>
      </c>
      <c r="AC122" s="43">
        <f t="shared" si="42"/>
        <v>0</v>
      </c>
      <c r="AD122" s="43">
        <f t="shared" si="43"/>
        <v>0</v>
      </c>
      <c r="AE122" s="43">
        <f t="shared" si="44"/>
        <v>0</v>
      </c>
      <c r="AF122" s="43">
        <f t="shared" si="45"/>
        <v>0</v>
      </c>
      <c r="AH122" s="43">
        <f t="shared" si="46"/>
        <v>0</v>
      </c>
      <c r="AI122" s="43">
        <f t="shared" si="47"/>
        <v>0</v>
      </c>
      <c r="AJ122" s="43">
        <f t="shared" si="48"/>
        <v>0</v>
      </c>
      <c r="AK122" s="43">
        <f t="shared" si="49"/>
        <v>0</v>
      </c>
      <c r="AL122" s="43">
        <f t="shared" si="50"/>
        <v>0</v>
      </c>
      <c r="AN122" s="47">
        <f t="shared" si="51"/>
        <v>0</v>
      </c>
      <c r="AO122" s="47">
        <f t="shared" si="52"/>
        <v>0</v>
      </c>
      <c r="AP122" s="47">
        <f t="shared" si="53"/>
        <v>0</v>
      </c>
      <c r="AQ122" s="47">
        <f t="shared" si="54"/>
        <v>0</v>
      </c>
      <c r="AR122" s="43">
        <f t="shared" si="55"/>
        <v>0</v>
      </c>
      <c r="AY122" s="3"/>
    </row>
    <row r="123" spans="1:51">
      <c r="A123" s="48"/>
      <c r="B123" s="37">
        <f>'13. Desinvesteringen'!B406</f>
        <v>387</v>
      </c>
      <c r="C123" s="48"/>
      <c r="D123" s="48"/>
      <c r="E123" s="48"/>
      <c r="F123" s="354">
        <f>'5. Input GAW-waarde desinv.'!D82</f>
        <v>0</v>
      </c>
      <c r="G123" s="175">
        <f>'13. Desinvesteringen'!D406</f>
        <v>1974</v>
      </c>
      <c r="H123" s="175">
        <f>'13. Desinvesteringen'!G406</f>
        <v>2022</v>
      </c>
      <c r="I123" s="37" t="str">
        <f>'13. Desinvesteringen'!C406</f>
        <v>15 Compressorstations (TT-BT-AT)</v>
      </c>
      <c r="J123" s="165">
        <f>'13. Desinvesteringen'!F406</f>
        <v>0</v>
      </c>
      <c r="K123" s="38">
        <f>_xlfn.XLOOKUP(I123,'3. Input (des)investeringen '!$B$11:$B$89,'3. Input (des)investeringen '!$E$11:$E$89)</f>
        <v>1</v>
      </c>
      <c r="L123" s="48"/>
      <c r="M123" s="38">
        <f>_xlfn.XLOOKUP(I123,'3. Input (des)investeringen '!$B$11:$B$89,'3. Input (des)investeringen '!$D$11:$D$89,0)</f>
        <v>30</v>
      </c>
      <c r="N123" s="38">
        <f t="shared" si="40"/>
        <v>0</v>
      </c>
      <c r="P123" s="43">
        <f t="shared" si="56"/>
        <v>0</v>
      </c>
      <c r="Q123" s="43">
        <f t="shared" si="56"/>
        <v>0</v>
      </c>
      <c r="R123" s="43">
        <f t="shared" si="56"/>
        <v>0</v>
      </c>
      <c r="S123" s="43">
        <f t="shared" si="56"/>
        <v>0</v>
      </c>
      <c r="T123" s="43">
        <f t="shared" si="56"/>
        <v>0</v>
      </c>
      <c r="V123" s="43">
        <f t="shared" si="35"/>
        <v>0</v>
      </c>
      <c r="W123" s="43">
        <f t="shared" si="36"/>
        <v>0</v>
      </c>
      <c r="X123" s="43">
        <f t="shared" si="37"/>
        <v>0</v>
      </c>
      <c r="Y123" s="43">
        <f t="shared" si="38"/>
        <v>0</v>
      </c>
      <c r="Z123" s="43">
        <f t="shared" si="39"/>
        <v>0</v>
      </c>
      <c r="AB123" s="43">
        <f t="shared" si="41"/>
        <v>0</v>
      </c>
      <c r="AC123" s="43">
        <f t="shared" si="42"/>
        <v>0</v>
      </c>
      <c r="AD123" s="43">
        <f t="shared" si="43"/>
        <v>0</v>
      </c>
      <c r="AE123" s="43">
        <f t="shared" si="44"/>
        <v>0</v>
      </c>
      <c r="AF123" s="43">
        <f t="shared" si="45"/>
        <v>0</v>
      </c>
      <c r="AH123" s="43">
        <f t="shared" si="46"/>
        <v>0</v>
      </c>
      <c r="AI123" s="43">
        <f t="shared" si="47"/>
        <v>0</v>
      </c>
      <c r="AJ123" s="43">
        <f t="shared" si="48"/>
        <v>0</v>
      </c>
      <c r="AK123" s="43">
        <f t="shared" si="49"/>
        <v>0</v>
      </c>
      <c r="AL123" s="43">
        <f t="shared" si="50"/>
        <v>0</v>
      </c>
      <c r="AN123" s="47">
        <f t="shared" si="51"/>
        <v>0</v>
      </c>
      <c r="AO123" s="47">
        <f t="shared" si="52"/>
        <v>0</v>
      </c>
      <c r="AP123" s="47">
        <f t="shared" si="53"/>
        <v>0</v>
      </c>
      <c r="AQ123" s="47">
        <f t="shared" si="54"/>
        <v>0</v>
      </c>
      <c r="AR123" s="43">
        <f t="shared" si="55"/>
        <v>0</v>
      </c>
      <c r="AY123" s="3"/>
    </row>
    <row r="124" spans="1:51">
      <c r="A124" s="48"/>
      <c r="B124" s="37">
        <f>'13. Desinvesteringen'!B407</f>
        <v>388</v>
      </c>
      <c r="C124" s="48"/>
      <c r="D124" s="48"/>
      <c r="E124" s="48"/>
      <c r="F124" s="354">
        <f>'5. Input GAW-waarde desinv.'!D83</f>
        <v>4540.0402775800039</v>
      </c>
      <c r="G124" s="175">
        <f>'13. Desinvesteringen'!D407</f>
        <v>1997</v>
      </c>
      <c r="H124" s="175">
        <f>'13. Desinvesteringen'!G407</f>
        <v>2022</v>
      </c>
      <c r="I124" s="37" t="str">
        <f>'13. Desinvesteringen'!C407</f>
        <v>15 Compressorstations (TT-BT-AT)</v>
      </c>
      <c r="J124" s="165">
        <f>'13. Desinvesteringen'!F407</f>
        <v>0</v>
      </c>
      <c r="K124" s="38">
        <f>_xlfn.XLOOKUP(I124,'3. Input (des)investeringen '!$B$11:$B$89,'3. Input (des)investeringen '!$E$11:$E$89)</f>
        <v>1</v>
      </c>
      <c r="L124" s="48"/>
      <c r="M124" s="38">
        <f>_xlfn.XLOOKUP(I124,'3. Input (des)investeringen '!$B$11:$B$89,'3. Input (des)investeringen '!$D$11:$D$89,0)</f>
        <v>30</v>
      </c>
      <c r="N124" s="38">
        <f t="shared" si="40"/>
        <v>5.5</v>
      </c>
      <c r="P124" s="43">
        <f t="shared" si="56"/>
        <v>965.79038632156448</v>
      </c>
      <c r="Q124" s="43">
        <f t="shared" si="56"/>
        <v>737.5126586455583</v>
      </c>
      <c r="R124" s="43">
        <f t="shared" si="56"/>
        <v>680.78091567282297</v>
      </c>
      <c r="S124" s="43">
        <f t="shared" si="56"/>
        <v>680.78091567282297</v>
      </c>
      <c r="T124" s="43">
        <f t="shared" si="56"/>
        <v>680.78091567282297</v>
      </c>
      <c r="V124" s="43">
        <f t="shared" si="35"/>
        <v>82.546186865090988</v>
      </c>
      <c r="W124" s="43">
        <f t="shared" si="36"/>
        <v>82.546186865090988</v>
      </c>
      <c r="X124" s="43">
        <f t="shared" si="37"/>
        <v>82.546186865090988</v>
      </c>
      <c r="Y124" s="43">
        <f t="shared" si="38"/>
        <v>82.546186865090988</v>
      </c>
      <c r="Z124" s="43">
        <f t="shared" si="39"/>
        <v>82.546186865090988</v>
      </c>
      <c r="AB124" s="43">
        <f t="shared" si="41"/>
        <v>1048.3365731866554</v>
      </c>
      <c r="AC124" s="43">
        <f t="shared" si="42"/>
        <v>820.05884551064923</v>
      </c>
      <c r="AD124" s="43">
        <f t="shared" si="43"/>
        <v>763.32710253791402</v>
      </c>
      <c r="AE124" s="43">
        <f t="shared" si="44"/>
        <v>763.32710253791402</v>
      </c>
      <c r="AF124" s="43">
        <f t="shared" si="45"/>
        <v>763.32710253791402</v>
      </c>
      <c r="AH124" s="43">
        <f t="shared" si="46"/>
        <v>3491.7037043933487</v>
      </c>
      <c r="AI124" s="43">
        <f t="shared" si="47"/>
        <v>2671.6448588826997</v>
      </c>
      <c r="AJ124" s="43">
        <f t="shared" si="48"/>
        <v>1908.3177563447857</v>
      </c>
      <c r="AK124" s="43">
        <f t="shared" si="49"/>
        <v>1144.9906538068717</v>
      </c>
      <c r="AL124" s="43">
        <f t="shared" si="50"/>
        <v>381.66355126895769</v>
      </c>
      <c r="AN124" s="47">
        <f t="shared" si="51"/>
        <v>1191.4964250667826</v>
      </c>
      <c r="AO124" s="47">
        <f t="shared" si="52"/>
        <v>956.31273331366697</v>
      </c>
      <c r="AP124" s="47">
        <f t="shared" si="53"/>
        <v>860.65130811149811</v>
      </c>
      <c r="AQ124" s="47">
        <f t="shared" si="54"/>
        <v>826.30158849729196</v>
      </c>
      <c r="AR124" s="43">
        <f t="shared" si="55"/>
        <v>777.83031748613439</v>
      </c>
      <c r="AY124" s="3"/>
    </row>
    <row r="125" spans="1:51">
      <c r="A125" s="48"/>
      <c r="B125" s="37">
        <f>'13. Desinvesteringen'!B408</f>
        <v>389</v>
      </c>
      <c r="C125" s="48"/>
      <c r="D125" s="48"/>
      <c r="E125" s="48"/>
      <c r="F125" s="354">
        <f>'5. Input GAW-waarde desinv.'!D84</f>
        <v>89847.095733059148</v>
      </c>
      <c r="G125" s="175">
        <f>'13. Desinvesteringen'!D408</f>
        <v>2011</v>
      </c>
      <c r="H125" s="175">
        <f>'13. Desinvesteringen'!G408</f>
        <v>2022</v>
      </c>
      <c r="I125" s="37" t="str">
        <f>'13. Desinvesteringen'!C408</f>
        <v>15 Compressorstations (TT-BT-AT)</v>
      </c>
      <c r="J125" s="165">
        <f>'13. Desinvesteringen'!F408</f>
        <v>0</v>
      </c>
      <c r="K125" s="38">
        <f>_xlfn.XLOOKUP(I125,'3. Input (des)investeringen '!$B$11:$B$89,'3. Input (des)investeringen '!$E$11:$E$89)</f>
        <v>1</v>
      </c>
      <c r="L125" s="48"/>
      <c r="M125" s="38">
        <f>_xlfn.XLOOKUP(I125,'3. Input (des)investeringen '!$B$11:$B$89,'3. Input (des)investeringen '!$D$11:$D$89,0)</f>
        <v>30</v>
      </c>
      <c r="N125" s="38">
        <f t="shared" si="40"/>
        <v>19.5</v>
      </c>
      <c r="P125" s="43">
        <f t="shared" si="56"/>
        <v>5390.8257439835488</v>
      </c>
      <c r="Q125" s="43">
        <f t="shared" si="56"/>
        <v>5031.437361051313</v>
      </c>
      <c r="R125" s="43">
        <f t="shared" si="56"/>
        <v>4696.0082036478907</v>
      </c>
      <c r="S125" s="43">
        <f t="shared" si="56"/>
        <v>4382.9409900713654</v>
      </c>
      <c r="T125" s="43">
        <f t="shared" si="56"/>
        <v>4090.7449240666087</v>
      </c>
      <c r="V125" s="43">
        <f t="shared" si="35"/>
        <v>460.75433709261108</v>
      </c>
      <c r="W125" s="43">
        <f t="shared" si="36"/>
        <v>460.75433709261108</v>
      </c>
      <c r="X125" s="43">
        <f t="shared" si="37"/>
        <v>460.75433709261108</v>
      </c>
      <c r="Y125" s="43">
        <f t="shared" si="38"/>
        <v>460.75433709261108</v>
      </c>
      <c r="Z125" s="43">
        <f t="shared" si="39"/>
        <v>460.75433709261108</v>
      </c>
      <c r="AB125" s="43">
        <f t="shared" si="41"/>
        <v>5851.5800810761602</v>
      </c>
      <c r="AC125" s="43">
        <f t="shared" si="42"/>
        <v>5492.1916981439244</v>
      </c>
      <c r="AD125" s="43">
        <f t="shared" si="43"/>
        <v>5156.7625407405021</v>
      </c>
      <c r="AE125" s="43">
        <f t="shared" si="44"/>
        <v>4843.6953271639768</v>
      </c>
      <c r="AF125" s="43">
        <f t="shared" si="45"/>
        <v>4551.4992611592197</v>
      </c>
      <c r="AH125" s="43">
        <f t="shared" si="46"/>
        <v>83995.515651982991</v>
      </c>
      <c r="AI125" s="43">
        <f t="shared" si="47"/>
        <v>78503.323953839063</v>
      </c>
      <c r="AJ125" s="43">
        <f t="shared" si="48"/>
        <v>73346.561413098563</v>
      </c>
      <c r="AK125" s="43">
        <f t="shared" si="49"/>
        <v>68502.866085934584</v>
      </c>
      <c r="AL125" s="43">
        <f t="shared" si="50"/>
        <v>63951.366824775367</v>
      </c>
      <c r="AN125" s="47">
        <f t="shared" si="51"/>
        <v>9295.3962228074633</v>
      </c>
      <c r="AO125" s="47">
        <f t="shared" si="52"/>
        <v>9495.8612197897164</v>
      </c>
      <c r="AP125" s="47">
        <f t="shared" si="53"/>
        <v>8897.437172808528</v>
      </c>
      <c r="AQ125" s="47">
        <f t="shared" si="54"/>
        <v>8611.3529618903794</v>
      </c>
      <c r="AR125" s="43">
        <f t="shared" si="55"/>
        <v>6981.6512005006834</v>
      </c>
      <c r="AY125" s="3"/>
    </row>
    <row r="126" spans="1:51">
      <c r="A126" s="48"/>
      <c r="B126" s="37">
        <f>'13. Desinvesteringen'!B409</f>
        <v>390</v>
      </c>
      <c r="C126" s="48"/>
      <c r="D126" s="48"/>
      <c r="E126" s="48"/>
      <c r="F126" s="354">
        <f>'5. Input GAW-waarde desinv.'!D85</f>
        <v>0</v>
      </c>
      <c r="G126" s="175">
        <f>'13. Desinvesteringen'!D409</f>
        <v>1977</v>
      </c>
      <c r="H126" s="175">
        <f>'13. Desinvesteringen'!G409</f>
        <v>2022</v>
      </c>
      <c r="I126" s="37" t="str">
        <f>'13. Desinvesteringen'!C409</f>
        <v>16 LNG installaties</v>
      </c>
      <c r="J126" s="165">
        <f>'13. Desinvesteringen'!F409</f>
        <v>0</v>
      </c>
      <c r="K126" s="38">
        <f>_xlfn.XLOOKUP(I126,'3. Input (des)investeringen '!$B$11:$B$89,'3. Input (des)investeringen '!$E$11:$E$89)</f>
        <v>0</v>
      </c>
      <c r="L126" s="48"/>
      <c r="M126" s="38">
        <f>_xlfn.XLOOKUP(I126,'3. Input (des)investeringen '!$B$11:$B$89,'3. Input (des)investeringen '!$D$11:$D$89,0)</f>
        <v>30</v>
      </c>
      <c r="N126" s="38">
        <f t="shared" si="40"/>
        <v>0</v>
      </c>
      <c r="P126" s="43">
        <f t="shared" si="56"/>
        <v>0</v>
      </c>
      <c r="Q126" s="43">
        <f t="shared" si="56"/>
        <v>0</v>
      </c>
      <c r="R126" s="43">
        <f t="shared" si="56"/>
        <v>0</v>
      </c>
      <c r="S126" s="43">
        <f t="shared" si="56"/>
        <v>0</v>
      </c>
      <c r="T126" s="43">
        <f t="shared" si="56"/>
        <v>0</v>
      </c>
      <c r="V126" s="43">
        <f t="shared" si="35"/>
        <v>0</v>
      </c>
      <c r="W126" s="43">
        <f t="shared" si="36"/>
        <v>0</v>
      </c>
      <c r="X126" s="43">
        <f t="shared" si="37"/>
        <v>0</v>
      </c>
      <c r="Y126" s="43">
        <f t="shared" si="38"/>
        <v>0</v>
      </c>
      <c r="Z126" s="43">
        <f t="shared" si="39"/>
        <v>0</v>
      </c>
      <c r="AB126" s="43">
        <f t="shared" si="41"/>
        <v>0</v>
      </c>
      <c r="AC126" s="43">
        <f t="shared" si="42"/>
        <v>0</v>
      </c>
      <c r="AD126" s="43">
        <f t="shared" si="43"/>
        <v>0</v>
      </c>
      <c r="AE126" s="43">
        <f t="shared" si="44"/>
        <v>0</v>
      </c>
      <c r="AF126" s="43">
        <f t="shared" si="45"/>
        <v>0</v>
      </c>
      <c r="AH126" s="43">
        <f t="shared" si="46"/>
        <v>0</v>
      </c>
      <c r="AI126" s="43">
        <f t="shared" si="47"/>
        <v>0</v>
      </c>
      <c r="AJ126" s="43">
        <f t="shared" si="48"/>
        <v>0</v>
      </c>
      <c r="AK126" s="43">
        <f t="shared" si="49"/>
        <v>0</v>
      </c>
      <c r="AL126" s="43">
        <f t="shared" si="50"/>
        <v>0</v>
      </c>
      <c r="AN126" s="47">
        <f t="shared" si="51"/>
        <v>0</v>
      </c>
      <c r="AO126" s="47">
        <f t="shared" si="52"/>
        <v>0</v>
      </c>
      <c r="AP126" s="47">
        <f t="shared" si="53"/>
        <v>0</v>
      </c>
      <c r="AQ126" s="47">
        <f t="shared" si="54"/>
        <v>0</v>
      </c>
      <c r="AR126" s="43">
        <f t="shared" si="55"/>
        <v>0</v>
      </c>
      <c r="AY126" s="3"/>
    </row>
    <row r="127" spans="1:51">
      <c r="A127" s="48"/>
      <c r="B127" s="37">
        <f>'13. Desinvesteringen'!B410</f>
        <v>391</v>
      </c>
      <c r="C127" s="48"/>
      <c r="D127" s="48"/>
      <c r="E127" s="48"/>
      <c r="F127" s="354">
        <f>'5. Input GAW-waarde desinv.'!D86</f>
        <v>614953.64546122367</v>
      </c>
      <c r="G127" s="175">
        <f>'13. Desinvesteringen'!D410</f>
        <v>1998</v>
      </c>
      <c r="H127" s="175">
        <f>'13. Desinvesteringen'!G410</f>
        <v>2022</v>
      </c>
      <c r="I127" s="37" t="str">
        <f>'13. Desinvesteringen'!C410</f>
        <v>16 LNG installaties</v>
      </c>
      <c r="J127" s="165">
        <f>'13. Desinvesteringen'!F410</f>
        <v>0</v>
      </c>
      <c r="K127" s="38">
        <f>_xlfn.XLOOKUP(I127,'3. Input (des)investeringen '!$B$11:$B$89,'3. Input (des)investeringen '!$E$11:$E$89)</f>
        <v>0</v>
      </c>
      <c r="L127" s="48"/>
      <c r="M127" s="38">
        <f>_xlfn.XLOOKUP(I127,'3. Input (des)investeringen '!$B$11:$B$89,'3. Input (des)investeringen '!$D$11:$D$89,0)</f>
        <v>30</v>
      </c>
      <c r="N127" s="38">
        <f t="shared" si="40"/>
        <v>6.5</v>
      </c>
      <c r="P127" s="43">
        <f t="shared" si="56"/>
        <v>110691.65618302027</v>
      </c>
      <c r="Q127" s="43">
        <f t="shared" si="56"/>
        <v>88553.324946416207</v>
      </c>
      <c r="R127" s="43">
        <f t="shared" si="56"/>
        <v>78714.066619036632</v>
      </c>
      <c r="S127" s="43">
        <f t="shared" si="56"/>
        <v>78714.066619036632</v>
      </c>
      <c r="T127" s="43">
        <f t="shared" si="56"/>
        <v>78714.066619036632</v>
      </c>
      <c r="V127" s="43">
        <f t="shared" si="35"/>
        <v>9460.8253147880587</v>
      </c>
      <c r="W127" s="43">
        <f t="shared" si="36"/>
        <v>9460.8253147880569</v>
      </c>
      <c r="X127" s="43">
        <f t="shared" si="37"/>
        <v>9460.8253147880569</v>
      </c>
      <c r="Y127" s="43">
        <f t="shared" si="38"/>
        <v>9460.8253147880569</v>
      </c>
      <c r="Z127" s="43">
        <f t="shared" si="39"/>
        <v>9460.8253147880569</v>
      </c>
      <c r="AB127" s="43">
        <f t="shared" si="41"/>
        <v>120152.48149780833</v>
      </c>
      <c r="AC127" s="43">
        <f t="shared" si="42"/>
        <v>98014.150261204268</v>
      </c>
      <c r="AD127" s="43">
        <f t="shared" si="43"/>
        <v>88174.891933824692</v>
      </c>
      <c r="AE127" s="43">
        <f t="shared" si="44"/>
        <v>88174.891933824692</v>
      </c>
      <c r="AF127" s="43">
        <f t="shared" si="45"/>
        <v>88174.891933824692</v>
      </c>
      <c r="AH127" s="43">
        <f t="shared" si="46"/>
        <v>494801.16396341531</v>
      </c>
      <c r="AI127" s="43">
        <f t="shared" si="47"/>
        <v>396787.01370221103</v>
      </c>
      <c r="AJ127" s="43">
        <f t="shared" si="48"/>
        <v>308612.12176838634</v>
      </c>
      <c r="AK127" s="43">
        <f t="shared" si="49"/>
        <v>220437.22983456164</v>
      </c>
      <c r="AL127" s="43">
        <f t="shared" si="50"/>
        <v>132262.33790073695</v>
      </c>
      <c r="AN127" s="47">
        <f t="shared" si="51"/>
        <v>140439.32922030837</v>
      </c>
      <c r="AO127" s="47">
        <f t="shared" si="52"/>
        <v>118250.28796001703</v>
      </c>
      <c r="AP127" s="47">
        <f t="shared" si="53"/>
        <v>103914.11014401239</v>
      </c>
      <c r="AQ127" s="47">
        <f t="shared" si="54"/>
        <v>100298.93957472558</v>
      </c>
      <c r="AR127" s="43">
        <f t="shared" si="55"/>
        <v>93200.860774052693</v>
      </c>
      <c r="AY127" s="3"/>
    </row>
    <row r="128" spans="1:51">
      <c r="A128" s="48"/>
      <c r="B128" s="37">
        <f>'13. Desinvesteringen'!B411</f>
        <v>392</v>
      </c>
      <c r="C128" s="48"/>
      <c r="D128" s="48"/>
      <c r="E128" s="48"/>
      <c r="F128" s="354">
        <f>'5. Input GAW-waarde desinv.'!D87</f>
        <v>61437.139832305947</v>
      </c>
      <c r="G128" s="175">
        <f>'13. Desinvesteringen'!D411</f>
        <v>2019</v>
      </c>
      <c r="H128" s="175">
        <f>'13. Desinvesteringen'!G411</f>
        <v>2022</v>
      </c>
      <c r="I128" s="37" t="str">
        <f>'13. Desinvesteringen'!C411</f>
        <v>17 Mengstations</v>
      </c>
      <c r="J128" s="165">
        <f>'13. Desinvesteringen'!F411</f>
        <v>0</v>
      </c>
      <c r="K128" s="38">
        <f>_xlfn.XLOOKUP(I128,'3. Input (des)investeringen '!$B$11:$B$89,'3. Input (des)investeringen '!$E$11:$E$89)</f>
        <v>0</v>
      </c>
      <c r="L128" s="48"/>
      <c r="M128" s="38">
        <f>_xlfn.XLOOKUP(I128,'3. Input (des)investeringen '!$B$11:$B$89,'3. Input (des)investeringen '!$D$11:$D$89,0)</f>
        <v>30</v>
      </c>
      <c r="N128" s="38">
        <f t="shared" si="40"/>
        <v>27.5</v>
      </c>
      <c r="P128" s="43">
        <f t="shared" si="56"/>
        <v>2613.8710401381077</v>
      </c>
      <c r="Q128" s="43">
        <f t="shared" si="56"/>
        <v>2490.3062273315791</v>
      </c>
      <c r="R128" s="43">
        <f t="shared" si="56"/>
        <v>2372.5826602213592</v>
      </c>
      <c r="S128" s="43">
        <f t="shared" si="56"/>
        <v>2260.4242071927129</v>
      </c>
      <c r="T128" s="43">
        <f t="shared" si="56"/>
        <v>2153.5677901254212</v>
      </c>
      <c r="V128" s="43">
        <f t="shared" si="35"/>
        <v>223.40778120838527</v>
      </c>
      <c r="W128" s="43">
        <f t="shared" si="36"/>
        <v>223.40778120838527</v>
      </c>
      <c r="X128" s="43">
        <f t="shared" si="37"/>
        <v>223.40778120838527</v>
      </c>
      <c r="Y128" s="43">
        <f t="shared" si="38"/>
        <v>223.40778120838527</v>
      </c>
      <c r="Z128" s="43">
        <f t="shared" si="39"/>
        <v>223.40778120838527</v>
      </c>
      <c r="AB128" s="43">
        <f t="shared" si="41"/>
        <v>2837.2788213464928</v>
      </c>
      <c r="AC128" s="43">
        <f t="shared" si="42"/>
        <v>2713.7140085399642</v>
      </c>
      <c r="AD128" s="43">
        <f t="shared" si="43"/>
        <v>2595.9904414297444</v>
      </c>
      <c r="AE128" s="43">
        <f t="shared" si="44"/>
        <v>2483.831988401098</v>
      </c>
      <c r="AF128" s="43">
        <f t="shared" si="45"/>
        <v>2376.9755713338063</v>
      </c>
      <c r="AH128" s="43">
        <f t="shared" si="46"/>
        <v>58599.861010959452</v>
      </c>
      <c r="AI128" s="43">
        <f t="shared" si="47"/>
        <v>55886.147002419486</v>
      </c>
      <c r="AJ128" s="43">
        <f t="shared" si="48"/>
        <v>53290.156560989744</v>
      </c>
      <c r="AK128" s="43">
        <f t="shared" si="49"/>
        <v>50806.324572588645</v>
      </c>
      <c r="AL128" s="43">
        <f t="shared" si="50"/>
        <v>48429.349001254835</v>
      </c>
      <c r="AN128" s="47">
        <f t="shared" si="51"/>
        <v>5239.8731227958306</v>
      </c>
      <c r="AO128" s="47">
        <f t="shared" si="52"/>
        <v>5563.9075056633574</v>
      </c>
      <c r="AP128" s="47">
        <f t="shared" si="53"/>
        <v>5313.7884260402207</v>
      </c>
      <c r="AQ128" s="47">
        <f t="shared" si="54"/>
        <v>5278.1798398934734</v>
      </c>
      <c r="AR128" s="43">
        <f t="shared" si="55"/>
        <v>4217.2908333814903</v>
      </c>
      <c r="AY128" s="3"/>
    </row>
    <row r="129" spans="1:51">
      <c r="A129" s="48"/>
      <c r="B129" s="37">
        <f>'13. Desinvesteringen'!B412</f>
        <v>393</v>
      </c>
      <c r="C129" s="48"/>
      <c r="D129" s="48"/>
      <c r="E129" s="48"/>
      <c r="F129" s="354">
        <f>'5. Input GAW-waarde desinv.'!D88</f>
        <v>0</v>
      </c>
      <c r="G129" s="175">
        <f>'13. Desinvesteringen'!D412</f>
        <v>1964</v>
      </c>
      <c r="H129" s="175">
        <f>'13. Desinvesteringen'!G412</f>
        <v>2022</v>
      </c>
      <c r="I129" s="37" t="str">
        <f>'13. Desinvesteringen'!C412</f>
        <v>21 Hoofdtransportleiding</v>
      </c>
      <c r="J129" s="165">
        <f>'13. Desinvesteringen'!F412</f>
        <v>0</v>
      </c>
      <c r="K129" s="38">
        <f>_xlfn.XLOOKUP(I129,'3. Input (des)investeringen '!$B$11:$B$89,'3. Input (des)investeringen '!$E$11:$E$89)</f>
        <v>1</v>
      </c>
      <c r="L129" s="48"/>
      <c r="M129" s="38">
        <f>_xlfn.XLOOKUP(I129,'3. Input (des)investeringen '!$B$11:$B$89,'3. Input (des)investeringen '!$D$11:$D$89,0)</f>
        <v>55</v>
      </c>
      <c r="N129" s="38">
        <f t="shared" si="40"/>
        <v>0</v>
      </c>
      <c r="P129" s="43">
        <f t="shared" si="56"/>
        <v>0</v>
      </c>
      <c r="Q129" s="43">
        <f t="shared" si="56"/>
        <v>0</v>
      </c>
      <c r="R129" s="43">
        <f t="shared" si="56"/>
        <v>0</v>
      </c>
      <c r="S129" s="43">
        <f t="shared" si="56"/>
        <v>0</v>
      </c>
      <c r="T129" s="43">
        <f t="shared" si="56"/>
        <v>0</v>
      </c>
      <c r="V129" s="43">
        <f t="shared" si="35"/>
        <v>0</v>
      </c>
      <c r="W129" s="43">
        <f t="shared" si="36"/>
        <v>0</v>
      </c>
      <c r="X129" s="43">
        <f t="shared" si="37"/>
        <v>0</v>
      </c>
      <c r="Y129" s="43">
        <f t="shared" si="38"/>
        <v>0</v>
      </c>
      <c r="Z129" s="43">
        <f t="shared" si="39"/>
        <v>0</v>
      </c>
      <c r="AB129" s="43">
        <f t="shared" si="41"/>
        <v>0</v>
      </c>
      <c r="AC129" s="43">
        <f t="shared" si="42"/>
        <v>0</v>
      </c>
      <c r="AD129" s="43">
        <f t="shared" si="43"/>
        <v>0</v>
      </c>
      <c r="AE129" s="43">
        <f t="shared" si="44"/>
        <v>0</v>
      </c>
      <c r="AF129" s="43">
        <f t="shared" si="45"/>
        <v>0</v>
      </c>
      <c r="AH129" s="43">
        <f t="shared" si="46"/>
        <v>0</v>
      </c>
      <c r="AI129" s="43">
        <f t="shared" si="47"/>
        <v>0</v>
      </c>
      <c r="AJ129" s="43">
        <f t="shared" si="48"/>
        <v>0</v>
      </c>
      <c r="AK129" s="43">
        <f t="shared" si="49"/>
        <v>0</v>
      </c>
      <c r="AL129" s="43">
        <f t="shared" si="50"/>
        <v>0</v>
      </c>
      <c r="AN129" s="47">
        <f t="shared" si="51"/>
        <v>0</v>
      </c>
      <c r="AO129" s="47">
        <f t="shared" si="52"/>
        <v>0</v>
      </c>
      <c r="AP129" s="47">
        <f t="shared" si="53"/>
        <v>0</v>
      </c>
      <c r="AQ129" s="47">
        <f t="shared" si="54"/>
        <v>0</v>
      </c>
      <c r="AR129" s="43">
        <f t="shared" si="55"/>
        <v>0</v>
      </c>
      <c r="AY129" s="3"/>
    </row>
    <row r="130" spans="1:51">
      <c r="A130" s="48"/>
      <c r="B130" s="37">
        <f>'13. Desinvesteringen'!B413</f>
        <v>394</v>
      </c>
      <c r="C130" s="48"/>
      <c r="D130" s="48"/>
      <c r="E130" s="48"/>
      <c r="F130" s="354">
        <f>'5. Input GAW-waarde desinv.'!D89</f>
        <v>27710.301790765967</v>
      </c>
      <c r="G130" s="175">
        <f>'13. Desinvesteringen'!D413</f>
        <v>1977</v>
      </c>
      <c r="H130" s="175">
        <f>'13. Desinvesteringen'!G413</f>
        <v>2022</v>
      </c>
      <c r="I130" s="37" t="str">
        <f>'13. Desinvesteringen'!C413</f>
        <v>21 Hoofdtransportleiding</v>
      </c>
      <c r="J130" s="165">
        <f>'13. Desinvesteringen'!F413</f>
        <v>0</v>
      </c>
      <c r="K130" s="38">
        <f>_xlfn.XLOOKUP(I130,'3. Input (des)investeringen '!$B$11:$B$89,'3. Input (des)investeringen '!$E$11:$E$89)</f>
        <v>1</v>
      </c>
      <c r="L130" s="48"/>
      <c r="M130" s="38">
        <f>_xlfn.XLOOKUP(I130,'3. Input (des)investeringen '!$B$11:$B$89,'3. Input (des)investeringen '!$D$11:$D$89,0)</f>
        <v>55</v>
      </c>
      <c r="N130" s="38">
        <f t="shared" si="40"/>
        <v>10.5</v>
      </c>
      <c r="P130" s="43">
        <f t="shared" si="56"/>
        <v>3087.7193423996364</v>
      </c>
      <c r="Q130" s="43">
        <f t="shared" si="56"/>
        <v>2705.4302809596816</v>
      </c>
      <c r="R130" s="43">
        <f t="shared" si="56"/>
        <v>2370.4722461741972</v>
      </c>
      <c r="S130" s="43">
        <f t="shared" si="56"/>
        <v>2236.7532989541141</v>
      </c>
      <c r="T130" s="43">
        <f t="shared" si="56"/>
        <v>2236.7532989541141</v>
      </c>
      <c r="V130" s="43">
        <f t="shared" si="35"/>
        <v>263.90763610253305</v>
      </c>
      <c r="W130" s="43">
        <f t="shared" si="36"/>
        <v>263.90763610253305</v>
      </c>
      <c r="X130" s="43">
        <f t="shared" si="37"/>
        <v>263.90763610253305</v>
      </c>
      <c r="Y130" s="43">
        <f t="shared" si="38"/>
        <v>263.90763610253305</v>
      </c>
      <c r="Z130" s="43">
        <f t="shared" si="39"/>
        <v>263.90763610253305</v>
      </c>
      <c r="AB130" s="43">
        <f t="shared" si="41"/>
        <v>3351.6269785021695</v>
      </c>
      <c r="AC130" s="43">
        <f t="shared" si="42"/>
        <v>2969.3379170622147</v>
      </c>
      <c r="AD130" s="43">
        <f t="shared" si="43"/>
        <v>2634.3798822767303</v>
      </c>
      <c r="AE130" s="43">
        <f t="shared" si="44"/>
        <v>2500.6609350566473</v>
      </c>
      <c r="AF130" s="43">
        <f t="shared" si="45"/>
        <v>2500.6609350566473</v>
      </c>
      <c r="AH130" s="43">
        <f t="shared" si="46"/>
        <v>24358.674812263798</v>
      </c>
      <c r="AI130" s="43">
        <f t="shared" si="47"/>
        <v>21389.336895201584</v>
      </c>
      <c r="AJ130" s="43">
        <f t="shared" si="48"/>
        <v>18754.957012924853</v>
      </c>
      <c r="AK130" s="43">
        <f t="shared" si="49"/>
        <v>16254.296077868206</v>
      </c>
      <c r="AL130" s="43">
        <f t="shared" si="50"/>
        <v>13753.635142811559</v>
      </c>
      <c r="AN130" s="47">
        <f t="shared" si="51"/>
        <v>4350.3326458049851</v>
      </c>
      <c r="AO130" s="47">
        <f t="shared" si="52"/>
        <v>4060.1940987174958</v>
      </c>
      <c r="AP130" s="47">
        <f t="shared" si="53"/>
        <v>3590.8826899358978</v>
      </c>
      <c r="AQ130" s="47">
        <f t="shared" si="54"/>
        <v>3394.6472193393988</v>
      </c>
      <c r="AR130" s="43">
        <f t="shared" si="55"/>
        <v>3023.2990704834865</v>
      </c>
      <c r="AY130" s="3"/>
    </row>
    <row r="131" spans="1:51">
      <c r="A131" s="48"/>
      <c r="B131" s="37">
        <f>'13. Desinvesteringen'!B414</f>
        <v>395</v>
      </c>
      <c r="C131" s="48"/>
      <c r="D131" s="48"/>
      <c r="E131" s="48"/>
      <c r="F131" s="354">
        <f>'5. Input GAW-waarde desinv.'!D90</f>
        <v>9353.7976978691713</v>
      </c>
      <c r="G131" s="175">
        <f>'13. Desinvesteringen'!D414</f>
        <v>1978</v>
      </c>
      <c r="H131" s="175">
        <f>'13. Desinvesteringen'!G414</f>
        <v>2022</v>
      </c>
      <c r="I131" s="37" t="str">
        <f>'13. Desinvesteringen'!C414</f>
        <v>21 Hoofdtransportleiding</v>
      </c>
      <c r="J131" s="165">
        <f>'13. Desinvesteringen'!F414</f>
        <v>0</v>
      </c>
      <c r="K131" s="38">
        <f>_xlfn.XLOOKUP(I131,'3. Input (des)investeringen '!$B$11:$B$89,'3. Input (des)investeringen '!$E$11:$E$89)</f>
        <v>1</v>
      </c>
      <c r="L131" s="48"/>
      <c r="M131" s="38">
        <f>_xlfn.XLOOKUP(I131,'3. Input (des)investeringen '!$B$11:$B$89,'3. Input (des)investeringen '!$D$11:$D$89,0)</f>
        <v>55</v>
      </c>
      <c r="N131" s="38">
        <f t="shared" si="40"/>
        <v>11.5</v>
      </c>
      <c r="P131" s="43">
        <f t="shared" si="56"/>
        <v>951.64724404408094</v>
      </c>
      <c r="Q131" s="43">
        <f t="shared" si="56"/>
        <v>844.06972949996748</v>
      </c>
      <c r="R131" s="43">
        <f t="shared" si="56"/>
        <v>748.65315138257984</v>
      </c>
      <c r="S131" s="43">
        <f t="shared" si="56"/>
        <v>691.06444743007376</v>
      </c>
      <c r="T131" s="43">
        <f t="shared" si="56"/>
        <v>691.06444743007376</v>
      </c>
      <c r="V131" s="43">
        <f t="shared" si="35"/>
        <v>81.33737128581889</v>
      </c>
      <c r="W131" s="43">
        <f t="shared" si="36"/>
        <v>81.33737128581889</v>
      </c>
      <c r="X131" s="43">
        <f t="shared" si="37"/>
        <v>81.33737128581889</v>
      </c>
      <c r="Y131" s="43">
        <f t="shared" si="38"/>
        <v>81.33737128581889</v>
      </c>
      <c r="Z131" s="43">
        <f t="shared" si="39"/>
        <v>81.33737128581889</v>
      </c>
      <c r="AB131" s="43">
        <f t="shared" si="41"/>
        <v>1032.9846153298997</v>
      </c>
      <c r="AC131" s="43">
        <f t="shared" si="42"/>
        <v>925.40710078578638</v>
      </c>
      <c r="AD131" s="43">
        <f t="shared" si="43"/>
        <v>829.99052266839874</v>
      </c>
      <c r="AE131" s="43">
        <f t="shared" si="44"/>
        <v>772.40181871589266</v>
      </c>
      <c r="AF131" s="43">
        <f t="shared" si="45"/>
        <v>772.40181871589266</v>
      </c>
      <c r="AH131" s="43">
        <f t="shared" si="46"/>
        <v>8320.8130825392709</v>
      </c>
      <c r="AI131" s="43">
        <f t="shared" si="47"/>
        <v>7395.4059817534844</v>
      </c>
      <c r="AJ131" s="43">
        <f t="shared" si="48"/>
        <v>6565.4154590850858</v>
      </c>
      <c r="AK131" s="43">
        <f t="shared" si="49"/>
        <v>5793.0136403691931</v>
      </c>
      <c r="AL131" s="43">
        <f t="shared" si="50"/>
        <v>5020.6118216533005</v>
      </c>
      <c r="AN131" s="47">
        <f t="shared" si="51"/>
        <v>1374.1379517140099</v>
      </c>
      <c r="AO131" s="47">
        <f t="shared" si="52"/>
        <v>1302.572805855214</v>
      </c>
      <c r="AP131" s="47">
        <f t="shared" si="53"/>
        <v>1164.826711081738</v>
      </c>
      <c r="AQ131" s="47">
        <f t="shared" si="54"/>
        <v>1091.0175689361984</v>
      </c>
      <c r="AR131" s="43">
        <f t="shared" si="55"/>
        <v>963.18506793871802</v>
      </c>
      <c r="AY131" s="3"/>
    </row>
    <row r="132" spans="1:51">
      <c r="A132" s="48"/>
      <c r="B132" s="37">
        <f>'13. Desinvesteringen'!B415</f>
        <v>396</v>
      </c>
      <c r="C132" s="48"/>
      <c r="D132" s="48"/>
      <c r="E132" s="48"/>
      <c r="F132" s="354">
        <f>'5. Input GAW-waarde desinv.'!D91</f>
        <v>27670.188323616749</v>
      </c>
      <c r="G132" s="175">
        <f>'13. Desinvesteringen'!D415</f>
        <v>1983</v>
      </c>
      <c r="H132" s="175">
        <f>'13. Desinvesteringen'!G415</f>
        <v>2022</v>
      </c>
      <c r="I132" s="37" t="str">
        <f>'13. Desinvesteringen'!C415</f>
        <v>21 Hoofdtransportleiding</v>
      </c>
      <c r="J132" s="165">
        <f>'13. Desinvesteringen'!F415</f>
        <v>0</v>
      </c>
      <c r="K132" s="38">
        <f>_xlfn.XLOOKUP(I132,'3. Input (des)investeringen '!$B$11:$B$89,'3. Input (des)investeringen '!$E$11:$E$89)</f>
        <v>1</v>
      </c>
      <c r="L132" s="48"/>
      <c r="M132" s="38">
        <f>_xlfn.XLOOKUP(I132,'3. Input (des)investeringen '!$B$11:$B$89,'3. Input (des)investeringen '!$D$11:$D$89,0)</f>
        <v>55</v>
      </c>
      <c r="N132" s="38">
        <f t="shared" si="40"/>
        <v>16.5</v>
      </c>
      <c r="P132" s="43">
        <f t="shared" ref="P132:T141" si="57">IF($M132&gt;0, IF(OR($G132&gt;P$50,$G132+$M132&lt;P$50),0,
VDB($F132,0,$N132,MAX(0,P$50-2022),MIN($N132,P$50-2021),$F$23,FALSE))*(1-$F$26), 0)</f>
        <v>1962.0678993110062</v>
      </c>
      <c r="Q132" s="43">
        <f t="shared" si="57"/>
        <v>1807.4807314865025</v>
      </c>
      <c r="R132" s="43">
        <f t="shared" si="57"/>
        <v>1665.0731587027176</v>
      </c>
      <c r="S132" s="43">
        <f t="shared" si="57"/>
        <v>1533.8855765018973</v>
      </c>
      <c r="T132" s="43">
        <f t="shared" si="57"/>
        <v>1434.7729700202362</v>
      </c>
      <c r="V132" s="43">
        <f t="shared" si="35"/>
        <v>167.69811105222274</v>
      </c>
      <c r="W132" s="43">
        <f t="shared" si="36"/>
        <v>167.69811105222271</v>
      </c>
      <c r="X132" s="43">
        <f t="shared" si="37"/>
        <v>167.69811105222271</v>
      </c>
      <c r="Y132" s="43">
        <f t="shared" si="38"/>
        <v>167.69811105222271</v>
      </c>
      <c r="Z132" s="43">
        <f t="shared" si="39"/>
        <v>167.69811105222271</v>
      </c>
      <c r="AB132" s="43">
        <f t="shared" si="41"/>
        <v>2129.7660103632288</v>
      </c>
      <c r="AC132" s="43">
        <f t="shared" si="42"/>
        <v>1975.1788425387251</v>
      </c>
      <c r="AD132" s="43">
        <f t="shared" si="43"/>
        <v>1832.7712697549402</v>
      </c>
      <c r="AE132" s="43">
        <f t="shared" si="44"/>
        <v>1701.5836875541199</v>
      </c>
      <c r="AF132" s="43">
        <f t="shared" si="45"/>
        <v>1602.4710810724589</v>
      </c>
      <c r="AH132" s="43">
        <f t="shared" si="46"/>
        <v>25540.422313253519</v>
      </c>
      <c r="AI132" s="43">
        <f t="shared" si="47"/>
        <v>23565.243470714795</v>
      </c>
      <c r="AJ132" s="43">
        <f t="shared" si="48"/>
        <v>21732.472200959855</v>
      </c>
      <c r="AK132" s="43">
        <f t="shared" si="49"/>
        <v>20030.888513405735</v>
      </c>
      <c r="AL132" s="43">
        <f t="shared" si="50"/>
        <v>18428.417432333277</v>
      </c>
      <c r="AN132" s="47">
        <f t="shared" si="51"/>
        <v>3176.9233252066233</v>
      </c>
      <c r="AO132" s="47">
        <f t="shared" si="52"/>
        <v>3177.0062595451795</v>
      </c>
      <c r="AP132" s="47">
        <f t="shared" si="53"/>
        <v>2941.1273520038931</v>
      </c>
      <c r="AQ132" s="47">
        <f t="shared" si="54"/>
        <v>2803.2825557914352</v>
      </c>
      <c r="AR132" s="43">
        <f t="shared" si="55"/>
        <v>2302.7509435011234</v>
      </c>
      <c r="AY132" s="3"/>
    </row>
    <row r="133" spans="1:51">
      <c r="A133" s="48"/>
      <c r="B133" s="37">
        <f>'13. Desinvesteringen'!B416</f>
        <v>397</v>
      </c>
      <c r="C133" s="48"/>
      <c r="D133" s="48"/>
      <c r="E133" s="48"/>
      <c r="F133" s="354">
        <f>'5. Input GAW-waarde desinv.'!D92</f>
        <v>65069.242178936642</v>
      </c>
      <c r="G133" s="175">
        <f>'13. Desinvesteringen'!D416</f>
        <v>1987</v>
      </c>
      <c r="H133" s="175">
        <f>'13. Desinvesteringen'!G416</f>
        <v>2022</v>
      </c>
      <c r="I133" s="37" t="str">
        <f>'13. Desinvesteringen'!C416</f>
        <v>21 Hoofdtransportleiding</v>
      </c>
      <c r="J133" s="165">
        <f>'13. Desinvesteringen'!F416</f>
        <v>0</v>
      </c>
      <c r="K133" s="38">
        <f>_xlfn.XLOOKUP(I133,'3. Input (des)investeringen '!$B$11:$B$89,'3. Input (des)investeringen '!$E$11:$E$89)</f>
        <v>1</v>
      </c>
      <c r="L133" s="48"/>
      <c r="M133" s="38">
        <f>_xlfn.XLOOKUP(I133,'3. Input (des)investeringen '!$B$11:$B$89,'3. Input (des)investeringen '!$D$11:$D$89,0)</f>
        <v>55</v>
      </c>
      <c r="N133" s="38">
        <f t="shared" si="40"/>
        <v>20.5</v>
      </c>
      <c r="P133" s="43">
        <f t="shared" si="57"/>
        <v>3713.7079682612616</v>
      </c>
      <c r="Q133" s="43">
        <f t="shared" si="57"/>
        <v>3478.2045361276209</v>
      </c>
      <c r="R133" s="43">
        <f t="shared" si="57"/>
        <v>3257.6354679829424</v>
      </c>
      <c r="S133" s="43">
        <f t="shared" si="57"/>
        <v>3051.0537065986582</v>
      </c>
      <c r="T133" s="43">
        <f t="shared" si="57"/>
        <v>2857.572252033865</v>
      </c>
      <c r="V133" s="43">
        <f t="shared" si="35"/>
        <v>317.41093745822758</v>
      </c>
      <c r="W133" s="43">
        <f t="shared" si="36"/>
        <v>317.41093745822758</v>
      </c>
      <c r="X133" s="43">
        <f t="shared" si="37"/>
        <v>317.41093745822758</v>
      </c>
      <c r="Y133" s="43">
        <f t="shared" si="38"/>
        <v>317.41093745822758</v>
      </c>
      <c r="Z133" s="43">
        <f t="shared" si="39"/>
        <v>317.41093745822758</v>
      </c>
      <c r="AB133" s="43">
        <f t="shared" si="41"/>
        <v>4031.1189057194892</v>
      </c>
      <c r="AC133" s="43">
        <f t="shared" si="42"/>
        <v>3795.6154735858486</v>
      </c>
      <c r="AD133" s="43">
        <f t="shared" si="43"/>
        <v>3575.04640544117</v>
      </c>
      <c r="AE133" s="43">
        <f t="shared" si="44"/>
        <v>3368.4646440568858</v>
      </c>
      <c r="AF133" s="43">
        <f t="shared" si="45"/>
        <v>3174.9831894920926</v>
      </c>
      <c r="AH133" s="43">
        <f t="shared" si="46"/>
        <v>61038.123273217156</v>
      </c>
      <c r="AI133" s="43">
        <f t="shared" si="47"/>
        <v>57242.507799631305</v>
      </c>
      <c r="AJ133" s="43">
        <f t="shared" si="48"/>
        <v>53667.461394190133</v>
      </c>
      <c r="AK133" s="43">
        <f t="shared" si="49"/>
        <v>50298.99675013325</v>
      </c>
      <c r="AL133" s="43">
        <f t="shared" si="50"/>
        <v>47124.013560641157</v>
      </c>
      <c r="AN133" s="47">
        <f t="shared" si="51"/>
        <v>6533.6819599213923</v>
      </c>
      <c r="AO133" s="47">
        <f t="shared" si="52"/>
        <v>6714.983371367045</v>
      </c>
      <c r="AP133" s="47">
        <f t="shared" si="53"/>
        <v>6312.0869365448671</v>
      </c>
      <c r="AQ133" s="47">
        <f t="shared" si="54"/>
        <v>6134.9094653142147</v>
      </c>
      <c r="AR133" s="43">
        <f t="shared" si="55"/>
        <v>4965.695704796457</v>
      </c>
      <c r="AY133" s="3"/>
    </row>
    <row r="134" spans="1:51">
      <c r="A134" s="48"/>
      <c r="B134" s="37">
        <f>'13. Desinvesteringen'!B417</f>
        <v>398</v>
      </c>
      <c r="C134" s="48"/>
      <c r="D134" s="48"/>
      <c r="E134" s="48"/>
      <c r="F134" s="354">
        <f>'5. Input GAW-waarde desinv.'!D93</f>
        <v>0</v>
      </c>
      <c r="G134" s="175">
        <f>'13. Desinvesteringen'!D417</f>
        <v>1964</v>
      </c>
      <c r="H134" s="175">
        <f>'13. Desinvesteringen'!G417</f>
        <v>2022</v>
      </c>
      <c r="I134" s="37" t="str">
        <f>'13. Desinvesteringen'!C417</f>
        <v>32 M&amp;R stations</v>
      </c>
      <c r="J134" s="165">
        <f>'13. Desinvesteringen'!F417</f>
        <v>0</v>
      </c>
      <c r="K134" s="38">
        <f>_xlfn.XLOOKUP(I134,'3. Input (des)investeringen '!$B$11:$B$89,'3. Input (des)investeringen '!$E$11:$E$89)</f>
        <v>1</v>
      </c>
      <c r="L134" s="48"/>
      <c r="M134" s="38">
        <f>_xlfn.XLOOKUP(I134,'3. Input (des)investeringen '!$B$11:$B$89,'3. Input (des)investeringen '!$D$11:$D$89,0)</f>
        <v>30</v>
      </c>
      <c r="N134" s="38">
        <f t="shared" si="40"/>
        <v>0</v>
      </c>
      <c r="P134" s="43">
        <f t="shared" si="57"/>
        <v>0</v>
      </c>
      <c r="Q134" s="43">
        <f t="shared" si="57"/>
        <v>0</v>
      </c>
      <c r="R134" s="43">
        <f t="shared" si="57"/>
        <v>0</v>
      </c>
      <c r="S134" s="43">
        <f t="shared" si="57"/>
        <v>0</v>
      </c>
      <c r="T134" s="43">
        <f t="shared" si="57"/>
        <v>0</v>
      </c>
      <c r="V134" s="43">
        <f t="shared" si="35"/>
        <v>0</v>
      </c>
      <c r="W134" s="43">
        <f t="shared" si="36"/>
        <v>0</v>
      </c>
      <c r="X134" s="43">
        <f t="shared" si="37"/>
        <v>0</v>
      </c>
      <c r="Y134" s="43">
        <f t="shared" si="38"/>
        <v>0</v>
      </c>
      <c r="Z134" s="43">
        <f t="shared" si="39"/>
        <v>0</v>
      </c>
      <c r="AB134" s="43">
        <f t="shared" si="41"/>
        <v>0</v>
      </c>
      <c r="AC134" s="43">
        <f t="shared" si="42"/>
        <v>0</v>
      </c>
      <c r="AD134" s="43">
        <f t="shared" si="43"/>
        <v>0</v>
      </c>
      <c r="AE134" s="43">
        <f t="shared" si="44"/>
        <v>0</v>
      </c>
      <c r="AF134" s="43">
        <f t="shared" si="45"/>
        <v>0</v>
      </c>
      <c r="AH134" s="43">
        <f t="shared" si="46"/>
        <v>0</v>
      </c>
      <c r="AI134" s="43">
        <f t="shared" si="47"/>
        <v>0</v>
      </c>
      <c r="AJ134" s="43">
        <f t="shared" si="48"/>
        <v>0</v>
      </c>
      <c r="AK134" s="43">
        <f t="shared" si="49"/>
        <v>0</v>
      </c>
      <c r="AL134" s="43">
        <f t="shared" si="50"/>
        <v>0</v>
      </c>
      <c r="AN134" s="47">
        <f t="shared" si="51"/>
        <v>0</v>
      </c>
      <c r="AO134" s="47">
        <f t="shared" si="52"/>
        <v>0</v>
      </c>
      <c r="AP134" s="47">
        <f t="shared" si="53"/>
        <v>0</v>
      </c>
      <c r="AQ134" s="47">
        <f t="shared" si="54"/>
        <v>0</v>
      </c>
      <c r="AR134" s="43">
        <f t="shared" si="55"/>
        <v>0</v>
      </c>
      <c r="AY134" s="3"/>
    </row>
    <row r="135" spans="1:51">
      <c r="A135" s="48"/>
      <c r="B135" s="37">
        <f>'13. Desinvesteringen'!B418</f>
        <v>399</v>
      </c>
      <c r="C135" s="48"/>
      <c r="D135" s="48"/>
      <c r="E135" s="48"/>
      <c r="F135" s="354">
        <f>'5. Input GAW-waarde desinv.'!D94</f>
        <v>0</v>
      </c>
      <c r="G135" s="175">
        <f>'13. Desinvesteringen'!D418</f>
        <v>1967</v>
      </c>
      <c r="H135" s="175">
        <f>'13. Desinvesteringen'!G418</f>
        <v>2022</v>
      </c>
      <c r="I135" s="37" t="str">
        <f>'13. Desinvesteringen'!C418</f>
        <v>32 M&amp;R stations</v>
      </c>
      <c r="J135" s="165">
        <f>'13. Desinvesteringen'!F418</f>
        <v>0</v>
      </c>
      <c r="K135" s="38">
        <f>_xlfn.XLOOKUP(I135,'3. Input (des)investeringen '!$B$11:$B$89,'3. Input (des)investeringen '!$E$11:$E$89)</f>
        <v>1</v>
      </c>
      <c r="L135" s="48"/>
      <c r="M135" s="38">
        <f>_xlfn.XLOOKUP(I135,'3. Input (des)investeringen '!$B$11:$B$89,'3. Input (des)investeringen '!$D$11:$D$89,0)</f>
        <v>30</v>
      </c>
      <c r="N135" s="38">
        <f t="shared" si="40"/>
        <v>0</v>
      </c>
      <c r="P135" s="43">
        <f t="shared" si="57"/>
        <v>0</v>
      </c>
      <c r="Q135" s="43">
        <f t="shared" si="57"/>
        <v>0</v>
      </c>
      <c r="R135" s="43">
        <f t="shared" si="57"/>
        <v>0</v>
      </c>
      <c r="S135" s="43">
        <f t="shared" si="57"/>
        <v>0</v>
      </c>
      <c r="T135" s="43">
        <f t="shared" si="57"/>
        <v>0</v>
      </c>
      <c r="V135" s="43">
        <f t="shared" si="35"/>
        <v>0</v>
      </c>
      <c r="W135" s="43">
        <f t="shared" si="36"/>
        <v>0</v>
      </c>
      <c r="X135" s="43">
        <f t="shared" si="37"/>
        <v>0</v>
      </c>
      <c r="Y135" s="43">
        <f t="shared" si="38"/>
        <v>0</v>
      </c>
      <c r="Z135" s="43">
        <f t="shared" si="39"/>
        <v>0</v>
      </c>
      <c r="AB135" s="43">
        <f t="shared" si="41"/>
        <v>0</v>
      </c>
      <c r="AC135" s="43">
        <f t="shared" si="42"/>
        <v>0</v>
      </c>
      <c r="AD135" s="43">
        <f t="shared" si="43"/>
        <v>0</v>
      </c>
      <c r="AE135" s="43">
        <f t="shared" si="44"/>
        <v>0</v>
      </c>
      <c r="AF135" s="43">
        <f t="shared" si="45"/>
        <v>0</v>
      </c>
      <c r="AH135" s="43">
        <f t="shared" si="46"/>
        <v>0</v>
      </c>
      <c r="AI135" s="43">
        <f t="shared" si="47"/>
        <v>0</v>
      </c>
      <c r="AJ135" s="43">
        <f t="shared" si="48"/>
        <v>0</v>
      </c>
      <c r="AK135" s="43">
        <f t="shared" si="49"/>
        <v>0</v>
      </c>
      <c r="AL135" s="43">
        <f t="shared" si="50"/>
        <v>0</v>
      </c>
      <c r="AN135" s="47">
        <f t="shared" si="51"/>
        <v>0</v>
      </c>
      <c r="AO135" s="47">
        <f t="shared" si="52"/>
        <v>0</v>
      </c>
      <c r="AP135" s="47">
        <f t="shared" si="53"/>
        <v>0</v>
      </c>
      <c r="AQ135" s="47">
        <f t="shared" si="54"/>
        <v>0</v>
      </c>
      <c r="AR135" s="43">
        <f t="shared" si="55"/>
        <v>0</v>
      </c>
      <c r="AY135" s="3"/>
    </row>
    <row r="136" spans="1:51">
      <c r="A136" s="48"/>
      <c r="B136" s="37">
        <f>'13. Desinvesteringen'!B419</f>
        <v>400</v>
      </c>
      <c r="C136" s="48"/>
      <c r="D136" s="48"/>
      <c r="E136" s="48"/>
      <c r="F136" s="354">
        <f>'5. Input GAW-waarde desinv.'!D95</f>
        <v>0</v>
      </c>
      <c r="G136" s="175">
        <f>'13. Desinvesteringen'!D419</f>
        <v>1968</v>
      </c>
      <c r="H136" s="175">
        <f>'13. Desinvesteringen'!G419</f>
        <v>2022</v>
      </c>
      <c r="I136" s="37" t="str">
        <f>'13. Desinvesteringen'!C419</f>
        <v>32 M&amp;R stations</v>
      </c>
      <c r="J136" s="165">
        <f>'13. Desinvesteringen'!F419</f>
        <v>0</v>
      </c>
      <c r="K136" s="38">
        <f>_xlfn.XLOOKUP(I136,'3. Input (des)investeringen '!$B$11:$B$89,'3. Input (des)investeringen '!$E$11:$E$89)</f>
        <v>1</v>
      </c>
      <c r="L136" s="48"/>
      <c r="M136" s="38">
        <f>_xlfn.XLOOKUP(I136,'3. Input (des)investeringen '!$B$11:$B$89,'3. Input (des)investeringen '!$D$11:$D$89,0)</f>
        <v>30</v>
      </c>
      <c r="N136" s="38">
        <f t="shared" si="40"/>
        <v>0</v>
      </c>
      <c r="P136" s="43">
        <f t="shared" si="57"/>
        <v>0</v>
      </c>
      <c r="Q136" s="43">
        <f t="shared" si="57"/>
        <v>0</v>
      </c>
      <c r="R136" s="43">
        <f t="shared" si="57"/>
        <v>0</v>
      </c>
      <c r="S136" s="43">
        <f t="shared" si="57"/>
        <v>0</v>
      </c>
      <c r="T136" s="43">
        <f t="shared" si="57"/>
        <v>0</v>
      </c>
      <c r="V136" s="43">
        <f t="shared" si="35"/>
        <v>0</v>
      </c>
      <c r="W136" s="43">
        <f t="shared" si="36"/>
        <v>0</v>
      </c>
      <c r="X136" s="43">
        <f t="shared" si="37"/>
        <v>0</v>
      </c>
      <c r="Y136" s="43">
        <f t="shared" si="38"/>
        <v>0</v>
      </c>
      <c r="Z136" s="43">
        <f t="shared" si="39"/>
        <v>0</v>
      </c>
      <c r="AB136" s="43">
        <f t="shared" si="41"/>
        <v>0</v>
      </c>
      <c r="AC136" s="43">
        <f t="shared" si="42"/>
        <v>0</v>
      </c>
      <c r="AD136" s="43">
        <f t="shared" si="43"/>
        <v>0</v>
      </c>
      <c r="AE136" s="43">
        <f t="shared" si="44"/>
        <v>0</v>
      </c>
      <c r="AF136" s="43">
        <f t="shared" si="45"/>
        <v>0</v>
      </c>
      <c r="AH136" s="43">
        <f t="shared" si="46"/>
        <v>0</v>
      </c>
      <c r="AI136" s="43">
        <f t="shared" si="47"/>
        <v>0</v>
      </c>
      <c r="AJ136" s="43">
        <f t="shared" si="48"/>
        <v>0</v>
      </c>
      <c r="AK136" s="43">
        <f t="shared" si="49"/>
        <v>0</v>
      </c>
      <c r="AL136" s="43">
        <f t="shared" si="50"/>
        <v>0</v>
      </c>
      <c r="AN136" s="47">
        <f t="shared" si="51"/>
        <v>0</v>
      </c>
      <c r="AO136" s="47">
        <f t="shared" si="52"/>
        <v>0</v>
      </c>
      <c r="AP136" s="47">
        <f t="shared" si="53"/>
        <v>0</v>
      </c>
      <c r="AQ136" s="47">
        <f t="shared" si="54"/>
        <v>0</v>
      </c>
      <c r="AR136" s="43">
        <f t="shared" si="55"/>
        <v>0</v>
      </c>
      <c r="AY136" s="3"/>
    </row>
    <row r="137" spans="1:51">
      <c r="A137" s="48"/>
      <c r="B137" s="37">
        <f>'13. Desinvesteringen'!B420</f>
        <v>401</v>
      </c>
      <c r="C137" s="48"/>
      <c r="D137" s="48"/>
      <c r="E137" s="48"/>
      <c r="F137" s="354">
        <f>'5. Input GAW-waarde desinv.'!D96</f>
        <v>0</v>
      </c>
      <c r="G137" s="175">
        <f>'13. Desinvesteringen'!D420</f>
        <v>1969</v>
      </c>
      <c r="H137" s="175">
        <f>'13. Desinvesteringen'!G420</f>
        <v>2022</v>
      </c>
      <c r="I137" s="37" t="str">
        <f>'13. Desinvesteringen'!C420</f>
        <v>32 M&amp;R stations</v>
      </c>
      <c r="J137" s="165">
        <f>'13. Desinvesteringen'!F420</f>
        <v>0</v>
      </c>
      <c r="K137" s="38">
        <f>_xlfn.XLOOKUP(I137,'3. Input (des)investeringen '!$B$11:$B$89,'3. Input (des)investeringen '!$E$11:$E$89)</f>
        <v>1</v>
      </c>
      <c r="L137" s="48"/>
      <c r="M137" s="38">
        <f>_xlfn.XLOOKUP(I137,'3. Input (des)investeringen '!$B$11:$B$89,'3. Input (des)investeringen '!$D$11:$D$89,0)</f>
        <v>30</v>
      </c>
      <c r="N137" s="38">
        <f t="shared" si="40"/>
        <v>0</v>
      </c>
      <c r="P137" s="43">
        <f t="shared" si="57"/>
        <v>0</v>
      </c>
      <c r="Q137" s="43">
        <f t="shared" si="57"/>
        <v>0</v>
      </c>
      <c r="R137" s="43">
        <f t="shared" si="57"/>
        <v>0</v>
      </c>
      <c r="S137" s="43">
        <f t="shared" si="57"/>
        <v>0</v>
      </c>
      <c r="T137" s="43">
        <f t="shared" si="57"/>
        <v>0</v>
      </c>
      <c r="V137" s="43">
        <f t="shared" si="35"/>
        <v>0</v>
      </c>
      <c r="W137" s="43">
        <f t="shared" si="36"/>
        <v>0</v>
      </c>
      <c r="X137" s="43">
        <f t="shared" si="37"/>
        <v>0</v>
      </c>
      <c r="Y137" s="43">
        <f t="shared" si="38"/>
        <v>0</v>
      </c>
      <c r="Z137" s="43">
        <f t="shared" si="39"/>
        <v>0</v>
      </c>
      <c r="AB137" s="43">
        <f t="shared" si="41"/>
        <v>0</v>
      </c>
      <c r="AC137" s="43">
        <f t="shared" si="42"/>
        <v>0</v>
      </c>
      <c r="AD137" s="43">
        <f t="shared" si="43"/>
        <v>0</v>
      </c>
      <c r="AE137" s="43">
        <f t="shared" si="44"/>
        <v>0</v>
      </c>
      <c r="AF137" s="43">
        <f t="shared" si="45"/>
        <v>0</v>
      </c>
      <c r="AH137" s="43">
        <f t="shared" si="46"/>
        <v>0</v>
      </c>
      <c r="AI137" s="43">
        <f t="shared" si="47"/>
        <v>0</v>
      </c>
      <c r="AJ137" s="43">
        <f t="shared" si="48"/>
        <v>0</v>
      </c>
      <c r="AK137" s="43">
        <f t="shared" si="49"/>
        <v>0</v>
      </c>
      <c r="AL137" s="43">
        <f t="shared" si="50"/>
        <v>0</v>
      </c>
      <c r="AN137" s="47">
        <f t="shared" si="51"/>
        <v>0</v>
      </c>
      <c r="AO137" s="47">
        <f t="shared" si="52"/>
        <v>0</v>
      </c>
      <c r="AP137" s="47">
        <f t="shared" si="53"/>
        <v>0</v>
      </c>
      <c r="AQ137" s="47">
        <f t="shared" si="54"/>
        <v>0</v>
      </c>
      <c r="AR137" s="43">
        <f t="shared" si="55"/>
        <v>0</v>
      </c>
      <c r="AY137" s="3"/>
    </row>
    <row r="138" spans="1:51">
      <c r="A138" s="48"/>
      <c r="B138" s="37">
        <f>'13. Desinvesteringen'!B421</f>
        <v>402</v>
      </c>
      <c r="C138" s="48"/>
      <c r="D138" s="48"/>
      <c r="E138" s="48"/>
      <c r="F138" s="354">
        <f>'5. Input GAW-waarde desinv.'!D97</f>
        <v>0</v>
      </c>
      <c r="G138" s="175">
        <f>'13. Desinvesteringen'!D421</f>
        <v>1972</v>
      </c>
      <c r="H138" s="175">
        <f>'13. Desinvesteringen'!G421</f>
        <v>2022</v>
      </c>
      <c r="I138" s="37" t="str">
        <f>'13. Desinvesteringen'!C421</f>
        <v>32 M&amp;R stations</v>
      </c>
      <c r="J138" s="165">
        <f>'13. Desinvesteringen'!F421</f>
        <v>0</v>
      </c>
      <c r="K138" s="38">
        <f>_xlfn.XLOOKUP(I138,'3. Input (des)investeringen '!$B$11:$B$89,'3. Input (des)investeringen '!$E$11:$E$89)</f>
        <v>1</v>
      </c>
      <c r="L138" s="48"/>
      <c r="M138" s="38">
        <f>_xlfn.XLOOKUP(I138,'3. Input (des)investeringen '!$B$11:$B$89,'3. Input (des)investeringen '!$D$11:$D$89,0)</f>
        <v>30</v>
      </c>
      <c r="N138" s="38">
        <f t="shared" si="40"/>
        <v>0</v>
      </c>
      <c r="P138" s="43">
        <f t="shared" si="57"/>
        <v>0</v>
      </c>
      <c r="Q138" s="43">
        <f t="shared" si="57"/>
        <v>0</v>
      </c>
      <c r="R138" s="43">
        <f t="shared" si="57"/>
        <v>0</v>
      </c>
      <c r="S138" s="43">
        <f t="shared" si="57"/>
        <v>0</v>
      </c>
      <c r="T138" s="43">
        <f t="shared" si="57"/>
        <v>0</v>
      </c>
      <c r="V138" s="43">
        <f t="shared" si="35"/>
        <v>0</v>
      </c>
      <c r="W138" s="43">
        <f t="shared" si="36"/>
        <v>0</v>
      </c>
      <c r="X138" s="43">
        <f t="shared" si="37"/>
        <v>0</v>
      </c>
      <c r="Y138" s="43">
        <f t="shared" si="38"/>
        <v>0</v>
      </c>
      <c r="Z138" s="43">
        <f t="shared" si="39"/>
        <v>0</v>
      </c>
      <c r="AB138" s="43">
        <f t="shared" si="41"/>
        <v>0</v>
      </c>
      <c r="AC138" s="43">
        <f t="shared" si="42"/>
        <v>0</v>
      </c>
      <c r="AD138" s="43">
        <f t="shared" si="43"/>
        <v>0</v>
      </c>
      <c r="AE138" s="43">
        <f t="shared" si="44"/>
        <v>0</v>
      </c>
      <c r="AF138" s="43">
        <f t="shared" si="45"/>
        <v>0</v>
      </c>
      <c r="AH138" s="43">
        <f t="shared" si="46"/>
        <v>0</v>
      </c>
      <c r="AI138" s="43">
        <f t="shared" si="47"/>
        <v>0</v>
      </c>
      <c r="AJ138" s="43">
        <f t="shared" si="48"/>
        <v>0</v>
      </c>
      <c r="AK138" s="43">
        <f t="shared" si="49"/>
        <v>0</v>
      </c>
      <c r="AL138" s="43">
        <f t="shared" si="50"/>
        <v>0</v>
      </c>
      <c r="AN138" s="47">
        <f t="shared" si="51"/>
        <v>0</v>
      </c>
      <c r="AO138" s="47">
        <f t="shared" si="52"/>
        <v>0</v>
      </c>
      <c r="AP138" s="47">
        <f t="shared" si="53"/>
        <v>0</v>
      </c>
      <c r="AQ138" s="47">
        <f t="shared" si="54"/>
        <v>0</v>
      </c>
      <c r="AR138" s="43">
        <f t="shared" si="55"/>
        <v>0</v>
      </c>
      <c r="AY138" s="3"/>
    </row>
    <row r="139" spans="1:51">
      <c r="A139" s="48"/>
      <c r="B139" s="37">
        <f>'13. Desinvesteringen'!B422</f>
        <v>403</v>
      </c>
      <c r="C139" s="48"/>
      <c r="D139" s="48"/>
      <c r="E139" s="48"/>
      <c r="F139" s="354">
        <f>'5. Input GAW-waarde desinv.'!D98</f>
        <v>0</v>
      </c>
      <c r="G139" s="175">
        <f>'13. Desinvesteringen'!D422</f>
        <v>1974</v>
      </c>
      <c r="H139" s="175">
        <f>'13. Desinvesteringen'!G422</f>
        <v>2022</v>
      </c>
      <c r="I139" s="37" t="str">
        <f>'13. Desinvesteringen'!C422</f>
        <v>32 M&amp;R stations</v>
      </c>
      <c r="J139" s="165">
        <f>'13. Desinvesteringen'!F422</f>
        <v>0</v>
      </c>
      <c r="K139" s="38">
        <f>_xlfn.XLOOKUP(I139,'3. Input (des)investeringen '!$B$11:$B$89,'3. Input (des)investeringen '!$E$11:$E$89)</f>
        <v>1</v>
      </c>
      <c r="L139" s="48"/>
      <c r="M139" s="38">
        <f>_xlfn.XLOOKUP(I139,'3. Input (des)investeringen '!$B$11:$B$89,'3. Input (des)investeringen '!$D$11:$D$89,0)</f>
        <v>30</v>
      </c>
      <c r="N139" s="38">
        <f t="shared" si="40"/>
        <v>0</v>
      </c>
      <c r="P139" s="43">
        <f t="shared" si="57"/>
        <v>0</v>
      </c>
      <c r="Q139" s="43">
        <f t="shared" si="57"/>
        <v>0</v>
      </c>
      <c r="R139" s="43">
        <f t="shared" si="57"/>
        <v>0</v>
      </c>
      <c r="S139" s="43">
        <f t="shared" si="57"/>
        <v>0</v>
      </c>
      <c r="T139" s="43">
        <f t="shared" si="57"/>
        <v>0</v>
      </c>
      <c r="V139" s="43">
        <f t="shared" si="35"/>
        <v>0</v>
      </c>
      <c r="W139" s="43">
        <f t="shared" si="36"/>
        <v>0</v>
      </c>
      <c r="X139" s="43">
        <f t="shared" si="37"/>
        <v>0</v>
      </c>
      <c r="Y139" s="43">
        <f t="shared" si="38"/>
        <v>0</v>
      </c>
      <c r="Z139" s="43">
        <f t="shared" si="39"/>
        <v>0</v>
      </c>
      <c r="AB139" s="43">
        <f t="shared" si="41"/>
        <v>0</v>
      </c>
      <c r="AC139" s="43">
        <f t="shared" si="42"/>
        <v>0</v>
      </c>
      <c r="AD139" s="43">
        <f t="shared" si="43"/>
        <v>0</v>
      </c>
      <c r="AE139" s="43">
        <f t="shared" si="44"/>
        <v>0</v>
      </c>
      <c r="AF139" s="43">
        <f t="shared" si="45"/>
        <v>0</v>
      </c>
      <c r="AH139" s="43">
        <f t="shared" si="46"/>
        <v>0</v>
      </c>
      <c r="AI139" s="43">
        <f t="shared" si="47"/>
        <v>0</v>
      </c>
      <c r="AJ139" s="43">
        <f t="shared" si="48"/>
        <v>0</v>
      </c>
      <c r="AK139" s="43">
        <f t="shared" si="49"/>
        <v>0</v>
      </c>
      <c r="AL139" s="43">
        <f t="shared" si="50"/>
        <v>0</v>
      </c>
      <c r="AN139" s="47">
        <f t="shared" si="51"/>
        <v>0</v>
      </c>
      <c r="AO139" s="47">
        <f t="shared" si="52"/>
        <v>0</v>
      </c>
      <c r="AP139" s="47">
        <f t="shared" si="53"/>
        <v>0</v>
      </c>
      <c r="AQ139" s="47">
        <f t="shared" si="54"/>
        <v>0</v>
      </c>
      <c r="AR139" s="43">
        <f t="shared" si="55"/>
        <v>0</v>
      </c>
      <c r="AY139" s="3"/>
    </row>
    <row r="140" spans="1:51">
      <c r="A140" s="48"/>
      <c r="B140" s="37">
        <f>'13. Desinvesteringen'!B423</f>
        <v>404</v>
      </c>
      <c r="C140" s="48"/>
      <c r="D140" s="48"/>
      <c r="E140" s="48"/>
      <c r="F140" s="354">
        <f>'5. Input GAW-waarde desinv.'!D99</f>
        <v>0</v>
      </c>
      <c r="G140" s="175">
        <f>'13. Desinvesteringen'!D423</f>
        <v>1978</v>
      </c>
      <c r="H140" s="175">
        <f>'13. Desinvesteringen'!G423</f>
        <v>2022</v>
      </c>
      <c r="I140" s="37" t="str">
        <f>'13. Desinvesteringen'!C423</f>
        <v>32 M&amp;R stations</v>
      </c>
      <c r="J140" s="165">
        <f>'13. Desinvesteringen'!F423</f>
        <v>0</v>
      </c>
      <c r="K140" s="38">
        <f>_xlfn.XLOOKUP(I140,'3. Input (des)investeringen '!$B$11:$B$89,'3. Input (des)investeringen '!$E$11:$E$89)</f>
        <v>1</v>
      </c>
      <c r="L140" s="48"/>
      <c r="M140" s="38">
        <f>_xlfn.XLOOKUP(I140,'3. Input (des)investeringen '!$B$11:$B$89,'3. Input (des)investeringen '!$D$11:$D$89,0)</f>
        <v>30</v>
      </c>
      <c r="N140" s="38">
        <f t="shared" si="40"/>
        <v>0</v>
      </c>
      <c r="P140" s="43">
        <f t="shared" si="57"/>
        <v>0</v>
      </c>
      <c r="Q140" s="43">
        <f t="shared" si="57"/>
        <v>0</v>
      </c>
      <c r="R140" s="43">
        <f t="shared" si="57"/>
        <v>0</v>
      </c>
      <c r="S140" s="43">
        <f t="shared" si="57"/>
        <v>0</v>
      </c>
      <c r="T140" s="43">
        <f t="shared" si="57"/>
        <v>0</v>
      </c>
      <c r="V140" s="43">
        <f t="shared" si="35"/>
        <v>0</v>
      </c>
      <c r="W140" s="43">
        <f t="shared" si="36"/>
        <v>0</v>
      </c>
      <c r="X140" s="43">
        <f t="shared" si="37"/>
        <v>0</v>
      </c>
      <c r="Y140" s="43">
        <f t="shared" si="38"/>
        <v>0</v>
      </c>
      <c r="Z140" s="43">
        <f t="shared" si="39"/>
        <v>0</v>
      </c>
      <c r="AB140" s="43">
        <f t="shared" si="41"/>
        <v>0</v>
      </c>
      <c r="AC140" s="43">
        <f t="shared" si="42"/>
        <v>0</v>
      </c>
      <c r="AD140" s="43">
        <f t="shared" si="43"/>
        <v>0</v>
      </c>
      <c r="AE140" s="43">
        <f t="shared" si="44"/>
        <v>0</v>
      </c>
      <c r="AF140" s="43">
        <f t="shared" si="45"/>
        <v>0</v>
      </c>
      <c r="AH140" s="43">
        <f t="shared" si="46"/>
        <v>0</v>
      </c>
      <c r="AI140" s="43">
        <f t="shared" si="47"/>
        <v>0</v>
      </c>
      <c r="AJ140" s="43">
        <f t="shared" si="48"/>
        <v>0</v>
      </c>
      <c r="AK140" s="43">
        <f t="shared" si="49"/>
        <v>0</v>
      </c>
      <c r="AL140" s="43">
        <f t="shared" si="50"/>
        <v>0</v>
      </c>
      <c r="AN140" s="47">
        <f t="shared" si="51"/>
        <v>0</v>
      </c>
      <c r="AO140" s="47">
        <f t="shared" si="52"/>
        <v>0</v>
      </c>
      <c r="AP140" s="47">
        <f t="shared" si="53"/>
        <v>0</v>
      </c>
      <c r="AQ140" s="47">
        <f t="shared" si="54"/>
        <v>0</v>
      </c>
      <c r="AR140" s="43">
        <f t="shared" si="55"/>
        <v>0</v>
      </c>
      <c r="AY140" s="3"/>
    </row>
    <row r="141" spans="1:51">
      <c r="A141" s="48"/>
      <c r="B141" s="37">
        <f>'13. Desinvesteringen'!B424</f>
        <v>405</v>
      </c>
      <c r="C141" s="48"/>
      <c r="D141" s="48"/>
      <c r="E141" s="48"/>
      <c r="F141" s="354">
        <f>'5. Input GAW-waarde desinv.'!D100</f>
        <v>3006.4882057138966</v>
      </c>
      <c r="G141" s="175">
        <f>'13. Desinvesteringen'!D424</f>
        <v>1995</v>
      </c>
      <c r="H141" s="175">
        <f>'13. Desinvesteringen'!G424</f>
        <v>2022</v>
      </c>
      <c r="I141" s="37" t="str">
        <f>'13. Desinvesteringen'!C424</f>
        <v>32 M&amp;R stations</v>
      </c>
      <c r="J141" s="165">
        <f>'13. Desinvesteringen'!F424</f>
        <v>0</v>
      </c>
      <c r="K141" s="38">
        <f>_xlfn.XLOOKUP(I141,'3. Input (des)investeringen '!$B$11:$B$89,'3. Input (des)investeringen '!$E$11:$E$89)</f>
        <v>1</v>
      </c>
      <c r="L141" s="48"/>
      <c r="M141" s="38">
        <f>_xlfn.XLOOKUP(I141,'3. Input (des)investeringen '!$B$11:$B$89,'3. Input (des)investeringen '!$D$11:$D$89,0)</f>
        <v>30</v>
      </c>
      <c r="N141" s="38">
        <f t="shared" si="40"/>
        <v>3.5</v>
      </c>
      <c r="P141" s="43">
        <f t="shared" si="57"/>
        <v>1005.0260573386455</v>
      </c>
      <c r="Q141" s="43">
        <f t="shared" si="57"/>
        <v>680.32533112154454</v>
      </c>
      <c r="R141" s="43">
        <f t="shared" si="57"/>
        <v>680.32533112154454</v>
      </c>
      <c r="S141" s="43">
        <f t="shared" si="57"/>
        <v>340.16266556077227</v>
      </c>
      <c r="T141" s="43">
        <f t="shared" si="57"/>
        <v>0</v>
      </c>
      <c r="V141" s="43">
        <f t="shared" si="35"/>
        <v>85.899663020397043</v>
      </c>
      <c r="W141" s="43">
        <f t="shared" si="36"/>
        <v>85.899663020397057</v>
      </c>
      <c r="X141" s="43">
        <f t="shared" si="37"/>
        <v>85.899663020397057</v>
      </c>
      <c r="Y141" s="43">
        <f t="shared" si="38"/>
        <v>42.949831510198528</v>
      </c>
      <c r="Z141" s="43">
        <f t="shared" si="39"/>
        <v>0</v>
      </c>
      <c r="AB141" s="43">
        <f t="shared" si="41"/>
        <v>1090.9257203590425</v>
      </c>
      <c r="AC141" s="43">
        <f t="shared" si="42"/>
        <v>766.22499414194158</v>
      </c>
      <c r="AD141" s="43">
        <f t="shared" si="43"/>
        <v>766.22499414194158</v>
      </c>
      <c r="AE141" s="43">
        <f t="shared" si="44"/>
        <v>383.11249707097079</v>
      </c>
      <c r="AF141" s="43">
        <f t="shared" si="45"/>
        <v>0</v>
      </c>
      <c r="AH141" s="43">
        <f t="shared" si="46"/>
        <v>1915.5624853548541</v>
      </c>
      <c r="AI141" s="43">
        <f t="shared" si="47"/>
        <v>1149.3374912129125</v>
      </c>
      <c r="AJ141" s="43">
        <f t="shared" si="48"/>
        <v>383.1124970709709</v>
      </c>
      <c r="AK141" s="43">
        <f t="shared" si="49"/>
        <v>0</v>
      </c>
      <c r="AL141" s="43">
        <f t="shared" si="50"/>
        <v>0</v>
      </c>
      <c r="AN141" s="47">
        <f t="shared" si="51"/>
        <v>1169.4637822585917</v>
      </c>
      <c r="AO141" s="47">
        <f t="shared" si="52"/>
        <v>824.84120619380008</v>
      </c>
      <c r="AP141" s="47">
        <f t="shared" si="53"/>
        <v>785.76373149256108</v>
      </c>
      <c r="AQ141" s="47">
        <f t="shared" si="54"/>
        <v>383.11249707097079</v>
      </c>
      <c r="AR141" s="43">
        <f t="shared" si="55"/>
        <v>0</v>
      </c>
      <c r="AY141" s="3"/>
    </row>
    <row r="142" spans="1:51">
      <c r="A142" s="48"/>
      <c r="B142" s="37">
        <f>'13. Desinvesteringen'!B425</f>
        <v>406</v>
      </c>
      <c r="C142" s="48"/>
      <c r="D142" s="48"/>
      <c r="E142" s="48"/>
      <c r="F142" s="354">
        <f>'5. Input GAW-waarde desinv.'!D101</f>
        <v>303439.87492153718</v>
      </c>
      <c r="G142" s="175">
        <f>'13. Desinvesteringen'!D425</f>
        <v>2012</v>
      </c>
      <c r="H142" s="175">
        <f>'13. Desinvesteringen'!G425</f>
        <v>2022</v>
      </c>
      <c r="I142" s="37" t="str">
        <f>'13. Desinvesteringen'!C425</f>
        <v>32 M&amp;R stations</v>
      </c>
      <c r="J142" s="165">
        <f>'13. Desinvesteringen'!F425</f>
        <v>0</v>
      </c>
      <c r="K142" s="38">
        <f>_xlfn.XLOOKUP(I142,'3. Input (des)investeringen '!$B$11:$B$89,'3. Input (des)investeringen '!$E$11:$E$89)</f>
        <v>1</v>
      </c>
      <c r="L142" s="48"/>
      <c r="M142" s="38">
        <f>_xlfn.XLOOKUP(I142,'3. Input (des)investeringen '!$B$11:$B$89,'3. Input (des)investeringen '!$D$11:$D$89,0)</f>
        <v>30</v>
      </c>
      <c r="N142" s="38">
        <f t="shared" si="40"/>
        <v>20.5</v>
      </c>
      <c r="P142" s="43">
        <f t="shared" ref="P142:T151" si="58">IF($M142&gt;0, IF(OR($G142&gt;P$50,$G142+$M142&lt;P$50),0,
VDB($F142,0,$N142,MAX(0,P$50-2022),MIN($N142,P$50-2021),$F$23,FALSE))*(1-$F$26), 0)</f>
        <v>17318.275788204806</v>
      </c>
      <c r="Q142" s="43">
        <f t="shared" si="58"/>
        <v>16220.043665050354</v>
      </c>
      <c r="R142" s="43">
        <f t="shared" si="58"/>
        <v>15191.455530193502</v>
      </c>
      <c r="S142" s="43">
        <f t="shared" si="58"/>
        <v>14228.094935595866</v>
      </c>
      <c r="T142" s="43">
        <f t="shared" si="58"/>
        <v>13325.825500655641</v>
      </c>
      <c r="V142" s="43">
        <f t="shared" si="35"/>
        <v>1480.1945118123767</v>
      </c>
      <c r="W142" s="43">
        <f t="shared" si="36"/>
        <v>1480.1945118123765</v>
      </c>
      <c r="X142" s="43">
        <f t="shared" si="37"/>
        <v>1480.1945118123765</v>
      </c>
      <c r="Y142" s="43">
        <f t="shared" si="38"/>
        <v>1480.1945118123765</v>
      </c>
      <c r="Z142" s="43">
        <f t="shared" si="39"/>
        <v>1480.1945118123765</v>
      </c>
      <c r="AB142" s="43">
        <f t="shared" si="41"/>
        <v>18798.470300017183</v>
      </c>
      <c r="AC142" s="43">
        <f t="shared" si="42"/>
        <v>17700.238176862731</v>
      </c>
      <c r="AD142" s="43">
        <f t="shared" si="43"/>
        <v>16671.650042005876</v>
      </c>
      <c r="AE142" s="43">
        <f t="shared" si="44"/>
        <v>15708.289447408242</v>
      </c>
      <c r="AF142" s="43">
        <f t="shared" si="45"/>
        <v>14806.020012468018</v>
      </c>
      <c r="AH142" s="43">
        <f t="shared" si="46"/>
        <v>284641.40462152002</v>
      </c>
      <c r="AI142" s="43">
        <f t="shared" si="47"/>
        <v>266941.16644465731</v>
      </c>
      <c r="AJ142" s="43">
        <f t="shared" si="48"/>
        <v>250269.51640265144</v>
      </c>
      <c r="AK142" s="43">
        <f t="shared" si="49"/>
        <v>234561.22695524321</v>
      </c>
      <c r="AL142" s="43">
        <f t="shared" si="50"/>
        <v>219755.2069427752</v>
      </c>
      <c r="AN142" s="47">
        <f t="shared" si="51"/>
        <v>30468.767889499504</v>
      </c>
      <c r="AO142" s="47">
        <f t="shared" si="52"/>
        <v>31314.237665540255</v>
      </c>
      <c r="AP142" s="47">
        <f t="shared" si="53"/>
        <v>29435.395378541099</v>
      </c>
      <c r="AQ142" s="47">
        <f t="shared" si="54"/>
        <v>28609.156929946621</v>
      </c>
      <c r="AR142" s="43">
        <f t="shared" si="55"/>
        <v>23156.717876293475</v>
      </c>
      <c r="AY142" s="3"/>
    </row>
    <row r="143" spans="1:51">
      <c r="A143" s="48"/>
      <c r="B143" s="37">
        <f>'13. Desinvesteringen'!B426</f>
        <v>407</v>
      </c>
      <c r="C143" s="48"/>
      <c r="D143" s="48"/>
      <c r="E143" s="48"/>
      <c r="F143" s="354">
        <f>'5. Input GAW-waarde desinv.'!D102</f>
        <v>0</v>
      </c>
      <c r="G143" s="175">
        <f>'13. Desinvesteringen'!D426</f>
        <v>1986</v>
      </c>
      <c r="H143" s="175">
        <f>'13. Desinvesteringen'!G426</f>
        <v>2022</v>
      </c>
      <c r="I143" s="37" t="str">
        <f>'13. Desinvesteringen'!C426</f>
        <v>34 Reduceerstations</v>
      </c>
      <c r="J143" s="165">
        <f>'13. Desinvesteringen'!F426</f>
        <v>0</v>
      </c>
      <c r="K143" s="38">
        <f>_xlfn.XLOOKUP(I143,'3. Input (des)investeringen '!$B$11:$B$89,'3. Input (des)investeringen '!$E$11:$E$89)</f>
        <v>1</v>
      </c>
      <c r="L143" s="48"/>
      <c r="M143" s="38">
        <f>_xlfn.XLOOKUP(I143,'3. Input (des)investeringen '!$B$11:$B$89,'3. Input (des)investeringen '!$D$11:$D$89,0)</f>
        <v>30</v>
      </c>
      <c r="N143" s="38">
        <f t="shared" si="40"/>
        <v>0</v>
      </c>
      <c r="P143" s="43">
        <f t="shared" si="58"/>
        <v>0</v>
      </c>
      <c r="Q143" s="43">
        <f t="shared" si="58"/>
        <v>0</v>
      </c>
      <c r="R143" s="43">
        <f t="shared" si="58"/>
        <v>0</v>
      </c>
      <c r="S143" s="43">
        <f t="shared" si="58"/>
        <v>0</v>
      </c>
      <c r="T143" s="43">
        <f t="shared" si="58"/>
        <v>0</v>
      </c>
      <c r="V143" s="43">
        <f t="shared" si="35"/>
        <v>0</v>
      </c>
      <c r="W143" s="43">
        <f t="shared" si="36"/>
        <v>0</v>
      </c>
      <c r="X143" s="43">
        <f t="shared" si="37"/>
        <v>0</v>
      </c>
      <c r="Y143" s="43">
        <f t="shared" si="38"/>
        <v>0</v>
      </c>
      <c r="Z143" s="43">
        <f t="shared" si="39"/>
        <v>0</v>
      </c>
      <c r="AB143" s="43">
        <f t="shared" si="41"/>
        <v>0</v>
      </c>
      <c r="AC143" s="43">
        <f t="shared" si="42"/>
        <v>0</v>
      </c>
      <c r="AD143" s="43">
        <f t="shared" si="43"/>
        <v>0</v>
      </c>
      <c r="AE143" s="43">
        <f t="shared" si="44"/>
        <v>0</v>
      </c>
      <c r="AF143" s="43">
        <f t="shared" si="45"/>
        <v>0</v>
      </c>
      <c r="AH143" s="43">
        <f t="shared" si="46"/>
        <v>0</v>
      </c>
      <c r="AI143" s="43">
        <f t="shared" si="47"/>
        <v>0</v>
      </c>
      <c r="AJ143" s="43">
        <f t="shared" si="48"/>
        <v>0</v>
      </c>
      <c r="AK143" s="43">
        <f t="shared" si="49"/>
        <v>0</v>
      </c>
      <c r="AL143" s="43">
        <f t="shared" si="50"/>
        <v>0</v>
      </c>
      <c r="AN143" s="47">
        <f t="shared" si="51"/>
        <v>0</v>
      </c>
      <c r="AO143" s="47">
        <f t="shared" si="52"/>
        <v>0</v>
      </c>
      <c r="AP143" s="47">
        <f t="shared" si="53"/>
        <v>0</v>
      </c>
      <c r="AQ143" s="47">
        <f t="shared" si="54"/>
        <v>0</v>
      </c>
      <c r="AR143" s="43">
        <f t="shared" si="55"/>
        <v>0</v>
      </c>
      <c r="AY143" s="3"/>
    </row>
    <row r="144" spans="1:51">
      <c r="A144" s="226"/>
      <c r="B144" s="37">
        <f>'13. Desinvesteringen'!B427</f>
        <v>408</v>
      </c>
      <c r="C144" s="48"/>
      <c r="D144" s="48"/>
      <c r="E144" s="48"/>
      <c r="F144" s="354">
        <f>'5. Input GAW-waarde desinv.'!D103</f>
        <v>0</v>
      </c>
      <c r="G144" s="175">
        <f>'13. Desinvesteringen'!D427</f>
        <v>1954</v>
      </c>
      <c r="H144" s="175">
        <f>'13. Desinvesteringen'!G427</f>
        <v>2023</v>
      </c>
      <c r="I144" s="37" t="str">
        <f>'13. Desinvesteringen'!C427</f>
        <v>01 Regionale leidingen</v>
      </c>
      <c r="J144" s="165">
        <f>'13. Desinvesteringen'!F427</f>
        <v>0</v>
      </c>
      <c r="K144" s="38">
        <f>_xlfn.XLOOKUP(I144,'3. Input (des)investeringen '!$B$11:$B$89,'3. Input (des)investeringen '!$E$11:$E$89)</f>
        <v>1</v>
      </c>
      <c r="L144" s="48"/>
      <c r="M144" s="38">
        <f>_xlfn.XLOOKUP(I144,'3. Input (des)investeringen '!$B$11:$B$89,'3. Input (des)investeringen '!$D$11:$D$89,0)</f>
        <v>55</v>
      </c>
      <c r="N144" s="38">
        <f t="shared" ref="N144:N207" si="59">IF($M144&gt;0, MAX(0,IF(G144&lt;2022,M144-2021+G144-0.5,M144)), 0)</f>
        <v>0</v>
      </c>
      <c r="P144" s="43">
        <f t="shared" si="58"/>
        <v>0</v>
      </c>
      <c r="Q144" s="43">
        <f t="shared" si="58"/>
        <v>0</v>
      </c>
      <c r="R144" s="43">
        <f t="shared" si="58"/>
        <v>0</v>
      </c>
      <c r="S144" s="43">
        <f t="shared" si="58"/>
        <v>0</v>
      </c>
      <c r="T144" s="43">
        <f t="shared" si="58"/>
        <v>0</v>
      </c>
      <c r="V144" s="43">
        <f t="shared" si="35"/>
        <v>0</v>
      </c>
      <c r="W144" s="43">
        <f t="shared" si="36"/>
        <v>0</v>
      </c>
      <c r="X144" s="43">
        <f t="shared" si="37"/>
        <v>0</v>
      </c>
      <c r="Y144" s="43">
        <f t="shared" si="38"/>
        <v>0</v>
      </c>
      <c r="Z144" s="43">
        <f t="shared" si="39"/>
        <v>0</v>
      </c>
      <c r="AB144" s="43">
        <f t="shared" ref="AB144:AB207" si="60">P144+V144</f>
        <v>0</v>
      </c>
      <c r="AC144" s="43">
        <f t="shared" ref="AC144:AC207" si="61">Q144+W144</f>
        <v>0</v>
      </c>
      <c r="AD144" s="43">
        <f t="shared" ref="AD144:AD207" si="62">R144+X144</f>
        <v>0</v>
      </c>
      <c r="AE144" s="43">
        <f t="shared" ref="AE144:AE207" si="63">S144+Y144</f>
        <v>0</v>
      </c>
      <c r="AF144" s="43">
        <f t="shared" ref="AF144:AF207" si="64">T144+Z144</f>
        <v>0</v>
      </c>
      <c r="AH144" s="43">
        <f t="shared" ref="AH144:AH207" si="65">IF($M144&gt;0, IF($M144&gt;0,IF(OR($G144&gt;AH$50,$G144+$M144&lt;=AH$50),0,IF(AH$50=2022,$F144-AB144,AG144-AB144))), $F144)</f>
        <v>0</v>
      </c>
      <c r="AI144" s="43">
        <f t="shared" ref="AI144:AI207" si="66">IF($M144&gt;0, IF(OR($G144&gt;AI$50,$G144+$M144&lt;=AI$50),0,IF(AI$50=2022,$F144-AC144,AH144-AC144)), AH144)</f>
        <v>0</v>
      </c>
      <c r="AJ144" s="43">
        <f t="shared" ref="AJ144:AJ207" si="67">IF($M144&gt;0, IF(OR($G144&gt;AJ$50,$G144+$M144&lt;=AJ$50),0,IF(AJ$50=2022,$F144-AD144,AI144-AD144)), AI144)</f>
        <v>0</v>
      </c>
      <c r="AK144" s="43">
        <f t="shared" ref="AK144:AK207" si="68">IF($M144&gt;0, IF(OR($G144&gt;AK$50,$G144+$M144&lt;=AK$50),0,IF(AK$50=2022,$F144-AE144,AJ144-AE144)), AJ144)</f>
        <v>0</v>
      </c>
      <c r="AL144" s="43">
        <f t="shared" ref="AL144:AL207" si="69">IF($M144&gt;0, IF(OR($G144&gt;AL$50,$G144+$M144&lt;=AL$50),0,IF(AL$50=2022,$F144-AF144,AK144-AF144)), AK144)</f>
        <v>0</v>
      </c>
      <c r="AN144" s="47">
        <f t="shared" ref="AN144:AN207" si="70">(AB144+AH144*H$17)*IF($K144=1,$F$32,1)</f>
        <v>0</v>
      </c>
      <c r="AO144" s="47">
        <f t="shared" ref="AO144:AO207" si="71">(AC144+AI144*I$17)*IF($K144=1,$F$32,1)</f>
        <v>0</v>
      </c>
      <c r="AP144" s="47">
        <f t="shared" ref="AP144:AP207" si="72">(AD144+AJ144*J$17)*IF($K144=1,$F$32,1)</f>
        <v>0</v>
      </c>
      <c r="AQ144" s="47">
        <f t="shared" ref="AQ144:AQ207" si="73">(AE144+AK144*K$17)*IF($K144=1,$F$32,1)</f>
        <v>0</v>
      </c>
      <c r="AR144" s="43">
        <f t="shared" ref="AR144:AR207" si="74">(AF144+AL144*L$17)*IF($K144=1,$F$32,1)</f>
        <v>0</v>
      </c>
      <c r="AY144" s="3"/>
    </row>
    <row r="145" spans="1:51">
      <c r="A145" s="226"/>
      <c r="B145" s="37">
        <f>'13. Desinvesteringen'!B428</f>
        <v>409</v>
      </c>
      <c r="C145" s="48"/>
      <c r="D145" s="48"/>
      <c r="E145" s="48"/>
      <c r="F145" s="354">
        <f>'5. Input GAW-waarde desinv.'!D104</f>
        <v>0</v>
      </c>
      <c r="G145" s="175">
        <f>'13. Desinvesteringen'!D428</f>
        <v>1955</v>
      </c>
      <c r="H145" s="175">
        <f>'13. Desinvesteringen'!G428</f>
        <v>2023</v>
      </c>
      <c r="I145" s="37" t="str">
        <f>'13. Desinvesteringen'!C428</f>
        <v>01 Regionale leidingen</v>
      </c>
      <c r="J145" s="165">
        <f>'13. Desinvesteringen'!F428</f>
        <v>0</v>
      </c>
      <c r="K145" s="38">
        <f>_xlfn.XLOOKUP(I145,'3. Input (des)investeringen '!$B$11:$B$89,'3. Input (des)investeringen '!$E$11:$E$89)</f>
        <v>1</v>
      </c>
      <c r="L145" s="48"/>
      <c r="M145" s="38">
        <f>_xlfn.XLOOKUP(I145,'3. Input (des)investeringen '!$B$11:$B$89,'3. Input (des)investeringen '!$D$11:$D$89,0)</f>
        <v>55</v>
      </c>
      <c r="N145" s="38">
        <f t="shared" si="59"/>
        <v>0</v>
      </c>
      <c r="P145" s="43">
        <f t="shared" si="58"/>
        <v>0</v>
      </c>
      <c r="Q145" s="43">
        <f t="shared" si="58"/>
        <v>0</v>
      </c>
      <c r="R145" s="43">
        <f t="shared" si="58"/>
        <v>0</v>
      </c>
      <c r="S145" s="43">
        <f t="shared" si="58"/>
        <v>0</v>
      </c>
      <c r="T145" s="43">
        <f t="shared" si="58"/>
        <v>0</v>
      </c>
      <c r="V145" s="43">
        <f t="shared" si="35"/>
        <v>0</v>
      </c>
      <c r="W145" s="43">
        <f t="shared" si="36"/>
        <v>0</v>
      </c>
      <c r="X145" s="43">
        <f t="shared" si="37"/>
        <v>0</v>
      </c>
      <c r="Y145" s="43">
        <f t="shared" si="38"/>
        <v>0</v>
      </c>
      <c r="Z145" s="43">
        <f t="shared" si="39"/>
        <v>0</v>
      </c>
      <c r="AB145" s="43">
        <f t="shared" si="60"/>
        <v>0</v>
      </c>
      <c r="AC145" s="43">
        <f t="shared" si="61"/>
        <v>0</v>
      </c>
      <c r="AD145" s="43">
        <f t="shared" si="62"/>
        <v>0</v>
      </c>
      <c r="AE145" s="43">
        <f t="shared" si="63"/>
        <v>0</v>
      </c>
      <c r="AF145" s="43">
        <f t="shared" si="64"/>
        <v>0</v>
      </c>
      <c r="AH145" s="43">
        <f t="shared" si="65"/>
        <v>0</v>
      </c>
      <c r="AI145" s="43">
        <f t="shared" si="66"/>
        <v>0</v>
      </c>
      <c r="AJ145" s="43">
        <f t="shared" si="67"/>
        <v>0</v>
      </c>
      <c r="AK145" s="43">
        <f t="shared" si="68"/>
        <v>0</v>
      </c>
      <c r="AL145" s="43">
        <f t="shared" si="69"/>
        <v>0</v>
      </c>
      <c r="AN145" s="47">
        <f t="shared" si="70"/>
        <v>0</v>
      </c>
      <c r="AO145" s="47">
        <f t="shared" si="71"/>
        <v>0</v>
      </c>
      <c r="AP145" s="47">
        <f t="shared" si="72"/>
        <v>0</v>
      </c>
      <c r="AQ145" s="47">
        <f t="shared" si="73"/>
        <v>0</v>
      </c>
      <c r="AR145" s="43">
        <f t="shared" si="74"/>
        <v>0</v>
      </c>
      <c r="AY145" s="3"/>
    </row>
    <row r="146" spans="1:51">
      <c r="A146" s="226"/>
      <c r="B146" s="37">
        <f>'13. Desinvesteringen'!B429</f>
        <v>410</v>
      </c>
      <c r="C146" s="48"/>
      <c r="D146" s="48"/>
      <c r="E146" s="48"/>
      <c r="F146" s="354">
        <f>'5. Input GAW-waarde desinv.'!D105</f>
        <v>0</v>
      </c>
      <c r="G146" s="175">
        <f>'13. Desinvesteringen'!D429</f>
        <v>1958</v>
      </c>
      <c r="H146" s="175">
        <f>'13. Desinvesteringen'!G429</f>
        <v>2023</v>
      </c>
      <c r="I146" s="37" t="str">
        <f>'13. Desinvesteringen'!C429</f>
        <v>01 Regionale leidingen</v>
      </c>
      <c r="J146" s="165">
        <f>'13. Desinvesteringen'!F429</f>
        <v>0</v>
      </c>
      <c r="K146" s="38">
        <f>_xlfn.XLOOKUP(I146,'3. Input (des)investeringen '!$B$11:$B$89,'3. Input (des)investeringen '!$E$11:$E$89)</f>
        <v>1</v>
      </c>
      <c r="L146" s="48"/>
      <c r="M146" s="38">
        <f>_xlfn.XLOOKUP(I146,'3. Input (des)investeringen '!$B$11:$B$89,'3. Input (des)investeringen '!$D$11:$D$89,0)</f>
        <v>55</v>
      </c>
      <c r="N146" s="38">
        <f t="shared" si="59"/>
        <v>0</v>
      </c>
      <c r="P146" s="43">
        <f t="shared" si="58"/>
        <v>0</v>
      </c>
      <c r="Q146" s="43">
        <f t="shared" si="58"/>
        <v>0</v>
      </c>
      <c r="R146" s="43">
        <f t="shared" si="58"/>
        <v>0</v>
      </c>
      <c r="S146" s="43">
        <f t="shared" si="58"/>
        <v>0</v>
      </c>
      <c r="T146" s="43">
        <f t="shared" si="58"/>
        <v>0</v>
      </c>
      <c r="V146" s="43">
        <f t="shared" si="35"/>
        <v>0</v>
      </c>
      <c r="W146" s="43">
        <f t="shared" si="36"/>
        <v>0</v>
      </c>
      <c r="X146" s="43">
        <f t="shared" si="37"/>
        <v>0</v>
      </c>
      <c r="Y146" s="43">
        <f t="shared" si="38"/>
        <v>0</v>
      </c>
      <c r="Z146" s="43">
        <f t="shared" si="39"/>
        <v>0</v>
      </c>
      <c r="AB146" s="43">
        <f t="shared" si="60"/>
        <v>0</v>
      </c>
      <c r="AC146" s="43">
        <f t="shared" si="61"/>
        <v>0</v>
      </c>
      <c r="AD146" s="43">
        <f t="shared" si="62"/>
        <v>0</v>
      </c>
      <c r="AE146" s="43">
        <f t="shared" si="63"/>
        <v>0</v>
      </c>
      <c r="AF146" s="43">
        <f t="shared" si="64"/>
        <v>0</v>
      </c>
      <c r="AH146" s="43">
        <f t="shared" si="65"/>
        <v>0</v>
      </c>
      <c r="AI146" s="43">
        <f t="shared" si="66"/>
        <v>0</v>
      </c>
      <c r="AJ146" s="43">
        <f t="shared" si="67"/>
        <v>0</v>
      </c>
      <c r="AK146" s="43">
        <f t="shared" si="68"/>
        <v>0</v>
      </c>
      <c r="AL146" s="43">
        <f t="shared" si="69"/>
        <v>0</v>
      </c>
      <c r="AN146" s="47">
        <f t="shared" si="70"/>
        <v>0</v>
      </c>
      <c r="AO146" s="47">
        <f t="shared" si="71"/>
        <v>0</v>
      </c>
      <c r="AP146" s="47">
        <f t="shared" si="72"/>
        <v>0</v>
      </c>
      <c r="AQ146" s="47">
        <f t="shared" si="73"/>
        <v>0</v>
      </c>
      <c r="AR146" s="43">
        <f t="shared" si="74"/>
        <v>0</v>
      </c>
      <c r="AY146" s="3"/>
    </row>
    <row r="147" spans="1:51">
      <c r="A147" s="226"/>
      <c r="B147" s="37">
        <f>'13. Desinvesteringen'!B430</f>
        <v>411</v>
      </c>
      <c r="C147" s="48"/>
      <c r="D147" s="48"/>
      <c r="E147" s="48"/>
      <c r="F147" s="354">
        <f>'5. Input GAW-waarde desinv.'!D106</f>
        <v>0</v>
      </c>
      <c r="G147" s="175">
        <f>'13. Desinvesteringen'!D430</f>
        <v>1959</v>
      </c>
      <c r="H147" s="175">
        <f>'13. Desinvesteringen'!G430</f>
        <v>2023</v>
      </c>
      <c r="I147" s="37" t="str">
        <f>'13. Desinvesteringen'!C430</f>
        <v>01 Regionale leidingen</v>
      </c>
      <c r="J147" s="165">
        <f>'13. Desinvesteringen'!F430</f>
        <v>0</v>
      </c>
      <c r="K147" s="38">
        <f>_xlfn.XLOOKUP(I147,'3. Input (des)investeringen '!$B$11:$B$89,'3. Input (des)investeringen '!$E$11:$E$89)</f>
        <v>1</v>
      </c>
      <c r="L147" s="48"/>
      <c r="M147" s="38">
        <f>_xlfn.XLOOKUP(I147,'3. Input (des)investeringen '!$B$11:$B$89,'3. Input (des)investeringen '!$D$11:$D$89,0)</f>
        <v>55</v>
      </c>
      <c r="N147" s="38">
        <f t="shared" si="59"/>
        <v>0</v>
      </c>
      <c r="P147" s="43">
        <f t="shared" si="58"/>
        <v>0</v>
      </c>
      <c r="Q147" s="43">
        <f t="shared" si="58"/>
        <v>0</v>
      </c>
      <c r="R147" s="43">
        <f t="shared" si="58"/>
        <v>0</v>
      </c>
      <c r="S147" s="43">
        <f t="shared" si="58"/>
        <v>0</v>
      </c>
      <c r="T147" s="43">
        <f t="shared" si="58"/>
        <v>0</v>
      </c>
      <c r="V147" s="43">
        <f t="shared" si="35"/>
        <v>0</v>
      </c>
      <c r="W147" s="43">
        <f t="shared" si="36"/>
        <v>0</v>
      </c>
      <c r="X147" s="43">
        <f t="shared" si="37"/>
        <v>0</v>
      </c>
      <c r="Y147" s="43">
        <f t="shared" si="38"/>
        <v>0</v>
      </c>
      <c r="Z147" s="43">
        <f t="shared" si="39"/>
        <v>0</v>
      </c>
      <c r="AB147" s="43">
        <f t="shared" si="60"/>
        <v>0</v>
      </c>
      <c r="AC147" s="43">
        <f t="shared" si="61"/>
        <v>0</v>
      </c>
      <c r="AD147" s="43">
        <f t="shared" si="62"/>
        <v>0</v>
      </c>
      <c r="AE147" s="43">
        <f t="shared" si="63"/>
        <v>0</v>
      </c>
      <c r="AF147" s="43">
        <f t="shared" si="64"/>
        <v>0</v>
      </c>
      <c r="AH147" s="43">
        <f t="shared" si="65"/>
        <v>0</v>
      </c>
      <c r="AI147" s="43">
        <f t="shared" si="66"/>
        <v>0</v>
      </c>
      <c r="AJ147" s="43">
        <f t="shared" si="67"/>
        <v>0</v>
      </c>
      <c r="AK147" s="43">
        <f t="shared" si="68"/>
        <v>0</v>
      </c>
      <c r="AL147" s="43">
        <f t="shared" si="69"/>
        <v>0</v>
      </c>
      <c r="AN147" s="47">
        <f t="shared" si="70"/>
        <v>0</v>
      </c>
      <c r="AO147" s="47">
        <f t="shared" si="71"/>
        <v>0</v>
      </c>
      <c r="AP147" s="47">
        <f t="shared" si="72"/>
        <v>0</v>
      </c>
      <c r="AQ147" s="47">
        <f t="shared" si="73"/>
        <v>0</v>
      </c>
      <c r="AR147" s="43">
        <f t="shared" si="74"/>
        <v>0</v>
      </c>
      <c r="AY147" s="3"/>
    </row>
    <row r="148" spans="1:51">
      <c r="A148" s="226"/>
      <c r="B148" s="37">
        <f>'13. Desinvesteringen'!B431</f>
        <v>412</v>
      </c>
      <c r="C148" s="48"/>
      <c r="D148" s="48"/>
      <c r="E148" s="48"/>
      <c r="F148" s="354">
        <f>'5. Input GAW-waarde desinv.'!D107</f>
        <v>0</v>
      </c>
      <c r="G148" s="175">
        <f>'13. Desinvesteringen'!D431</f>
        <v>1965</v>
      </c>
      <c r="H148" s="175">
        <f>'13. Desinvesteringen'!G431</f>
        <v>2023</v>
      </c>
      <c r="I148" s="37" t="str">
        <f>'13. Desinvesteringen'!C431</f>
        <v>01 Regionale leidingen</v>
      </c>
      <c r="J148" s="165">
        <f>'13. Desinvesteringen'!F431</f>
        <v>0</v>
      </c>
      <c r="K148" s="38">
        <f>_xlfn.XLOOKUP(I148,'3. Input (des)investeringen '!$B$11:$B$89,'3. Input (des)investeringen '!$E$11:$E$89)</f>
        <v>1</v>
      </c>
      <c r="L148" s="48"/>
      <c r="M148" s="38">
        <f>_xlfn.XLOOKUP(I148,'3. Input (des)investeringen '!$B$11:$B$89,'3. Input (des)investeringen '!$D$11:$D$89,0)</f>
        <v>55</v>
      </c>
      <c r="N148" s="38">
        <f t="shared" si="59"/>
        <v>0</v>
      </c>
      <c r="P148" s="43">
        <f t="shared" si="58"/>
        <v>0</v>
      </c>
      <c r="Q148" s="43">
        <f t="shared" si="58"/>
        <v>0</v>
      </c>
      <c r="R148" s="43">
        <f t="shared" si="58"/>
        <v>0</v>
      </c>
      <c r="S148" s="43">
        <f t="shared" si="58"/>
        <v>0</v>
      </c>
      <c r="T148" s="43">
        <f t="shared" si="58"/>
        <v>0</v>
      </c>
      <c r="V148" s="43">
        <f t="shared" si="35"/>
        <v>0</v>
      </c>
      <c r="W148" s="43">
        <f t="shared" si="36"/>
        <v>0</v>
      </c>
      <c r="X148" s="43">
        <f t="shared" si="37"/>
        <v>0</v>
      </c>
      <c r="Y148" s="43">
        <f t="shared" si="38"/>
        <v>0</v>
      </c>
      <c r="Z148" s="43">
        <f t="shared" si="39"/>
        <v>0</v>
      </c>
      <c r="AB148" s="43">
        <f t="shared" si="60"/>
        <v>0</v>
      </c>
      <c r="AC148" s="43">
        <f t="shared" si="61"/>
        <v>0</v>
      </c>
      <c r="AD148" s="43">
        <f t="shared" si="62"/>
        <v>0</v>
      </c>
      <c r="AE148" s="43">
        <f t="shared" si="63"/>
        <v>0</v>
      </c>
      <c r="AF148" s="43">
        <f t="shared" si="64"/>
        <v>0</v>
      </c>
      <c r="AH148" s="43">
        <f t="shared" si="65"/>
        <v>0</v>
      </c>
      <c r="AI148" s="43">
        <f t="shared" si="66"/>
        <v>0</v>
      </c>
      <c r="AJ148" s="43">
        <f t="shared" si="67"/>
        <v>0</v>
      </c>
      <c r="AK148" s="43">
        <f t="shared" si="68"/>
        <v>0</v>
      </c>
      <c r="AL148" s="43">
        <f t="shared" si="69"/>
        <v>0</v>
      </c>
      <c r="AN148" s="47">
        <f t="shared" si="70"/>
        <v>0</v>
      </c>
      <c r="AO148" s="47">
        <f t="shared" si="71"/>
        <v>0</v>
      </c>
      <c r="AP148" s="47">
        <f t="shared" si="72"/>
        <v>0</v>
      </c>
      <c r="AQ148" s="47">
        <f t="shared" si="73"/>
        <v>0</v>
      </c>
      <c r="AR148" s="43">
        <f t="shared" si="74"/>
        <v>0</v>
      </c>
      <c r="AY148" s="3"/>
    </row>
    <row r="149" spans="1:51">
      <c r="A149" s="226"/>
      <c r="B149" s="37">
        <f>'13. Desinvesteringen'!B432</f>
        <v>413</v>
      </c>
      <c r="C149" s="48"/>
      <c r="D149" s="48"/>
      <c r="E149" s="48"/>
      <c r="F149" s="354">
        <f>'5. Input GAW-waarde desinv.'!D108</f>
        <v>0</v>
      </c>
      <c r="G149" s="175">
        <f>'13. Desinvesteringen'!D432</f>
        <v>1966</v>
      </c>
      <c r="H149" s="175">
        <f>'13. Desinvesteringen'!G432</f>
        <v>2023</v>
      </c>
      <c r="I149" s="37" t="str">
        <f>'13. Desinvesteringen'!C432</f>
        <v>01 Regionale leidingen</v>
      </c>
      <c r="J149" s="165">
        <f>'13. Desinvesteringen'!F432</f>
        <v>0</v>
      </c>
      <c r="K149" s="38">
        <f>_xlfn.XLOOKUP(I149,'3. Input (des)investeringen '!$B$11:$B$89,'3. Input (des)investeringen '!$E$11:$E$89)</f>
        <v>1</v>
      </c>
      <c r="L149" s="48"/>
      <c r="M149" s="38">
        <f>_xlfn.XLOOKUP(I149,'3. Input (des)investeringen '!$B$11:$B$89,'3. Input (des)investeringen '!$D$11:$D$89,0)</f>
        <v>55</v>
      </c>
      <c r="N149" s="38">
        <f t="shared" si="59"/>
        <v>0</v>
      </c>
      <c r="P149" s="43">
        <f t="shared" si="58"/>
        <v>0</v>
      </c>
      <c r="Q149" s="43">
        <f t="shared" si="58"/>
        <v>0</v>
      </c>
      <c r="R149" s="43">
        <f t="shared" si="58"/>
        <v>0</v>
      </c>
      <c r="S149" s="43">
        <f t="shared" si="58"/>
        <v>0</v>
      </c>
      <c r="T149" s="43">
        <f t="shared" si="58"/>
        <v>0</v>
      </c>
      <c r="V149" s="43">
        <f t="shared" si="35"/>
        <v>0</v>
      </c>
      <c r="W149" s="43">
        <f t="shared" si="36"/>
        <v>0</v>
      </c>
      <c r="X149" s="43">
        <f t="shared" si="37"/>
        <v>0</v>
      </c>
      <c r="Y149" s="43">
        <f t="shared" si="38"/>
        <v>0</v>
      </c>
      <c r="Z149" s="43">
        <f t="shared" si="39"/>
        <v>0</v>
      </c>
      <c r="AB149" s="43">
        <f t="shared" si="60"/>
        <v>0</v>
      </c>
      <c r="AC149" s="43">
        <f t="shared" si="61"/>
        <v>0</v>
      </c>
      <c r="AD149" s="43">
        <f t="shared" si="62"/>
        <v>0</v>
      </c>
      <c r="AE149" s="43">
        <f t="shared" si="63"/>
        <v>0</v>
      </c>
      <c r="AF149" s="43">
        <f t="shared" si="64"/>
        <v>0</v>
      </c>
      <c r="AH149" s="43">
        <f t="shared" si="65"/>
        <v>0</v>
      </c>
      <c r="AI149" s="43">
        <f t="shared" si="66"/>
        <v>0</v>
      </c>
      <c r="AJ149" s="43">
        <f t="shared" si="67"/>
        <v>0</v>
      </c>
      <c r="AK149" s="43">
        <f t="shared" si="68"/>
        <v>0</v>
      </c>
      <c r="AL149" s="43">
        <f t="shared" si="69"/>
        <v>0</v>
      </c>
      <c r="AN149" s="47">
        <f t="shared" si="70"/>
        <v>0</v>
      </c>
      <c r="AO149" s="47">
        <f t="shared" si="71"/>
        <v>0</v>
      </c>
      <c r="AP149" s="47">
        <f t="shared" si="72"/>
        <v>0</v>
      </c>
      <c r="AQ149" s="47">
        <f t="shared" si="73"/>
        <v>0</v>
      </c>
      <c r="AR149" s="43">
        <f t="shared" si="74"/>
        <v>0</v>
      </c>
      <c r="AY149" s="3"/>
    </row>
    <row r="150" spans="1:51">
      <c r="A150" s="226"/>
      <c r="B150" s="37">
        <f>'13. Desinvesteringen'!B433</f>
        <v>414</v>
      </c>
      <c r="C150" s="48"/>
      <c r="D150" s="48"/>
      <c r="E150" s="48"/>
      <c r="F150" s="354">
        <f>'5. Input GAW-waarde desinv.'!D109</f>
        <v>4066.6917785254955</v>
      </c>
      <c r="G150" s="175">
        <f>'13. Desinvesteringen'!D433</f>
        <v>1967</v>
      </c>
      <c r="H150" s="175">
        <f>'13. Desinvesteringen'!G433</f>
        <v>2023</v>
      </c>
      <c r="I150" s="37" t="str">
        <f>'13. Desinvesteringen'!C433</f>
        <v>01 Regionale leidingen</v>
      </c>
      <c r="J150" s="165">
        <f>'13. Desinvesteringen'!F433</f>
        <v>0</v>
      </c>
      <c r="K150" s="38">
        <f>_xlfn.XLOOKUP(I150,'3. Input (des)investeringen '!$B$11:$B$89,'3. Input (des)investeringen '!$E$11:$E$89)</f>
        <v>1</v>
      </c>
      <c r="L150" s="48"/>
      <c r="M150" s="38">
        <f>_xlfn.XLOOKUP(I150,'3. Input (des)investeringen '!$B$11:$B$89,'3. Input (des)investeringen '!$D$11:$D$89,0)</f>
        <v>55</v>
      </c>
      <c r="N150" s="38">
        <f t="shared" si="59"/>
        <v>0.5</v>
      </c>
      <c r="P150" s="43">
        <f t="shared" si="58"/>
        <v>3660.0226006729458</v>
      </c>
      <c r="Q150" s="43">
        <f t="shared" si="58"/>
        <v>0</v>
      </c>
      <c r="R150" s="43">
        <f t="shared" si="58"/>
        <v>0</v>
      </c>
      <c r="S150" s="43">
        <f t="shared" si="58"/>
        <v>0</v>
      </c>
      <c r="T150" s="43">
        <f t="shared" si="58"/>
        <v>0</v>
      </c>
      <c r="V150" s="43">
        <f t="shared" si="35"/>
        <v>406.66917785254958</v>
      </c>
      <c r="W150" s="43">
        <f t="shared" si="36"/>
        <v>0</v>
      </c>
      <c r="X150" s="43">
        <f t="shared" si="37"/>
        <v>0</v>
      </c>
      <c r="Y150" s="43">
        <f t="shared" si="38"/>
        <v>0</v>
      </c>
      <c r="Z150" s="43">
        <f t="shared" si="39"/>
        <v>0</v>
      </c>
      <c r="AB150" s="43">
        <f t="shared" si="60"/>
        <v>4066.6917785254955</v>
      </c>
      <c r="AC150" s="43">
        <f t="shared" si="61"/>
        <v>0</v>
      </c>
      <c r="AD150" s="43">
        <f t="shared" si="62"/>
        <v>0</v>
      </c>
      <c r="AE150" s="43">
        <f t="shared" si="63"/>
        <v>0</v>
      </c>
      <c r="AF150" s="43">
        <f t="shared" si="64"/>
        <v>0</v>
      </c>
      <c r="AH150" s="43">
        <f t="shared" si="65"/>
        <v>0</v>
      </c>
      <c r="AI150" s="43">
        <f t="shared" si="66"/>
        <v>0</v>
      </c>
      <c r="AJ150" s="43">
        <f t="shared" si="67"/>
        <v>0</v>
      </c>
      <c r="AK150" s="43">
        <f t="shared" si="68"/>
        <v>0</v>
      </c>
      <c r="AL150" s="43">
        <f t="shared" si="69"/>
        <v>0</v>
      </c>
      <c r="AN150" s="47">
        <f t="shared" si="70"/>
        <v>4066.6917785254955</v>
      </c>
      <c r="AO150" s="47">
        <f t="shared" si="71"/>
        <v>0</v>
      </c>
      <c r="AP150" s="47">
        <f t="shared" si="72"/>
        <v>0</v>
      </c>
      <c r="AQ150" s="47">
        <f t="shared" si="73"/>
        <v>0</v>
      </c>
      <c r="AR150" s="43">
        <f t="shared" si="74"/>
        <v>0</v>
      </c>
      <c r="AY150" s="3"/>
    </row>
    <row r="151" spans="1:51">
      <c r="A151" s="226"/>
      <c r="B151" s="37">
        <f>'13. Desinvesteringen'!B434</f>
        <v>415</v>
      </c>
      <c r="C151" s="48"/>
      <c r="D151" s="48"/>
      <c r="E151" s="48"/>
      <c r="F151" s="354">
        <f>'5. Input GAW-waarde desinv.'!D110</f>
        <v>72313.792532278865</v>
      </c>
      <c r="G151" s="175">
        <f>'13. Desinvesteringen'!D434</f>
        <v>1968</v>
      </c>
      <c r="H151" s="175">
        <f>'13. Desinvesteringen'!G434</f>
        <v>2023</v>
      </c>
      <c r="I151" s="37" t="str">
        <f>'13. Desinvesteringen'!C434</f>
        <v>01 Regionale leidingen</v>
      </c>
      <c r="J151" s="165">
        <f>'13. Desinvesteringen'!F434</f>
        <v>0</v>
      </c>
      <c r="K151" s="38">
        <f>_xlfn.XLOOKUP(I151,'3. Input (des)investeringen '!$B$11:$B$89,'3. Input (des)investeringen '!$E$11:$E$89)</f>
        <v>1</v>
      </c>
      <c r="L151" s="48"/>
      <c r="M151" s="38">
        <f>_xlfn.XLOOKUP(I151,'3. Input (des)investeringen '!$B$11:$B$89,'3. Input (des)investeringen '!$D$11:$D$89,0)</f>
        <v>55</v>
      </c>
      <c r="N151" s="38">
        <f t="shared" si="59"/>
        <v>1.5</v>
      </c>
      <c r="P151" s="43">
        <f t="shared" si="58"/>
        <v>56404.758175177521</v>
      </c>
      <c r="Q151" s="43">
        <f t="shared" si="58"/>
        <v>8677.6551038734615</v>
      </c>
      <c r="R151" s="43">
        <f t="shared" si="58"/>
        <v>0</v>
      </c>
      <c r="S151" s="43">
        <f t="shared" si="58"/>
        <v>0</v>
      </c>
      <c r="T151" s="43">
        <f t="shared" si="58"/>
        <v>0</v>
      </c>
      <c r="V151" s="43">
        <f t="shared" si="35"/>
        <v>4820.9195021519245</v>
      </c>
      <c r="W151" s="43">
        <f t="shared" si="36"/>
        <v>2410.4597510759627</v>
      </c>
      <c r="X151" s="43">
        <f t="shared" si="37"/>
        <v>0</v>
      </c>
      <c r="Y151" s="43">
        <f t="shared" si="38"/>
        <v>0</v>
      </c>
      <c r="Z151" s="43">
        <f t="shared" si="39"/>
        <v>0</v>
      </c>
      <c r="AB151" s="43">
        <f t="shared" si="60"/>
        <v>61225.677677329448</v>
      </c>
      <c r="AC151" s="43">
        <f t="shared" si="61"/>
        <v>11088.114854949425</v>
      </c>
      <c r="AD151" s="43">
        <f t="shared" si="62"/>
        <v>0</v>
      </c>
      <c r="AE151" s="43">
        <f t="shared" si="63"/>
        <v>0</v>
      </c>
      <c r="AF151" s="43">
        <f t="shared" si="64"/>
        <v>0</v>
      </c>
      <c r="AH151" s="43">
        <f t="shared" si="65"/>
        <v>11088.114854949417</v>
      </c>
      <c r="AI151" s="43">
        <f t="shared" si="66"/>
        <v>0</v>
      </c>
      <c r="AJ151" s="43">
        <f t="shared" si="67"/>
        <v>0</v>
      </c>
      <c r="AK151" s="43">
        <f t="shared" si="68"/>
        <v>0</v>
      </c>
      <c r="AL151" s="43">
        <f t="shared" si="69"/>
        <v>0</v>
      </c>
      <c r="AN151" s="47">
        <f t="shared" si="70"/>
        <v>61680.290386382374</v>
      </c>
      <c r="AO151" s="47">
        <f t="shared" si="71"/>
        <v>11088.114854949425</v>
      </c>
      <c r="AP151" s="47">
        <f t="shared" si="72"/>
        <v>0</v>
      </c>
      <c r="AQ151" s="47">
        <f t="shared" si="73"/>
        <v>0</v>
      </c>
      <c r="AR151" s="43">
        <f t="shared" si="74"/>
        <v>0</v>
      </c>
      <c r="AY151" s="3"/>
    </row>
    <row r="152" spans="1:51">
      <c r="A152" s="226"/>
      <c r="B152" s="37">
        <f>'13. Desinvesteringen'!B435</f>
        <v>416</v>
      </c>
      <c r="C152" s="48"/>
      <c r="D152" s="48"/>
      <c r="E152" s="48"/>
      <c r="F152" s="354">
        <f>'5. Input GAW-waarde desinv.'!D111</f>
        <v>39219.604478837689</v>
      </c>
      <c r="G152" s="175">
        <f>'13. Desinvesteringen'!D435</f>
        <v>1969</v>
      </c>
      <c r="H152" s="175">
        <f>'13. Desinvesteringen'!G435</f>
        <v>2023</v>
      </c>
      <c r="I152" s="37" t="str">
        <f>'13. Desinvesteringen'!C435</f>
        <v>01 Regionale leidingen</v>
      </c>
      <c r="J152" s="165">
        <f>'13. Desinvesteringen'!F435</f>
        <v>0</v>
      </c>
      <c r="K152" s="38">
        <f>_xlfn.XLOOKUP(I152,'3. Input (des)investeringen '!$B$11:$B$89,'3. Input (des)investeringen '!$E$11:$E$89)</f>
        <v>1</v>
      </c>
      <c r="L152" s="48"/>
      <c r="M152" s="38">
        <f>_xlfn.XLOOKUP(I152,'3. Input (des)investeringen '!$B$11:$B$89,'3. Input (des)investeringen '!$D$11:$D$89,0)</f>
        <v>55</v>
      </c>
      <c r="N152" s="38">
        <f t="shared" si="59"/>
        <v>2.5</v>
      </c>
      <c r="P152" s="43">
        <f t="shared" ref="P152:T161" si="75">IF($M152&gt;0, IF(OR($G152&gt;P$50,$G152+$M152&lt;P$50),0,
VDB($F152,0,$N152,MAX(0,P$50-2022),MIN($N152,P$50-2021),$F$23,FALSE))*(1-$F$26), 0)</f>
        <v>18354.774896096042</v>
      </c>
      <c r="Q152" s="43">
        <f t="shared" si="75"/>
        <v>11295.246089905255</v>
      </c>
      <c r="R152" s="43">
        <f t="shared" si="75"/>
        <v>5647.6230449526274</v>
      </c>
      <c r="S152" s="43">
        <f t="shared" si="75"/>
        <v>0</v>
      </c>
      <c r="T152" s="43">
        <f t="shared" si="75"/>
        <v>0</v>
      </c>
      <c r="V152" s="43">
        <f t="shared" si="35"/>
        <v>1568.7841791535077</v>
      </c>
      <c r="W152" s="43">
        <f t="shared" si="36"/>
        <v>1568.7841791535075</v>
      </c>
      <c r="X152" s="43">
        <f t="shared" si="37"/>
        <v>784.39208957675373</v>
      </c>
      <c r="Y152" s="43">
        <f t="shared" si="38"/>
        <v>0</v>
      </c>
      <c r="Z152" s="43">
        <f t="shared" si="39"/>
        <v>0</v>
      </c>
      <c r="AB152" s="43">
        <f t="shared" si="60"/>
        <v>19923.559075249548</v>
      </c>
      <c r="AC152" s="43">
        <f t="shared" si="61"/>
        <v>12864.030269058763</v>
      </c>
      <c r="AD152" s="43">
        <f t="shared" si="62"/>
        <v>6432.0151345293816</v>
      </c>
      <c r="AE152" s="43">
        <f t="shared" si="63"/>
        <v>0</v>
      </c>
      <c r="AF152" s="43">
        <f t="shared" si="64"/>
        <v>0</v>
      </c>
      <c r="AH152" s="43">
        <f t="shared" si="65"/>
        <v>19296.045403588141</v>
      </c>
      <c r="AI152" s="43">
        <f t="shared" si="66"/>
        <v>6432.015134529378</v>
      </c>
      <c r="AJ152" s="43">
        <f t="shared" si="67"/>
        <v>0</v>
      </c>
      <c r="AK152" s="43">
        <f t="shared" si="68"/>
        <v>0</v>
      </c>
      <c r="AL152" s="43">
        <f t="shared" si="69"/>
        <v>0</v>
      </c>
      <c r="AN152" s="47">
        <f t="shared" si="70"/>
        <v>20714.696936796663</v>
      </c>
      <c r="AO152" s="47">
        <f t="shared" si="71"/>
        <v>13192.063040919762</v>
      </c>
      <c r="AP152" s="47">
        <f t="shared" si="72"/>
        <v>6432.0151345293816</v>
      </c>
      <c r="AQ152" s="47">
        <f t="shared" si="73"/>
        <v>0</v>
      </c>
      <c r="AR152" s="43">
        <f t="shared" si="74"/>
        <v>0</v>
      </c>
      <c r="AY152" s="3"/>
    </row>
    <row r="153" spans="1:51">
      <c r="A153" s="226"/>
      <c r="B153" s="37">
        <f>'13. Desinvesteringen'!B436</f>
        <v>417</v>
      </c>
      <c r="C153" s="48"/>
      <c r="D153" s="48"/>
      <c r="E153" s="48"/>
      <c r="F153" s="354">
        <f>'5. Input GAW-waarde desinv.'!D112</f>
        <v>69808.707803642814</v>
      </c>
      <c r="G153" s="175">
        <f>'13. Desinvesteringen'!D436</f>
        <v>1970</v>
      </c>
      <c r="H153" s="175">
        <f>'13. Desinvesteringen'!G436</f>
        <v>2023</v>
      </c>
      <c r="I153" s="37" t="str">
        <f>'13. Desinvesteringen'!C436</f>
        <v>01 Regionale leidingen</v>
      </c>
      <c r="J153" s="165">
        <f>'13. Desinvesteringen'!F436</f>
        <v>0</v>
      </c>
      <c r="K153" s="38">
        <f>_xlfn.XLOOKUP(I153,'3. Input (des)investeringen '!$B$11:$B$89,'3. Input (des)investeringen '!$E$11:$E$89)</f>
        <v>1</v>
      </c>
      <c r="L153" s="48"/>
      <c r="M153" s="38">
        <f>_xlfn.XLOOKUP(I153,'3. Input (des)investeringen '!$B$11:$B$89,'3. Input (des)investeringen '!$D$11:$D$89,0)</f>
        <v>55</v>
      </c>
      <c r="N153" s="38">
        <f t="shared" si="59"/>
        <v>3.5</v>
      </c>
      <c r="P153" s="43">
        <f t="shared" si="75"/>
        <v>23336.053751503456</v>
      </c>
      <c r="Q153" s="43">
        <f t="shared" si="75"/>
        <v>15796.71330871003</v>
      </c>
      <c r="R153" s="43">
        <f t="shared" si="75"/>
        <v>15796.71330871003</v>
      </c>
      <c r="S153" s="43">
        <f t="shared" si="75"/>
        <v>7898.3566543550151</v>
      </c>
      <c r="T153" s="43">
        <f t="shared" si="75"/>
        <v>0</v>
      </c>
      <c r="V153" s="43">
        <f t="shared" si="35"/>
        <v>1994.534508675509</v>
      </c>
      <c r="W153" s="43">
        <f t="shared" si="36"/>
        <v>1994.5345086755094</v>
      </c>
      <c r="X153" s="43">
        <f t="shared" si="37"/>
        <v>1994.5345086755094</v>
      </c>
      <c r="Y153" s="43">
        <f t="shared" si="38"/>
        <v>997.26725433775471</v>
      </c>
      <c r="Z153" s="43">
        <f t="shared" si="39"/>
        <v>0</v>
      </c>
      <c r="AB153" s="43">
        <f t="shared" si="60"/>
        <v>25330.588260178964</v>
      </c>
      <c r="AC153" s="43">
        <f t="shared" si="61"/>
        <v>17791.247817385538</v>
      </c>
      <c r="AD153" s="43">
        <f t="shared" si="62"/>
        <v>17791.247817385538</v>
      </c>
      <c r="AE153" s="43">
        <f t="shared" si="63"/>
        <v>8895.623908692769</v>
      </c>
      <c r="AF153" s="43">
        <f t="shared" si="64"/>
        <v>0</v>
      </c>
      <c r="AH153" s="43">
        <f t="shared" si="65"/>
        <v>44478.11954346385</v>
      </c>
      <c r="AI153" s="43">
        <f t="shared" si="66"/>
        <v>26686.871726078312</v>
      </c>
      <c r="AJ153" s="43">
        <f t="shared" si="67"/>
        <v>8895.6239086927744</v>
      </c>
      <c r="AK153" s="43">
        <f t="shared" si="68"/>
        <v>0</v>
      </c>
      <c r="AL153" s="43">
        <f t="shared" si="69"/>
        <v>0</v>
      </c>
      <c r="AN153" s="47">
        <f t="shared" si="70"/>
        <v>27154.191161460982</v>
      </c>
      <c r="AO153" s="47">
        <f t="shared" si="71"/>
        <v>19152.278275415531</v>
      </c>
      <c r="AP153" s="47">
        <f t="shared" si="72"/>
        <v>18244.924636728869</v>
      </c>
      <c r="AQ153" s="47">
        <f t="shared" si="73"/>
        <v>8895.623908692769</v>
      </c>
      <c r="AR153" s="43">
        <f t="shared" si="74"/>
        <v>0</v>
      </c>
      <c r="AY153" s="3"/>
    </row>
    <row r="154" spans="1:51">
      <c r="A154" s="226"/>
      <c r="B154" s="37">
        <f>'13. Desinvesteringen'!B437</f>
        <v>418</v>
      </c>
      <c r="C154" s="48"/>
      <c r="D154" s="48"/>
      <c r="E154" s="48"/>
      <c r="F154" s="354">
        <f>'5. Input GAW-waarde desinv.'!D113</f>
        <v>38586.635084201873</v>
      </c>
      <c r="G154" s="175">
        <f>'13. Desinvesteringen'!D437</f>
        <v>1971</v>
      </c>
      <c r="H154" s="175">
        <f>'13. Desinvesteringen'!G437</f>
        <v>2023</v>
      </c>
      <c r="I154" s="37" t="str">
        <f>'13. Desinvesteringen'!C437</f>
        <v>01 Regionale leidingen</v>
      </c>
      <c r="J154" s="165">
        <f>'13. Desinvesteringen'!F437</f>
        <v>0</v>
      </c>
      <c r="K154" s="38">
        <f>_xlfn.XLOOKUP(I154,'3. Input (des)investeringen '!$B$11:$B$89,'3. Input (des)investeringen '!$E$11:$E$89)</f>
        <v>1</v>
      </c>
      <c r="L154" s="48"/>
      <c r="M154" s="38">
        <f>_xlfn.XLOOKUP(I154,'3. Input (des)investeringen '!$B$11:$B$89,'3. Input (des)investeringen '!$D$11:$D$89,0)</f>
        <v>55</v>
      </c>
      <c r="N154" s="38">
        <f t="shared" si="59"/>
        <v>4.5</v>
      </c>
      <c r="P154" s="43">
        <f t="shared" si="75"/>
        <v>10032.525121892488</v>
      </c>
      <c r="Q154" s="43">
        <f t="shared" si="75"/>
        <v>7134.2400866791022</v>
      </c>
      <c r="R154" s="43">
        <f t="shared" si="75"/>
        <v>7024.4825468840381</v>
      </c>
      <c r="S154" s="43">
        <f t="shared" si="75"/>
        <v>7024.4825468840381</v>
      </c>
      <c r="T154" s="43">
        <f t="shared" si="75"/>
        <v>3512.2412734420191</v>
      </c>
      <c r="V154" s="43">
        <f t="shared" si="35"/>
        <v>857.48077964893059</v>
      </c>
      <c r="W154" s="43">
        <f t="shared" si="36"/>
        <v>857.48077964893059</v>
      </c>
      <c r="X154" s="43">
        <f t="shared" si="37"/>
        <v>857.48077964893059</v>
      </c>
      <c r="Y154" s="43">
        <f t="shared" si="38"/>
        <v>857.48077964893059</v>
      </c>
      <c r="Z154" s="43">
        <f t="shared" si="39"/>
        <v>428.7403898244653</v>
      </c>
      <c r="AB154" s="43">
        <f t="shared" si="60"/>
        <v>10890.005901541419</v>
      </c>
      <c r="AC154" s="43">
        <f t="shared" si="61"/>
        <v>7991.7208663280326</v>
      </c>
      <c r="AD154" s="43">
        <f t="shared" si="62"/>
        <v>7881.9633265329685</v>
      </c>
      <c r="AE154" s="43">
        <f t="shared" si="63"/>
        <v>7881.9633265329685</v>
      </c>
      <c r="AF154" s="43">
        <f t="shared" si="64"/>
        <v>3940.9816632664842</v>
      </c>
      <c r="AH154" s="43">
        <f t="shared" si="65"/>
        <v>27696.629182660454</v>
      </c>
      <c r="AI154" s="43">
        <f t="shared" si="66"/>
        <v>19704.908316332421</v>
      </c>
      <c r="AJ154" s="43">
        <f t="shared" si="67"/>
        <v>11822.944989799453</v>
      </c>
      <c r="AK154" s="43">
        <f t="shared" si="68"/>
        <v>3940.9816632664842</v>
      </c>
      <c r="AL154" s="43">
        <f t="shared" si="69"/>
        <v>0</v>
      </c>
      <c r="AN154" s="47">
        <f t="shared" si="70"/>
        <v>12025.567698030498</v>
      </c>
      <c r="AO154" s="47">
        <f t="shared" si="71"/>
        <v>8996.6711904609856</v>
      </c>
      <c r="AP154" s="47">
        <f t="shared" si="72"/>
        <v>8484.933521012741</v>
      </c>
      <c r="AQ154" s="47">
        <f t="shared" si="73"/>
        <v>8098.7173180126247</v>
      </c>
      <c r="AR154" s="43">
        <f t="shared" si="74"/>
        <v>3940.9816632664842</v>
      </c>
      <c r="AY154" s="3"/>
    </row>
    <row r="155" spans="1:51">
      <c r="A155" s="226"/>
      <c r="B155" s="37">
        <f>'13. Desinvesteringen'!B438</f>
        <v>419</v>
      </c>
      <c r="C155" s="48"/>
      <c r="D155" s="48"/>
      <c r="E155" s="48"/>
      <c r="F155" s="354">
        <f>'5. Input GAW-waarde desinv.'!D114</f>
        <v>21904.077054372625</v>
      </c>
      <c r="G155" s="175">
        <f>'13. Desinvesteringen'!D438</f>
        <v>1972</v>
      </c>
      <c r="H155" s="175">
        <f>'13. Desinvesteringen'!G438</f>
        <v>2023</v>
      </c>
      <c r="I155" s="37" t="str">
        <f>'13. Desinvesteringen'!C438</f>
        <v>01 Regionale leidingen</v>
      </c>
      <c r="J155" s="165">
        <f>'13. Desinvesteringen'!F438</f>
        <v>0</v>
      </c>
      <c r="K155" s="38">
        <f>_xlfn.XLOOKUP(I155,'3. Input (des)investeringen '!$B$11:$B$89,'3. Input (des)investeringen '!$E$11:$E$89)</f>
        <v>1</v>
      </c>
      <c r="L155" s="48"/>
      <c r="M155" s="38">
        <f>_xlfn.XLOOKUP(I155,'3. Input (des)investeringen '!$B$11:$B$89,'3. Input (des)investeringen '!$D$11:$D$89,0)</f>
        <v>55</v>
      </c>
      <c r="N155" s="38">
        <f t="shared" si="59"/>
        <v>5.5</v>
      </c>
      <c r="P155" s="43">
        <f t="shared" si="75"/>
        <v>4659.594573384722</v>
      </c>
      <c r="Q155" s="43">
        <f t="shared" si="75"/>
        <v>3558.2358560392422</v>
      </c>
      <c r="R155" s="43">
        <f t="shared" si="75"/>
        <v>3284.5254055746855</v>
      </c>
      <c r="S155" s="43">
        <f t="shared" si="75"/>
        <v>3284.5254055746855</v>
      </c>
      <c r="T155" s="43">
        <f t="shared" si="75"/>
        <v>3284.5254055746855</v>
      </c>
      <c r="V155" s="43">
        <f t="shared" si="35"/>
        <v>398.25594644313867</v>
      </c>
      <c r="W155" s="43">
        <f t="shared" si="36"/>
        <v>398.25594644313867</v>
      </c>
      <c r="X155" s="43">
        <f t="shared" si="37"/>
        <v>398.25594644313867</v>
      </c>
      <c r="Y155" s="43">
        <f t="shared" si="38"/>
        <v>398.25594644313867</v>
      </c>
      <c r="Z155" s="43">
        <f t="shared" si="39"/>
        <v>398.25594644313867</v>
      </c>
      <c r="AB155" s="43">
        <f t="shared" si="60"/>
        <v>5057.8505198278608</v>
      </c>
      <c r="AC155" s="43">
        <f t="shared" si="61"/>
        <v>3956.491802482381</v>
      </c>
      <c r="AD155" s="43">
        <f t="shared" si="62"/>
        <v>3682.7813520178242</v>
      </c>
      <c r="AE155" s="43">
        <f t="shared" si="63"/>
        <v>3682.7813520178242</v>
      </c>
      <c r="AF155" s="43">
        <f t="shared" si="64"/>
        <v>3682.7813520178242</v>
      </c>
      <c r="AH155" s="43">
        <f t="shared" si="65"/>
        <v>16846.226534544763</v>
      </c>
      <c r="AI155" s="43">
        <f t="shared" si="66"/>
        <v>12889.734732062381</v>
      </c>
      <c r="AJ155" s="43">
        <f t="shared" si="67"/>
        <v>9206.953380044557</v>
      </c>
      <c r="AK155" s="43">
        <f t="shared" si="68"/>
        <v>5524.1720280267327</v>
      </c>
      <c r="AL155" s="43">
        <f t="shared" si="69"/>
        <v>1841.3906760089085</v>
      </c>
      <c r="AN155" s="47">
        <f t="shared" si="70"/>
        <v>5748.5458077441963</v>
      </c>
      <c r="AO155" s="47">
        <f t="shared" si="71"/>
        <v>4613.8682738175621</v>
      </c>
      <c r="AP155" s="47">
        <f t="shared" si="72"/>
        <v>4152.3359744000963</v>
      </c>
      <c r="AQ155" s="47">
        <f t="shared" si="73"/>
        <v>3986.6108135592945</v>
      </c>
      <c r="AR155" s="43">
        <f t="shared" si="74"/>
        <v>3752.7541977061628</v>
      </c>
      <c r="AY155" s="3"/>
    </row>
    <row r="156" spans="1:51">
      <c r="A156" s="226"/>
      <c r="B156" s="37">
        <f>'13. Desinvesteringen'!B439</f>
        <v>420</v>
      </c>
      <c r="C156" s="48"/>
      <c r="D156" s="48"/>
      <c r="E156" s="48"/>
      <c r="F156" s="354">
        <f>'5. Input GAW-waarde desinv.'!D115</f>
        <v>17162.736023996706</v>
      </c>
      <c r="G156" s="175">
        <f>'13. Desinvesteringen'!D439</f>
        <v>1973</v>
      </c>
      <c r="H156" s="175">
        <f>'13. Desinvesteringen'!G439</f>
        <v>2023</v>
      </c>
      <c r="I156" s="37" t="str">
        <f>'13. Desinvesteringen'!C439</f>
        <v>01 Regionale leidingen</v>
      </c>
      <c r="J156" s="165">
        <f>'13. Desinvesteringen'!F439</f>
        <v>0</v>
      </c>
      <c r="K156" s="38">
        <f>_xlfn.XLOOKUP(I156,'3. Input (des)investeringen '!$B$11:$B$89,'3. Input (des)investeringen '!$E$11:$E$89)</f>
        <v>1</v>
      </c>
      <c r="L156" s="48"/>
      <c r="M156" s="38">
        <f>_xlfn.XLOOKUP(I156,'3. Input (des)investeringen '!$B$11:$B$89,'3. Input (des)investeringen '!$D$11:$D$89,0)</f>
        <v>55</v>
      </c>
      <c r="N156" s="38">
        <f t="shared" si="59"/>
        <v>6.5</v>
      </c>
      <c r="P156" s="43">
        <f t="shared" si="75"/>
        <v>3089.2924843194073</v>
      </c>
      <c r="Q156" s="43">
        <f t="shared" si="75"/>
        <v>2471.4339874555258</v>
      </c>
      <c r="R156" s="43">
        <f t="shared" si="75"/>
        <v>2196.8302110715786</v>
      </c>
      <c r="S156" s="43">
        <f t="shared" si="75"/>
        <v>2196.8302110715786</v>
      </c>
      <c r="T156" s="43">
        <f t="shared" si="75"/>
        <v>2196.8302110715786</v>
      </c>
      <c r="V156" s="43">
        <f t="shared" si="35"/>
        <v>264.04209267687241</v>
      </c>
      <c r="W156" s="43">
        <f t="shared" si="36"/>
        <v>264.04209267687241</v>
      </c>
      <c r="X156" s="43">
        <f t="shared" si="37"/>
        <v>264.04209267687241</v>
      </c>
      <c r="Y156" s="43">
        <f t="shared" si="38"/>
        <v>264.04209267687241</v>
      </c>
      <c r="Z156" s="43">
        <f t="shared" si="39"/>
        <v>264.04209267687241</v>
      </c>
      <c r="AB156" s="43">
        <f t="shared" si="60"/>
        <v>3353.3345769962798</v>
      </c>
      <c r="AC156" s="43">
        <f t="shared" si="61"/>
        <v>2735.4760801323982</v>
      </c>
      <c r="AD156" s="43">
        <f t="shared" si="62"/>
        <v>2460.872303748451</v>
      </c>
      <c r="AE156" s="43">
        <f t="shared" si="63"/>
        <v>2460.872303748451</v>
      </c>
      <c r="AF156" s="43">
        <f t="shared" si="64"/>
        <v>2460.872303748451</v>
      </c>
      <c r="AH156" s="43">
        <f t="shared" si="65"/>
        <v>13809.401447000426</v>
      </c>
      <c r="AI156" s="43">
        <f t="shared" si="66"/>
        <v>11073.925366868029</v>
      </c>
      <c r="AJ156" s="43">
        <f t="shared" si="67"/>
        <v>8613.0530631195779</v>
      </c>
      <c r="AK156" s="43">
        <f t="shared" si="68"/>
        <v>6152.1807593711274</v>
      </c>
      <c r="AL156" s="43">
        <f t="shared" si="69"/>
        <v>3691.3084556226763</v>
      </c>
      <c r="AN156" s="47">
        <f t="shared" si="70"/>
        <v>3919.5200363232971</v>
      </c>
      <c r="AO156" s="47">
        <f t="shared" si="71"/>
        <v>3300.2462738426675</v>
      </c>
      <c r="AP156" s="47">
        <f t="shared" si="72"/>
        <v>2900.1380099675494</v>
      </c>
      <c r="AQ156" s="47">
        <f t="shared" si="73"/>
        <v>2799.2422455138631</v>
      </c>
      <c r="AR156" s="43">
        <f t="shared" si="74"/>
        <v>2601.1420250621127</v>
      </c>
      <c r="AY156" s="3"/>
    </row>
    <row r="157" spans="1:51">
      <c r="A157" s="226"/>
      <c r="B157" s="37">
        <f>'13. Desinvesteringen'!B440</f>
        <v>421</v>
      </c>
      <c r="C157" s="48"/>
      <c r="D157" s="48"/>
      <c r="E157" s="48"/>
      <c r="F157" s="354">
        <f>'5. Input GAW-waarde desinv.'!D116</f>
        <v>2951.3714473540831</v>
      </c>
      <c r="G157" s="175">
        <f>'13. Desinvesteringen'!D440</f>
        <v>1985</v>
      </c>
      <c r="H157" s="175">
        <f>'13. Desinvesteringen'!G440</f>
        <v>2023</v>
      </c>
      <c r="I157" s="37" t="str">
        <f>'13. Desinvesteringen'!C440</f>
        <v>01 Regionale leidingen</v>
      </c>
      <c r="J157" s="165">
        <f>'13. Desinvesteringen'!F440</f>
        <v>0</v>
      </c>
      <c r="K157" s="38">
        <f>_xlfn.XLOOKUP(I157,'3. Input (des)investeringen '!$B$11:$B$89,'3. Input (des)investeringen '!$E$11:$E$89)</f>
        <v>1</v>
      </c>
      <c r="L157" s="48"/>
      <c r="M157" s="38">
        <f>_xlfn.XLOOKUP(I157,'3. Input (des)investeringen '!$B$11:$B$89,'3. Input (des)investeringen '!$D$11:$D$89,0)</f>
        <v>55</v>
      </c>
      <c r="N157" s="38">
        <f t="shared" si="59"/>
        <v>18.5</v>
      </c>
      <c r="P157" s="43">
        <f t="shared" si="75"/>
        <v>186.65430234617716</v>
      </c>
      <c r="Q157" s="43">
        <f t="shared" si="75"/>
        <v>173.53805407320257</v>
      </c>
      <c r="R157" s="43">
        <f t="shared" si="75"/>
        <v>161.34348811130184</v>
      </c>
      <c r="S157" s="43">
        <f t="shared" si="75"/>
        <v>150.00583759537253</v>
      </c>
      <c r="T157" s="43">
        <f t="shared" si="75"/>
        <v>139.46488684542743</v>
      </c>
      <c r="V157" s="43">
        <f t="shared" si="35"/>
        <v>15.953359174886936</v>
      </c>
      <c r="W157" s="43">
        <f t="shared" si="36"/>
        <v>15.953359174886936</v>
      </c>
      <c r="X157" s="43">
        <f t="shared" si="37"/>
        <v>15.953359174886936</v>
      </c>
      <c r="Y157" s="43">
        <f t="shared" si="38"/>
        <v>15.953359174886936</v>
      </c>
      <c r="Z157" s="43">
        <f t="shared" si="39"/>
        <v>15.953359174886936</v>
      </c>
      <c r="AB157" s="43">
        <f t="shared" si="60"/>
        <v>202.6076615210641</v>
      </c>
      <c r="AC157" s="43">
        <f t="shared" si="61"/>
        <v>189.49141324808951</v>
      </c>
      <c r="AD157" s="43">
        <f t="shared" si="62"/>
        <v>177.29684728618878</v>
      </c>
      <c r="AE157" s="43">
        <f t="shared" si="63"/>
        <v>165.95919677025947</v>
      </c>
      <c r="AF157" s="43">
        <f t="shared" si="64"/>
        <v>155.41824602031437</v>
      </c>
      <c r="AH157" s="43">
        <f t="shared" si="65"/>
        <v>2748.763785833019</v>
      </c>
      <c r="AI157" s="43">
        <f t="shared" si="66"/>
        <v>2559.2723725849296</v>
      </c>
      <c r="AJ157" s="43">
        <f t="shared" si="67"/>
        <v>2381.9755252987406</v>
      </c>
      <c r="AK157" s="43">
        <f t="shared" si="68"/>
        <v>2216.0163285284812</v>
      </c>
      <c r="AL157" s="43">
        <f t="shared" si="69"/>
        <v>2060.598082508167</v>
      </c>
      <c r="AN157" s="47">
        <f t="shared" si="70"/>
        <v>315.30697674021792</v>
      </c>
      <c r="AO157" s="47">
        <f t="shared" si="71"/>
        <v>320.01430424992088</v>
      </c>
      <c r="AP157" s="47">
        <f t="shared" si="72"/>
        <v>298.77759907642456</v>
      </c>
      <c r="AQ157" s="47">
        <f t="shared" si="73"/>
        <v>287.84009483932596</v>
      </c>
      <c r="AR157" s="43">
        <f t="shared" si="74"/>
        <v>233.72097315562473</v>
      </c>
      <c r="AY157" s="3"/>
    </row>
    <row r="158" spans="1:51">
      <c r="A158" s="226"/>
      <c r="B158" s="37">
        <f>'13. Desinvesteringen'!B441</f>
        <v>422</v>
      </c>
      <c r="C158" s="48"/>
      <c r="D158" s="48"/>
      <c r="E158" s="48"/>
      <c r="F158" s="354">
        <f>'5. Input GAW-waarde desinv.'!D117</f>
        <v>1042.7959463378704</v>
      </c>
      <c r="G158" s="175">
        <f>'13. Desinvesteringen'!D441</f>
        <v>1988</v>
      </c>
      <c r="H158" s="175">
        <f>'13. Desinvesteringen'!G441</f>
        <v>2023</v>
      </c>
      <c r="I158" s="37" t="str">
        <f>'13. Desinvesteringen'!C441</f>
        <v>01 Regionale leidingen</v>
      </c>
      <c r="J158" s="165">
        <f>'13. Desinvesteringen'!F441</f>
        <v>0</v>
      </c>
      <c r="K158" s="38">
        <f>_xlfn.XLOOKUP(I158,'3. Input (des)investeringen '!$B$11:$B$89,'3. Input (des)investeringen '!$E$11:$E$89)</f>
        <v>1</v>
      </c>
      <c r="L158" s="48"/>
      <c r="M158" s="38">
        <f>_xlfn.XLOOKUP(I158,'3. Input (des)investeringen '!$B$11:$B$89,'3. Input (des)investeringen '!$D$11:$D$89,0)</f>
        <v>55</v>
      </c>
      <c r="N158" s="38">
        <f t="shared" si="59"/>
        <v>21.5</v>
      </c>
      <c r="P158" s="43">
        <f t="shared" si="75"/>
        <v>56.747500335595738</v>
      </c>
      <c r="Q158" s="43">
        <f t="shared" si="75"/>
        <v>53.316256129257397</v>
      </c>
      <c r="R158" s="43">
        <f t="shared" si="75"/>
        <v>50.092482502837179</v>
      </c>
      <c r="S158" s="43">
        <f t="shared" si="75"/>
        <v>47.063634723595868</v>
      </c>
      <c r="T158" s="43">
        <f t="shared" si="75"/>
        <v>44.217926577517972</v>
      </c>
      <c r="V158" s="43">
        <f t="shared" si="35"/>
        <v>4.8502137038970723</v>
      </c>
      <c r="W158" s="43">
        <f t="shared" si="36"/>
        <v>4.8502137038970723</v>
      </c>
      <c r="X158" s="43">
        <f t="shared" si="37"/>
        <v>4.8502137038970723</v>
      </c>
      <c r="Y158" s="43">
        <f t="shared" si="38"/>
        <v>4.8502137038970723</v>
      </c>
      <c r="Z158" s="43">
        <f t="shared" si="39"/>
        <v>4.8502137038970723</v>
      </c>
      <c r="AB158" s="43">
        <f t="shared" si="60"/>
        <v>61.597714039492814</v>
      </c>
      <c r="AC158" s="43">
        <f t="shared" si="61"/>
        <v>58.166469833154466</v>
      </c>
      <c r="AD158" s="43">
        <f t="shared" si="62"/>
        <v>54.942696206734254</v>
      </c>
      <c r="AE158" s="43">
        <f t="shared" si="63"/>
        <v>51.913848427492937</v>
      </c>
      <c r="AF158" s="43">
        <f t="shared" si="64"/>
        <v>49.06814028141504</v>
      </c>
      <c r="AH158" s="43">
        <f t="shared" si="65"/>
        <v>981.19823229837766</v>
      </c>
      <c r="AI158" s="43">
        <f t="shared" si="66"/>
        <v>923.03176246522321</v>
      </c>
      <c r="AJ158" s="43">
        <f t="shared" si="67"/>
        <v>868.08906625848897</v>
      </c>
      <c r="AK158" s="43">
        <f t="shared" si="68"/>
        <v>816.17521783099608</v>
      </c>
      <c r="AL158" s="43">
        <f t="shared" si="69"/>
        <v>767.10707754958105</v>
      </c>
      <c r="AN158" s="47">
        <f t="shared" si="70"/>
        <v>101.8268415637263</v>
      </c>
      <c r="AO158" s="47">
        <f t="shared" si="71"/>
        <v>105.24108971888084</v>
      </c>
      <c r="AP158" s="47">
        <f t="shared" si="72"/>
        <v>99.215238585917191</v>
      </c>
      <c r="AQ158" s="47">
        <f t="shared" si="73"/>
        <v>96.80348540819773</v>
      </c>
      <c r="AR158" s="43">
        <f t="shared" si="74"/>
        <v>78.218209228299116</v>
      </c>
      <c r="AY158" s="3"/>
    </row>
    <row r="159" spans="1:51">
      <c r="A159" s="226"/>
      <c r="B159" s="37">
        <f>'13. Desinvesteringen'!B442</f>
        <v>423</v>
      </c>
      <c r="C159" s="48"/>
      <c r="D159" s="48"/>
      <c r="E159" s="48"/>
      <c r="F159" s="354">
        <f>'5. Input GAW-waarde desinv.'!D118</f>
        <v>1583.1020339233444</v>
      </c>
      <c r="G159" s="175">
        <f>'13. Desinvesteringen'!D442</f>
        <v>1989</v>
      </c>
      <c r="H159" s="175">
        <f>'13. Desinvesteringen'!G442</f>
        <v>2023</v>
      </c>
      <c r="I159" s="37" t="str">
        <f>'13. Desinvesteringen'!C442</f>
        <v>01 Regionale leidingen</v>
      </c>
      <c r="J159" s="165">
        <f>'13. Desinvesteringen'!F442</f>
        <v>0</v>
      </c>
      <c r="K159" s="38">
        <f>_xlfn.XLOOKUP(I159,'3. Input (des)investeringen '!$B$11:$B$89,'3. Input (des)investeringen '!$E$11:$E$89)</f>
        <v>1</v>
      </c>
      <c r="L159" s="48"/>
      <c r="M159" s="38">
        <f>_xlfn.XLOOKUP(I159,'3. Input (des)investeringen '!$B$11:$B$89,'3. Input (des)investeringen '!$D$11:$D$89,0)</f>
        <v>55</v>
      </c>
      <c r="N159" s="38">
        <f t="shared" si="59"/>
        <v>22.5</v>
      </c>
      <c r="P159" s="43">
        <f t="shared" si="75"/>
        <v>82.321305764013914</v>
      </c>
      <c r="Q159" s="43">
        <f t="shared" si="75"/>
        <v>77.564963653204231</v>
      </c>
      <c r="R159" s="43">
        <f t="shared" si="75"/>
        <v>73.083432419907979</v>
      </c>
      <c r="S159" s="43">
        <f t="shared" si="75"/>
        <v>68.860834102313291</v>
      </c>
      <c r="T159" s="43">
        <f t="shared" si="75"/>
        <v>64.882208131957412</v>
      </c>
      <c r="V159" s="43">
        <f t="shared" si="35"/>
        <v>7.0360090396593087</v>
      </c>
      <c r="W159" s="43">
        <f t="shared" si="36"/>
        <v>7.0360090396593087</v>
      </c>
      <c r="X159" s="43">
        <f t="shared" si="37"/>
        <v>7.0360090396593087</v>
      </c>
      <c r="Y159" s="43">
        <f t="shared" si="38"/>
        <v>7.0360090396593087</v>
      </c>
      <c r="Z159" s="43">
        <f t="shared" si="39"/>
        <v>7.0360090396593087</v>
      </c>
      <c r="AB159" s="43">
        <f t="shared" si="60"/>
        <v>89.357314803673219</v>
      </c>
      <c r="AC159" s="43">
        <f t="shared" si="61"/>
        <v>84.600972692863536</v>
      </c>
      <c r="AD159" s="43">
        <f t="shared" si="62"/>
        <v>80.119441459567284</v>
      </c>
      <c r="AE159" s="43">
        <f t="shared" si="63"/>
        <v>75.896843141972596</v>
      </c>
      <c r="AF159" s="43">
        <f t="shared" si="64"/>
        <v>71.918217171616718</v>
      </c>
      <c r="AH159" s="43">
        <f t="shared" si="65"/>
        <v>1493.7447191196711</v>
      </c>
      <c r="AI159" s="43">
        <f t="shared" si="66"/>
        <v>1409.1437464268076</v>
      </c>
      <c r="AJ159" s="43">
        <f t="shared" si="67"/>
        <v>1329.0243049672404</v>
      </c>
      <c r="AK159" s="43">
        <f t="shared" si="68"/>
        <v>1253.1274618252678</v>
      </c>
      <c r="AL159" s="43">
        <f t="shared" si="69"/>
        <v>1181.209244653651</v>
      </c>
      <c r="AN159" s="47">
        <f t="shared" si="70"/>
        <v>150.60084828757974</v>
      </c>
      <c r="AO159" s="47">
        <f t="shared" si="71"/>
        <v>156.46730376063073</v>
      </c>
      <c r="AP159" s="47">
        <f t="shared" si="72"/>
        <v>147.89968101289654</v>
      </c>
      <c r="AQ159" s="47">
        <f t="shared" si="73"/>
        <v>144.81885354236232</v>
      </c>
      <c r="AR159" s="43">
        <f t="shared" si="74"/>
        <v>116.80416846845546</v>
      </c>
      <c r="AY159" s="3"/>
    </row>
    <row r="160" spans="1:51">
      <c r="A160" s="226"/>
      <c r="B160" s="37">
        <f>'13. Desinvesteringen'!B443</f>
        <v>424</v>
      </c>
      <c r="C160" s="48"/>
      <c r="D160" s="48"/>
      <c r="E160" s="48"/>
      <c r="F160" s="354">
        <f>'5. Input GAW-waarde desinv.'!D119</f>
        <v>7373.2798573001292</v>
      </c>
      <c r="G160" s="175">
        <f>'13. Desinvesteringen'!D443</f>
        <v>1992</v>
      </c>
      <c r="H160" s="175">
        <f>'13. Desinvesteringen'!G443</f>
        <v>2023</v>
      </c>
      <c r="I160" s="37" t="str">
        <f>'13. Desinvesteringen'!C443</f>
        <v>01 Regionale leidingen</v>
      </c>
      <c r="J160" s="165">
        <f>'13. Desinvesteringen'!F443</f>
        <v>0</v>
      </c>
      <c r="K160" s="38">
        <f>_xlfn.XLOOKUP(I160,'3. Input (des)investeringen '!$B$11:$B$89,'3. Input (des)investeringen '!$E$11:$E$89)</f>
        <v>1</v>
      </c>
      <c r="L160" s="48"/>
      <c r="M160" s="38">
        <f>_xlfn.XLOOKUP(I160,'3. Input (des)investeringen '!$B$11:$B$89,'3. Input (des)investeringen '!$D$11:$D$89,0)</f>
        <v>55</v>
      </c>
      <c r="N160" s="38">
        <f t="shared" si="59"/>
        <v>25.5</v>
      </c>
      <c r="P160" s="43">
        <f t="shared" si="75"/>
        <v>338.3034287467118</v>
      </c>
      <c r="Q160" s="43">
        <f t="shared" si="75"/>
        <v>321.05658728119317</v>
      </c>
      <c r="R160" s="43">
        <f t="shared" si="75"/>
        <v>304.68899655705394</v>
      </c>
      <c r="S160" s="43">
        <f t="shared" si="75"/>
        <v>289.15583202669433</v>
      </c>
      <c r="T160" s="43">
        <f t="shared" si="75"/>
        <v>274.41455431552953</v>
      </c>
      <c r="V160" s="43">
        <f t="shared" si="35"/>
        <v>28.914822969804433</v>
      </c>
      <c r="W160" s="43">
        <f t="shared" si="36"/>
        <v>28.914822969804433</v>
      </c>
      <c r="X160" s="43">
        <f t="shared" si="37"/>
        <v>28.914822969804433</v>
      </c>
      <c r="Y160" s="43">
        <f t="shared" si="38"/>
        <v>28.914822969804433</v>
      </c>
      <c r="Z160" s="43">
        <f t="shared" si="39"/>
        <v>28.914822969804433</v>
      </c>
      <c r="AB160" s="43">
        <f t="shared" si="60"/>
        <v>367.21825171651625</v>
      </c>
      <c r="AC160" s="43">
        <f t="shared" si="61"/>
        <v>349.97141025099762</v>
      </c>
      <c r="AD160" s="43">
        <f t="shared" si="62"/>
        <v>333.60381952685839</v>
      </c>
      <c r="AE160" s="43">
        <f t="shared" si="63"/>
        <v>318.07065499649877</v>
      </c>
      <c r="AF160" s="43">
        <f t="shared" si="64"/>
        <v>303.32937728533398</v>
      </c>
      <c r="AH160" s="43">
        <f t="shared" si="65"/>
        <v>7006.0616055836126</v>
      </c>
      <c r="AI160" s="43">
        <f t="shared" si="66"/>
        <v>6656.0901953326147</v>
      </c>
      <c r="AJ160" s="43">
        <f t="shared" si="67"/>
        <v>6322.4863758057563</v>
      </c>
      <c r="AK160" s="43">
        <f t="shared" si="68"/>
        <v>6004.4157208092574</v>
      </c>
      <c r="AL160" s="43">
        <f t="shared" si="69"/>
        <v>5701.0863435239235</v>
      </c>
      <c r="AN160" s="47">
        <f t="shared" si="70"/>
        <v>654.4667775454443</v>
      </c>
      <c r="AO160" s="47">
        <f t="shared" si="71"/>
        <v>689.4320102129609</v>
      </c>
      <c r="AP160" s="47">
        <f t="shared" si="72"/>
        <v>656.05062469295194</v>
      </c>
      <c r="AQ160" s="47">
        <f t="shared" si="73"/>
        <v>648.31351964100793</v>
      </c>
      <c r="AR160" s="43">
        <f t="shared" si="74"/>
        <v>519.97065833924307</v>
      </c>
      <c r="AY160" s="3"/>
    </row>
    <row r="161" spans="1:51">
      <c r="A161" s="226"/>
      <c r="B161" s="37">
        <f>'13. Desinvesteringen'!B444</f>
        <v>425</v>
      </c>
      <c r="C161" s="48"/>
      <c r="D161" s="48"/>
      <c r="E161" s="48"/>
      <c r="F161" s="354">
        <f>'5. Input GAW-waarde desinv.'!D120</f>
        <v>138596.0081293541</v>
      </c>
      <c r="G161" s="175">
        <f>'13. Desinvesteringen'!D444</f>
        <v>1993</v>
      </c>
      <c r="H161" s="175">
        <f>'13. Desinvesteringen'!G444</f>
        <v>2023</v>
      </c>
      <c r="I161" s="37" t="str">
        <f>'13. Desinvesteringen'!C444</f>
        <v>01 Regionale leidingen</v>
      </c>
      <c r="J161" s="165">
        <f>'13. Desinvesteringen'!F444</f>
        <v>0</v>
      </c>
      <c r="K161" s="38">
        <f>_xlfn.XLOOKUP(I161,'3. Input (des)investeringen '!$B$11:$B$89,'3. Input (des)investeringen '!$E$11:$E$89)</f>
        <v>1</v>
      </c>
      <c r="L161" s="48"/>
      <c r="M161" s="38">
        <f>_xlfn.XLOOKUP(I161,'3. Input (des)investeringen '!$B$11:$B$89,'3. Input (des)investeringen '!$D$11:$D$89,0)</f>
        <v>55</v>
      </c>
      <c r="N161" s="38">
        <f t="shared" si="59"/>
        <v>26.5</v>
      </c>
      <c r="P161" s="43">
        <f t="shared" si="75"/>
        <v>6119.1445098620497</v>
      </c>
      <c r="Q161" s="43">
        <f t="shared" si="75"/>
        <v>5818.9600622084399</v>
      </c>
      <c r="R161" s="43">
        <f t="shared" si="75"/>
        <v>5533.5016440623658</v>
      </c>
      <c r="S161" s="43">
        <f t="shared" si="75"/>
        <v>5262.0468464291171</v>
      </c>
      <c r="T161" s="43">
        <f t="shared" si="75"/>
        <v>5003.9086992458024</v>
      </c>
      <c r="V161" s="43">
        <f t="shared" si="35"/>
        <v>523.00380426171364</v>
      </c>
      <c r="W161" s="43">
        <f t="shared" si="36"/>
        <v>523.00380426171353</v>
      </c>
      <c r="X161" s="43">
        <f t="shared" si="37"/>
        <v>523.00380426171353</v>
      </c>
      <c r="Y161" s="43">
        <f t="shared" si="38"/>
        <v>523.00380426171353</v>
      </c>
      <c r="Z161" s="43">
        <f t="shared" si="39"/>
        <v>523.00380426171353</v>
      </c>
      <c r="AB161" s="43">
        <f t="shared" si="60"/>
        <v>6642.1483141237632</v>
      </c>
      <c r="AC161" s="43">
        <f t="shared" si="61"/>
        <v>6341.9638664701533</v>
      </c>
      <c r="AD161" s="43">
        <f t="shared" si="62"/>
        <v>6056.5054483240792</v>
      </c>
      <c r="AE161" s="43">
        <f t="shared" si="63"/>
        <v>5785.0506506908305</v>
      </c>
      <c r="AF161" s="43">
        <f t="shared" si="64"/>
        <v>5526.9125035075158</v>
      </c>
      <c r="AH161" s="43">
        <f t="shared" si="65"/>
        <v>131953.85981523033</v>
      </c>
      <c r="AI161" s="43">
        <f t="shared" si="66"/>
        <v>125611.89594876018</v>
      </c>
      <c r="AJ161" s="43">
        <f t="shared" si="67"/>
        <v>119555.3905004361</v>
      </c>
      <c r="AK161" s="43">
        <f t="shared" si="68"/>
        <v>113770.33984974527</v>
      </c>
      <c r="AL161" s="43">
        <f t="shared" si="69"/>
        <v>108243.42734623776</v>
      </c>
      <c r="AN161" s="47">
        <f t="shared" si="70"/>
        <v>12052.256566548207</v>
      </c>
      <c r="AO161" s="47">
        <f t="shared" si="71"/>
        <v>12748.170559856922</v>
      </c>
      <c r="AP161" s="47">
        <f t="shared" si="72"/>
        <v>12153.83036384632</v>
      </c>
      <c r="AQ161" s="47">
        <f t="shared" si="73"/>
        <v>12042.41934242682</v>
      </c>
      <c r="AR161" s="43">
        <f t="shared" si="74"/>
        <v>9640.16274266455</v>
      </c>
      <c r="AY161" s="3"/>
    </row>
    <row r="162" spans="1:51">
      <c r="A162" s="226"/>
      <c r="B162" s="37">
        <f>'13. Desinvesteringen'!B445</f>
        <v>426</v>
      </c>
      <c r="C162" s="48"/>
      <c r="D162" s="48"/>
      <c r="E162" s="48"/>
      <c r="F162" s="354">
        <f>'5. Input GAW-waarde desinv.'!D121</f>
        <v>0</v>
      </c>
      <c r="G162" s="175">
        <f>'13. Desinvesteringen'!D445</f>
        <v>1998</v>
      </c>
      <c r="H162" s="175">
        <f>'13. Desinvesteringen'!G445</f>
        <v>2023</v>
      </c>
      <c r="I162" s="37" t="str">
        <f>'13. Desinvesteringen'!C445</f>
        <v>01 Regionale leidingen</v>
      </c>
      <c r="J162" s="165">
        <f>'13. Desinvesteringen'!F445</f>
        <v>0</v>
      </c>
      <c r="K162" s="38">
        <f>_xlfn.XLOOKUP(I162,'3. Input (des)investeringen '!$B$11:$B$89,'3. Input (des)investeringen '!$E$11:$E$89)</f>
        <v>1</v>
      </c>
      <c r="L162" s="48"/>
      <c r="M162" s="38">
        <f>_xlfn.XLOOKUP(I162,'3. Input (des)investeringen '!$B$11:$B$89,'3. Input (des)investeringen '!$D$11:$D$89,0)</f>
        <v>55</v>
      </c>
      <c r="N162" s="38">
        <f t="shared" si="59"/>
        <v>31.5</v>
      </c>
      <c r="P162" s="43">
        <f t="shared" ref="P162:T171" si="76">IF($M162&gt;0, IF(OR($G162&gt;P$50,$G162+$M162&lt;P$50),0,
VDB($F162,0,$N162,MAX(0,P$50-2022),MIN($N162,P$50-2021),$F$23,FALSE))*(1-$F$26), 0)</f>
        <v>0</v>
      </c>
      <c r="Q162" s="43">
        <f t="shared" si="76"/>
        <v>0</v>
      </c>
      <c r="R162" s="43">
        <f t="shared" si="76"/>
        <v>0</v>
      </c>
      <c r="S162" s="43">
        <f t="shared" si="76"/>
        <v>0</v>
      </c>
      <c r="T162" s="43">
        <f t="shared" si="76"/>
        <v>0</v>
      </c>
      <c r="V162" s="43">
        <f t="shared" si="35"/>
        <v>0</v>
      </c>
      <c r="W162" s="43">
        <f t="shared" si="36"/>
        <v>0</v>
      </c>
      <c r="X162" s="43">
        <f t="shared" si="37"/>
        <v>0</v>
      </c>
      <c r="Y162" s="43">
        <f t="shared" si="38"/>
        <v>0</v>
      </c>
      <c r="Z162" s="43">
        <f t="shared" si="39"/>
        <v>0</v>
      </c>
      <c r="AB162" s="43">
        <f t="shared" si="60"/>
        <v>0</v>
      </c>
      <c r="AC162" s="43">
        <f t="shared" si="61"/>
        <v>0</v>
      </c>
      <c r="AD162" s="43">
        <f t="shared" si="62"/>
        <v>0</v>
      </c>
      <c r="AE162" s="43">
        <f t="shared" si="63"/>
        <v>0</v>
      </c>
      <c r="AF162" s="43">
        <f t="shared" si="64"/>
        <v>0</v>
      </c>
      <c r="AH162" s="43">
        <f t="shared" si="65"/>
        <v>0</v>
      </c>
      <c r="AI162" s="43">
        <f t="shared" si="66"/>
        <v>0</v>
      </c>
      <c r="AJ162" s="43">
        <f t="shared" si="67"/>
        <v>0</v>
      </c>
      <c r="AK162" s="43">
        <f t="shared" si="68"/>
        <v>0</v>
      </c>
      <c r="AL162" s="43">
        <f t="shared" si="69"/>
        <v>0</v>
      </c>
      <c r="AN162" s="47">
        <f t="shared" si="70"/>
        <v>0</v>
      </c>
      <c r="AO162" s="47">
        <f t="shared" si="71"/>
        <v>0</v>
      </c>
      <c r="AP162" s="47">
        <f t="shared" si="72"/>
        <v>0</v>
      </c>
      <c r="AQ162" s="47">
        <f t="shared" si="73"/>
        <v>0</v>
      </c>
      <c r="AR162" s="43">
        <f t="shared" si="74"/>
        <v>0</v>
      </c>
      <c r="AY162" s="3"/>
    </row>
    <row r="163" spans="1:51">
      <c r="A163" s="226"/>
      <c r="B163" s="37">
        <f>'13. Desinvesteringen'!B446</f>
        <v>427</v>
      </c>
      <c r="C163" s="48"/>
      <c r="D163" s="48"/>
      <c r="E163" s="48"/>
      <c r="F163" s="354">
        <f>'5. Input GAW-waarde desinv.'!D122</f>
        <v>30711.765477463152</v>
      </c>
      <c r="G163" s="175">
        <f>'13. Desinvesteringen'!D446</f>
        <v>1999</v>
      </c>
      <c r="H163" s="175">
        <f>'13. Desinvesteringen'!G446</f>
        <v>2023</v>
      </c>
      <c r="I163" s="37" t="str">
        <f>'13. Desinvesteringen'!C446</f>
        <v>01 Regionale leidingen</v>
      </c>
      <c r="J163" s="165">
        <f>'13. Desinvesteringen'!F446</f>
        <v>0</v>
      </c>
      <c r="K163" s="38">
        <f>_xlfn.XLOOKUP(I163,'3. Input (des)investeringen '!$B$11:$B$89,'3. Input (des)investeringen '!$E$11:$E$89)</f>
        <v>1</v>
      </c>
      <c r="L163" s="48"/>
      <c r="M163" s="38">
        <f>_xlfn.XLOOKUP(I163,'3. Input (des)investeringen '!$B$11:$B$89,'3. Input (des)investeringen '!$D$11:$D$89,0)</f>
        <v>55</v>
      </c>
      <c r="N163" s="38">
        <f t="shared" si="59"/>
        <v>32.5</v>
      </c>
      <c r="P163" s="43">
        <f t="shared" si="76"/>
        <v>1105.6235571886737</v>
      </c>
      <c r="Q163" s="43">
        <f t="shared" si="76"/>
        <v>1061.3986149011266</v>
      </c>
      <c r="R163" s="43">
        <f t="shared" si="76"/>
        <v>1018.9426703050815</v>
      </c>
      <c r="S163" s="43">
        <f t="shared" si="76"/>
        <v>978.18496349287818</v>
      </c>
      <c r="T163" s="43">
        <f t="shared" si="76"/>
        <v>939.05756495316314</v>
      </c>
      <c r="V163" s="43">
        <f t="shared" si="35"/>
        <v>94.497739930655868</v>
      </c>
      <c r="W163" s="43">
        <f t="shared" si="36"/>
        <v>94.497739930655868</v>
      </c>
      <c r="X163" s="43">
        <f t="shared" si="37"/>
        <v>94.497739930655868</v>
      </c>
      <c r="Y163" s="43">
        <f t="shared" si="38"/>
        <v>94.497739930655868</v>
      </c>
      <c r="Z163" s="43">
        <f t="shared" si="39"/>
        <v>94.497739930655868</v>
      </c>
      <c r="AB163" s="43">
        <f t="shared" si="60"/>
        <v>1200.1212971193295</v>
      </c>
      <c r="AC163" s="43">
        <f t="shared" si="61"/>
        <v>1155.8963548317824</v>
      </c>
      <c r="AD163" s="43">
        <f t="shared" si="62"/>
        <v>1113.4404102357373</v>
      </c>
      <c r="AE163" s="43">
        <f t="shared" si="63"/>
        <v>1072.6827034235341</v>
      </c>
      <c r="AF163" s="43">
        <f t="shared" si="64"/>
        <v>1033.555304883819</v>
      </c>
      <c r="AH163" s="43">
        <f t="shared" si="65"/>
        <v>29511.644180343821</v>
      </c>
      <c r="AI163" s="43">
        <f t="shared" si="66"/>
        <v>28355.747825512037</v>
      </c>
      <c r="AJ163" s="43">
        <f t="shared" si="67"/>
        <v>27242.3074152763</v>
      </c>
      <c r="AK163" s="43">
        <f t="shared" si="68"/>
        <v>26169.624711852764</v>
      </c>
      <c r="AL163" s="43">
        <f t="shared" si="69"/>
        <v>25136.069406968945</v>
      </c>
      <c r="AN163" s="47">
        <f t="shared" si="70"/>
        <v>2410.0987085134261</v>
      </c>
      <c r="AO163" s="47">
        <f t="shared" si="71"/>
        <v>2602.0394939328962</v>
      </c>
      <c r="AP163" s="47">
        <f t="shared" si="72"/>
        <v>2502.7980884148283</v>
      </c>
      <c r="AQ163" s="47">
        <f t="shared" si="73"/>
        <v>2512.0120625754362</v>
      </c>
      <c r="AR163" s="43">
        <f t="shared" si="74"/>
        <v>1988.7259423486389</v>
      </c>
      <c r="AY163" s="3"/>
    </row>
    <row r="164" spans="1:51">
      <c r="A164" s="226"/>
      <c r="B164" s="37">
        <f>'13. Desinvesteringen'!B447</f>
        <v>428</v>
      </c>
      <c r="C164" s="48"/>
      <c r="D164" s="48"/>
      <c r="E164" s="48"/>
      <c r="F164" s="354">
        <f>'5. Input GAW-waarde desinv.'!D123</f>
        <v>13771.568761085329</v>
      </c>
      <c r="G164" s="175">
        <f>'13. Desinvesteringen'!D447</f>
        <v>2002</v>
      </c>
      <c r="H164" s="175">
        <f>'13. Desinvesteringen'!G447</f>
        <v>2023</v>
      </c>
      <c r="I164" s="37" t="str">
        <f>'13. Desinvesteringen'!C447</f>
        <v>01 Regionale leidingen</v>
      </c>
      <c r="J164" s="165">
        <f>'13. Desinvesteringen'!F447</f>
        <v>0</v>
      </c>
      <c r="K164" s="38">
        <f>_xlfn.XLOOKUP(I164,'3. Input (des)investeringen '!$B$11:$B$89,'3. Input (des)investeringen '!$E$11:$E$89)</f>
        <v>1</v>
      </c>
      <c r="L164" s="48"/>
      <c r="M164" s="38">
        <f>_xlfn.XLOOKUP(I164,'3. Input (des)investeringen '!$B$11:$B$89,'3. Input (des)investeringen '!$D$11:$D$89,0)</f>
        <v>55</v>
      </c>
      <c r="N164" s="38">
        <f t="shared" si="59"/>
        <v>35.5</v>
      </c>
      <c r="P164" s="43">
        <f t="shared" si="76"/>
        <v>453.87987184422076</v>
      </c>
      <c r="Q164" s="43">
        <f t="shared" si="76"/>
        <v>437.25891879077034</v>
      </c>
      <c r="R164" s="43">
        <f t="shared" si="76"/>
        <v>421.24662035617882</v>
      </c>
      <c r="S164" s="43">
        <f t="shared" si="76"/>
        <v>405.82068777975536</v>
      </c>
      <c r="T164" s="43">
        <f t="shared" si="76"/>
        <v>390.9596485089474</v>
      </c>
      <c r="V164" s="43">
        <f t="shared" si="35"/>
        <v>38.79315143967699</v>
      </c>
      <c r="W164" s="43">
        <f t="shared" si="36"/>
        <v>38.79315143967699</v>
      </c>
      <c r="X164" s="43">
        <f t="shared" si="37"/>
        <v>38.79315143967699</v>
      </c>
      <c r="Y164" s="43">
        <f t="shared" si="38"/>
        <v>38.79315143967699</v>
      </c>
      <c r="Z164" s="43">
        <f t="shared" si="39"/>
        <v>38.79315143967699</v>
      </c>
      <c r="AB164" s="43">
        <f t="shared" si="60"/>
        <v>492.67302328389775</v>
      </c>
      <c r="AC164" s="43">
        <f t="shared" si="61"/>
        <v>476.05207023044733</v>
      </c>
      <c r="AD164" s="43">
        <f t="shared" si="62"/>
        <v>460.03977179585581</v>
      </c>
      <c r="AE164" s="43">
        <f t="shared" si="63"/>
        <v>444.61383921943235</v>
      </c>
      <c r="AF164" s="43">
        <f t="shared" si="64"/>
        <v>429.75279994862439</v>
      </c>
      <c r="AH164" s="43">
        <f t="shared" si="65"/>
        <v>13278.895737801431</v>
      </c>
      <c r="AI164" s="43">
        <f t="shared" si="66"/>
        <v>12802.843667570984</v>
      </c>
      <c r="AJ164" s="43">
        <f t="shared" si="67"/>
        <v>12342.803895775127</v>
      </c>
      <c r="AK164" s="43">
        <f t="shared" si="68"/>
        <v>11898.190056555695</v>
      </c>
      <c r="AL164" s="43">
        <f t="shared" si="69"/>
        <v>11468.437256607071</v>
      </c>
      <c r="AN164" s="47">
        <f t="shared" si="70"/>
        <v>1037.1077485337564</v>
      </c>
      <c r="AO164" s="47">
        <f t="shared" si="71"/>
        <v>1128.9970972765675</v>
      </c>
      <c r="AP164" s="47">
        <f t="shared" si="72"/>
        <v>1089.5227704803874</v>
      </c>
      <c r="AQ164" s="47">
        <f t="shared" si="73"/>
        <v>1099.0142923299957</v>
      </c>
      <c r="AR164" s="43">
        <f t="shared" si="74"/>
        <v>865.55341569969301</v>
      </c>
      <c r="AY164" s="3"/>
    </row>
    <row r="165" spans="1:51">
      <c r="A165" s="226"/>
      <c r="B165" s="37">
        <f>'13. Desinvesteringen'!B448</f>
        <v>429</v>
      </c>
      <c r="C165" s="48"/>
      <c r="D165" s="48"/>
      <c r="E165" s="48"/>
      <c r="F165" s="354">
        <f>'5. Input GAW-waarde desinv.'!D124</f>
        <v>38953.348948547842</v>
      </c>
      <c r="G165" s="175">
        <f>'13. Desinvesteringen'!D448</f>
        <v>2004</v>
      </c>
      <c r="H165" s="175">
        <f>'13. Desinvesteringen'!G448</f>
        <v>2023</v>
      </c>
      <c r="I165" s="37" t="str">
        <f>'13. Desinvesteringen'!C448</f>
        <v>01 Regionale leidingen</v>
      </c>
      <c r="J165" s="165">
        <f>'13. Desinvesteringen'!F448</f>
        <v>0</v>
      </c>
      <c r="K165" s="38">
        <f>_xlfn.XLOOKUP(I165,'3. Input (des)investeringen '!$B$11:$B$89,'3. Input (des)investeringen '!$E$11:$E$89)</f>
        <v>1</v>
      </c>
      <c r="L165" s="48"/>
      <c r="M165" s="38">
        <f>_xlfn.XLOOKUP(I165,'3. Input (des)investeringen '!$B$11:$B$89,'3. Input (des)investeringen '!$D$11:$D$89,0)</f>
        <v>55</v>
      </c>
      <c r="N165" s="38">
        <f t="shared" si="59"/>
        <v>37.5</v>
      </c>
      <c r="P165" s="43">
        <f t="shared" si="76"/>
        <v>1215.3444871946926</v>
      </c>
      <c r="Q165" s="43">
        <f t="shared" si="76"/>
        <v>1173.2125449719433</v>
      </c>
      <c r="R165" s="43">
        <f t="shared" si="76"/>
        <v>1132.5411767462494</v>
      </c>
      <c r="S165" s="43">
        <f t="shared" si="76"/>
        <v>1093.2797492857128</v>
      </c>
      <c r="T165" s="43">
        <f t="shared" si="76"/>
        <v>1055.379384643808</v>
      </c>
      <c r="V165" s="43">
        <f t="shared" si="35"/>
        <v>103.8755971961276</v>
      </c>
      <c r="W165" s="43">
        <f t="shared" si="36"/>
        <v>103.87559719612757</v>
      </c>
      <c r="X165" s="43">
        <f t="shared" si="37"/>
        <v>103.87559719612757</v>
      </c>
      <c r="Y165" s="43">
        <f t="shared" si="38"/>
        <v>103.87559719612757</v>
      </c>
      <c r="Z165" s="43">
        <f t="shared" si="39"/>
        <v>103.87559719612757</v>
      </c>
      <c r="AB165" s="43">
        <f t="shared" si="60"/>
        <v>1319.2200843908201</v>
      </c>
      <c r="AC165" s="43">
        <f t="shared" si="61"/>
        <v>1277.0881421680708</v>
      </c>
      <c r="AD165" s="43">
        <f t="shared" si="62"/>
        <v>1236.4167739423769</v>
      </c>
      <c r="AE165" s="43">
        <f t="shared" si="63"/>
        <v>1197.1553464818403</v>
      </c>
      <c r="AF165" s="43">
        <f t="shared" si="64"/>
        <v>1159.2549818399355</v>
      </c>
      <c r="AH165" s="43">
        <f t="shared" si="65"/>
        <v>37634.128864157021</v>
      </c>
      <c r="AI165" s="43">
        <f t="shared" si="66"/>
        <v>36357.040721988953</v>
      </c>
      <c r="AJ165" s="43">
        <f t="shared" si="67"/>
        <v>35120.623948046574</v>
      </c>
      <c r="AK165" s="43">
        <f t="shared" si="68"/>
        <v>33923.468601564731</v>
      </c>
      <c r="AL165" s="43">
        <f t="shared" si="69"/>
        <v>32764.213619724796</v>
      </c>
      <c r="AN165" s="47">
        <f t="shared" si="70"/>
        <v>2862.2193678212579</v>
      </c>
      <c r="AO165" s="47">
        <f t="shared" si="71"/>
        <v>3131.2972189895072</v>
      </c>
      <c r="AP165" s="47">
        <f t="shared" si="72"/>
        <v>3027.5685952927524</v>
      </c>
      <c r="AQ165" s="47">
        <f t="shared" si="73"/>
        <v>3062.9461195679005</v>
      </c>
      <c r="AR165" s="43">
        <f t="shared" si="74"/>
        <v>2404.2950993894774</v>
      </c>
      <c r="AY165" s="3"/>
    </row>
    <row r="166" spans="1:51">
      <c r="A166" s="226"/>
      <c r="B166" s="37">
        <f>'13. Desinvesteringen'!B449</f>
        <v>430</v>
      </c>
      <c r="C166" s="48"/>
      <c r="D166" s="48"/>
      <c r="E166" s="48"/>
      <c r="F166" s="354">
        <f>'5. Input GAW-waarde desinv.'!D125</f>
        <v>49700.604054063915</v>
      </c>
      <c r="G166" s="175">
        <f>'13. Desinvesteringen'!D449</f>
        <v>2005</v>
      </c>
      <c r="H166" s="175">
        <f>'13. Desinvesteringen'!G449</f>
        <v>2023</v>
      </c>
      <c r="I166" s="37" t="str">
        <f>'13. Desinvesteringen'!C449</f>
        <v>01 Regionale leidingen</v>
      </c>
      <c r="J166" s="165">
        <f>'13. Desinvesteringen'!F449</f>
        <v>0</v>
      </c>
      <c r="K166" s="38">
        <f>_xlfn.XLOOKUP(I166,'3. Input (des)investeringen '!$B$11:$B$89,'3. Input (des)investeringen '!$E$11:$E$89)</f>
        <v>1</v>
      </c>
      <c r="L166" s="48"/>
      <c r="M166" s="38">
        <f>_xlfn.XLOOKUP(I166,'3. Input (des)investeringen '!$B$11:$B$89,'3. Input (des)investeringen '!$D$11:$D$89,0)</f>
        <v>55</v>
      </c>
      <c r="N166" s="38">
        <f t="shared" si="59"/>
        <v>38.5</v>
      </c>
      <c r="P166" s="43">
        <f t="shared" si="76"/>
        <v>1510.3819933312932</v>
      </c>
      <c r="Q166" s="43">
        <f t="shared" si="76"/>
        <v>1459.3820818681586</v>
      </c>
      <c r="R166" s="43">
        <f t="shared" si="76"/>
        <v>1410.1042453375455</v>
      </c>
      <c r="S166" s="43">
        <f t="shared" si="76"/>
        <v>1362.4903357547191</v>
      </c>
      <c r="T166" s="43">
        <f t="shared" si="76"/>
        <v>1316.4841685733909</v>
      </c>
      <c r="V166" s="43">
        <f t="shared" si="35"/>
        <v>129.09247806250369</v>
      </c>
      <c r="W166" s="43">
        <f t="shared" si="36"/>
        <v>129.09247806250369</v>
      </c>
      <c r="X166" s="43">
        <f t="shared" si="37"/>
        <v>129.09247806250369</v>
      </c>
      <c r="Y166" s="43">
        <f t="shared" si="38"/>
        <v>129.09247806250369</v>
      </c>
      <c r="Z166" s="43">
        <f t="shared" si="39"/>
        <v>129.09247806250369</v>
      </c>
      <c r="AB166" s="43">
        <f t="shared" si="60"/>
        <v>1639.4744713937969</v>
      </c>
      <c r="AC166" s="43">
        <f t="shared" si="61"/>
        <v>1588.4745599306623</v>
      </c>
      <c r="AD166" s="43">
        <f t="shared" si="62"/>
        <v>1539.1967234000492</v>
      </c>
      <c r="AE166" s="43">
        <f t="shared" si="63"/>
        <v>1491.5828138172228</v>
      </c>
      <c r="AF166" s="43">
        <f t="shared" si="64"/>
        <v>1445.5766466358946</v>
      </c>
      <c r="AH166" s="43">
        <f t="shared" si="65"/>
        <v>48061.129582670117</v>
      </c>
      <c r="AI166" s="43">
        <f t="shared" si="66"/>
        <v>46472.655022739455</v>
      </c>
      <c r="AJ166" s="43">
        <f t="shared" si="67"/>
        <v>44933.458299339407</v>
      </c>
      <c r="AK166" s="43">
        <f t="shared" si="68"/>
        <v>43441.875485522185</v>
      </c>
      <c r="AL166" s="43">
        <f t="shared" si="69"/>
        <v>41996.298838886287</v>
      </c>
      <c r="AN166" s="47">
        <f t="shared" si="70"/>
        <v>3609.9807842832715</v>
      </c>
      <c r="AO166" s="47">
        <f t="shared" si="71"/>
        <v>3958.579966090374</v>
      </c>
      <c r="AP166" s="47">
        <f t="shared" si="72"/>
        <v>3830.8030966663591</v>
      </c>
      <c r="AQ166" s="47">
        <f t="shared" si="73"/>
        <v>3880.885965520943</v>
      </c>
      <c r="AR166" s="43">
        <f t="shared" si="74"/>
        <v>3041.4360025135734</v>
      </c>
      <c r="AY166" s="3"/>
    </row>
    <row r="167" spans="1:51">
      <c r="A167" s="226"/>
      <c r="B167" s="37">
        <f>'13. Desinvesteringen'!B450</f>
        <v>431</v>
      </c>
      <c r="C167" s="48"/>
      <c r="D167" s="48"/>
      <c r="E167" s="48"/>
      <c r="F167" s="354">
        <f>'5. Input GAW-waarde desinv.'!D126</f>
        <v>9176.6384417978097</v>
      </c>
      <c r="G167" s="175">
        <f>'13. Desinvesteringen'!D450</f>
        <v>2006</v>
      </c>
      <c r="H167" s="175">
        <f>'13. Desinvesteringen'!G450</f>
        <v>2023</v>
      </c>
      <c r="I167" s="37" t="str">
        <f>'13. Desinvesteringen'!C450</f>
        <v>01 Regionale leidingen</v>
      </c>
      <c r="J167" s="165">
        <f>'13. Desinvesteringen'!F450</f>
        <v>0</v>
      </c>
      <c r="K167" s="38">
        <f>_xlfn.XLOOKUP(I167,'3. Input (des)investeringen '!$B$11:$B$89,'3. Input (des)investeringen '!$E$11:$E$89)</f>
        <v>1</v>
      </c>
      <c r="L167" s="48"/>
      <c r="M167" s="38">
        <f>_xlfn.XLOOKUP(I167,'3. Input (des)investeringen '!$B$11:$B$89,'3. Input (des)investeringen '!$D$11:$D$89,0)</f>
        <v>55</v>
      </c>
      <c r="N167" s="38">
        <f t="shared" si="59"/>
        <v>39.5</v>
      </c>
      <c r="P167" s="43">
        <f t="shared" si="76"/>
        <v>271.81435384565663</v>
      </c>
      <c r="Q167" s="43">
        <f t="shared" si="76"/>
        <v>262.86856498491352</v>
      </c>
      <c r="R167" s="43">
        <f t="shared" si="76"/>
        <v>254.21719449173912</v>
      </c>
      <c r="S167" s="43">
        <f t="shared" si="76"/>
        <v>245.85055264770722</v>
      </c>
      <c r="T167" s="43">
        <f t="shared" si="76"/>
        <v>237.75926863651688</v>
      </c>
      <c r="V167" s="43">
        <f t="shared" si="35"/>
        <v>23.231996055184329</v>
      </c>
      <c r="W167" s="43">
        <f t="shared" si="36"/>
        <v>23.231996055184329</v>
      </c>
      <c r="X167" s="43">
        <f t="shared" si="37"/>
        <v>23.231996055184329</v>
      </c>
      <c r="Y167" s="43">
        <f t="shared" si="38"/>
        <v>23.231996055184329</v>
      </c>
      <c r="Z167" s="43">
        <f t="shared" si="39"/>
        <v>23.231996055184329</v>
      </c>
      <c r="AB167" s="43">
        <f t="shared" si="60"/>
        <v>295.04634990084094</v>
      </c>
      <c r="AC167" s="43">
        <f t="shared" si="61"/>
        <v>286.10056104009783</v>
      </c>
      <c r="AD167" s="43">
        <f t="shared" si="62"/>
        <v>277.44919054692343</v>
      </c>
      <c r="AE167" s="43">
        <f t="shared" si="63"/>
        <v>269.08254870289153</v>
      </c>
      <c r="AF167" s="43">
        <f t="shared" si="64"/>
        <v>260.99126469170119</v>
      </c>
      <c r="AH167" s="43">
        <f t="shared" si="65"/>
        <v>8881.5920918969696</v>
      </c>
      <c r="AI167" s="43">
        <f t="shared" si="66"/>
        <v>8595.4915308568725</v>
      </c>
      <c r="AJ167" s="43">
        <f t="shared" si="67"/>
        <v>8318.0423403099485</v>
      </c>
      <c r="AK167" s="43">
        <f t="shared" si="68"/>
        <v>8048.959791607057</v>
      </c>
      <c r="AL167" s="43">
        <f t="shared" si="69"/>
        <v>7787.9685269153561</v>
      </c>
      <c r="AN167" s="47">
        <f t="shared" si="70"/>
        <v>659.19162566861678</v>
      </c>
      <c r="AO167" s="47">
        <f t="shared" si="71"/>
        <v>724.47062911379828</v>
      </c>
      <c r="AP167" s="47">
        <f t="shared" si="72"/>
        <v>701.6693499027308</v>
      </c>
      <c r="AQ167" s="47">
        <f t="shared" si="73"/>
        <v>711.77533724127966</v>
      </c>
      <c r="AR167" s="43">
        <f t="shared" si="74"/>
        <v>556.93406871448474</v>
      </c>
      <c r="AY167" s="3"/>
    </row>
    <row r="168" spans="1:51">
      <c r="A168" s="226"/>
      <c r="B168" s="37">
        <f>'13. Desinvesteringen'!B451</f>
        <v>432</v>
      </c>
      <c r="C168" s="48"/>
      <c r="D168" s="48"/>
      <c r="E168" s="48"/>
      <c r="F168" s="354">
        <f>'5. Input GAW-waarde desinv.'!D127</f>
        <v>350173.006424536</v>
      </c>
      <c r="G168" s="175">
        <f>'13. Desinvesteringen'!D451</f>
        <v>2009</v>
      </c>
      <c r="H168" s="175">
        <f>'13. Desinvesteringen'!G451</f>
        <v>2023</v>
      </c>
      <c r="I168" s="37" t="str">
        <f>'13. Desinvesteringen'!C451</f>
        <v>01 Regionale leidingen</v>
      </c>
      <c r="J168" s="165">
        <f>'13. Desinvesteringen'!F451</f>
        <v>0</v>
      </c>
      <c r="K168" s="38">
        <f>_xlfn.XLOOKUP(I168,'3. Input (des)investeringen '!$B$11:$B$89,'3. Input (des)investeringen '!$E$11:$E$89)</f>
        <v>1</v>
      </c>
      <c r="L168" s="48"/>
      <c r="M168" s="38">
        <f>_xlfn.XLOOKUP(I168,'3. Input (des)investeringen '!$B$11:$B$89,'3. Input (des)investeringen '!$D$11:$D$89,0)</f>
        <v>55</v>
      </c>
      <c r="N168" s="38">
        <f t="shared" si="59"/>
        <v>42.5</v>
      </c>
      <c r="P168" s="43">
        <f t="shared" si="76"/>
        <v>9640.0568827460502</v>
      </c>
      <c r="Q168" s="43">
        <f t="shared" si="76"/>
        <v>9345.1845545679353</v>
      </c>
      <c r="R168" s="43">
        <f t="shared" si="76"/>
        <v>9059.3318505458592</v>
      </c>
      <c r="S168" s="43">
        <f t="shared" si="76"/>
        <v>8782.2228762938666</v>
      </c>
      <c r="T168" s="43">
        <f t="shared" si="76"/>
        <v>8513.5901765484068</v>
      </c>
      <c r="V168" s="43">
        <f t="shared" si="35"/>
        <v>823.93648570479058</v>
      </c>
      <c r="W168" s="43">
        <f t="shared" si="36"/>
        <v>823.93648570479058</v>
      </c>
      <c r="X168" s="43">
        <f t="shared" si="37"/>
        <v>823.93648570479058</v>
      </c>
      <c r="Y168" s="43">
        <f t="shared" si="38"/>
        <v>823.93648570479058</v>
      </c>
      <c r="Z168" s="43">
        <f t="shared" si="39"/>
        <v>823.93648570479058</v>
      </c>
      <c r="AB168" s="43">
        <f t="shared" si="60"/>
        <v>10463.993368450841</v>
      </c>
      <c r="AC168" s="43">
        <f t="shared" si="61"/>
        <v>10169.121040272727</v>
      </c>
      <c r="AD168" s="43">
        <f t="shared" si="62"/>
        <v>9883.2683362506505</v>
      </c>
      <c r="AE168" s="43">
        <f t="shared" si="63"/>
        <v>9606.1593619986579</v>
      </c>
      <c r="AF168" s="43">
        <f t="shared" si="64"/>
        <v>9337.5266622531981</v>
      </c>
      <c r="AH168" s="43">
        <f t="shared" si="65"/>
        <v>339709.01305608515</v>
      </c>
      <c r="AI168" s="43">
        <f t="shared" si="66"/>
        <v>329539.89201581245</v>
      </c>
      <c r="AJ168" s="43">
        <f t="shared" si="67"/>
        <v>319656.62367956177</v>
      </c>
      <c r="AK168" s="43">
        <f t="shared" si="68"/>
        <v>310050.46431756311</v>
      </c>
      <c r="AL168" s="43">
        <f t="shared" si="69"/>
        <v>300712.93765530991</v>
      </c>
      <c r="AN168" s="47">
        <f t="shared" si="70"/>
        <v>24392.062903750331</v>
      </c>
      <c r="AO168" s="47">
        <f t="shared" si="71"/>
        <v>26975.65553307916</v>
      </c>
      <c r="AP168" s="47">
        <f t="shared" si="72"/>
        <v>26185.7561439083</v>
      </c>
      <c r="AQ168" s="47">
        <f t="shared" si="73"/>
        <v>26658.934899464628</v>
      </c>
      <c r="AR168" s="43">
        <f t="shared" si="74"/>
        <v>20764.618293154974</v>
      </c>
      <c r="AY168" s="3"/>
    </row>
    <row r="169" spans="1:51">
      <c r="A169" s="226"/>
      <c r="B169" s="37">
        <f>'13. Desinvesteringen'!B452</f>
        <v>433</v>
      </c>
      <c r="C169" s="48"/>
      <c r="D169" s="48"/>
      <c r="E169" s="48"/>
      <c r="F169" s="354">
        <f>'5. Input GAW-waarde desinv.'!D128</f>
        <v>16791.944833574824</v>
      </c>
      <c r="G169" s="175">
        <f>'13. Desinvesteringen'!D452</f>
        <v>2011</v>
      </c>
      <c r="H169" s="175">
        <f>'13. Desinvesteringen'!G452</f>
        <v>2023</v>
      </c>
      <c r="I169" s="37" t="str">
        <f>'13. Desinvesteringen'!C452</f>
        <v>01 Regionale leidingen</v>
      </c>
      <c r="J169" s="165">
        <f>'13. Desinvesteringen'!F452</f>
        <v>0</v>
      </c>
      <c r="K169" s="38">
        <f>_xlfn.XLOOKUP(I169,'3. Input (des)investeringen '!$B$11:$B$89,'3. Input (des)investeringen '!$E$11:$E$89)</f>
        <v>1</v>
      </c>
      <c r="L169" s="48"/>
      <c r="M169" s="38">
        <f>_xlfn.XLOOKUP(I169,'3. Input (des)investeringen '!$B$11:$B$89,'3. Input (des)investeringen '!$D$11:$D$89,0)</f>
        <v>55</v>
      </c>
      <c r="N169" s="38">
        <f t="shared" si="59"/>
        <v>44.5</v>
      </c>
      <c r="P169" s="43">
        <f t="shared" si="76"/>
        <v>441.49607764679877</v>
      </c>
      <c r="Q169" s="43">
        <f t="shared" si="76"/>
        <v>428.5984394234091</v>
      </c>
      <c r="R169" s="43">
        <f t="shared" si="76"/>
        <v>416.07758613688259</v>
      </c>
      <c r="S169" s="43">
        <f t="shared" si="76"/>
        <v>403.92251058681637</v>
      </c>
      <c r="T169" s="43">
        <f t="shared" si="76"/>
        <v>392.12252713147114</v>
      </c>
      <c r="V169" s="43">
        <f t="shared" si="35"/>
        <v>37.734707491179385</v>
      </c>
      <c r="W169" s="43">
        <f t="shared" si="36"/>
        <v>37.734707491179378</v>
      </c>
      <c r="X169" s="43">
        <f t="shared" si="37"/>
        <v>37.734707491179378</v>
      </c>
      <c r="Y169" s="43">
        <f t="shared" si="38"/>
        <v>37.734707491179378</v>
      </c>
      <c r="Z169" s="43">
        <f t="shared" si="39"/>
        <v>37.734707491179378</v>
      </c>
      <c r="AB169" s="43">
        <f t="shared" si="60"/>
        <v>479.23078513797816</v>
      </c>
      <c r="AC169" s="43">
        <f t="shared" si="61"/>
        <v>466.3331469145885</v>
      </c>
      <c r="AD169" s="43">
        <f t="shared" si="62"/>
        <v>453.81229362806198</v>
      </c>
      <c r="AE169" s="43">
        <f t="shared" si="63"/>
        <v>441.65721807799576</v>
      </c>
      <c r="AF169" s="43">
        <f t="shared" si="64"/>
        <v>429.85723462265054</v>
      </c>
      <c r="AH169" s="43">
        <f t="shared" si="65"/>
        <v>16312.714048436846</v>
      </c>
      <c r="AI169" s="43">
        <f t="shared" si="66"/>
        <v>15846.380901522258</v>
      </c>
      <c r="AJ169" s="43">
        <f t="shared" si="67"/>
        <v>15392.568607894196</v>
      </c>
      <c r="AK169" s="43">
        <f t="shared" si="68"/>
        <v>14950.911389816201</v>
      </c>
      <c r="AL169" s="43">
        <f t="shared" si="69"/>
        <v>14521.054155193551</v>
      </c>
      <c r="AN169" s="47">
        <f t="shared" si="70"/>
        <v>1148.052061123889</v>
      </c>
      <c r="AO169" s="47">
        <f t="shared" si="71"/>
        <v>1274.4985728922236</v>
      </c>
      <c r="AP169" s="47">
        <f t="shared" si="72"/>
        <v>1238.8332926306659</v>
      </c>
      <c r="AQ169" s="47">
        <f t="shared" si="73"/>
        <v>1263.9573445178869</v>
      </c>
      <c r="AR169" s="43">
        <f t="shared" si="74"/>
        <v>981.65729252000551</v>
      </c>
      <c r="AY169" s="3"/>
    </row>
    <row r="170" spans="1:51">
      <c r="A170" s="226"/>
      <c r="B170" s="37">
        <f>'13. Desinvesteringen'!B453</f>
        <v>434</v>
      </c>
      <c r="C170" s="48"/>
      <c r="D170" s="48"/>
      <c r="E170" s="48"/>
      <c r="F170" s="354">
        <f>'5. Input GAW-waarde desinv.'!D129</f>
        <v>368844.5346481328</v>
      </c>
      <c r="G170" s="175">
        <f>'13. Desinvesteringen'!D453</f>
        <v>2012</v>
      </c>
      <c r="H170" s="175">
        <f>'13. Desinvesteringen'!G453</f>
        <v>2023</v>
      </c>
      <c r="I170" s="37" t="str">
        <f>'13. Desinvesteringen'!C453</f>
        <v>01 Regionale leidingen</v>
      </c>
      <c r="J170" s="165">
        <f>'13. Desinvesteringen'!F453</f>
        <v>0</v>
      </c>
      <c r="K170" s="38">
        <f>_xlfn.XLOOKUP(I170,'3. Input (des)investeringen '!$B$11:$B$89,'3. Input (des)investeringen '!$E$11:$E$89)</f>
        <v>1</v>
      </c>
      <c r="L170" s="48"/>
      <c r="M170" s="38">
        <f>_xlfn.XLOOKUP(I170,'3. Input (des)investeringen '!$B$11:$B$89,'3. Input (des)investeringen '!$D$11:$D$89,0)</f>
        <v>55</v>
      </c>
      <c r="N170" s="38">
        <f t="shared" si="59"/>
        <v>45.5</v>
      </c>
      <c r="P170" s="43">
        <f t="shared" si="76"/>
        <v>9484.5737480948446</v>
      </c>
      <c r="Q170" s="43">
        <f t="shared" si="76"/>
        <v>9213.585926720707</v>
      </c>
      <c r="R170" s="43">
        <f t="shared" si="76"/>
        <v>8950.3406145286863</v>
      </c>
      <c r="S170" s="43">
        <f t="shared" si="76"/>
        <v>8694.6165969707254</v>
      </c>
      <c r="T170" s="43">
        <f t="shared" si="76"/>
        <v>8446.1989799144194</v>
      </c>
      <c r="V170" s="43">
        <f t="shared" si="35"/>
        <v>810.6473288969953</v>
      </c>
      <c r="W170" s="43">
        <f t="shared" si="36"/>
        <v>810.64732889699519</v>
      </c>
      <c r="X170" s="43">
        <f t="shared" si="37"/>
        <v>810.64732889699519</v>
      </c>
      <c r="Y170" s="43">
        <f t="shared" si="38"/>
        <v>810.64732889699519</v>
      </c>
      <c r="Z170" s="43">
        <f t="shared" si="39"/>
        <v>810.64732889699519</v>
      </c>
      <c r="AB170" s="43">
        <f t="shared" si="60"/>
        <v>10295.22107699184</v>
      </c>
      <c r="AC170" s="43">
        <f t="shared" si="61"/>
        <v>10024.233255617703</v>
      </c>
      <c r="AD170" s="43">
        <f t="shared" si="62"/>
        <v>9760.9879434256818</v>
      </c>
      <c r="AE170" s="43">
        <f t="shared" si="63"/>
        <v>9505.2639258677209</v>
      </c>
      <c r="AF170" s="43">
        <f t="shared" si="64"/>
        <v>9256.8463088114149</v>
      </c>
      <c r="AH170" s="43">
        <f t="shared" si="65"/>
        <v>358549.31357114099</v>
      </c>
      <c r="AI170" s="43">
        <f t="shared" si="66"/>
        <v>348525.08031552326</v>
      </c>
      <c r="AJ170" s="43">
        <f t="shared" si="67"/>
        <v>338764.0923720976</v>
      </c>
      <c r="AK170" s="43">
        <f t="shared" si="68"/>
        <v>329258.82844622986</v>
      </c>
      <c r="AL170" s="43">
        <f t="shared" si="69"/>
        <v>320001.98213741847</v>
      </c>
      <c r="AN170" s="47">
        <f t="shared" si="70"/>
        <v>24995.742933408619</v>
      </c>
      <c r="AO170" s="47">
        <f t="shared" si="71"/>
        <v>27799.012351709389</v>
      </c>
      <c r="AP170" s="47">
        <f t="shared" si="72"/>
        <v>27037.95665440266</v>
      </c>
      <c r="AQ170" s="47">
        <f t="shared" si="73"/>
        <v>27614.499490410366</v>
      </c>
      <c r="AR170" s="43">
        <f t="shared" si="74"/>
        <v>21416.921630033314</v>
      </c>
      <c r="AY170" s="3"/>
    </row>
    <row r="171" spans="1:51">
      <c r="A171" s="226"/>
      <c r="B171" s="37">
        <f>'13. Desinvesteringen'!B454</f>
        <v>435</v>
      </c>
      <c r="C171" s="48"/>
      <c r="D171" s="48"/>
      <c r="E171" s="48"/>
      <c r="F171" s="354">
        <f>'5. Input GAW-waarde desinv.'!D130</f>
        <v>0</v>
      </c>
      <c r="G171" s="175">
        <f>'13. Desinvesteringen'!D454</f>
        <v>1965</v>
      </c>
      <c r="H171" s="175">
        <f>'13. Desinvesteringen'!G454</f>
        <v>2023</v>
      </c>
      <c r="I171" s="37" t="str">
        <f>'13. Desinvesteringen'!C454</f>
        <v>02 Gasontvangststations</v>
      </c>
      <c r="J171" s="165">
        <f>'13. Desinvesteringen'!F454</f>
        <v>0</v>
      </c>
      <c r="K171" s="38">
        <f>_xlfn.XLOOKUP(I171,'3. Input (des)investeringen '!$B$11:$B$89,'3. Input (des)investeringen '!$E$11:$E$89)</f>
        <v>0</v>
      </c>
      <c r="L171" s="48"/>
      <c r="M171" s="38">
        <f>_xlfn.XLOOKUP(I171,'3. Input (des)investeringen '!$B$11:$B$89,'3. Input (des)investeringen '!$D$11:$D$89,0)</f>
        <v>30</v>
      </c>
      <c r="N171" s="38">
        <f t="shared" si="59"/>
        <v>0</v>
      </c>
      <c r="P171" s="43">
        <f t="shared" si="76"/>
        <v>0</v>
      </c>
      <c r="Q171" s="43">
        <f t="shared" si="76"/>
        <v>0</v>
      </c>
      <c r="R171" s="43">
        <f t="shared" si="76"/>
        <v>0</v>
      </c>
      <c r="S171" s="43">
        <f t="shared" si="76"/>
        <v>0</v>
      </c>
      <c r="T171" s="43">
        <f t="shared" si="76"/>
        <v>0</v>
      </c>
      <c r="V171" s="43">
        <f t="shared" si="35"/>
        <v>0</v>
      </c>
      <c r="W171" s="43">
        <f t="shared" si="36"/>
        <v>0</v>
      </c>
      <c r="X171" s="43">
        <f t="shared" si="37"/>
        <v>0</v>
      </c>
      <c r="Y171" s="43">
        <f t="shared" si="38"/>
        <v>0</v>
      </c>
      <c r="Z171" s="43">
        <f t="shared" si="39"/>
        <v>0</v>
      </c>
      <c r="AB171" s="43">
        <f t="shared" si="60"/>
        <v>0</v>
      </c>
      <c r="AC171" s="43">
        <f t="shared" si="61"/>
        <v>0</v>
      </c>
      <c r="AD171" s="43">
        <f t="shared" si="62"/>
        <v>0</v>
      </c>
      <c r="AE171" s="43">
        <f t="shared" si="63"/>
        <v>0</v>
      </c>
      <c r="AF171" s="43">
        <f t="shared" si="64"/>
        <v>0</v>
      </c>
      <c r="AH171" s="43">
        <f t="shared" si="65"/>
        <v>0</v>
      </c>
      <c r="AI171" s="43">
        <f t="shared" si="66"/>
        <v>0</v>
      </c>
      <c r="AJ171" s="43">
        <f t="shared" si="67"/>
        <v>0</v>
      </c>
      <c r="AK171" s="43">
        <f t="shared" si="68"/>
        <v>0</v>
      </c>
      <c r="AL171" s="43">
        <f t="shared" si="69"/>
        <v>0</v>
      </c>
      <c r="AN171" s="47">
        <f t="shared" si="70"/>
        <v>0</v>
      </c>
      <c r="AO171" s="47">
        <f t="shared" si="71"/>
        <v>0</v>
      </c>
      <c r="AP171" s="47">
        <f t="shared" si="72"/>
        <v>0</v>
      </c>
      <c r="AQ171" s="47">
        <f t="shared" si="73"/>
        <v>0</v>
      </c>
      <c r="AR171" s="43">
        <f t="shared" si="74"/>
        <v>0</v>
      </c>
      <c r="AY171" s="3"/>
    </row>
    <row r="172" spans="1:51">
      <c r="A172" s="226"/>
      <c r="B172" s="37">
        <f>'13. Desinvesteringen'!B455</f>
        <v>436</v>
      </c>
      <c r="C172" s="48"/>
      <c r="D172" s="48"/>
      <c r="E172" s="48"/>
      <c r="F172" s="354">
        <f>'5. Input GAW-waarde desinv.'!D131</f>
        <v>0</v>
      </c>
      <c r="G172" s="175">
        <f>'13. Desinvesteringen'!D455</f>
        <v>1966</v>
      </c>
      <c r="H172" s="175">
        <f>'13. Desinvesteringen'!G455</f>
        <v>2023</v>
      </c>
      <c r="I172" s="37" t="str">
        <f>'13. Desinvesteringen'!C455</f>
        <v>02 Gasontvangststations</v>
      </c>
      <c r="J172" s="165">
        <f>'13. Desinvesteringen'!F455</f>
        <v>0</v>
      </c>
      <c r="K172" s="38">
        <f>_xlfn.XLOOKUP(I172,'3. Input (des)investeringen '!$B$11:$B$89,'3. Input (des)investeringen '!$E$11:$E$89)</f>
        <v>0</v>
      </c>
      <c r="L172" s="48"/>
      <c r="M172" s="38">
        <f>_xlfn.XLOOKUP(I172,'3. Input (des)investeringen '!$B$11:$B$89,'3. Input (des)investeringen '!$D$11:$D$89,0)</f>
        <v>30</v>
      </c>
      <c r="N172" s="38">
        <f t="shared" si="59"/>
        <v>0</v>
      </c>
      <c r="P172" s="43">
        <f t="shared" ref="P172:T181" si="77">IF($M172&gt;0, IF(OR($G172&gt;P$50,$G172+$M172&lt;P$50),0,
VDB($F172,0,$N172,MAX(0,P$50-2022),MIN($N172,P$50-2021),$F$23,FALSE))*(1-$F$26), 0)</f>
        <v>0</v>
      </c>
      <c r="Q172" s="43">
        <f t="shared" si="77"/>
        <v>0</v>
      </c>
      <c r="R172" s="43">
        <f t="shared" si="77"/>
        <v>0</v>
      </c>
      <c r="S172" s="43">
        <f t="shared" si="77"/>
        <v>0</v>
      </c>
      <c r="T172" s="43">
        <f t="shared" si="77"/>
        <v>0</v>
      </c>
      <c r="V172" s="43">
        <f t="shared" si="35"/>
        <v>0</v>
      </c>
      <c r="W172" s="43">
        <f t="shared" si="36"/>
        <v>0</v>
      </c>
      <c r="X172" s="43">
        <f t="shared" si="37"/>
        <v>0</v>
      </c>
      <c r="Y172" s="43">
        <f t="shared" si="38"/>
        <v>0</v>
      </c>
      <c r="Z172" s="43">
        <f t="shared" si="39"/>
        <v>0</v>
      </c>
      <c r="AB172" s="43">
        <f t="shared" si="60"/>
        <v>0</v>
      </c>
      <c r="AC172" s="43">
        <f t="shared" si="61"/>
        <v>0</v>
      </c>
      <c r="AD172" s="43">
        <f t="shared" si="62"/>
        <v>0</v>
      </c>
      <c r="AE172" s="43">
        <f t="shared" si="63"/>
        <v>0</v>
      </c>
      <c r="AF172" s="43">
        <f t="shared" si="64"/>
        <v>0</v>
      </c>
      <c r="AH172" s="43">
        <f t="shared" si="65"/>
        <v>0</v>
      </c>
      <c r="AI172" s="43">
        <f t="shared" si="66"/>
        <v>0</v>
      </c>
      <c r="AJ172" s="43">
        <f t="shared" si="67"/>
        <v>0</v>
      </c>
      <c r="AK172" s="43">
        <f t="shared" si="68"/>
        <v>0</v>
      </c>
      <c r="AL172" s="43">
        <f t="shared" si="69"/>
        <v>0</v>
      </c>
      <c r="AN172" s="47">
        <f t="shared" si="70"/>
        <v>0</v>
      </c>
      <c r="AO172" s="47">
        <f t="shared" si="71"/>
        <v>0</v>
      </c>
      <c r="AP172" s="47">
        <f t="shared" si="72"/>
        <v>0</v>
      </c>
      <c r="AQ172" s="47">
        <f t="shared" si="73"/>
        <v>0</v>
      </c>
      <c r="AR172" s="43">
        <f t="shared" si="74"/>
        <v>0</v>
      </c>
      <c r="AY172" s="3"/>
    </row>
    <row r="173" spans="1:51">
      <c r="A173" s="226"/>
      <c r="B173" s="37">
        <f>'13. Desinvesteringen'!B456</f>
        <v>437</v>
      </c>
      <c r="C173" s="48"/>
      <c r="D173" s="48"/>
      <c r="E173" s="48"/>
      <c r="F173" s="354">
        <f>'5. Input GAW-waarde desinv.'!D132</f>
        <v>0</v>
      </c>
      <c r="G173" s="175">
        <f>'13. Desinvesteringen'!D456</f>
        <v>1967</v>
      </c>
      <c r="H173" s="175">
        <f>'13. Desinvesteringen'!G456</f>
        <v>2023</v>
      </c>
      <c r="I173" s="37" t="str">
        <f>'13. Desinvesteringen'!C456</f>
        <v>02 Gasontvangststations</v>
      </c>
      <c r="J173" s="165">
        <f>'13. Desinvesteringen'!F456</f>
        <v>0</v>
      </c>
      <c r="K173" s="38">
        <f>_xlfn.XLOOKUP(I173,'3. Input (des)investeringen '!$B$11:$B$89,'3. Input (des)investeringen '!$E$11:$E$89)</f>
        <v>0</v>
      </c>
      <c r="L173" s="48"/>
      <c r="M173" s="38">
        <f>_xlfn.XLOOKUP(I173,'3. Input (des)investeringen '!$B$11:$B$89,'3. Input (des)investeringen '!$D$11:$D$89,0)</f>
        <v>30</v>
      </c>
      <c r="N173" s="38">
        <f t="shared" si="59"/>
        <v>0</v>
      </c>
      <c r="P173" s="43">
        <f t="shared" si="77"/>
        <v>0</v>
      </c>
      <c r="Q173" s="43">
        <f t="shared" si="77"/>
        <v>0</v>
      </c>
      <c r="R173" s="43">
        <f t="shared" si="77"/>
        <v>0</v>
      </c>
      <c r="S173" s="43">
        <f t="shared" si="77"/>
        <v>0</v>
      </c>
      <c r="T173" s="43">
        <f t="shared" si="77"/>
        <v>0</v>
      </c>
      <c r="V173" s="43">
        <f t="shared" si="35"/>
        <v>0</v>
      </c>
      <c r="W173" s="43">
        <f t="shared" si="36"/>
        <v>0</v>
      </c>
      <c r="X173" s="43">
        <f t="shared" si="37"/>
        <v>0</v>
      </c>
      <c r="Y173" s="43">
        <f t="shared" si="38"/>
        <v>0</v>
      </c>
      <c r="Z173" s="43">
        <f t="shared" si="39"/>
        <v>0</v>
      </c>
      <c r="AB173" s="43">
        <f t="shared" si="60"/>
        <v>0</v>
      </c>
      <c r="AC173" s="43">
        <f t="shared" si="61"/>
        <v>0</v>
      </c>
      <c r="AD173" s="43">
        <f t="shared" si="62"/>
        <v>0</v>
      </c>
      <c r="AE173" s="43">
        <f t="shared" si="63"/>
        <v>0</v>
      </c>
      <c r="AF173" s="43">
        <f t="shared" si="64"/>
        <v>0</v>
      </c>
      <c r="AH173" s="43">
        <f t="shared" si="65"/>
        <v>0</v>
      </c>
      <c r="AI173" s="43">
        <f t="shared" si="66"/>
        <v>0</v>
      </c>
      <c r="AJ173" s="43">
        <f t="shared" si="67"/>
        <v>0</v>
      </c>
      <c r="AK173" s="43">
        <f t="shared" si="68"/>
        <v>0</v>
      </c>
      <c r="AL173" s="43">
        <f t="shared" si="69"/>
        <v>0</v>
      </c>
      <c r="AN173" s="47">
        <f t="shared" si="70"/>
        <v>0</v>
      </c>
      <c r="AO173" s="47">
        <f t="shared" si="71"/>
        <v>0</v>
      </c>
      <c r="AP173" s="47">
        <f t="shared" si="72"/>
        <v>0</v>
      </c>
      <c r="AQ173" s="47">
        <f t="shared" si="73"/>
        <v>0</v>
      </c>
      <c r="AR173" s="43">
        <f t="shared" si="74"/>
        <v>0</v>
      </c>
      <c r="AY173" s="3"/>
    </row>
    <row r="174" spans="1:51">
      <c r="A174" s="226"/>
      <c r="B174" s="37">
        <f>'13. Desinvesteringen'!B457</f>
        <v>438</v>
      </c>
      <c r="C174" s="48"/>
      <c r="D174" s="48"/>
      <c r="E174" s="48"/>
      <c r="F174" s="354">
        <f>'5. Input GAW-waarde desinv.'!D133</f>
        <v>0</v>
      </c>
      <c r="G174" s="175">
        <f>'13. Desinvesteringen'!D457</f>
        <v>1968</v>
      </c>
      <c r="H174" s="175">
        <f>'13. Desinvesteringen'!G457</f>
        <v>2023</v>
      </c>
      <c r="I174" s="37" t="str">
        <f>'13. Desinvesteringen'!C457</f>
        <v>02 Gasontvangststations</v>
      </c>
      <c r="J174" s="165">
        <f>'13. Desinvesteringen'!F457</f>
        <v>0</v>
      </c>
      <c r="K174" s="38">
        <f>_xlfn.XLOOKUP(I174,'3. Input (des)investeringen '!$B$11:$B$89,'3. Input (des)investeringen '!$E$11:$E$89)</f>
        <v>0</v>
      </c>
      <c r="L174" s="48"/>
      <c r="M174" s="38">
        <f>_xlfn.XLOOKUP(I174,'3. Input (des)investeringen '!$B$11:$B$89,'3. Input (des)investeringen '!$D$11:$D$89,0)</f>
        <v>30</v>
      </c>
      <c r="N174" s="38">
        <f t="shared" si="59"/>
        <v>0</v>
      </c>
      <c r="P174" s="43">
        <f t="shared" si="77"/>
        <v>0</v>
      </c>
      <c r="Q174" s="43">
        <f t="shared" si="77"/>
        <v>0</v>
      </c>
      <c r="R174" s="43">
        <f t="shared" si="77"/>
        <v>0</v>
      </c>
      <c r="S174" s="43">
        <f t="shared" si="77"/>
        <v>0</v>
      </c>
      <c r="T174" s="43">
        <f t="shared" si="77"/>
        <v>0</v>
      </c>
      <c r="V174" s="43">
        <f t="shared" si="35"/>
        <v>0</v>
      </c>
      <c r="W174" s="43">
        <f t="shared" si="36"/>
        <v>0</v>
      </c>
      <c r="X174" s="43">
        <f t="shared" si="37"/>
        <v>0</v>
      </c>
      <c r="Y174" s="43">
        <f t="shared" si="38"/>
        <v>0</v>
      </c>
      <c r="Z174" s="43">
        <f t="shared" si="39"/>
        <v>0</v>
      </c>
      <c r="AB174" s="43">
        <f t="shared" si="60"/>
        <v>0</v>
      </c>
      <c r="AC174" s="43">
        <f t="shared" si="61"/>
        <v>0</v>
      </c>
      <c r="AD174" s="43">
        <f t="shared" si="62"/>
        <v>0</v>
      </c>
      <c r="AE174" s="43">
        <f t="shared" si="63"/>
        <v>0</v>
      </c>
      <c r="AF174" s="43">
        <f t="shared" si="64"/>
        <v>0</v>
      </c>
      <c r="AH174" s="43">
        <f t="shared" si="65"/>
        <v>0</v>
      </c>
      <c r="AI174" s="43">
        <f t="shared" si="66"/>
        <v>0</v>
      </c>
      <c r="AJ174" s="43">
        <f t="shared" si="67"/>
        <v>0</v>
      </c>
      <c r="AK174" s="43">
        <f t="shared" si="68"/>
        <v>0</v>
      </c>
      <c r="AL174" s="43">
        <f t="shared" si="69"/>
        <v>0</v>
      </c>
      <c r="AN174" s="47">
        <f t="shared" si="70"/>
        <v>0</v>
      </c>
      <c r="AO174" s="47">
        <f t="shared" si="71"/>
        <v>0</v>
      </c>
      <c r="AP174" s="47">
        <f t="shared" si="72"/>
        <v>0</v>
      </c>
      <c r="AQ174" s="47">
        <f t="shared" si="73"/>
        <v>0</v>
      </c>
      <c r="AR174" s="43">
        <f t="shared" si="74"/>
        <v>0</v>
      </c>
      <c r="AY174" s="3"/>
    </row>
    <row r="175" spans="1:51">
      <c r="A175" s="226"/>
      <c r="B175" s="37">
        <f>'13. Desinvesteringen'!B458</f>
        <v>439</v>
      </c>
      <c r="C175" s="48"/>
      <c r="D175" s="48"/>
      <c r="E175" s="48"/>
      <c r="F175" s="354">
        <f>'5. Input GAW-waarde desinv.'!D134</f>
        <v>0</v>
      </c>
      <c r="G175" s="175">
        <f>'13. Desinvesteringen'!D458</f>
        <v>1969</v>
      </c>
      <c r="H175" s="175">
        <f>'13. Desinvesteringen'!G458</f>
        <v>2023</v>
      </c>
      <c r="I175" s="37" t="str">
        <f>'13. Desinvesteringen'!C458</f>
        <v>02 Gasontvangststations</v>
      </c>
      <c r="J175" s="165">
        <f>'13. Desinvesteringen'!F458</f>
        <v>0</v>
      </c>
      <c r="K175" s="38">
        <f>_xlfn.XLOOKUP(I175,'3. Input (des)investeringen '!$B$11:$B$89,'3. Input (des)investeringen '!$E$11:$E$89)</f>
        <v>0</v>
      </c>
      <c r="L175" s="48"/>
      <c r="M175" s="38">
        <f>_xlfn.XLOOKUP(I175,'3. Input (des)investeringen '!$B$11:$B$89,'3. Input (des)investeringen '!$D$11:$D$89,0)</f>
        <v>30</v>
      </c>
      <c r="N175" s="38">
        <f t="shared" si="59"/>
        <v>0</v>
      </c>
      <c r="P175" s="43">
        <f t="shared" si="77"/>
        <v>0</v>
      </c>
      <c r="Q175" s="43">
        <f t="shared" si="77"/>
        <v>0</v>
      </c>
      <c r="R175" s="43">
        <f t="shared" si="77"/>
        <v>0</v>
      </c>
      <c r="S175" s="43">
        <f t="shared" si="77"/>
        <v>0</v>
      </c>
      <c r="T175" s="43">
        <f t="shared" si="77"/>
        <v>0</v>
      </c>
      <c r="V175" s="43">
        <f t="shared" si="35"/>
        <v>0</v>
      </c>
      <c r="W175" s="43">
        <f t="shared" si="36"/>
        <v>0</v>
      </c>
      <c r="X175" s="43">
        <f t="shared" si="37"/>
        <v>0</v>
      </c>
      <c r="Y175" s="43">
        <f t="shared" si="38"/>
        <v>0</v>
      </c>
      <c r="Z175" s="43">
        <f t="shared" si="39"/>
        <v>0</v>
      </c>
      <c r="AB175" s="43">
        <f t="shared" si="60"/>
        <v>0</v>
      </c>
      <c r="AC175" s="43">
        <f t="shared" si="61"/>
        <v>0</v>
      </c>
      <c r="AD175" s="43">
        <f t="shared" si="62"/>
        <v>0</v>
      </c>
      <c r="AE175" s="43">
        <f t="shared" si="63"/>
        <v>0</v>
      </c>
      <c r="AF175" s="43">
        <f t="shared" si="64"/>
        <v>0</v>
      </c>
      <c r="AH175" s="43">
        <f t="shared" si="65"/>
        <v>0</v>
      </c>
      <c r="AI175" s="43">
        <f t="shared" si="66"/>
        <v>0</v>
      </c>
      <c r="AJ175" s="43">
        <f t="shared" si="67"/>
        <v>0</v>
      </c>
      <c r="AK175" s="43">
        <f t="shared" si="68"/>
        <v>0</v>
      </c>
      <c r="AL175" s="43">
        <f t="shared" si="69"/>
        <v>0</v>
      </c>
      <c r="AN175" s="47">
        <f t="shared" si="70"/>
        <v>0</v>
      </c>
      <c r="AO175" s="47">
        <f t="shared" si="71"/>
        <v>0</v>
      </c>
      <c r="AP175" s="47">
        <f t="shared" si="72"/>
        <v>0</v>
      </c>
      <c r="AQ175" s="47">
        <f t="shared" si="73"/>
        <v>0</v>
      </c>
      <c r="AR175" s="43">
        <f t="shared" si="74"/>
        <v>0</v>
      </c>
      <c r="AY175" s="3"/>
    </row>
    <row r="176" spans="1:51">
      <c r="A176" s="226"/>
      <c r="B176" s="37">
        <f>'13. Desinvesteringen'!B459</f>
        <v>440</v>
      </c>
      <c r="C176" s="48"/>
      <c r="D176" s="48"/>
      <c r="E176" s="48"/>
      <c r="F176" s="354">
        <f>'5. Input GAW-waarde desinv.'!D135</f>
        <v>0</v>
      </c>
      <c r="G176" s="175">
        <f>'13. Desinvesteringen'!D459</f>
        <v>1970</v>
      </c>
      <c r="H176" s="175">
        <f>'13. Desinvesteringen'!G459</f>
        <v>2023</v>
      </c>
      <c r="I176" s="37" t="str">
        <f>'13. Desinvesteringen'!C459</f>
        <v>02 Gasontvangststations</v>
      </c>
      <c r="J176" s="165">
        <f>'13. Desinvesteringen'!F459</f>
        <v>0</v>
      </c>
      <c r="K176" s="38">
        <f>_xlfn.XLOOKUP(I176,'3. Input (des)investeringen '!$B$11:$B$89,'3. Input (des)investeringen '!$E$11:$E$89)</f>
        <v>0</v>
      </c>
      <c r="L176" s="48"/>
      <c r="M176" s="38">
        <f>_xlfn.XLOOKUP(I176,'3. Input (des)investeringen '!$B$11:$B$89,'3. Input (des)investeringen '!$D$11:$D$89,0)</f>
        <v>30</v>
      </c>
      <c r="N176" s="38">
        <f t="shared" si="59"/>
        <v>0</v>
      </c>
      <c r="P176" s="43">
        <f t="shared" si="77"/>
        <v>0</v>
      </c>
      <c r="Q176" s="43">
        <f t="shared" si="77"/>
        <v>0</v>
      </c>
      <c r="R176" s="43">
        <f t="shared" si="77"/>
        <v>0</v>
      </c>
      <c r="S176" s="43">
        <f t="shared" si="77"/>
        <v>0</v>
      </c>
      <c r="T176" s="43">
        <f t="shared" si="77"/>
        <v>0</v>
      </c>
      <c r="V176" s="43">
        <f t="shared" si="35"/>
        <v>0</v>
      </c>
      <c r="W176" s="43">
        <f t="shared" si="36"/>
        <v>0</v>
      </c>
      <c r="X176" s="43">
        <f t="shared" si="37"/>
        <v>0</v>
      </c>
      <c r="Y176" s="43">
        <f t="shared" si="38"/>
        <v>0</v>
      </c>
      <c r="Z176" s="43">
        <f t="shared" si="39"/>
        <v>0</v>
      </c>
      <c r="AB176" s="43">
        <f t="shared" si="60"/>
        <v>0</v>
      </c>
      <c r="AC176" s="43">
        <f t="shared" si="61"/>
        <v>0</v>
      </c>
      <c r="AD176" s="43">
        <f t="shared" si="62"/>
        <v>0</v>
      </c>
      <c r="AE176" s="43">
        <f t="shared" si="63"/>
        <v>0</v>
      </c>
      <c r="AF176" s="43">
        <f t="shared" si="64"/>
        <v>0</v>
      </c>
      <c r="AH176" s="43">
        <f t="shared" si="65"/>
        <v>0</v>
      </c>
      <c r="AI176" s="43">
        <f t="shared" si="66"/>
        <v>0</v>
      </c>
      <c r="AJ176" s="43">
        <f t="shared" si="67"/>
        <v>0</v>
      </c>
      <c r="AK176" s="43">
        <f t="shared" si="68"/>
        <v>0</v>
      </c>
      <c r="AL176" s="43">
        <f t="shared" si="69"/>
        <v>0</v>
      </c>
      <c r="AN176" s="47">
        <f t="shared" si="70"/>
        <v>0</v>
      </c>
      <c r="AO176" s="47">
        <f t="shared" si="71"/>
        <v>0</v>
      </c>
      <c r="AP176" s="47">
        <f t="shared" si="72"/>
        <v>0</v>
      </c>
      <c r="AQ176" s="47">
        <f t="shared" si="73"/>
        <v>0</v>
      </c>
      <c r="AR176" s="43">
        <f t="shared" si="74"/>
        <v>0</v>
      </c>
      <c r="AY176" s="3"/>
    </row>
    <row r="177" spans="1:51">
      <c r="A177" s="226"/>
      <c r="B177" s="37">
        <f>'13. Desinvesteringen'!B460</f>
        <v>441</v>
      </c>
      <c r="C177" s="48"/>
      <c r="D177" s="48"/>
      <c r="E177" s="48"/>
      <c r="F177" s="354">
        <f>'5. Input GAW-waarde desinv.'!D136</f>
        <v>0</v>
      </c>
      <c r="G177" s="175">
        <f>'13. Desinvesteringen'!D460</f>
        <v>1971</v>
      </c>
      <c r="H177" s="175">
        <f>'13. Desinvesteringen'!G460</f>
        <v>2023</v>
      </c>
      <c r="I177" s="37" t="str">
        <f>'13. Desinvesteringen'!C460</f>
        <v>02 Gasontvangststations</v>
      </c>
      <c r="J177" s="165">
        <f>'13. Desinvesteringen'!F460</f>
        <v>0</v>
      </c>
      <c r="K177" s="38">
        <f>_xlfn.XLOOKUP(I177,'3. Input (des)investeringen '!$B$11:$B$89,'3. Input (des)investeringen '!$E$11:$E$89)</f>
        <v>0</v>
      </c>
      <c r="L177" s="48"/>
      <c r="M177" s="38">
        <f>_xlfn.XLOOKUP(I177,'3. Input (des)investeringen '!$B$11:$B$89,'3. Input (des)investeringen '!$D$11:$D$89,0)</f>
        <v>30</v>
      </c>
      <c r="N177" s="38">
        <f t="shared" si="59"/>
        <v>0</v>
      </c>
      <c r="P177" s="43">
        <f t="shared" si="77"/>
        <v>0</v>
      </c>
      <c r="Q177" s="43">
        <f t="shared" si="77"/>
        <v>0</v>
      </c>
      <c r="R177" s="43">
        <f t="shared" si="77"/>
        <v>0</v>
      </c>
      <c r="S177" s="43">
        <f t="shared" si="77"/>
        <v>0</v>
      </c>
      <c r="T177" s="43">
        <f t="shared" si="77"/>
        <v>0</v>
      </c>
      <c r="V177" s="43">
        <f t="shared" si="35"/>
        <v>0</v>
      </c>
      <c r="W177" s="43">
        <f t="shared" si="36"/>
        <v>0</v>
      </c>
      <c r="X177" s="43">
        <f t="shared" si="37"/>
        <v>0</v>
      </c>
      <c r="Y177" s="43">
        <f t="shared" si="38"/>
        <v>0</v>
      </c>
      <c r="Z177" s="43">
        <f t="shared" si="39"/>
        <v>0</v>
      </c>
      <c r="AB177" s="43">
        <f t="shared" si="60"/>
        <v>0</v>
      </c>
      <c r="AC177" s="43">
        <f t="shared" si="61"/>
        <v>0</v>
      </c>
      <c r="AD177" s="43">
        <f t="shared" si="62"/>
        <v>0</v>
      </c>
      <c r="AE177" s="43">
        <f t="shared" si="63"/>
        <v>0</v>
      </c>
      <c r="AF177" s="43">
        <f t="shared" si="64"/>
        <v>0</v>
      </c>
      <c r="AH177" s="43">
        <f t="shared" si="65"/>
        <v>0</v>
      </c>
      <c r="AI177" s="43">
        <f t="shared" si="66"/>
        <v>0</v>
      </c>
      <c r="AJ177" s="43">
        <f t="shared" si="67"/>
        <v>0</v>
      </c>
      <c r="AK177" s="43">
        <f t="shared" si="68"/>
        <v>0</v>
      </c>
      <c r="AL177" s="43">
        <f t="shared" si="69"/>
        <v>0</v>
      </c>
      <c r="AN177" s="47">
        <f t="shared" si="70"/>
        <v>0</v>
      </c>
      <c r="AO177" s="47">
        <f t="shared" si="71"/>
        <v>0</v>
      </c>
      <c r="AP177" s="47">
        <f t="shared" si="72"/>
        <v>0</v>
      </c>
      <c r="AQ177" s="47">
        <f t="shared" si="73"/>
        <v>0</v>
      </c>
      <c r="AR177" s="43">
        <f t="shared" si="74"/>
        <v>0</v>
      </c>
      <c r="AY177" s="3"/>
    </row>
    <row r="178" spans="1:51">
      <c r="A178" s="226"/>
      <c r="B178" s="37">
        <f>'13. Desinvesteringen'!B461</f>
        <v>442</v>
      </c>
      <c r="C178" s="48"/>
      <c r="D178" s="48"/>
      <c r="E178" s="48"/>
      <c r="F178" s="354">
        <f>'5. Input GAW-waarde desinv.'!D137</f>
        <v>0</v>
      </c>
      <c r="G178" s="175">
        <f>'13. Desinvesteringen'!D461</f>
        <v>1972</v>
      </c>
      <c r="H178" s="175">
        <f>'13. Desinvesteringen'!G461</f>
        <v>2023</v>
      </c>
      <c r="I178" s="37" t="str">
        <f>'13. Desinvesteringen'!C461</f>
        <v>02 Gasontvangststations</v>
      </c>
      <c r="J178" s="165">
        <f>'13. Desinvesteringen'!F461</f>
        <v>0</v>
      </c>
      <c r="K178" s="38">
        <f>_xlfn.XLOOKUP(I178,'3. Input (des)investeringen '!$B$11:$B$89,'3. Input (des)investeringen '!$E$11:$E$89)</f>
        <v>0</v>
      </c>
      <c r="L178" s="48"/>
      <c r="M178" s="38">
        <f>_xlfn.XLOOKUP(I178,'3. Input (des)investeringen '!$B$11:$B$89,'3. Input (des)investeringen '!$D$11:$D$89,0)</f>
        <v>30</v>
      </c>
      <c r="N178" s="38">
        <f t="shared" si="59"/>
        <v>0</v>
      </c>
      <c r="P178" s="43">
        <f t="shared" si="77"/>
        <v>0</v>
      </c>
      <c r="Q178" s="43">
        <f t="shared" si="77"/>
        <v>0</v>
      </c>
      <c r="R178" s="43">
        <f t="shared" si="77"/>
        <v>0</v>
      </c>
      <c r="S178" s="43">
        <f t="shared" si="77"/>
        <v>0</v>
      </c>
      <c r="T178" s="43">
        <f t="shared" si="77"/>
        <v>0</v>
      </c>
      <c r="V178" s="43">
        <f t="shared" si="35"/>
        <v>0</v>
      </c>
      <c r="W178" s="43">
        <f t="shared" si="36"/>
        <v>0</v>
      </c>
      <c r="X178" s="43">
        <f t="shared" si="37"/>
        <v>0</v>
      </c>
      <c r="Y178" s="43">
        <f t="shared" si="38"/>
        <v>0</v>
      </c>
      <c r="Z178" s="43">
        <f t="shared" si="39"/>
        <v>0</v>
      </c>
      <c r="AB178" s="43">
        <f t="shared" si="60"/>
        <v>0</v>
      </c>
      <c r="AC178" s="43">
        <f t="shared" si="61"/>
        <v>0</v>
      </c>
      <c r="AD178" s="43">
        <f t="shared" si="62"/>
        <v>0</v>
      </c>
      <c r="AE178" s="43">
        <f t="shared" si="63"/>
        <v>0</v>
      </c>
      <c r="AF178" s="43">
        <f t="shared" si="64"/>
        <v>0</v>
      </c>
      <c r="AH178" s="43">
        <f t="shared" si="65"/>
        <v>0</v>
      </c>
      <c r="AI178" s="43">
        <f t="shared" si="66"/>
        <v>0</v>
      </c>
      <c r="AJ178" s="43">
        <f t="shared" si="67"/>
        <v>0</v>
      </c>
      <c r="AK178" s="43">
        <f t="shared" si="68"/>
        <v>0</v>
      </c>
      <c r="AL178" s="43">
        <f t="shared" si="69"/>
        <v>0</v>
      </c>
      <c r="AN178" s="47">
        <f t="shared" si="70"/>
        <v>0</v>
      </c>
      <c r="AO178" s="47">
        <f t="shared" si="71"/>
        <v>0</v>
      </c>
      <c r="AP178" s="47">
        <f t="shared" si="72"/>
        <v>0</v>
      </c>
      <c r="AQ178" s="47">
        <f t="shared" si="73"/>
        <v>0</v>
      </c>
      <c r="AR178" s="43">
        <f t="shared" si="74"/>
        <v>0</v>
      </c>
      <c r="AY178" s="3"/>
    </row>
    <row r="179" spans="1:51">
      <c r="A179" s="226"/>
      <c r="B179" s="37">
        <f>'13. Desinvesteringen'!B462</f>
        <v>443</v>
      </c>
      <c r="C179" s="48"/>
      <c r="D179" s="48"/>
      <c r="E179" s="48"/>
      <c r="F179" s="354">
        <f>'5. Input GAW-waarde desinv.'!D138</f>
        <v>0</v>
      </c>
      <c r="G179" s="175">
        <f>'13. Desinvesteringen'!D462</f>
        <v>1973</v>
      </c>
      <c r="H179" s="175">
        <f>'13. Desinvesteringen'!G462</f>
        <v>2023</v>
      </c>
      <c r="I179" s="37" t="str">
        <f>'13. Desinvesteringen'!C462</f>
        <v>02 Gasontvangststations</v>
      </c>
      <c r="J179" s="165">
        <f>'13. Desinvesteringen'!F462</f>
        <v>0</v>
      </c>
      <c r="K179" s="38">
        <f>_xlfn.XLOOKUP(I179,'3. Input (des)investeringen '!$B$11:$B$89,'3. Input (des)investeringen '!$E$11:$E$89)</f>
        <v>0</v>
      </c>
      <c r="L179" s="48"/>
      <c r="M179" s="38">
        <f>_xlfn.XLOOKUP(I179,'3. Input (des)investeringen '!$B$11:$B$89,'3. Input (des)investeringen '!$D$11:$D$89,0)</f>
        <v>30</v>
      </c>
      <c r="N179" s="38">
        <f t="shared" si="59"/>
        <v>0</v>
      </c>
      <c r="P179" s="43">
        <f t="shared" si="77"/>
        <v>0</v>
      </c>
      <c r="Q179" s="43">
        <f t="shared" si="77"/>
        <v>0</v>
      </c>
      <c r="R179" s="43">
        <f t="shared" si="77"/>
        <v>0</v>
      </c>
      <c r="S179" s="43">
        <f t="shared" si="77"/>
        <v>0</v>
      </c>
      <c r="T179" s="43">
        <f t="shared" si="77"/>
        <v>0</v>
      </c>
      <c r="V179" s="43">
        <f t="shared" si="35"/>
        <v>0</v>
      </c>
      <c r="W179" s="43">
        <f t="shared" si="36"/>
        <v>0</v>
      </c>
      <c r="X179" s="43">
        <f t="shared" si="37"/>
        <v>0</v>
      </c>
      <c r="Y179" s="43">
        <f t="shared" si="38"/>
        <v>0</v>
      </c>
      <c r="Z179" s="43">
        <f t="shared" si="39"/>
        <v>0</v>
      </c>
      <c r="AB179" s="43">
        <f t="shared" si="60"/>
        <v>0</v>
      </c>
      <c r="AC179" s="43">
        <f t="shared" si="61"/>
        <v>0</v>
      </c>
      <c r="AD179" s="43">
        <f t="shared" si="62"/>
        <v>0</v>
      </c>
      <c r="AE179" s="43">
        <f t="shared" si="63"/>
        <v>0</v>
      </c>
      <c r="AF179" s="43">
        <f t="shared" si="64"/>
        <v>0</v>
      </c>
      <c r="AH179" s="43">
        <f t="shared" si="65"/>
        <v>0</v>
      </c>
      <c r="AI179" s="43">
        <f t="shared" si="66"/>
        <v>0</v>
      </c>
      <c r="AJ179" s="43">
        <f t="shared" si="67"/>
        <v>0</v>
      </c>
      <c r="AK179" s="43">
        <f t="shared" si="68"/>
        <v>0</v>
      </c>
      <c r="AL179" s="43">
        <f t="shared" si="69"/>
        <v>0</v>
      </c>
      <c r="AN179" s="47">
        <f t="shared" si="70"/>
        <v>0</v>
      </c>
      <c r="AO179" s="47">
        <f t="shared" si="71"/>
        <v>0</v>
      </c>
      <c r="AP179" s="47">
        <f t="shared" si="72"/>
        <v>0</v>
      </c>
      <c r="AQ179" s="47">
        <f t="shared" si="73"/>
        <v>0</v>
      </c>
      <c r="AR179" s="43">
        <f t="shared" si="74"/>
        <v>0</v>
      </c>
      <c r="AY179" s="3"/>
    </row>
    <row r="180" spans="1:51">
      <c r="A180" s="226"/>
      <c r="B180" s="37">
        <f>'13. Desinvesteringen'!B463</f>
        <v>444</v>
      </c>
      <c r="C180" s="48"/>
      <c r="D180" s="48"/>
      <c r="E180" s="48"/>
      <c r="F180" s="354">
        <f>'5. Input GAW-waarde desinv.'!D139</f>
        <v>0</v>
      </c>
      <c r="G180" s="175">
        <f>'13. Desinvesteringen'!D463</f>
        <v>1974</v>
      </c>
      <c r="H180" s="175">
        <f>'13. Desinvesteringen'!G463</f>
        <v>2023</v>
      </c>
      <c r="I180" s="37" t="str">
        <f>'13. Desinvesteringen'!C463</f>
        <v>02 Gasontvangststations</v>
      </c>
      <c r="J180" s="165">
        <f>'13. Desinvesteringen'!F463</f>
        <v>0</v>
      </c>
      <c r="K180" s="38">
        <f>_xlfn.XLOOKUP(I180,'3. Input (des)investeringen '!$B$11:$B$89,'3. Input (des)investeringen '!$E$11:$E$89)</f>
        <v>0</v>
      </c>
      <c r="L180" s="48"/>
      <c r="M180" s="38">
        <f>_xlfn.XLOOKUP(I180,'3. Input (des)investeringen '!$B$11:$B$89,'3. Input (des)investeringen '!$D$11:$D$89,0)</f>
        <v>30</v>
      </c>
      <c r="N180" s="38">
        <f t="shared" si="59"/>
        <v>0</v>
      </c>
      <c r="P180" s="43">
        <f t="shared" si="77"/>
        <v>0</v>
      </c>
      <c r="Q180" s="43">
        <f t="shared" si="77"/>
        <v>0</v>
      </c>
      <c r="R180" s="43">
        <f t="shared" si="77"/>
        <v>0</v>
      </c>
      <c r="S180" s="43">
        <f t="shared" si="77"/>
        <v>0</v>
      </c>
      <c r="T180" s="43">
        <f t="shared" si="77"/>
        <v>0</v>
      </c>
      <c r="V180" s="43">
        <f t="shared" ref="V180:V243" si="78">IF($M180&gt;0, IF(OR($G180&gt;V$50,$G180+$M180&lt;V$50),0,
VDB($F180,0,$N180,MAX(0,P$50-2022),MIN($N180,P$50-2021),1,FALSE))*$F$26, 0)</f>
        <v>0</v>
      </c>
      <c r="W180" s="43">
        <f t="shared" ref="W180:W243" si="79">IF($M180&gt;0, IF(OR($G180&gt;W$50,$G180+$M180&lt;W$50),0,
VDB($F180,0,$N180,MAX(0,Q$50-2022),MIN($N180,Q$50-2021),1,FALSE))*$F$26, 0)</f>
        <v>0</v>
      </c>
      <c r="X180" s="43">
        <f t="shared" ref="X180:X243" si="80">IF($M180&gt;0, IF(OR($G180&gt;X$50,$G180+$M180&lt;X$50),0,
VDB($F180,0,$N180,MAX(0,R$50-2022),MIN($N180,R$50-2021),1,FALSE))*$F$26, 0)</f>
        <v>0</v>
      </c>
      <c r="Y180" s="43">
        <f t="shared" ref="Y180:Y243" si="81">IF($M180&gt;0, IF(OR($G180&gt;Y$50,$G180+$M180&lt;Y$50),0,
VDB($F180,0,$N180,MAX(0,S$50-2022),MIN($N180,S$50-2021),1,FALSE))*$F$26, 0)</f>
        <v>0</v>
      </c>
      <c r="Z180" s="43">
        <f t="shared" ref="Z180:Z243" si="82">IF($M180&gt;0, IF(OR($G180&gt;Z$50,$G180+$M180&lt;Z$50),0,
VDB($F180,0,$N180,MAX(0,T$50-2022),MIN($N180,T$50-2021),1,FALSE))*$F$26, 0)</f>
        <v>0</v>
      </c>
      <c r="AB180" s="43">
        <f t="shared" si="60"/>
        <v>0</v>
      </c>
      <c r="AC180" s="43">
        <f t="shared" si="61"/>
        <v>0</v>
      </c>
      <c r="AD180" s="43">
        <f t="shared" si="62"/>
        <v>0</v>
      </c>
      <c r="AE180" s="43">
        <f t="shared" si="63"/>
        <v>0</v>
      </c>
      <c r="AF180" s="43">
        <f t="shared" si="64"/>
        <v>0</v>
      </c>
      <c r="AH180" s="43">
        <f t="shared" si="65"/>
        <v>0</v>
      </c>
      <c r="AI180" s="43">
        <f t="shared" si="66"/>
        <v>0</v>
      </c>
      <c r="AJ180" s="43">
        <f t="shared" si="67"/>
        <v>0</v>
      </c>
      <c r="AK180" s="43">
        <f t="shared" si="68"/>
        <v>0</v>
      </c>
      <c r="AL180" s="43">
        <f t="shared" si="69"/>
        <v>0</v>
      </c>
      <c r="AN180" s="47">
        <f t="shared" si="70"/>
        <v>0</v>
      </c>
      <c r="AO180" s="47">
        <f t="shared" si="71"/>
        <v>0</v>
      </c>
      <c r="AP180" s="47">
        <f t="shared" si="72"/>
        <v>0</v>
      </c>
      <c r="AQ180" s="47">
        <f t="shared" si="73"/>
        <v>0</v>
      </c>
      <c r="AR180" s="43">
        <f t="shared" si="74"/>
        <v>0</v>
      </c>
      <c r="AY180" s="3"/>
    </row>
    <row r="181" spans="1:51">
      <c r="A181" s="226"/>
      <c r="B181" s="37">
        <f>'13. Desinvesteringen'!B464</f>
        <v>445</v>
      </c>
      <c r="C181" s="48"/>
      <c r="D181" s="48"/>
      <c r="E181" s="48"/>
      <c r="F181" s="354">
        <f>'5. Input GAW-waarde desinv.'!D140</f>
        <v>0</v>
      </c>
      <c r="G181" s="175">
        <f>'13. Desinvesteringen'!D464</f>
        <v>1976</v>
      </c>
      <c r="H181" s="175">
        <f>'13. Desinvesteringen'!G464</f>
        <v>2023</v>
      </c>
      <c r="I181" s="37" t="str">
        <f>'13. Desinvesteringen'!C464</f>
        <v>02 Gasontvangststations</v>
      </c>
      <c r="J181" s="165">
        <f>'13. Desinvesteringen'!F464</f>
        <v>0</v>
      </c>
      <c r="K181" s="38">
        <f>_xlfn.XLOOKUP(I181,'3. Input (des)investeringen '!$B$11:$B$89,'3. Input (des)investeringen '!$E$11:$E$89)</f>
        <v>0</v>
      </c>
      <c r="L181" s="48"/>
      <c r="M181" s="38">
        <f>_xlfn.XLOOKUP(I181,'3. Input (des)investeringen '!$B$11:$B$89,'3. Input (des)investeringen '!$D$11:$D$89,0)</f>
        <v>30</v>
      </c>
      <c r="N181" s="38">
        <f t="shared" si="59"/>
        <v>0</v>
      </c>
      <c r="P181" s="43">
        <f t="shared" si="77"/>
        <v>0</v>
      </c>
      <c r="Q181" s="43">
        <f t="shared" si="77"/>
        <v>0</v>
      </c>
      <c r="R181" s="43">
        <f t="shared" si="77"/>
        <v>0</v>
      </c>
      <c r="S181" s="43">
        <f t="shared" si="77"/>
        <v>0</v>
      </c>
      <c r="T181" s="43">
        <f t="shared" si="77"/>
        <v>0</v>
      </c>
      <c r="V181" s="43">
        <f t="shared" si="78"/>
        <v>0</v>
      </c>
      <c r="W181" s="43">
        <f t="shared" si="79"/>
        <v>0</v>
      </c>
      <c r="X181" s="43">
        <f t="shared" si="80"/>
        <v>0</v>
      </c>
      <c r="Y181" s="43">
        <f t="shared" si="81"/>
        <v>0</v>
      </c>
      <c r="Z181" s="43">
        <f t="shared" si="82"/>
        <v>0</v>
      </c>
      <c r="AB181" s="43">
        <f t="shared" si="60"/>
        <v>0</v>
      </c>
      <c r="AC181" s="43">
        <f t="shared" si="61"/>
        <v>0</v>
      </c>
      <c r="AD181" s="43">
        <f t="shared" si="62"/>
        <v>0</v>
      </c>
      <c r="AE181" s="43">
        <f t="shared" si="63"/>
        <v>0</v>
      </c>
      <c r="AF181" s="43">
        <f t="shared" si="64"/>
        <v>0</v>
      </c>
      <c r="AH181" s="43">
        <f t="shared" si="65"/>
        <v>0</v>
      </c>
      <c r="AI181" s="43">
        <f t="shared" si="66"/>
        <v>0</v>
      </c>
      <c r="AJ181" s="43">
        <f t="shared" si="67"/>
        <v>0</v>
      </c>
      <c r="AK181" s="43">
        <f t="shared" si="68"/>
        <v>0</v>
      </c>
      <c r="AL181" s="43">
        <f t="shared" si="69"/>
        <v>0</v>
      </c>
      <c r="AN181" s="47">
        <f t="shared" si="70"/>
        <v>0</v>
      </c>
      <c r="AO181" s="47">
        <f t="shared" si="71"/>
        <v>0</v>
      </c>
      <c r="AP181" s="47">
        <f t="shared" si="72"/>
        <v>0</v>
      </c>
      <c r="AQ181" s="47">
        <f t="shared" si="73"/>
        <v>0</v>
      </c>
      <c r="AR181" s="43">
        <f t="shared" si="74"/>
        <v>0</v>
      </c>
      <c r="AY181" s="3"/>
    </row>
    <row r="182" spans="1:51">
      <c r="A182" s="226"/>
      <c r="B182" s="37">
        <f>'13. Desinvesteringen'!B465</f>
        <v>446</v>
      </c>
      <c r="C182" s="48"/>
      <c r="D182" s="48"/>
      <c r="E182" s="48"/>
      <c r="F182" s="354">
        <f>'5. Input GAW-waarde desinv.'!D141</f>
        <v>0</v>
      </c>
      <c r="G182" s="175">
        <f>'13. Desinvesteringen'!D465</f>
        <v>1979</v>
      </c>
      <c r="H182" s="175">
        <f>'13. Desinvesteringen'!G465</f>
        <v>2023</v>
      </c>
      <c r="I182" s="37" t="str">
        <f>'13. Desinvesteringen'!C465</f>
        <v>02 Gasontvangststations</v>
      </c>
      <c r="J182" s="165">
        <f>'13. Desinvesteringen'!F465</f>
        <v>0</v>
      </c>
      <c r="K182" s="38">
        <f>_xlfn.XLOOKUP(I182,'3. Input (des)investeringen '!$B$11:$B$89,'3. Input (des)investeringen '!$E$11:$E$89)</f>
        <v>0</v>
      </c>
      <c r="L182" s="48"/>
      <c r="M182" s="38">
        <f>_xlfn.XLOOKUP(I182,'3. Input (des)investeringen '!$B$11:$B$89,'3. Input (des)investeringen '!$D$11:$D$89,0)</f>
        <v>30</v>
      </c>
      <c r="N182" s="38">
        <f t="shared" si="59"/>
        <v>0</v>
      </c>
      <c r="P182" s="43">
        <f t="shared" ref="P182:T191" si="83">IF($M182&gt;0, IF(OR($G182&gt;P$50,$G182+$M182&lt;P$50),0,
VDB($F182,0,$N182,MAX(0,P$50-2022),MIN($N182,P$50-2021),$F$23,FALSE))*(1-$F$26), 0)</f>
        <v>0</v>
      </c>
      <c r="Q182" s="43">
        <f t="shared" si="83"/>
        <v>0</v>
      </c>
      <c r="R182" s="43">
        <f t="shared" si="83"/>
        <v>0</v>
      </c>
      <c r="S182" s="43">
        <f t="shared" si="83"/>
        <v>0</v>
      </c>
      <c r="T182" s="43">
        <f t="shared" si="83"/>
        <v>0</v>
      </c>
      <c r="V182" s="43">
        <f t="shared" si="78"/>
        <v>0</v>
      </c>
      <c r="W182" s="43">
        <f t="shared" si="79"/>
        <v>0</v>
      </c>
      <c r="X182" s="43">
        <f t="shared" si="80"/>
        <v>0</v>
      </c>
      <c r="Y182" s="43">
        <f t="shared" si="81"/>
        <v>0</v>
      </c>
      <c r="Z182" s="43">
        <f t="shared" si="82"/>
        <v>0</v>
      </c>
      <c r="AB182" s="43">
        <f t="shared" si="60"/>
        <v>0</v>
      </c>
      <c r="AC182" s="43">
        <f t="shared" si="61"/>
        <v>0</v>
      </c>
      <c r="AD182" s="43">
        <f t="shared" si="62"/>
        <v>0</v>
      </c>
      <c r="AE182" s="43">
        <f t="shared" si="63"/>
        <v>0</v>
      </c>
      <c r="AF182" s="43">
        <f t="shared" si="64"/>
        <v>0</v>
      </c>
      <c r="AH182" s="43">
        <f t="shared" si="65"/>
        <v>0</v>
      </c>
      <c r="AI182" s="43">
        <f t="shared" si="66"/>
        <v>0</v>
      </c>
      <c r="AJ182" s="43">
        <f t="shared" si="67"/>
        <v>0</v>
      </c>
      <c r="AK182" s="43">
        <f t="shared" si="68"/>
        <v>0</v>
      </c>
      <c r="AL182" s="43">
        <f t="shared" si="69"/>
        <v>0</v>
      </c>
      <c r="AN182" s="47">
        <f t="shared" si="70"/>
        <v>0</v>
      </c>
      <c r="AO182" s="47">
        <f t="shared" si="71"/>
        <v>0</v>
      </c>
      <c r="AP182" s="47">
        <f t="shared" si="72"/>
        <v>0</v>
      </c>
      <c r="AQ182" s="47">
        <f t="shared" si="73"/>
        <v>0</v>
      </c>
      <c r="AR182" s="43">
        <f t="shared" si="74"/>
        <v>0</v>
      </c>
      <c r="AY182" s="3"/>
    </row>
    <row r="183" spans="1:51">
      <c r="A183" s="226"/>
      <c r="B183" s="37">
        <f>'13. Desinvesteringen'!B466</f>
        <v>447</v>
      </c>
      <c r="C183" s="48"/>
      <c r="D183" s="48"/>
      <c r="E183" s="48"/>
      <c r="F183" s="354">
        <f>'5. Input GAW-waarde desinv.'!D142</f>
        <v>0</v>
      </c>
      <c r="G183" s="175">
        <f>'13. Desinvesteringen'!D466</f>
        <v>1980</v>
      </c>
      <c r="H183" s="175">
        <f>'13. Desinvesteringen'!G466</f>
        <v>2023</v>
      </c>
      <c r="I183" s="37" t="str">
        <f>'13. Desinvesteringen'!C466</f>
        <v>02 Gasontvangststations</v>
      </c>
      <c r="J183" s="165">
        <f>'13. Desinvesteringen'!F466</f>
        <v>0</v>
      </c>
      <c r="K183" s="38">
        <f>_xlfn.XLOOKUP(I183,'3. Input (des)investeringen '!$B$11:$B$89,'3. Input (des)investeringen '!$E$11:$E$89)</f>
        <v>0</v>
      </c>
      <c r="L183" s="48"/>
      <c r="M183" s="38">
        <f>_xlfn.XLOOKUP(I183,'3. Input (des)investeringen '!$B$11:$B$89,'3. Input (des)investeringen '!$D$11:$D$89,0)</f>
        <v>30</v>
      </c>
      <c r="N183" s="38">
        <f t="shared" si="59"/>
        <v>0</v>
      </c>
      <c r="P183" s="43">
        <f t="shared" si="83"/>
        <v>0</v>
      </c>
      <c r="Q183" s="43">
        <f t="shared" si="83"/>
        <v>0</v>
      </c>
      <c r="R183" s="43">
        <f t="shared" si="83"/>
        <v>0</v>
      </c>
      <c r="S183" s="43">
        <f t="shared" si="83"/>
        <v>0</v>
      </c>
      <c r="T183" s="43">
        <f t="shared" si="83"/>
        <v>0</v>
      </c>
      <c r="V183" s="43">
        <f t="shared" si="78"/>
        <v>0</v>
      </c>
      <c r="W183" s="43">
        <f t="shared" si="79"/>
        <v>0</v>
      </c>
      <c r="X183" s="43">
        <f t="shared" si="80"/>
        <v>0</v>
      </c>
      <c r="Y183" s="43">
        <f t="shared" si="81"/>
        <v>0</v>
      </c>
      <c r="Z183" s="43">
        <f t="shared" si="82"/>
        <v>0</v>
      </c>
      <c r="AB183" s="43">
        <f t="shared" si="60"/>
        <v>0</v>
      </c>
      <c r="AC183" s="43">
        <f t="shared" si="61"/>
        <v>0</v>
      </c>
      <c r="AD183" s="43">
        <f t="shared" si="62"/>
        <v>0</v>
      </c>
      <c r="AE183" s="43">
        <f t="shared" si="63"/>
        <v>0</v>
      </c>
      <c r="AF183" s="43">
        <f t="shared" si="64"/>
        <v>0</v>
      </c>
      <c r="AH183" s="43">
        <f t="shared" si="65"/>
        <v>0</v>
      </c>
      <c r="AI183" s="43">
        <f t="shared" si="66"/>
        <v>0</v>
      </c>
      <c r="AJ183" s="43">
        <f t="shared" si="67"/>
        <v>0</v>
      </c>
      <c r="AK183" s="43">
        <f t="shared" si="68"/>
        <v>0</v>
      </c>
      <c r="AL183" s="43">
        <f t="shared" si="69"/>
        <v>0</v>
      </c>
      <c r="AN183" s="47">
        <f t="shared" si="70"/>
        <v>0</v>
      </c>
      <c r="AO183" s="47">
        <f t="shared" si="71"/>
        <v>0</v>
      </c>
      <c r="AP183" s="47">
        <f t="shared" si="72"/>
        <v>0</v>
      </c>
      <c r="AQ183" s="47">
        <f t="shared" si="73"/>
        <v>0</v>
      </c>
      <c r="AR183" s="43">
        <f t="shared" si="74"/>
        <v>0</v>
      </c>
      <c r="AY183" s="3"/>
    </row>
    <row r="184" spans="1:51">
      <c r="A184" s="226"/>
      <c r="B184" s="37">
        <f>'13. Desinvesteringen'!B467</f>
        <v>448</v>
      </c>
      <c r="C184" s="48"/>
      <c r="D184" s="48"/>
      <c r="E184" s="48"/>
      <c r="F184" s="354">
        <f>'5. Input GAW-waarde desinv.'!D143</f>
        <v>0</v>
      </c>
      <c r="G184" s="175">
        <f>'13. Desinvesteringen'!D467</f>
        <v>1983</v>
      </c>
      <c r="H184" s="175">
        <f>'13. Desinvesteringen'!G467</f>
        <v>2023</v>
      </c>
      <c r="I184" s="37" t="str">
        <f>'13. Desinvesteringen'!C467</f>
        <v>02 Gasontvangststations</v>
      </c>
      <c r="J184" s="165">
        <f>'13. Desinvesteringen'!F467</f>
        <v>0</v>
      </c>
      <c r="K184" s="38">
        <f>_xlfn.XLOOKUP(I184,'3. Input (des)investeringen '!$B$11:$B$89,'3. Input (des)investeringen '!$E$11:$E$89)</f>
        <v>0</v>
      </c>
      <c r="L184" s="48"/>
      <c r="M184" s="38">
        <f>_xlfn.XLOOKUP(I184,'3. Input (des)investeringen '!$B$11:$B$89,'3. Input (des)investeringen '!$D$11:$D$89,0)</f>
        <v>30</v>
      </c>
      <c r="N184" s="38">
        <f t="shared" si="59"/>
        <v>0</v>
      </c>
      <c r="P184" s="43">
        <f t="shared" si="83"/>
        <v>0</v>
      </c>
      <c r="Q184" s="43">
        <f t="shared" si="83"/>
        <v>0</v>
      </c>
      <c r="R184" s="43">
        <f t="shared" si="83"/>
        <v>0</v>
      </c>
      <c r="S184" s="43">
        <f t="shared" si="83"/>
        <v>0</v>
      </c>
      <c r="T184" s="43">
        <f t="shared" si="83"/>
        <v>0</v>
      </c>
      <c r="V184" s="43">
        <f t="shared" si="78"/>
        <v>0</v>
      </c>
      <c r="W184" s="43">
        <f t="shared" si="79"/>
        <v>0</v>
      </c>
      <c r="X184" s="43">
        <f t="shared" si="80"/>
        <v>0</v>
      </c>
      <c r="Y184" s="43">
        <f t="shared" si="81"/>
        <v>0</v>
      </c>
      <c r="Z184" s="43">
        <f t="shared" si="82"/>
        <v>0</v>
      </c>
      <c r="AB184" s="43">
        <f t="shared" si="60"/>
        <v>0</v>
      </c>
      <c r="AC184" s="43">
        <f t="shared" si="61"/>
        <v>0</v>
      </c>
      <c r="AD184" s="43">
        <f t="shared" si="62"/>
        <v>0</v>
      </c>
      <c r="AE184" s="43">
        <f t="shared" si="63"/>
        <v>0</v>
      </c>
      <c r="AF184" s="43">
        <f t="shared" si="64"/>
        <v>0</v>
      </c>
      <c r="AH184" s="43">
        <f t="shared" si="65"/>
        <v>0</v>
      </c>
      <c r="AI184" s="43">
        <f t="shared" si="66"/>
        <v>0</v>
      </c>
      <c r="AJ184" s="43">
        <f t="shared" si="67"/>
        <v>0</v>
      </c>
      <c r="AK184" s="43">
        <f t="shared" si="68"/>
        <v>0</v>
      </c>
      <c r="AL184" s="43">
        <f t="shared" si="69"/>
        <v>0</v>
      </c>
      <c r="AN184" s="47">
        <f t="shared" si="70"/>
        <v>0</v>
      </c>
      <c r="AO184" s="47">
        <f t="shared" si="71"/>
        <v>0</v>
      </c>
      <c r="AP184" s="47">
        <f t="shared" si="72"/>
        <v>0</v>
      </c>
      <c r="AQ184" s="47">
        <f t="shared" si="73"/>
        <v>0</v>
      </c>
      <c r="AR184" s="43">
        <f t="shared" si="74"/>
        <v>0</v>
      </c>
      <c r="AY184" s="3"/>
    </row>
    <row r="185" spans="1:51">
      <c r="A185" s="226"/>
      <c r="B185" s="37">
        <f>'13. Desinvesteringen'!B468</f>
        <v>449</v>
      </c>
      <c r="C185" s="48"/>
      <c r="D185" s="48"/>
      <c r="E185" s="48"/>
      <c r="F185" s="354">
        <f>'5. Input GAW-waarde desinv.'!D144</f>
        <v>0</v>
      </c>
      <c r="G185" s="175">
        <f>'13. Desinvesteringen'!D468</f>
        <v>1986</v>
      </c>
      <c r="H185" s="175">
        <f>'13. Desinvesteringen'!G468</f>
        <v>2023</v>
      </c>
      <c r="I185" s="37" t="str">
        <f>'13. Desinvesteringen'!C468</f>
        <v>02 Gasontvangststations</v>
      </c>
      <c r="J185" s="165">
        <f>'13. Desinvesteringen'!F468</f>
        <v>0</v>
      </c>
      <c r="K185" s="38">
        <f>_xlfn.XLOOKUP(I185,'3. Input (des)investeringen '!$B$11:$B$89,'3. Input (des)investeringen '!$E$11:$E$89)</f>
        <v>0</v>
      </c>
      <c r="L185" s="48"/>
      <c r="M185" s="38">
        <f>_xlfn.XLOOKUP(I185,'3. Input (des)investeringen '!$B$11:$B$89,'3. Input (des)investeringen '!$D$11:$D$89,0)</f>
        <v>30</v>
      </c>
      <c r="N185" s="38">
        <f t="shared" si="59"/>
        <v>0</v>
      </c>
      <c r="P185" s="43">
        <f t="shared" si="83"/>
        <v>0</v>
      </c>
      <c r="Q185" s="43">
        <f t="shared" si="83"/>
        <v>0</v>
      </c>
      <c r="R185" s="43">
        <f t="shared" si="83"/>
        <v>0</v>
      </c>
      <c r="S185" s="43">
        <f t="shared" si="83"/>
        <v>0</v>
      </c>
      <c r="T185" s="43">
        <f t="shared" si="83"/>
        <v>0</v>
      </c>
      <c r="V185" s="43">
        <f t="shared" si="78"/>
        <v>0</v>
      </c>
      <c r="W185" s="43">
        <f t="shared" si="79"/>
        <v>0</v>
      </c>
      <c r="X185" s="43">
        <f t="shared" si="80"/>
        <v>0</v>
      </c>
      <c r="Y185" s="43">
        <f t="shared" si="81"/>
        <v>0</v>
      </c>
      <c r="Z185" s="43">
        <f t="shared" si="82"/>
        <v>0</v>
      </c>
      <c r="AB185" s="43">
        <f t="shared" si="60"/>
        <v>0</v>
      </c>
      <c r="AC185" s="43">
        <f t="shared" si="61"/>
        <v>0</v>
      </c>
      <c r="AD185" s="43">
        <f t="shared" si="62"/>
        <v>0</v>
      </c>
      <c r="AE185" s="43">
        <f t="shared" si="63"/>
        <v>0</v>
      </c>
      <c r="AF185" s="43">
        <f t="shared" si="64"/>
        <v>0</v>
      </c>
      <c r="AH185" s="43">
        <f t="shared" si="65"/>
        <v>0</v>
      </c>
      <c r="AI185" s="43">
        <f t="shared" si="66"/>
        <v>0</v>
      </c>
      <c r="AJ185" s="43">
        <f t="shared" si="67"/>
        <v>0</v>
      </c>
      <c r="AK185" s="43">
        <f t="shared" si="68"/>
        <v>0</v>
      </c>
      <c r="AL185" s="43">
        <f t="shared" si="69"/>
        <v>0</v>
      </c>
      <c r="AN185" s="47">
        <f t="shared" si="70"/>
        <v>0</v>
      </c>
      <c r="AO185" s="47">
        <f t="shared" si="71"/>
        <v>0</v>
      </c>
      <c r="AP185" s="47">
        <f t="shared" si="72"/>
        <v>0</v>
      </c>
      <c r="AQ185" s="47">
        <f t="shared" si="73"/>
        <v>0</v>
      </c>
      <c r="AR185" s="43">
        <f t="shared" si="74"/>
        <v>0</v>
      </c>
      <c r="AY185" s="3"/>
    </row>
    <row r="186" spans="1:51">
      <c r="A186" s="226"/>
      <c r="B186" s="37">
        <f>'13. Desinvesteringen'!B469</f>
        <v>450</v>
      </c>
      <c r="C186" s="48"/>
      <c r="D186" s="48"/>
      <c r="E186" s="48"/>
      <c r="F186" s="354">
        <f>'5. Input GAW-waarde desinv.'!D145</f>
        <v>0</v>
      </c>
      <c r="G186" s="175">
        <f>'13. Desinvesteringen'!D469</f>
        <v>1990</v>
      </c>
      <c r="H186" s="175">
        <f>'13. Desinvesteringen'!G469</f>
        <v>2023</v>
      </c>
      <c r="I186" s="37" t="str">
        <f>'13. Desinvesteringen'!C469</f>
        <v>02 Gasontvangststations</v>
      </c>
      <c r="J186" s="165">
        <f>'13. Desinvesteringen'!F469</f>
        <v>0</v>
      </c>
      <c r="K186" s="38">
        <f>_xlfn.XLOOKUP(I186,'3. Input (des)investeringen '!$B$11:$B$89,'3. Input (des)investeringen '!$E$11:$E$89)</f>
        <v>0</v>
      </c>
      <c r="L186" s="48"/>
      <c r="M186" s="38">
        <f>_xlfn.XLOOKUP(I186,'3. Input (des)investeringen '!$B$11:$B$89,'3. Input (des)investeringen '!$D$11:$D$89,0)</f>
        <v>30</v>
      </c>
      <c r="N186" s="38">
        <f t="shared" si="59"/>
        <v>0</v>
      </c>
      <c r="P186" s="43">
        <f t="shared" si="83"/>
        <v>0</v>
      </c>
      <c r="Q186" s="43">
        <f t="shared" si="83"/>
        <v>0</v>
      </c>
      <c r="R186" s="43">
        <f t="shared" si="83"/>
        <v>0</v>
      </c>
      <c r="S186" s="43">
        <f t="shared" si="83"/>
        <v>0</v>
      </c>
      <c r="T186" s="43">
        <f t="shared" si="83"/>
        <v>0</v>
      </c>
      <c r="V186" s="43">
        <f t="shared" si="78"/>
        <v>0</v>
      </c>
      <c r="W186" s="43">
        <f t="shared" si="79"/>
        <v>0</v>
      </c>
      <c r="X186" s="43">
        <f t="shared" si="80"/>
        <v>0</v>
      </c>
      <c r="Y186" s="43">
        <f t="shared" si="81"/>
        <v>0</v>
      </c>
      <c r="Z186" s="43">
        <f t="shared" si="82"/>
        <v>0</v>
      </c>
      <c r="AB186" s="43">
        <f t="shared" si="60"/>
        <v>0</v>
      </c>
      <c r="AC186" s="43">
        <f t="shared" si="61"/>
        <v>0</v>
      </c>
      <c r="AD186" s="43">
        <f t="shared" si="62"/>
        <v>0</v>
      </c>
      <c r="AE186" s="43">
        <f t="shared" si="63"/>
        <v>0</v>
      </c>
      <c r="AF186" s="43">
        <f t="shared" si="64"/>
        <v>0</v>
      </c>
      <c r="AH186" s="43">
        <f t="shared" si="65"/>
        <v>0</v>
      </c>
      <c r="AI186" s="43">
        <f t="shared" si="66"/>
        <v>0</v>
      </c>
      <c r="AJ186" s="43">
        <f t="shared" si="67"/>
        <v>0</v>
      </c>
      <c r="AK186" s="43">
        <f t="shared" si="68"/>
        <v>0</v>
      </c>
      <c r="AL186" s="43">
        <f t="shared" si="69"/>
        <v>0</v>
      </c>
      <c r="AN186" s="47">
        <f t="shared" si="70"/>
        <v>0</v>
      </c>
      <c r="AO186" s="47">
        <f t="shared" si="71"/>
        <v>0</v>
      </c>
      <c r="AP186" s="47">
        <f t="shared" si="72"/>
        <v>0</v>
      </c>
      <c r="AQ186" s="47">
        <f t="shared" si="73"/>
        <v>0</v>
      </c>
      <c r="AR186" s="43">
        <f t="shared" si="74"/>
        <v>0</v>
      </c>
      <c r="AY186" s="3"/>
    </row>
    <row r="187" spans="1:51">
      <c r="A187" s="226"/>
      <c r="B187" s="37">
        <f>'13. Desinvesteringen'!B470</f>
        <v>451</v>
      </c>
      <c r="C187" s="48"/>
      <c r="D187" s="48"/>
      <c r="E187" s="48"/>
      <c r="F187" s="354">
        <f>'5. Input GAW-waarde desinv.'!D146</f>
        <v>192.7950154920913</v>
      </c>
      <c r="G187" s="175">
        <f>'13. Desinvesteringen'!D470</f>
        <v>1992</v>
      </c>
      <c r="H187" s="175">
        <f>'13. Desinvesteringen'!G470</f>
        <v>2023</v>
      </c>
      <c r="I187" s="37" t="str">
        <f>'13. Desinvesteringen'!C470</f>
        <v>02 Gasontvangststations</v>
      </c>
      <c r="J187" s="165">
        <f>'13. Desinvesteringen'!F470</f>
        <v>0</v>
      </c>
      <c r="K187" s="38">
        <f>_xlfn.XLOOKUP(I187,'3. Input (des)investeringen '!$B$11:$B$89,'3. Input (des)investeringen '!$E$11:$E$89)</f>
        <v>0</v>
      </c>
      <c r="L187" s="48"/>
      <c r="M187" s="38">
        <f>_xlfn.XLOOKUP(I187,'3. Input (des)investeringen '!$B$11:$B$89,'3. Input (des)investeringen '!$D$11:$D$89,0)</f>
        <v>30</v>
      </c>
      <c r="N187" s="38">
        <f t="shared" si="59"/>
        <v>0.5</v>
      </c>
      <c r="P187" s="43">
        <f t="shared" si="83"/>
        <v>173.51551394288217</v>
      </c>
      <c r="Q187" s="43">
        <f t="shared" si="83"/>
        <v>0</v>
      </c>
      <c r="R187" s="43">
        <f t="shared" si="83"/>
        <v>0</v>
      </c>
      <c r="S187" s="43">
        <f t="shared" si="83"/>
        <v>0</v>
      </c>
      <c r="T187" s="43">
        <f t="shared" si="83"/>
        <v>0</v>
      </c>
      <c r="V187" s="43">
        <f t="shared" si="78"/>
        <v>19.27950154920913</v>
      </c>
      <c r="W187" s="43">
        <f t="shared" si="79"/>
        <v>0</v>
      </c>
      <c r="X187" s="43">
        <f t="shared" si="80"/>
        <v>0</v>
      </c>
      <c r="Y187" s="43">
        <f t="shared" si="81"/>
        <v>0</v>
      </c>
      <c r="Z187" s="43">
        <f t="shared" si="82"/>
        <v>0</v>
      </c>
      <c r="AB187" s="43">
        <f t="shared" si="60"/>
        <v>192.7950154920913</v>
      </c>
      <c r="AC187" s="43">
        <f t="shared" si="61"/>
        <v>0</v>
      </c>
      <c r="AD187" s="43">
        <f t="shared" si="62"/>
        <v>0</v>
      </c>
      <c r="AE187" s="43">
        <f t="shared" si="63"/>
        <v>0</v>
      </c>
      <c r="AF187" s="43">
        <f t="shared" si="64"/>
        <v>0</v>
      </c>
      <c r="AH187" s="43">
        <f t="shared" si="65"/>
        <v>0</v>
      </c>
      <c r="AI187" s="43">
        <f t="shared" si="66"/>
        <v>0</v>
      </c>
      <c r="AJ187" s="43">
        <f t="shared" si="67"/>
        <v>0</v>
      </c>
      <c r="AK187" s="43">
        <f t="shared" si="68"/>
        <v>0</v>
      </c>
      <c r="AL187" s="43">
        <f t="shared" si="69"/>
        <v>0</v>
      </c>
      <c r="AN187" s="47">
        <f t="shared" si="70"/>
        <v>192.7950154920913</v>
      </c>
      <c r="AO187" s="47">
        <f t="shared" si="71"/>
        <v>0</v>
      </c>
      <c r="AP187" s="47">
        <f t="shared" si="72"/>
        <v>0</v>
      </c>
      <c r="AQ187" s="47">
        <f t="shared" si="73"/>
        <v>0</v>
      </c>
      <c r="AR187" s="43">
        <f t="shared" si="74"/>
        <v>0</v>
      </c>
      <c r="AY187" s="3"/>
    </row>
    <row r="188" spans="1:51">
      <c r="A188" s="226"/>
      <c r="B188" s="37">
        <f>'13. Desinvesteringen'!B471</f>
        <v>452</v>
      </c>
      <c r="C188" s="48"/>
      <c r="D188" s="48"/>
      <c r="E188" s="48"/>
      <c r="F188" s="354">
        <f>'5. Input GAW-waarde desinv.'!D147</f>
        <v>17486.319304522516</v>
      </c>
      <c r="G188" s="175">
        <f>'13. Desinvesteringen'!D471</f>
        <v>1993</v>
      </c>
      <c r="H188" s="175">
        <f>'13. Desinvesteringen'!G471</f>
        <v>2023</v>
      </c>
      <c r="I188" s="37" t="str">
        <f>'13. Desinvesteringen'!C471</f>
        <v>02 Gasontvangststations</v>
      </c>
      <c r="J188" s="165">
        <f>'13. Desinvesteringen'!F471</f>
        <v>0</v>
      </c>
      <c r="K188" s="38">
        <f>_xlfn.XLOOKUP(I188,'3. Input (des)investeringen '!$B$11:$B$89,'3. Input (des)investeringen '!$E$11:$E$89)</f>
        <v>0</v>
      </c>
      <c r="L188" s="48"/>
      <c r="M188" s="38">
        <f>_xlfn.XLOOKUP(I188,'3. Input (des)investeringen '!$B$11:$B$89,'3. Input (des)investeringen '!$D$11:$D$89,0)</f>
        <v>30</v>
      </c>
      <c r="N188" s="38">
        <f t="shared" si="59"/>
        <v>1.5</v>
      </c>
      <c r="P188" s="43">
        <f t="shared" si="83"/>
        <v>13639.329057527564</v>
      </c>
      <c r="Q188" s="43">
        <f t="shared" si="83"/>
        <v>2098.3583165427017</v>
      </c>
      <c r="R188" s="43">
        <f t="shared" si="83"/>
        <v>0</v>
      </c>
      <c r="S188" s="43">
        <f t="shared" si="83"/>
        <v>0</v>
      </c>
      <c r="T188" s="43">
        <f t="shared" si="83"/>
        <v>0</v>
      </c>
      <c r="V188" s="43">
        <f t="shared" si="78"/>
        <v>1165.7546203015011</v>
      </c>
      <c r="W188" s="43">
        <f t="shared" si="79"/>
        <v>582.87731015075065</v>
      </c>
      <c r="X188" s="43">
        <f t="shared" si="80"/>
        <v>0</v>
      </c>
      <c r="Y188" s="43">
        <f t="shared" si="81"/>
        <v>0</v>
      </c>
      <c r="Z188" s="43">
        <f t="shared" si="82"/>
        <v>0</v>
      </c>
      <c r="AB188" s="43">
        <f t="shared" si="60"/>
        <v>14805.083677829065</v>
      </c>
      <c r="AC188" s="43">
        <f t="shared" si="61"/>
        <v>2681.2356266934521</v>
      </c>
      <c r="AD188" s="43">
        <f t="shared" si="62"/>
        <v>0</v>
      </c>
      <c r="AE188" s="43">
        <f t="shared" si="63"/>
        <v>0</v>
      </c>
      <c r="AF188" s="43">
        <f t="shared" si="64"/>
        <v>0</v>
      </c>
      <c r="AH188" s="43">
        <f t="shared" si="65"/>
        <v>2681.2356266934512</v>
      </c>
      <c r="AI188" s="43">
        <f t="shared" si="66"/>
        <v>0</v>
      </c>
      <c r="AJ188" s="43">
        <f t="shared" si="67"/>
        <v>0</v>
      </c>
      <c r="AK188" s="43">
        <f t="shared" si="68"/>
        <v>0</v>
      </c>
      <c r="AL188" s="43">
        <f t="shared" si="69"/>
        <v>0</v>
      </c>
      <c r="AN188" s="47">
        <f t="shared" si="70"/>
        <v>14915.014338523497</v>
      </c>
      <c r="AO188" s="47">
        <f t="shared" si="71"/>
        <v>2681.2356266934521</v>
      </c>
      <c r="AP188" s="47">
        <f t="shared" si="72"/>
        <v>0</v>
      </c>
      <c r="AQ188" s="47">
        <f t="shared" si="73"/>
        <v>0</v>
      </c>
      <c r="AR188" s="43">
        <f t="shared" si="74"/>
        <v>0</v>
      </c>
      <c r="AY188" s="3"/>
    </row>
    <row r="189" spans="1:51">
      <c r="A189" s="226"/>
      <c r="B189" s="37">
        <f>'13. Desinvesteringen'!B472</f>
        <v>453</v>
      </c>
      <c r="C189" s="48"/>
      <c r="D189" s="48"/>
      <c r="E189" s="48"/>
      <c r="F189" s="354">
        <f>'5. Input GAW-waarde desinv.'!D148</f>
        <v>1732.4051614647706</v>
      </c>
      <c r="G189" s="175">
        <f>'13. Desinvesteringen'!D472</f>
        <v>1995</v>
      </c>
      <c r="H189" s="175">
        <f>'13. Desinvesteringen'!G472</f>
        <v>2023</v>
      </c>
      <c r="I189" s="37" t="str">
        <f>'13. Desinvesteringen'!C472</f>
        <v>02 Gasontvangststations</v>
      </c>
      <c r="J189" s="165">
        <f>'13. Desinvesteringen'!F472</f>
        <v>0</v>
      </c>
      <c r="K189" s="38">
        <f>_xlfn.XLOOKUP(I189,'3. Input (des)investeringen '!$B$11:$B$89,'3. Input (des)investeringen '!$E$11:$E$89)</f>
        <v>0</v>
      </c>
      <c r="L189" s="48"/>
      <c r="M189" s="38">
        <f>_xlfn.XLOOKUP(I189,'3. Input (des)investeringen '!$B$11:$B$89,'3. Input (des)investeringen '!$D$11:$D$89,0)</f>
        <v>30</v>
      </c>
      <c r="N189" s="38">
        <f t="shared" si="59"/>
        <v>3.5</v>
      </c>
      <c r="P189" s="43">
        <f t="shared" si="83"/>
        <v>579.11829683250903</v>
      </c>
      <c r="Q189" s="43">
        <f t="shared" si="83"/>
        <v>392.01853939431385</v>
      </c>
      <c r="R189" s="43">
        <f t="shared" si="83"/>
        <v>392.01853939431385</v>
      </c>
      <c r="S189" s="43">
        <f t="shared" si="83"/>
        <v>196.00926969715692</v>
      </c>
      <c r="T189" s="43">
        <f t="shared" si="83"/>
        <v>0</v>
      </c>
      <c r="V189" s="43">
        <f t="shared" si="78"/>
        <v>49.497290327564876</v>
      </c>
      <c r="W189" s="43">
        <f t="shared" si="79"/>
        <v>49.497290327564883</v>
      </c>
      <c r="X189" s="43">
        <f t="shared" si="80"/>
        <v>49.497290327564883</v>
      </c>
      <c r="Y189" s="43">
        <f t="shared" si="81"/>
        <v>24.748645163782442</v>
      </c>
      <c r="Z189" s="43">
        <f t="shared" si="82"/>
        <v>0</v>
      </c>
      <c r="AB189" s="43">
        <f t="shared" si="60"/>
        <v>628.61558716007391</v>
      </c>
      <c r="AC189" s="43">
        <f t="shared" si="61"/>
        <v>441.51582972187873</v>
      </c>
      <c r="AD189" s="43">
        <f t="shared" si="62"/>
        <v>441.51582972187873</v>
      </c>
      <c r="AE189" s="43">
        <f t="shared" si="63"/>
        <v>220.75791486093937</v>
      </c>
      <c r="AF189" s="43">
        <f t="shared" si="64"/>
        <v>0</v>
      </c>
      <c r="AH189" s="43">
        <f t="shared" si="65"/>
        <v>1103.7895743046965</v>
      </c>
      <c r="AI189" s="43">
        <f t="shared" si="66"/>
        <v>662.27374458281781</v>
      </c>
      <c r="AJ189" s="43">
        <f t="shared" si="67"/>
        <v>220.75791486093908</v>
      </c>
      <c r="AK189" s="43">
        <f t="shared" si="68"/>
        <v>0</v>
      </c>
      <c r="AL189" s="43">
        <f t="shared" si="69"/>
        <v>0</v>
      </c>
      <c r="AN189" s="47">
        <f t="shared" si="70"/>
        <v>673.87095970656651</v>
      </c>
      <c r="AO189" s="47">
        <f t="shared" si="71"/>
        <v>475.29179069560246</v>
      </c>
      <c r="AP189" s="47">
        <f t="shared" si="72"/>
        <v>452.7744833797866</v>
      </c>
      <c r="AQ189" s="47">
        <f t="shared" si="73"/>
        <v>220.75791486093937</v>
      </c>
      <c r="AR189" s="43">
        <f t="shared" si="74"/>
        <v>0</v>
      </c>
      <c r="AY189" s="3"/>
    </row>
    <row r="190" spans="1:51">
      <c r="A190" s="226"/>
      <c r="B190" s="37">
        <f>'13. Desinvesteringen'!B473</f>
        <v>454</v>
      </c>
      <c r="C190" s="48"/>
      <c r="D190" s="48"/>
      <c r="E190" s="48"/>
      <c r="F190" s="354">
        <f>'5. Input GAW-waarde desinv.'!D149</f>
        <v>2852.1763921840106</v>
      </c>
      <c r="G190" s="175">
        <f>'13. Desinvesteringen'!D473</f>
        <v>1997</v>
      </c>
      <c r="H190" s="175">
        <f>'13. Desinvesteringen'!G473</f>
        <v>2023</v>
      </c>
      <c r="I190" s="37" t="str">
        <f>'13. Desinvesteringen'!C473</f>
        <v>02 Gasontvangststations</v>
      </c>
      <c r="J190" s="165">
        <f>'13. Desinvesteringen'!F473</f>
        <v>0</v>
      </c>
      <c r="K190" s="38">
        <f>_xlfn.XLOOKUP(I190,'3. Input (des)investeringen '!$B$11:$B$89,'3. Input (des)investeringen '!$E$11:$E$89)</f>
        <v>0</v>
      </c>
      <c r="L190" s="48"/>
      <c r="M190" s="38">
        <f>_xlfn.XLOOKUP(I190,'3. Input (des)investeringen '!$B$11:$B$89,'3. Input (des)investeringen '!$D$11:$D$89,0)</f>
        <v>30</v>
      </c>
      <c r="N190" s="38">
        <f t="shared" si="59"/>
        <v>5.5</v>
      </c>
      <c r="P190" s="43">
        <f t="shared" si="83"/>
        <v>606.73570524641684</v>
      </c>
      <c r="Q190" s="43">
        <f t="shared" si="83"/>
        <v>463.32544764271825</v>
      </c>
      <c r="R190" s="43">
        <f t="shared" si="83"/>
        <v>427.68502859327839</v>
      </c>
      <c r="S190" s="43">
        <f t="shared" si="83"/>
        <v>427.68502859327839</v>
      </c>
      <c r="T190" s="43">
        <f t="shared" si="83"/>
        <v>427.68502859327839</v>
      </c>
      <c r="V190" s="43">
        <f t="shared" si="78"/>
        <v>51.85775258516383</v>
      </c>
      <c r="W190" s="43">
        <f t="shared" si="79"/>
        <v>51.85775258516383</v>
      </c>
      <c r="X190" s="43">
        <f t="shared" si="80"/>
        <v>51.85775258516383</v>
      </c>
      <c r="Y190" s="43">
        <f t="shared" si="81"/>
        <v>51.85775258516383</v>
      </c>
      <c r="Z190" s="43">
        <f t="shared" si="82"/>
        <v>51.85775258516383</v>
      </c>
      <c r="AB190" s="43">
        <f t="shared" si="60"/>
        <v>658.59345783158062</v>
      </c>
      <c r="AC190" s="43">
        <f t="shared" si="61"/>
        <v>515.18320022788203</v>
      </c>
      <c r="AD190" s="43">
        <f t="shared" si="62"/>
        <v>479.54278117844223</v>
      </c>
      <c r="AE190" s="43">
        <f t="shared" si="63"/>
        <v>479.54278117844223</v>
      </c>
      <c r="AF190" s="43">
        <f t="shared" si="64"/>
        <v>479.54278117844223</v>
      </c>
      <c r="AH190" s="43">
        <f t="shared" si="65"/>
        <v>2193.5829343524301</v>
      </c>
      <c r="AI190" s="43">
        <f t="shared" si="66"/>
        <v>1678.3997341245481</v>
      </c>
      <c r="AJ190" s="43">
        <f t="shared" si="67"/>
        <v>1198.8569529461058</v>
      </c>
      <c r="AK190" s="43">
        <f t="shared" si="68"/>
        <v>719.31417176766354</v>
      </c>
      <c r="AL190" s="43">
        <f t="shared" si="69"/>
        <v>239.77139058922131</v>
      </c>
      <c r="AN190" s="47">
        <f t="shared" si="70"/>
        <v>748.53035814003022</v>
      </c>
      <c r="AO190" s="47">
        <f t="shared" si="71"/>
        <v>600.78158666823401</v>
      </c>
      <c r="AP190" s="47">
        <f t="shared" si="72"/>
        <v>540.68448577869367</v>
      </c>
      <c r="AQ190" s="47">
        <f t="shared" si="73"/>
        <v>519.10506062566367</v>
      </c>
      <c r="AR190" s="43">
        <f t="shared" si="74"/>
        <v>488.65409402083264</v>
      </c>
      <c r="AY190" s="3"/>
    </row>
    <row r="191" spans="1:51">
      <c r="A191" s="226"/>
      <c r="B191" s="37">
        <f>'13. Desinvesteringen'!B474</f>
        <v>455</v>
      </c>
      <c r="C191" s="48"/>
      <c r="D191" s="48"/>
      <c r="E191" s="48"/>
      <c r="F191" s="354">
        <f>'5. Input GAW-waarde desinv.'!D150</f>
        <v>9316.2155574158933</v>
      </c>
      <c r="G191" s="175">
        <f>'13. Desinvesteringen'!D474</f>
        <v>2003</v>
      </c>
      <c r="H191" s="175">
        <f>'13. Desinvesteringen'!G474</f>
        <v>2023</v>
      </c>
      <c r="I191" s="37" t="str">
        <f>'13. Desinvesteringen'!C474</f>
        <v>02 Gasontvangststations</v>
      </c>
      <c r="J191" s="165">
        <f>'13. Desinvesteringen'!F474</f>
        <v>0</v>
      </c>
      <c r="K191" s="38">
        <f>_xlfn.XLOOKUP(I191,'3. Input (des)investeringen '!$B$11:$B$89,'3. Input (des)investeringen '!$E$11:$E$89)</f>
        <v>0</v>
      </c>
      <c r="L191" s="48"/>
      <c r="M191" s="38">
        <f>_xlfn.XLOOKUP(I191,'3. Input (des)investeringen '!$B$11:$B$89,'3. Input (des)investeringen '!$D$11:$D$89,0)</f>
        <v>30</v>
      </c>
      <c r="N191" s="38">
        <f t="shared" si="59"/>
        <v>11.5</v>
      </c>
      <c r="P191" s="43">
        <f t="shared" si="83"/>
        <v>947.82366975448656</v>
      </c>
      <c r="Q191" s="43">
        <f t="shared" si="83"/>
        <v>840.67838534745749</v>
      </c>
      <c r="R191" s="43">
        <f t="shared" si="83"/>
        <v>745.64517656904934</v>
      </c>
      <c r="S191" s="43">
        <f t="shared" si="83"/>
        <v>688.28785529450715</v>
      </c>
      <c r="T191" s="43">
        <f t="shared" si="83"/>
        <v>688.28785529450715</v>
      </c>
      <c r="V191" s="43">
        <f t="shared" si="78"/>
        <v>81.010570064486032</v>
      </c>
      <c r="W191" s="43">
        <f t="shared" si="79"/>
        <v>81.010570064486032</v>
      </c>
      <c r="X191" s="43">
        <f t="shared" si="80"/>
        <v>81.010570064486032</v>
      </c>
      <c r="Y191" s="43">
        <f t="shared" si="81"/>
        <v>81.010570064486032</v>
      </c>
      <c r="Z191" s="43">
        <f t="shared" si="82"/>
        <v>81.010570064486032</v>
      </c>
      <c r="AB191" s="43">
        <f t="shared" si="60"/>
        <v>1028.8342398189725</v>
      </c>
      <c r="AC191" s="43">
        <f t="shared" si="61"/>
        <v>921.68895541194354</v>
      </c>
      <c r="AD191" s="43">
        <f t="shared" si="62"/>
        <v>826.65574663353539</v>
      </c>
      <c r="AE191" s="43">
        <f t="shared" si="63"/>
        <v>769.2984253589932</v>
      </c>
      <c r="AF191" s="43">
        <f t="shared" si="64"/>
        <v>769.2984253589932</v>
      </c>
      <c r="AH191" s="43">
        <f t="shared" si="65"/>
        <v>8287.3813175969208</v>
      </c>
      <c r="AI191" s="43">
        <f t="shared" si="66"/>
        <v>7365.6923621849774</v>
      </c>
      <c r="AJ191" s="43">
        <f t="shared" si="67"/>
        <v>6539.0366155514421</v>
      </c>
      <c r="AK191" s="43">
        <f t="shared" si="68"/>
        <v>5769.7381901924491</v>
      </c>
      <c r="AL191" s="43">
        <f t="shared" si="69"/>
        <v>5000.4397648334561</v>
      </c>
      <c r="AN191" s="47">
        <f t="shared" si="70"/>
        <v>1368.6168738404463</v>
      </c>
      <c r="AO191" s="47">
        <f t="shared" si="71"/>
        <v>1297.3392658833773</v>
      </c>
      <c r="AP191" s="47">
        <f t="shared" si="72"/>
        <v>1160.1466140266589</v>
      </c>
      <c r="AQ191" s="47">
        <f t="shared" si="73"/>
        <v>1086.6340258195778</v>
      </c>
      <c r="AR191" s="43">
        <f t="shared" si="74"/>
        <v>959.31513642266452</v>
      </c>
      <c r="AY191" s="3"/>
    </row>
    <row r="192" spans="1:51">
      <c r="A192" s="226"/>
      <c r="B192" s="37">
        <f>'13. Desinvesteringen'!B475</f>
        <v>456</v>
      </c>
      <c r="C192" s="48"/>
      <c r="D192" s="48"/>
      <c r="E192" s="48"/>
      <c r="F192" s="354">
        <f>'5. Input GAW-waarde desinv.'!D151</f>
        <v>14209.467414292769</v>
      </c>
      <c r="G192" s="175">
        <f>'13. Desinvesteringen'!D475</f>
        <v>2005</v>
      </c>
      <c r="H192" s="175">
        <f>'13. Desinvesteringen'!G475</f>
        <v>2023</v>
      </c>
      <c r="I192" s="37" t="str">
        <f>'13. Desinvesteringen'!C475</f>
        <v>02 Gasontvangststations</v>
      </c>
      <c r="J192" s="165">
        <f>'13. Desinvesteringen'!F475</f>
        <v>0</v>
      </c>
      <c r="K192" s="38">
        <f>_xlfn.XLOOKUP(I192,'3. Input (des)investeringen '!$B$11:$B$89,'3. Input (des)investeringen '!$E$11:$E$89)</f>
        <v>0</v>
      </c>
      <c r="L192" s="48"/>
      <c r="M192" s="38">
        <f>_xlfn.XLOOKUP(I192,'3. Input (des)investeringen '!$B$11:$B$89,'3. Input (des)investeringen '!$D$11:$D$89,0)</f>
        <v>30</v>
      </c>
      <c r="N192" s="38">
        <f t="shared" si="59"/>
        <v>13.5</v>
      </c>
      <c r="P192" s="43">
        <f t="shared" ref="P192:T201" si="84">IF($M192&gt;0, IF(OR($G192&gt;P$50,$G192+$M192&lt;P$50),0,
VDB($F192,0,$N192,MAX(0,P$50-2022),MIN($N192,P$50-2021),$F$23,FALSE))*(1-$F$26), 0)</f>
        <v>1231.4871759053733</v>
      </c>
      <c r="Q192" s="43">
        <f t="shared" si="84"/>
        <v>1112.8995219293004</v>
      </c>
      <c r="R192" s="43">
        <f t="shared" si="84"/>
        <v>1005.73141981759</v>
      </c>
      <c r="S192" s="43">
        <f t="shared" si="84"/>
        <v>908.88320902034047</v>
      </c>
      <c r="T192" s="43">
        <f t="shared" si="84"/>
        <v>897.84414170430398</v>
      </c>
      <c r="V192" s="43">
        <f t="shared" si="78"/>
        <v>105.25531417994644</v>
      </c>
      <c r="W192" s="43">
        <f t="shared" si="79"/>
        <v>105.25531417994644</v>
      </c>
      <c r="X192" s="43">
        <f t="shared" si="80"/>
        <v>105.25531417994644</v>
      </c>
      <c r="Y192" s="43">
        <f t="shared" si="81"/>
        <v>105.25531417994644</v>
      </c>
      <c r="Z192" s="43">
        <f t="shared" si="82"/>
        <v>105.25531417994644</v>
      </c>
      <c r="AB192" s="43">
        <f t="shared" si="60"/>
        <v>1336.7424900853198</v>
      </c>
      <c r="AC192" s="43">
        <f t="shared" si="61"/>
        <v>1218.1548361092468</v>
      </c>
      <c r="AD192" s="43">
        <f t="shared" si="62"/>
        <v>1110.9867339975365</v>
      </c>
      <c r="AE192" s="43">
        <f t="shared" si="63"/>
        <v>1014.138523200287</v>
      </c>
      <c r="AF192" s="43">
        <f t="shared" si="64"/>
        <v>1003.0994558842505</v>
      </c>
      <c r="AH192" s="43">
        <f t="shared" si="65"/>
        <v>12872.724924207449</v>
      </c>
      <c r="AI192" s="43">
        <f t="shared" si="66"/>
        <v>11654.570088098202</v>
      </c>
      <c r="AJ192" s="43">
        <f t="shared" si="67"/>
        <v>10543.583354100665</v>
      </c>
      <c r="AK192" s="43">
        <f t="shared" si="68"/>
        <v>9529.4448309003783</v>
      </c>
      <c r="AL192" s="43">
        <f t="shared" si="69"/>
        <v>8526.3453750161279</v>
      </c>
      <c r="AN192" s="47">
        <f t="shared" si="70"/>
        <v>1864.5242119778252</v>
      </c>
      <c r="AO192" s="47">
        <f t="shared" si="71"/>
        <v>1812.5379106022551</v>
      </c>
      <c r="AP192" s="47">
        <f t="shared" si="72"/>
        <v>1648.7094850566705</v>
      </c>
      <c r="AQ192" s="47">
        <f t="shared" si="73"/>
        <v>1538.2579888998077</v>
      </c>
      <c r="AR192" s="43">
        <f t="shared" si="74"/>
        <v>1327.1005801348633</v>
      </c>
      <c r="AY192" s="3"/>
    </row>
    <row r="193" spans="1:51">
      <c r="A193" s="226"/>
      <c r="B193" s="37">
        <f>'13. Desinvesteringen'!B476</f>
        <v>457</v>
      </c>
      <c r="C193" s="48"/>
      <c r="D193" s="48"/>
      <c r="E193" s="48"/>
      <c r="F193" s="354">
        <f>'5. Input GAW-waarde desinv.'!D152</f>
        <v>37532.285815813477</v>
      </c>
      <c r="G193" s="175">
        <f>'13. Desinvesteringen'!D476</f>
        <v>2007</v>
      </c>
      <c r="H193" s="175">
        <f>'13. Desinvesteringen'!G476</f>
        <v>2023</v>
      </c>
      <c r="I193" s="37" t="str">
        <f>'13. Desinvesteringen'!C476</f>
        <v>02 Gasontvangststations</v>
      </c>
      <c r="J193" s="165">
        <f>'13. Desinvesteringen'!F476</f>
        <v>0</v>
      </c>
      <c r="K193" s="38">
        <f>_xlfn.XLOOKUP(I193,'3. Input (des)investeringen '!$B$11:$B$89,'3. Input (des)investeringen '!$E$11:$E$89)</f>
        <v>0</v>
      </c>
      <c r="L193" s="48"/>
      <c r="M193" s="38">
        <f>_xlfn.XLOOKUP(I193,'3. Input (des)investeringen '!$B$11:$B$89,'3. Input (des)investeringen '!$D$11:$D$89,0)</f>
        <v>30</v>
      </c>
      <c r="N193" s="38">
        <f t="shared" si="59"/>
        <v>15.5</v>
      </c>
      <c r="P193" s="43">
        <f t="shared" si="84"/>
        <v>2833.0822196452755</v>
      </c>
      <c r="Q193" s="43">
        <f t="shared" si="84"/>
        <v>2595.4688721911557</v>
      </c>
      <c r="R193" s="43">
        <f t="shared" si="84"/>
        <v>2377.7843861364136</v>
      </c>
      <c r="S193" s="43">
        <f t="shared" si="84"/>
        <v>2178.3573085894882</v>
      </c>
      <c r="T193" s="43">
        <f t="shared" si="84"/>
        <v>2069.0751693625907</v>
      </c>
      <c r="V193" s="43">
        <f t="shared" si="78"/>
        <v>242.14377945686115</v>
      </c>
      <c r="W193" s="43">
        <f t="shared" si="79"/>
        <v>242.14377945686113</v>
      </c>
      <c r="X193" s="43">
        <f t="shared" si="80"/>
        <v>242.14377945686113</v>
      </c>
      <c r="Y193" s="43">
        <f t="shared" si="81"/>
        <v>242.14377945686113</v>
      </c>
      <c r="Z193" s="43">
        <f t="shared" si="82"/>
        <v>242.14377945686113</v>
      </c>
      <c r="AB193" s="43">
        <f t="shared" si="60"/>
        <v>3075.2259991021365</v>
      </c>
      <c r="AC193" s="43">
        <f t="shared" si="61"/>
        <v>2837.6126516480167</v>
      </c>
      <c r="AD193" s="43">
        <f t="shared" si="62"/>
        <v>2619.9281655932746</v>
      </c>
      <c r="AE193" s="43">
        <f t="shared" si="63"/>
        <v>2420.5010880463492</v>
      </c>
      <c r="AF193" s="43">
        <f t="shared" si="64"/>
        <v>2311.2189488194517</v>
      </c>
      <c r="AH193" s="43">
        <f t="shared" si="65"/>
        <v>34457.059816711342</v>
      </c>
      <c r="AI193" s="43">
        <f t="shared" si="66"/>
        <v>31619.447165063324</v>
      </c>
      <c r="AJ193" s="43">
        <f t="shared" si="67"/>
        <v>28999.518999470049</v>
      </c>
      <c r="AK193" s="43">
        <f t="shared" si="68"/>
        <v>26579.0179114237</v>
      </c>
      <c r="AL193" s="43">
        <f t="shared" si="69"/>
        <v>24267.798962604247</v>
      </c>
      <c r="AN193" s="47">
        <f t="shared" si="70"/>
        <v>4487.9654515873017</v>
      </c>
      <c r="AO193" s="47">
        <f t="shared" si="71"/>
        <v>4450.2044570662456</v>
      </c>
      <c r="AP193" s="47">
        <f t="shared" si="72"/>
        <v>4098.9036345662471</v>
      </c>
      <c r="AQ193" s="47">
        <f t="shared" si="73"/>
        <v>3882.3470731746529</v>
      </c>
      <c r="AR193" s="43">
        <f t="shared" si="74"/>
        <v>3233.3953093984132</v>
      </c>
      <c r="AY193" s="3"/>
    </row>
    <row r="194" spans="1:51">
      <c r="A194" s="226"/>
      <c r="B194" s="37">
        <f>'13. Desinvesteringen'!B477</f>
        <v>458</v>
      </c>
      <c r="C194" s="48"/>
      <c r="D194" s="48"/>
      <c r="E194" s="48"/>
      <c r="F194" s="354">
        <f>'5. Input GAW-waarde desinv.'!D153</f>
        <v>18395.575662272393</v>
      </c>
      <c r="G194" s="175">
        <f>'13. Desinvesteringen'!D477</f>
        <v>2009</v>
      </c>
      <c r="H194" s="175">
        <f>'13. Desinvesteringen'!G477</f>
        <v>2023</v>
      </c>
      <c r="I194" s="37" t="str">
        <f>'13. Desinvesteringen'!C477</f>
        <v>02 Gasontvangststations</v>
      </c>
      <c r="J194" s="165">
        <f>'13. Desinvesteringen'!F477</f>
        <v>0</v>
      </c>
      <c r="K194" s="38">
        <f>_xlfn.XLOOKUP(I194,'3. Input (des)investeringen '!$B$11:$B$89,'3. Input (des)investeringen '!$E$11:$E$89)</f>
        <v>0</v>
      </c>
      <c r="L194" s="48"/>
      <c r="M194" s="38">
        <f>_xlfn.XLOOKUP(I194,'3. Input (des)investeringen '!$B$11:$B$89,'3. Input (des)investeringen '!$D$11:$D$89,0)</f>
        <v>30</v>
      </c>
      <c r="N194" s="38">
        <f t="shared" si="59"/>
        <v>17.5</v>
      </c>
      <c r="P194" s="43">
        <f t="shared" si="84"/>
        <v>1229.8756299919257</v>
      </c>
      <c r="Q194" s="43">
        <f t="shared" si="84"/>
        <v>1138.5134403353827</v>
      </c>
      <c r="R194" s="43">
        <f t="shared" si="84"/>
        <v>1053.9381561961827</v>
      </c>
      <c r="S194" s="43">
        <f t="shared" si="84"/>
        <v>975.64560745018071</v>
      </c>
      <c r="T194" s="43">
        <f t="shared" si="84"/>
        <v>903.16907661102437</v>
      </c>
      <c r="V194" s="43">
        <f t="shared" si="78"/>
        <v>105.1175752129851</v>
      </c>
      <c r="W194" s="43">
        <f t="shared" si="79"/>
        <v>105.11757521298512</v>
      </c>
      <c r="X194" s="43">
        <f t="shared" si="80"/>
        <v>105.11757521298512</v>
      </c>
      <c r="Y194" s="43">
        <f t="shared" si="81"/>
        <v>105.11757521298512</v>
      </c>
      <c r="Z194" s="43">
        <f t="shared" si="82"/>
        <v>105.11757521298512</v>
      </c>
      <c r="AB194" s="43">
        <f t="shared" si="60"/>
        <v>1334.9932052049107</v>
      </c>
      <c r="AC194" s="43">
        <f t="shared" si="61"/>
        <v>1243.6310155483679</v>
      </c>
      <c r="AD194" s="43">
        <f t="shared" si="62"/>
        <v>1159.0557314091679</v>
      </c>
      <c r="AE194" s="43">
        <f t="shared" si="63"/>
        <v>1080.7631826631659</v>
      </c>
      <c r="AF194" s="43">
        <f t="shared" si="64"/>
        <v>1008.2866518240095</v>
      </c>
      <c r="AH194" s="43">
        <f t="shared" si="65"/>
        <v>17060.582457067481</v>
      </c>
      <c r="AI194" s="43">
        <f t="shared" si="66"/>
        <v>15816.951441519113</v>
      </c>
      <c r="AJ194" s="43">
        <f t="shared" si="67"/>
        <v>14657.895710109946</v>
      </c>
      <c r="AK194" s="43">
        <f t="shared" si="68"/>
        <v>13577.13252744678</v>
      </c>
      <c r="AL194" s="43">
        <f t="shared" si="69"/>
        <v>12568.84587562277</v>
      </c>
      <c r="AN194" s="47">
        <f t="shared" si="70"/>
        <v>2034.4770859446776</v>
      </c>
      <c r="AO194" s="47">
        <f t="shared" si="71"/>
        <v>2050.2955390658426</v>
      </c>
      <c r="AP194" s="47">
        <f t="shared" si="72"/>
        <v>1906.6084126247752</v>
      </c>
      <c r="AQ194" s="47">
        <f t="shared" si="73"/>
        <v>1827.5054716727388</v>
      </c>
      <c r="AR194" s="43">
        <f t="shared" si="74"/>
        <v>1485.9027950976747</v>
      </c>
      <c r="AY194" s="3"/>
    </row>
    <row r="195" spans="1:51">
      <c r="A195" s="226"/>
      <c r="B195" s="37">
        <f>'13. Desinvesteringen'!B478</f>
        <v>459</v>
      </c>
      <c r="C195" s="48"/>
      <c r="D195" s="48"/>
      <c r="E195" s="48"/>
      <c r="F195" s="354">
        <f>'5. Input GAW-waarde desinv.'!D154</f>
        <v>45342.950536082608</v>
      </c>
      <c r="G195" s="175">
        <f>'13. Desinvesteringen'!D478</f>
        <v>2007</v>
      </c>
      <c r="H195" s="175">
        <f>'13. Desinvesteringen'!G478</f>
        <v>2023</v>
      </c>
      <c r="I195" s="37" t="str">
        <f>'13. Desinvesteringen'!C478</f>
        <v>06 Utiliteitsgebouwen</v>
      </c>
      <c r="J195" s="165">
        <f>'13. Desinvesteringen'!F478</f>
        <v>0</v>
      </c>
      <c r="K195" s="38">
        <f>_xlfn.XLOOKUP(I195,'3. Input (des)investeringen '!$B$11:$B$89,'3. Input (des)investeringen '!$E$11:$E$89)</f>
        <v>0</v>
      </c>
      <c r="L195" s="48"/>
      <c r="M195" s="38">
        <f>_xlfn.XLOOKUP(I195,'3. Input (des)investeringen '!$B$11:$B$89,'3. Input (des)investeringen '!$D$11:$D$89,0)</f>
        <v>30</v>
      </c>
      <c r="N195" s="38">
        <f t="shared" si="59"/>
        <v>15.5</v>
      </c>
      <c r="P195" s="43">
        <f t="shared" si="84"/>
        <v>3422.6614275623651</v>
      </c>
      <c r="Q195" s="43">
        <f t="shared" si="84"/>
        <v>3135.5995013797146</v>
      </c>
      <c r="R195" s="43">
        <f t="shared" si="84"/>
        <v>2872.6137367478677</v>
      </c>
      <c r="S195" s="43">
        <f t="shared" si="84"/>
        <v>2631.6848426980469</v>
      </c>
      <c r="T195" s="43">
        <f t="shared" si="84"/>
        <v>2499.6605194857702</v>
      </c>
      <c r="V195" s="43">
        <f t="shared" si="78"/>
        <v>292.53516474892007</v>
      </c>
      <c r="W195" s="43">
        <f t="shared" si="79"/>
        <v>292.53516474892007</v>
      </c>
      <c r="X195" s="43">
        <f t="shared" si="80"/>
        <v>292.53516474892007</v>
      </c>
      <c r="Y195" s="43">
        <f t="shared" si="81"/>
        <v>292.53516474892007</v>
      </c>
      <c r="Z195" s="43">
        <f t="shared" si="82"/>
        <v>292.53516474892007</v>
      </c>
      <c r="AB195" s="43">
        <f t="shared" si="60"/>
        <v>3715.1965923112853</v>
      </c>
      <c r="AC195" s="43">
        <f t="shared" si="61"/>
        <v>3428.1346661286348</v>
      </c>
      <c r="AD195" s="43">
        <f t="shared" si="62"/>
        <v>3165.1489014967879</v>
      </c>
      <c r="AE195" s="43">
        <f t="shared" si="63"/>
        <v>2924.220007446967</v>
      </c>
      <c r="AF195" s="43">
        <f t="shared" si="64"/>
        <v>2792.1956842346904</v>
      </c>
      <c r="AH195" s="43">
        <f t="shared" si="65"/>
        <v>41627.75394377132</v>
      </c>
      <c r="AI195" s="43">
        <f t="shared" si="66"/>
        <v>38199.619277642683</v>
      </c>
      <c r="AJ195" s="43">
        <f t="shared" si="67"/>
        <v>35034.470376145895</v>
      </c>
      <c r="AK195" s="43">
        <f t="shared" si="68"/>
        <v>32110.250368698929</v>
      </c>
      <c r="AL195" s="43">
        <f t="shared" si="69"/>
        <v>29318.054684464238</v>
      </c>
      <c r="AN195" s="47">
        <f t="shared" si="70"/>
        <v>5421.9345040059097</v>
      </c>
      <c r="AO195" s="47">
        <f t="shared" si="71"/>
        <v>5376.315249288411</v>
      </c>
      <c r="AP195" s="47">
        <f t="shared" si="72"/>
        <v>4951.9068906802286</v>
      </c>
      <c r="AQ195" s="47">
        <f t="shared" si="73"/>
        <v>4690.2837777254081</v>
      </c>
      <c r="AR195" s="43">
        <f t="shared" si="74"/>
        <v>3906.2817622443313</v>
      </c>
      <c r="AY195" s="3"/>
    </row>
    <row r="196" spans="1:51">
      <c r="A196" s="226"/>
      <c r="B196" s="37">
        <f>'13. Desinvesteringen'!B479</f>
        <v>460</v>
      </c>
      <c r="C196" s="48"/>
      <c r="D196" s="48"/>
      <c r="E196" s="48"/>
      <c r="F196" s="354">
        <f>'5. Input GAW-waarde desinv.'!D155</f>
        <v>0</v>
      </c>
      <c r="G196" s="175">
        <f>'13. Desinvesteringen'!D479</f>
        <v>2003</v>
      </c>
      <c r="H196" s="175">
        <f>'13. Desinvesteringen'!G479</f>
        <v>2023</v>
      </c>
      <c r="I196" s="37" t="str">
        <f>'13. Desinvesteringen'!C479</f>
        <v>09 Bedrijfsinventaris</v>
      </c>
      <c r="J196" s="165">
        <f>'13. Desinvesteringen'!F479</f>
        <v>0</v>
      </c>
      <c r="K196" s="38">
        <f>_xlfn.XLOOKUP(I196,'3. Input (des)investeringen '!$B$11:$B$89,'3. Input (des)investeringen '!$E$11:$E$89)</f>
        <v>1</v>
      </c>
      <c r="L196" s="48"/>
      <c r="M196" s="38">
        <f>_xlfn.XLOOKUP(I196,'3. Input (des)investeringen '!$B$11:$B$89,'3. Input (des)investeringen '!$D$11:$D$89,0)</f>
        <v>10</v>
      </c>
      <c r="N196" s="38">
        <f t="shared" si="59"/>
        <v>0</v>
      </c>
      <c r="P196" s="43">
        <f t="shared" si="84"/>
        <v>0</v>
      </c>
      <c r="Q196" s="43">
        <f t="shared" si="84"/>
        <v>0</v>
      </c>
      <c r="R196" s="43">
        <f t="shared" si="84"/>
        <v>0</v>
      </c>
      <c r="S196" s="43">
        <f t="shared" si="84"/>
        <v>0</v>
      </c>
      <c r="T196" s="43">
        <f t="shared" si="84"/>
        <v>0</v>
      </c>
      <c r="V196" s="43">
        <f t="shared" si="78"/>
        <v>0</v>
      </c>
      <c r="W196" s="43">
        <f t="shared" si="79"/>
        <v>0</v>
      </c>
      <c r="X196" s="43">
        <f t="shared" si="80"/>
        <v>0</v>
      </c>
      <c r="Y196" s="43">
        <f t="shared" si="81"/>
        <v>0</v>
      </c>
      <c r="Z196" s="43">
        <f t="shared" si="82"/>
        <v>0</v>
      </c>
      <c r="AB196" s="43">
        <f t="shared" si="60"/>
        <v>0</v>
      </c>
      <c r="AC196" s="43">
        <f t="shared" si="61"/>
        <v>0</v>
      </c>
      <c r="AD196" s="43">
        <f t="shared" si="62"/>
        <v>0</v>
      </c>
      <c r="AE196" s="43">
        <f t="shared" si="63"/>
        <v>0</v>
      </c>
      <c r="AF196" s="43">
        <f t="shared" si="64"/>
        <v>0</v>
      </c>
      <c r="AH196" s="43">
        <f t="shared" si="65"/>
        <v>0</v>
      </c>
      <c r="AI196" s="43">
        <f t="shared" si="66"/>
        <v>0</v>
      </c>
      <c r="AJ196" s="43">
        <f t="shared" si="67"/>
        <v>0</v>
      </c>
      <c r="AK196" s="43">
        <f t="shared" si="68"/>
        <v>0</v>
      </c>
      <c r="AL196" s="43">
        <f t="shared" si="69"/>
        <v>0</v>
      </c>
      <c r="AN196" s="47">
        <f t="shared" si="70"/>
        <v>0</v>
      </c>
      <c r="AO196" s="47">
        <f t="shared" si="71"/>
        <v>0</v>
      </c>
      <c r="AP196" s="47">
        <f t="shared" si="72"/>
        <v>0</v>
      </c>
      <c r="AQ196" s="47">
        <f t="shared" si="73"/>
        <v>0</v>
      </c>
      <c r="AR196" s="43">
        <f t="shared" si="74"/>
        <v>0</v>
      </c>
      <c r="AY196" s="3"/>
    </row>
    <row r="197" spans="1:51">
      <c r="A197" s="226"/>
      <c r="B197" s="37">
        <f>'13. Desinvesteringen'!B480</f>
        <v>461</v>
      </c>
      <c r="C197" s="48"/>
      <c r="D197" s="48"/>
      <c r="E197" s="48"/>
      <c r="F197" s="354">
        <f>'5. Input GAW-waarde desinv.'!D156</f>
        <v>0</v>
      </c>
      <c r="G197" s="175">
        <f>'13. Desinvesteringen'!D480</f>
        <v>1970</v>
      </c>
      <c r="H197" s="175">
        <f>'13. Desinvesteringen'!G480</f>
        <v>2023</v>
      </c>
      <c r="I197" s="37" t="str">
        <f>'13. Desinvesteringen'!C480</f>
        <v>15 Compressorstations (KC)</v>
      </c>
      <c r="J197" s="165">
        <f>'13. Desinvesteringen'!F480</f>
        <v>0</v>
      </c>
      <c r="K197" s="38">
        <f>_xlfn.XLOOKUP(I197,'3. Input (des)investeringen '!$B$11:$B$89,'3. Input (des)investeringen '!$E$11:$E$89)</f>
        <v>0</v>
      </c>
      <c r="L197" s="48"/>
      <c r="M197" s="38">
        <f>_xlfn.XLOOKUP(I197,'3. Input (des)investeringen '!$B$11:$B$89,'3. Input (des)investeringen '!$D$11:$D$89,0)</f>
        <v>30</v>
      </c>
      <c r="N197" s="38">
        <f t="shared" si="59"/>
        <v>0</v>
      </c>
      <c r="P197" s="43">
        <f t="shared" si="84"/>
        <v>0</v>
      </c>
      <c r="Q197" s="43">
        <f t="shared" si="84"/>
        <v>0</v>
      </c>
      <c r="R197" s="43">
        <f t="shared" si="84"/>
        <v>0</v>
      </c>
      <c r="S197" s="43">
        <f t="shared" si="84"/>
        <v>0</v>
      </c>
      <c r="T197" s="43">
        <f t="shared" si="84"/>
        <v>0</v>
      </c>
      <c r="V197" s="43">
        <f t="shared" si="78"/>
        <v>0</v>
      </c>
      <c r="W197" s="43">
        <f t="shared" si="79"/>
        <v>0</v>
      </c>
      <c r="X197" s="43">
        <f t="shared" si="80"/>
        <v>0</v>
      </c>
      <c r="Y197" s="43">
        <f t="shared" si="81"/>
        <v>0</v>
      </c>
      <c r="Z197" s="43">
        <f t="shared" si="82"/>
        <v>0</v>
      </c>
      <c r="AB197" s="43">
        <f t="shared" si="60"/>
        <v>0</v>
      </c>
      <c r="AC197" s="43">
        <f t="shared" si="61"/>
        <v>0</v>
      </c>
      <c r="AD197" s="43">
        <f t="shared" si="62"/>
        <v>0</v>
      </c>
      <c r="AE197" s="43">
        <f t="shared" si="63"/>
        <v>0</v>
      </c>
      <c r="AF197" s="43">
        <f t="shared" si="64"/>
        <v>0</v>
      </c>
      <c r="AH197" s="43">
        <f t="shared" si="65"/>
        <v>0</v>
      </c>
      <c r="AI197" s="43">
        <f t="shared" si="66"/>
        <v>0</v>
      </c>
      <c r="AJ197" s="43">
        <f t="shared" si="67"/>
        <v>0</v>
      </c>
      <c r="AK197" s="43">
        <f t="shared" si="68"/>
        <v>0</v>
      </c>
      <c r="AL197" s="43">
        <f t="shared" si="69"/>
        <v>0</v>
      </c>
      <c r="AN197" s="47">
        <f t="shared" si="70"/>
        <v>0</v>
      </c>
      <c r="AO197" s="47">
        <f t="shared" si="71"/>
        <v>0</v>
      </c>
      <c r="AP197" s="47">
        <f t="shared" si="72"/>
        <v>0</v>
      </c>
      <c r="AQ197" s="47">
        <f t="shared" si="73"/>
        <v>0</v>
      </c>
      <c r="AR197" s="43">
        <f t="shared" si="74"/>
        <v>0</v>
      </c>
      <c r="AY197" s="3"/>
    </row>
    <row r="198" spans="1:51">
      <c r="A198" s="226"/>
      <c r="B198" s="37">
        <f>'13. Desinvesteringen'!B481</f>
        <v>462</v>
      </c>
      <c r="C198" s="48"/>
      <c r="D198" s="48"/>
      <c r="E198" s="48"/>
      <c r="F198" s="354">
        <f>'5. Input GAW-waarde desinv.'!D157</f>
        <v>0</v>
      </c>
      <c r="G198" s="175">
        <f>'13. Desinvesteringen'!D481</f>
        <v>1971</v>
      </c>
      <c r="H198" s="175">
        <f>'13. Desinvesteringen'!G481</f>
        <v>2023</v>
      </c>
      <c r="I198" s="37" t="str">
        <f>'13. Desinvesteringen'!C481</f>
        <v>15 Compressorstations (KC)</v>
      </c>
      <c r="J198" s="165">
        <f>'13. Desinvesteringen'!F481</f>
        <v>0</v>
      </c>
      <c r="K198" s="38">
        <f>_xlfn.XLOOKUP(I198,'3. Input (des)investeringen '!$B$11:$B$89,'3. Input (des)investeringen '!$E$11:$E$89)</f>
        <v>0</v>
      </c>
      <c r="L198" s="48"/>
      <c r="M198" s="38">
        <f>_xlfn.XLOOKUP(I198,'3. Input (des)investeringen '!$B$11:$B$89,'3. Input (des)investeringen '!$D$11:$D$89,0)</f>
        <v>30</v>
      </c>
      <c r="N198" s="38">
        <f t="shared" si="59"/>
        <v>0</v>
      </c>
      <c r="P198" s="43">
        <f t="shared" si="84"/>
        <v>0</v>
      </c>
      <c r="Q198" s="43">
        <f t="shared" si="84"/>
        <v>0</v>
      </c>
      <c r="R198" s="43">
        <f t="shared" si="84"/>
        <v>0</v>
      </c>
      <c r="S198" s="43">
        <f t="shared" si="84"/>
        <v>0</v>
      </c>
      <c r="T198" s="43">
        <f t="shared" si="84"/>
        <v>0</v>
      </c>
      <c r="V198" s="43">
        <f t="shared" si="78"/>
        <v>0</v>
      </c>
      <c r="W198" s="43">
        <f t="shared" si="79"/>
        <v>0</v>
      </c>
      <c r="X198" s="43">
        <f t="shared" si="80"/>
        <v>0</v>
      </c>
      <c r="Y198" s="43">
        <f t="shared" si="81"/>
        <v>0</v>
      </c>
      <c r="Z198" s="43">
        <f t="shared" si="82"/>
        <v>0</v>
      </c>
      <c r="AB198" s="43">
        <f t="shared" si="60"/>
        <v>0</v>
      </c>
      <c r="AC198" s="43">
        <f t="shared" si="61"/>
        <v>0</v>
      </c>
      <c r="AD198" s="43">
        <f t="shared" si="62"/>
        <v>0</v>
      </c>
      <c r="AE198" s="43">
        <f t="shared" si="63"/>
        <v>0</v>
      </c>
      <c r="AF198" s="43">
        <f t="shared" si="64"/>
        <v>0</v>
      </c>
      <c r="AH198" s="43">
        <f t="shared" si="65"/>
        <v>0</v>
      </c>
      <c r="AI198" s="43">
        <f t="shared" si="66"/>
        <v>0</v>
      </c>
      <c r="AJ198" s="43">
        <f t="shared" si="67"/>
        <v>0</v>
      </c>
      <c r="AK198" s="43">
        <f t="shared" si="68"/>
        <v>0</v>
      </c>
      <c r="AL198" s="43">
        <f t="shared" si="69"/>
        <v>0</v>
      </c>
      <c r="AN198" s="47">
        <f t="shared" si="70"/>
        <v>0</v>
      </c>
      <c r="AO198" s="47">
        <f t="shared" si="71"/>
        <v>0</v>
      </c>
      <c r="AP198" s="47">
        <f t="shared" si="72"/>
        <v>0</v>
      </c>
      <c r="AQ198" s="47">
        <f t="shared" si="73"/>
        <v>0</v>
      </c>
      <c r="AR198" s="43">
        <f t="shared" si="74"/>
        <v>0</v>
      </c>
      <c r="AY198" s="3"/>
    </row>
    <row r="199" spans="1:51">
      <c r="A199" s="226"/>
      <c r="B199" s="37">
        <f>'13. Desinvesteringen'!B482</f>
        <v>463</v>
      </c>
      <c r="C199" s="48"/>
      <c r="D199" s="48"/>
      <c r="E199" s="48"/>
      <c r="F199" s="354">
        <f>'5. Input GAW-waarde desinv.'!D158</f>
        <v>0</v>
      </c>
      <c r="G199" s="175">
        <f>'13. Desinvesteringen'!D482</f>
        <v>1970</v>
      </c>
      <c r="H199" s="175">
        <f>'13. Desinvesteringen'!G482</f>
        <v>2023</v>
      </c>
      <c r="I199" s="37" t="str">
        <f>'13. Desinvesteringen'!C482</f>
        <v>15 Compressorstations (TT-BT-AT)</v>
      </c>
      <c r="J199" s="165">
        <f>'13. Desinvesteringen'!F482</f>
        <v>0</v>
      </c>
      <c r="K199" s="38">
        <f>_xlfn.XLOOKUP(I199,'3. Input (des)investeringen '!$B$11:$B$89,'3. Input (des)investeringen '!$E$11:$E$89)</f>
        <v>1</v>
      </c>
      <c r="L199" s="48"/>
      <c r="M199" s="38">
        <f>_xlfn.XLOOKUP(I199,'3. Input (des)investeringen '!$B$11:$B$89,'3. Input (des)investeringen '!$D$11:$D$89,0)</f>
        <v>30</v>
      </c>
      <c r="N199" s="38">
        <f t="shared" si="59"/>
        <v>0</v>
      </c>
      <c r="P199" s="43">
        <f t="shared" si="84"/>
        <v>0</v>
      </c>
      <c r="Q199" s="43">
        <f t="shared" si="84"/>
        <v>0</v>
      </c>
      <c r="R199" s="43">
        <f t="shared" si="84"/>
        <v>0</v>
      </c>
      <c r="S199" s="43">
        <f t="shared" si="84"/>
        <v>0</v>
      </c>
      <c r="T199" s="43">
        <f t="shared" si="84"/>
        <v>0</v>
      </c>
      <c r="V199" s="43">
        <f t="shared" si="78"/>
        <v>0</v>
      </c>
      <c r="W199" s="43">
        <f t="shared" si="79"/>
        <v>0</v>
      </c>
      <c r="X199" s="43">
        <f t="shared" si="80"/>
        <v>0</v>
      </c>
      <c r="Y199" s="43">
        <f t="shared" si="81"/>
        <v>0</v>
      </c>
      <c r="Z199" s="43">
        <f t="shared" si="82"/>
        <v>0</v>
      </c>
      <c r="AB199" s="43">
        <f t="shared" si="60"/>
        <v>0</v>
      </c>
      <c r="AC199" s="43">
        <f t="shared" si="61"/>
        <v>0</v>
      </c>
      <c r="AD199" s="43">
        <f t="shared" si="62"/>
        <v>0</v>
      </c>
      <c r="AE199" s="43">
        <f t="shared" si="63"/>
        <v>0</v>
      </c>
      <c r="AF199" s="43">
        <f t="shared" si="64"/>
        <v>0</v>
      </c>
      <c r="AH199" s="43">
        <f t="shared" si="65"/>
        <v>0</v>
      </c>
      <c r="AI199" s="43">
        <f t="shared" si="66"/>
        <v>0</v>
      </c>
      <c r="AJ199" s="43">
        <f t="shared" si="67"/>
        <v>0</v>
      </c>
      <c r="AK199" s="43">
        <f t="shared" si="68"/>
        <v>0</v>
      </c>
      <c r="AL199" s="43">
        <f t="shared" si="69"/>
        <v>0</v>
      </c>
      <c r="AN199" s="47">
        <f t="shared" si="70"/>
        <v>0</v>
      </c>
      <c r="AO199" s="47">
        <f t="shared" si="71"/>
        <v>0</v>
      </c>
      <c r="AP199" s="47">
        <f t="shared" si="72"/>
        <v>0</v>
      </c>
      <c r="AQ199" s="47">
        <f t="shared" si="73"/>
        <v>0</v>
      </c>
      <c r="AR199" s="43">
        <f t="shared" si="74"/>
        <v>0</v>
      </c>
      <c r="AY199" s="3"/>
    </row>
    <row r="200" spans="1:51">
      <c r="A200" s="226"/>
      <c r="B200" s="37">
        <f>'13. Desinvesteringen'!B483</f>
        <v>464</v>
      </c>
      <c r="C200" s="48"/>
      <c r="D200" s="48"/>
      <c r="E200" s="48"/>
      <c r="F200" s="354">
        <f>'5. Input GAW-waarde desinv.'!D159</f>
        <v>0</v>
      </c>
      <c r="G200" s="175">
        <f>'13. Desinvesteringen'!D483</f>
        <v>1971</v>
      </c>
      <c r="H200" s="175">
        <f>'13. Desinvesteringen'!G483</f>
        <v>2023</v>
      </c>
      <c r="I200" s="37" t="str">
        <f>'13. Desinvesteringen'!C483</f>
        <v>15 Compressorstations (TT-BT-AT)</v>
      </c>
      <c r="J200" s="165">
        <f>'13. Desinvesteringen'!F483</f>
        <v>0</v>
      </c>
      <c r="K200" s="38">
        <f>_xlfn.XLOOKUP(I200,'3. Input (des)investeringen '!$B$11:$B$89,'3. Input (des)investeringen '!$E$11:$E$89)</f>
        <v>1</v>
      </c>
      <c r="L200" s="48"/>
      <c r="M200" s="38">
        <f>_xlfn.XLOOKUP(I200,'3. Input (des)investeringen '!$B$11:$B$89,'3. Input (des)investeringen '!$D$11:$D$89,0)</f>
        <v>30</v>
      </c>
      <c r="N200" s="38">
        <f t="shared" si="59"/>
        <v>0</v>
      </c>
      <c r="P200" s="43">
        <f t="shared" si="84"/>
        <v>0</v>
      </c>
      <c r="Q200" s="43">
        <f t="shared" si="84"/>
        <v>0</v>
      </c>
      <c r="R200" s="43">
        <f t="shared" si="84"/>
        <v>0</v>
      </c>
      <c r="S200" s="43">
        <f t="shared" si="84"/>
        <v>0</v>
      </c>
      <c r="T200" s="43">
        <f t="shared" si="84"/>
        <v>0</v>
      </c>
      <c r="V200" s="43">
        <f t="shared" si="78"/>
        <v>0</v>
      </c>
      <c r="W200" s="43">
        <f t="shared" si="79"/>
        <v>0</v>
      </c>
      <c r="X200" s="43">
        <f t="shared" si="80"/>
        <v>0</v>
      </c>
      <c r="Y200" s="43">
        <f t="shared" si="81"/>
        <v>0</v>
      </c>
      <c r="Z200" s="43">
        <f t="shared" si="82"/>
        <v>0</v>
      </c>
      <c r="AB200" s="43">
        <f t="shared" si="60"/>
        <v>0</v>
      </c>
      <c r="AC200" s="43">
        <f t="shared" si="61"/>
        <v>0</v>
      </c>
      <c r="AD200" s="43">
        <f t="shared" si="62"/>
        <v>0</v>
      </c>
      <c r="AE200" s="43">
        <f t="shared" si="63"/>
        <v>0</v>
      </c>
      <c r="AF200" s="43">
        <f t="shared" si="64"/>
        <v>0</v>
      </c>
      <c r="AH200" s="43">
        <f t="shared" si="65"/>
        <v>0</v>
      </c>
      <c r="AI200" s="43">
        <f t="shared" si="66"/>
        <v>0</v>
      </c>
      <c r="AJ200" s="43">
        <f t="shared" si="67"/>
        <v>0</v>
      </c>
      <c r="AK200" s="43">
        <f t="shared" si="68"/>
        <v>0</v>
      </c>
      <c r="AL200" s="43">
        <f t="shared" si="69"/>
        <v>0</v>
      </c>
      <c r="AN200" s="47">
        <f t="shared" si="70"/>
        <v>0</v>
      </c>
      <c r="AO200" s="47">
        <f t="shared" si="71"/>
        <v>0</v>
      </c>
      <c r="AP200" s="47">
        <f t="shared" si="72"/>
        <v>0</v>
      </c>
      <c r="AQ200" s="47">
        <f t="shared" si="73"/>
        <v>0</v>
      </c>
      <c r="AR200" s="43">
        <f t="shared" si="74"/>
        <v>0</v>
      </c>
      <c r="AY200" s="3"/>
    </row>
    <row r="201" spans="1:51">
      <c r="A201" s="226"/>
      <c r="B201" s="37">
        <f>'13. Desinvesteringen'!B484</f>
        <v>465</v>
      </c>
      <c r="C201" s="48"/>
      <c r="D201" s="48"/>
      <c r="E201" s="48"/>
      <c r="F201" s="354">
        <f>'5. Input GAW-waarde desinv.'!D160</f>
        <v>0</v>
      </c>
      <c r="G201" s="175">
        <f>'13. Desinvesteringen'!D484</f>
        <v>1973</v>
      </c>
      <c r="H201" s="175">
        <f>'13. Desinvesteringen'!G484</f>
        <v>2023</v>
      </c>
      <c r="I201" s="37" t="str">
        <f>'13. Desinvesteringen'!C484</f>
        <v>15 Compressorstations (TT-BT-AT)</v>
      </c>
      <c r="J201" s="165">
        <f>'13. Desinvesteringen'!F484</f>
        <v>0</v>
      </c>
      <c r="K201" s="38">
        <f>_xlfn.XLOOKUP(I201,'3. Input (des)investeringen '!$B$11:$B$89,'3. Input (des)investeringen '!$E$11:$E$89)</f>
        <v>1</v>
      </c>
      <c r="L201" s="48"/>
      <c r="M201" s="38">
        <f>_xlfn.XLOOKUP(I201,'3. Input (des)investeringen '!$B$11:$B$89,'3. Input (des)investeringen '!$D$11:$D$89,0)</f>
        <v>30</v>
      </c>
      <c r="N201" s="38">
        <f t="shared" si="59"/>
        <v>0</v>
      </c>
      <c r="P201" s="43">
        <f t="shared" si="84"/>
        <v>0</v>
      </c>
      <c r="Q201" s="43">
        <f t="shared" si="84"/>
        <v>0</v>
      </c>
      <c r="R201" s="43">
        <f t="shared" si="84"/>
        <v>0</v>
      </c>
      <c r="S201" s="43">
        <f t="shared" si="84"/>
        <v>0</v>
      </c>
      <c r="T201" s="43">
        <f t="shared" si="84"/>
        <v>0</v>
      </c>
      <c r="V201" s="43">
        <f t="shared" si="78"/>
        <v>0</v>
      </c>
      <c r="W201" s="43">
        <f t="shared" si="79"/>
        <v>0</v>
      </c>
      <c r="X201" s="43">
        <f t="shared" si="80"/>
        <v>0</v>
      </c>
      <c r="Y201" s="43">
        <f t="shared" si="81"/>
        <v>0</v>
      </c>
      <c r="Z201" s="43">
        <f t="shared" si="82"/>
        <v>0</v>
      </c>
      <c r="AB201" s="43">
        <f t="shared" si="60"/>
        <v>0</v>
      </c>
      <c r="AC201" s="43">
        <f t="shared" si="61"/>
        <v>0</v>
      </c>
      <c r="AD201" s="43">
        <f t="shared" si="62"/>
        <v>0</v>
      </c>
      <c r="AE201" s="43">
        <f t="shared" si="63"/>
        <v>0</v>
      </c>
      <c r="AF201" s="43">
        <f t="shared" si="64"/>
        <v>0</v>
      </c>
      <c r="AH201" s="43">
        <f t="shared" si="65"/>
        <v>0</v>
      </c>
      <c r="AI201" s="43">
        <f t="shared" si="66"/>
        <v>0</v>
      </c>
      <c r="AJ201" s="43">
        <f t="shared" si="67"/>
        <v>0</v>
      </c>
      <c r="AK201" s="43">
        <f t="shared" si="68"/>
        <v>0</v>
      </c>
      <c r="AL201" s="43">
        <f t="shared" si="69"/>
        <v>0</v>
      </c>
      <c r="AN201" s="47">
        <f t="shared" si="70"/>
        <v>0</v>
      </c>
      <c r="AO201" s="47">
        <f t="shared" si="71"/>
        <v>0</v>
      </c>
      <c r="AP201" s="47">
        <f t="shared" si="72"/>
        <v>0</v>
      </c>
      <c r="AQ201" s="47">
        <f t="shared" si="73"/>
        <v>0</v>
      </c>
      <c r="AR201" s="43">
        <f t="shared" si="74"/>
        <v>0</v>
      </c>
      <c r="AY201" s="3"/>
    </row>
    <row r="202" spans="1:51">
      <c r="A202" s="226"/>
      <c r="B202" s="37">
        <f>'13. Desinvesteringen'!B485</f>
        <v>466</v>
      </c>
      <c r="C202" s="48"/>
      <c r="D202" s="48"/>
      <c r="E202" s="48"/>
      <c r="F202" s="354">
        <f>'5. Input GAW-waarde desinv.'!D161</f>
        <v>0</v>
      </c>
      <c r="G202" s="175">
        <f>'13. Desinvesteringen'!D485</f>
        <v>1974</v>
      </c>
      <c r="H202" s="175">
        <f>'13. Desinvesteringen'!G485</f>
        <v>2023</v>
      </c>
      <c r="I202" s="37" t="str">
        <f>'13. Desinvesteringen'!C485</f>
        <v>15 Compressorstations (TT-BT-AT)</v>
      </c>
      <c r="J202" s="165">
        <f>'13. Desinvesteringen'!F485</f>
        <v>0</v>
      </c>
      <c r="K202" s="38">
        <f>_xlfn.XLOOKUP(I202,'3. Input (des)investeringen '!$B$11:$B$89,'3. Input (des)investeringen '!$E$11:$E$89)</f>
        <v>1</v>
      </c>
      <c r="L202" s="48"/>
      <c r="M202" s="38">
        <f>_xlfn.XLOOKUP(I202,'3. Input (des)investeringen '!$B$11:$B$89,'3. Input (des)investeringen '!$D$11:$D$89,0)</f>
        <v>30</v>
      </c>
      <c r="N202" s="38">
        <f t="shared" si="59"/>
        <v>0</v>
      </c>
      <c r="P202" s="43">
        <f t="shared" ref="P202:T211" si="85">IF($M202&gt;0, IF(OR($G202&gt;P$50,$G202+$M202&lt;P$50),0,
VDB($F202,0,$N202,MAX(0,P$50-2022),MIN($N202,P$50-2021),$F$23,FALSE))*(1-$F$26), 0)</f>
        <v>0</v>
      </c>
      <c r="Q202" s="43">
        <f t="shared" si="85"/>
        <v>0</v>
      </c>
      <c r="R202" s="43">
        <f t="shared" si="85"/>
        <v>0</v>
      </c>
      <c r="S202" s="43">
        <f t="shared" si="85"/>
        <v>0</v>
      </c>
      <c r="T202" s="43">
        <f t="shared" si="85"/>
        <v>0</v>
      </c>
      <c r="V202" s="43">
        <f t="shared" si="78"/>
        <v>0</v>
      </c>
      <c r="W202" s="43">
        <f t="shared" si="79"/>
        <v>0</v>
      </c>
      <c r="X202" s="43">
        <f t="shared" si="80"/>
        <v>0</v>
      </c>
      <c r="Y202" s="43">
        <f t="shared" si="81"/>
        <v>0</v>
      </c>
      <c r="Z202" s="43">
        <f t="shared" si="82"/>
        <v>0</v>
      </c>
      <c r="AB202" s="43">
        <f t="shared" si="60"/>
        <v>0</v>
      </c>
      <c r="AC202" s="43">
        <f t="shared" si="61"/>
        <v>0</v>
      </c>
      <c r="AD202" s="43">
        <f t="shared" si="62"/>
        <v>0</v>
      </c>
      <c r="AE202" s="43">
        <f t="shared" si="63"/>
        <v>0</v>
      </c>
      <c r="AF202" s="43">
        <f t="shared" si="64"/>
        <v>0</v>
      </c>
      <c r="AH202" s="43">
        <f t="shared" si="65"/>
        <v>0</v>
      </c>
      <c r="AI202" s="43">
        <f t="shared" si="66"/>
        <v>0</v>
      </c>
      <c r="AJ202" s="43">
        <f t="shared" si="67"/>
        <v>0</v>
      </c>
      <c r="AK202" s="43">
        <f t="shared" si="68"/>
        <v>0</v>
      </c>
      <c r="AL202" s="43">
        <f t="shared" si="69"/>
        <v>0</v>
      </c>
      <c r="AN202" s="47">
        <f t="shared" si="70"/>
        <v>0</v>
      </c>
      <c r="AO202" s="47">
        <f t="shared" si="71"/>
        <v>0</v>
      </c>
      <c r="AP202" s="47">
        <f t="shared" si="72"/>
        <v>0</v>
      </c>
      <c r="AQ202" s="47">
        <f t="shared" si="73"/>
        <v>0</v>
      </c>
      <c r="AR202" s="43">
        <f t="shared" si="74"/>
        <v>0</v>
      </c>
      <c r="AY202" s="3"/>
    </row>
    <row r="203" spans="1:51">
      <c r="A203" s="226"/>
      <c r="B203" s="37">
        <f>'13. Desinvesteringen'!B486</f>
        <v>467</v>
      </c>
      <c r="C203" s="48"/>
      <c r="D203" s="48"/>
      <c r="E203" s="48"/>
      <c r="F203" s="354">
        <f>'5. Input GAW-waarde desinv.'!D162</f>
        <v>0</v>
      </c>
      <c r="G203" s="175">
        <f>'13. Desinvesteringen'!D486</f>
        <v>1977</v>
      </c>
      <c r="H203" s="175">
        <f>'13. Desinvesteringen'!G486</f>
        <v>2023</v>
      </c>
      <c r="I203" s="37" t="str">
        <f>'13. Desinvesteringen'!C486</f>
        <v>15 Compressorstations (TT-BT-AT)</v>
      </c>
      <c r="J203" s="165">
        <f>'13. Desinvesteringen'!F486</f>
        <v>0</v>
      </c>
      <c r="K203" s="38">
        <f>_xlfn.XLOOKUP(I203,'3. Input (des)investeringen '!$B$11:$B$89,'3. Input (des)investeringen '!$E$11:$E$89)</f>
        <v>1</v>
      </c>
      <c r="L203" s="48"/>
      <c r="M203" s="38">
        <f>_xlfn.XLOOKUP(I203,'3. Input (des)investeringen '!$B$11:$B$89,'3. Input (des)investeringen '!$D$11:$D$89,0)</f>
        <v>30</v>
      </c>
      <c r="N203" s="38">
        <f t="shared" si="59"/>
        <v>0</v>
      </c>
      <c r="P203" s="43">
        <f t="shared" si="85"/>
        <v>0</v>
      </c>
      <c r="Q203" s="43">
        <f t="shared" si="85"/>
        <v>0</v>
      </c>
      <c r="R203" s="43">
        <f t="shared" si="85"/>
        <v>0</v>
      </c>
      <c r="S203" s="43">
        <f t="shared" si="85"/>
        <v>0</v>
      </c>
      <c r="T203" s="43">
        <f t="shared" si="85"/>
        <v>0</v>
      </c>
      <c r="V203" s="43">
        <f t="shared" si="78"/>
        <v>0</v>
      </c>
      <c r="W203" s="43">
        <f t="shared" si="79"/>
        <v>0</v>
      </c>
      <c r="X203" s="43">
        <f t="shared" si="80"/>
        <v>0</v>
      </c>
      <c r="Y203" s="43">
        <f t="shared" si="81"/>
        <v>0</v>
      </c>
      <c r="Z203" s="43">
        <f t="shared" si="82"/>
        <v>0</v>
      </c>
      <c r="AB203" s="43">
        <f t="shared" si="60"/>
        <v>0</v>
      </c>
      <c r="AC203" s="43">
        <f t="shared" si="61"/>
        <v>0</v>
      </c>
      <c r="AD203" s="43">
        <f t="shared" si="62"/>
        <v>0</v>
      </c>
      <c r="AE203" s="43">
        <f t="shared" si="63"/>
        <v>0</v>
      </c>
      <c r="AF203" s="43">
        <f t="shared" si="64"/>
        <v>0</v>
      </c>
      <c r="AH203" s="43">
        <f t="shared" si="65"/>
        <v>0</v>
      </c>
      <c r="AI203" s="43">
        <f t="shared" si="66"/>
        <v>0</v>
      </c>
      <c r="AJ203" s="43">
        <f t="shared" si="67"/>
        <v>0</v>
      </c>
      <c r="AK203" s="43">
        <f t="shared" si="68"/>
        <v>0</v>
      </c>
      <c r="AL203" s="43">
        <f t="shared" si="69"/>
        <v>0</v>
      </c>
      <c r="AN203" s="47">
        <f t="shared" si="70"/>
        <v>0</v>
      </c>
      <c r="AO203" s="47">
        <f t="shared" si="71"/>
        <v>0</v>
      </c>
      <c r="AP203" s="47">
        <f t="shared" si="72"/>
        <v>0</v>
      </c>
      <c r="AQ203" s="47">
        <f t="shared" si="73"/>
        <v>0</v>
      </c>
      <c r="AR203" s="43">
        <f t="shared" si="74"/>
        <v>0</v>
      </c>
      <c r="AY203" s="3"/>
    </row>
    <row r="204" spans="1:51">
      <c r="A204" s="226"/>
      <c r="B204" s="37">
        <f>'13. Desinvesteringen'!B487</f>
        <v>468</v>
      </c>
      <c r="C204" s="48"/>
      <c r="D204" s="48"/>
      <c r="E204" s="48"/>
      <c r="F204" s="354">
        <f>'5. Input GAW-waarde desinv.'!D163</f>
        <v>0</v>
      </c>
      <c r="G204" s="175">
        <f>'13. Desinvesteringen'!D487</f>
        <v>1978</v>
      </c>
      <c r="H204" s="175">
        <f>'13. Desinvesteringen'!G487</f>
        <v>2023</v>
      </c>
      <c r="I204" s="37" t="str">
        <f>'13. Desinvesteringen'!C487</f>
        <v>15 Compressorstations (TT-BT-AT)</v>
      </c>
      <c r="J204" s="165">
        <f>'13. Desinvesteringen'!F487</f>
        <v>0</v>
      </c>
      <c r="K204" s="38">
        <f>_xlfn.XLOOKUP(I204,'3. Input (des)investeringen '!$B$11:$B$89,'3. Input (des)investeringen '!$E$11:$E$89)</f>
        <v>1</v>
      </c>
      <c r="L204" s="48"/>
      <c r="M204" s="38">
        <f>_xlfn.XLOOKUP(I204,'3. Input (des)investeringen '!$B$11:$B$89,'3. Input (des)investeringen '!$D$11:$D$89,0)</f>
        <v>30</v>
      </c>
      <c r="N204" s="38">
        <f t="shared" si="59"/>
        <v>0</v>
      </c>
      <c r="P204" s="43">
        <f t="shared" si="85"/>
        <v>0</v>
      </c>
      <c r="Q204" s="43">
        <f t="shared" si="85"/>
        <v>0</v>
      </c>
      <c r="R204" s="43">
        <f t="shared" si="85"/>
        <v>0</v>
      </c>
      <c r="S204" s="43">
        <f t="shared" si="85"/>
        <v>0</v>
      </c>
      <c r="T204" s="43">
        <f t="shared" si="85"/>
        <v>0</v>
      </c>
      <c r="V204" s="43">
        <f t="shared" si="78"/>
        <v>0</v>
      </c>
      <c r="W204" s="43">
        <f t="shared" si="79"/>
        <v>0</v>
      </c>
      <c r="X204" s="43">
        <f t="shared" si="80"/>
        <v>0</v>
      </c>
      <c r="Y204" s="43">
        <f t="shared" si="81"/>
        <v>0</v>
      </c>
      <c r="Z204" s="43">
        <f t="shared" si="82"/>
        <v>0</v>
      </c>
      <c r="AB204" s="43">
        <f t="shared" si="60"/>
        <v>0</v>
      </c>
      <c r="AC204" s="43">
        <f t="shared" si="61"/>
        <v>0</v>
      </c>
      <c r="AD204" s="43">
        <f t="shared" si="62"/>
        <v>0</v>
      </c>
      <c r="AE204" s="43">
        <f t="shared" si="63"/>
        <v>0</v>
      </c>
      <c r="AF204" s="43">
        <f t="shared" si="64"/>
        <v>0</v>
      </c>
      <c r="AH204" s="43">
        <f t="shared" si="65"/>
        <v>0</v>
      </c>
      <c r="AI204" s="43">
        <f t="shared" si="66"/>
        <v>0</v>
      </c>
      <c r="AJ204" s="43">
        <f t="shared" si="67"/>
        <v>0</v>
      </c>
      <c r="AK204" s="43">
        <f t="shared" si="68"/>
        <v>0</v>
      </c>
      <c r="AL204" s="43">
        <f t="shared" si="69"/>
        <v>0</v>
      </c>
      <c r="AN204" s="47">
        <f t="shared" si="70"/>
        <v>0</v>
      </c>
      <c r="AO204" s="47">
        <f t="shared" si="71"/>
        <v>0</v>
      </c>
      <c r="AP204" s="47">
        <f t="shared" si="72"/>
        <v>0</v>
      </c>
      <c r="AQ204" s="47">
        <f t="shared" si="73"/>
        <v>0</v>
      </c>
      <c r="AR204" s="43">
        <f t="shared" si="74"/>
        <v>0</v>
      </c>
      <c r="AY204" s="3"/>
    </row>
    <row r="205" spans="1:51">
      <c r="A205" s="226"/>
      <c r="B205" s="37">
        <f>'13. Desinvesteringen'!B488</f>
        <v>469</v>
      </c>
      <c r="C205" s="48"/>
      <c r="D205" s="48"/>
      <c r="E205" s="48"/>
      <c r="F205" s="354">
        <f>'5. Input GAW-waarde desinv.'!D164</f>
        <v>0</v>
      </c>
      <c r="G205" s="175">
        <f>'13. Desinvesteringen'!D488</f>
        <v>1980</v>
      </c>
      <c r="H205" s="175">
        <f>'13. Desinvesteringen'!G488</f>
        <v>2023</v>
      </c>
      <c r="I205" s="37" t="str">
        <f>'13. Desinvesteringen'!C488</f>
        <v>15 Compressorstations (TT-BT-AT)</v>
      </c>
      <c r="J205" s="165">
        <f>'13. Desinvesteringen'!F488</f>
        <v>0</v>
      </c>
      <c r="K205" s="38">
        <f>_xlfn.XLOOKUP(I205,'3. Input (des)investeringen '!$B$11:$B$89,'3. Input (des)investeringen '!$E$11:$E$89)</f>
        <v>1</v>
      </c>
      <c r="L205" s="48"/>
      <c r="M205" s="38">
        <f>_xlfn.XLOOKUP(I205,'3. Input (des)investeringen '!$B$11:$B$89,'3. Input (des)investeringen '!$D$11:$D$89,0)</f>
        <v>30</v>
      </c>
      <c r="N205" s="38">
        <f t="shared" si="59"/>
        <v>0</v>
      </c>
      <c r="P205" s="43">
        <f t="shared" si="85"/>
        <v>0</v>
      </c>
      <c r="Q205" s="43">
        <f t="shared" si="85"/>
        <v>0</v>
      </c>
      <c r="R205" s="43">
        <f t="shared" si="85"/>
        <v>0</v>
      </c>
      <c r="S205" s="43">
        <f t="shared" si="85"/>
        <v>0</v>
      </c>
      <c r="T205" s="43">
        <f t="shared" si="85"/>
        <v>0</v>
      </c>
      <c r="V205" s="43">
        <f t="shared" si="78"/>
        <v>0</v>
      </c>
      <c r="W205" s="43">
        <f t="shared" si="79"/>
        <v>0</v>
      </c>
      <c r="X205" s="43">
        <f t="shared" si="80"/>
        <v>0</v>
      </c>
      <c r="Y205" s="43">
        <f t="shared" si="81"/>
        <v>0</v>
      </c>
      <c r="Z205" s="43">
        <f t="shared" si="82"/>
        <v>0</v>
      </c>
      <c r="AB205" s="43">
        <f t="shared" si="60"/>
        <v>0</v>
      </c>
      <c r="AC205" s="43">
        <f t="shared" si="61"/>
        <v>0</v>
      </c>
      <c r="AD205" s="43">
        <f t="shared" si="62"/>
        <v>0</v>
      </c>
      <c r="AE205" s="43">
        <f t="shared" si="63"/>
        <v>0</v>
      </c>
      <c r="AF205" s="43">
        <f t="shared" si="64"/>
        <v>0</v>
      </c>
      <c r="AH205" s="43">
        <f t="shared" si="65"/>
        <v>0</v>
      </c>
      <c r="AI205" s="43">
        <f t="shared" si="66"/>
        <v>0</v>
      </c>
      <c r="AJ205" s="43">
        <f t="shared" si="67"/>
        <v>0</v>
      </c>
      <c r="AK205" s="43">
        <f t="shared" si="68"/>
        <v>0</v>
      </c>
      <c r="AL205" s="43">
        <f t="shared" si="69"/>
        <v>0</v>
      </c>
      <c r="AN205" s="47">
        <f t="shared" si="70"/>
        <v>0</v>
      </c>
      <c r="AO205" s="47">
        <f t="shared" si="71"/>
        <v>0</v>
      </c>
      <c r="AP205" s="47">
        <f t="shared" si="72"/>
        <v>0</v>
      </c>
      <c r="AQ205" s="47">
        <f t="shared" si="73"/>
        <v>0</v>
      </c>
      <c r="AR205" s="43">
        <f t="shared" si="74"/>
        <v>0</v>
      </c>
      <c r="AY205" s="3"/>
    </row>
    <row r="206" spans="1:51">
      <c r="A206" s="226"/>
      <c r="B206" s="37">
        <f>'13. Desinvesteringen'!B489</f>
        <v>470</v>
      </c>
      <c r="C206" s="48"/>
      <c r="D206" s="48"/>
      <c r="E206" s="48"/>
      <c r="F206" s="354">
        <f>'5. Input GAW-waarde desinv.'!D165</f>
        <v>0</v>
      </c>
      <c r="G206" s="175">
        <f>'13. Desinvesteringen'!D489</f>
        <v>1989</v>
      </c>
      <c r="H206" s="175">
        <f>'13. Desinvesteringen'!G489</f>
        <v>2023</v>
      </c>
      <c r="I206" s="37" t="str">
        <f>'13. Desinvesteringen'!C489</f>
        <v>15 Compressorstations (TT-BT-AT)</v>
      </c>
      <c r="J206" s="165">
        <f>'13. Desinvesteringen'!F489</f>
        <v>0</v>
      </c>
      <c r="K206" s="38">
        <f>_xlfn.XLOOKUP(I206,'3. Input (des)investeringen '!$B$11:$B$89,'3. Input (des)investeringen '!$E$11:$E$89)</f>
        <v>1</v>
      </c>
      <c r="L206" s="48"/>
      <c r="M206" s="38">
        <f>_xlfn.XLOOKUP(I206,'3. Input (des)investeringen '!$B$11:$B$89,'3. Input (des)investeringen '!$D$11:$D$89,0)</f>
        <v>30</v>
      </c>
      <c r="N206" s="38">
        <f t="shared" si="59"/>
        <v>0</v>
      </c>
      <c r="P206" s="43">
        <f t="shared" si="85"/>
        <v>0</v>
      </c>
      <c r="Q206" s="43">
        <f t="shared" si="85"/>
        <v>0</v>
      </c>
      <c r="R206" s="43">
        <f t="shared" si="85"/>
        <v>0</v>
      </c>
      <c r="S206" s="43">
        <f t="shared" si="85"/>
        <v>0</v>
      </c>
      <c r="T206" s="43">
        <f t="shared" si="85"/>
        <v>0</v>
      </c>
      <c r="V206" s="43">
        <f t="shared" si="78"/>
        <v>0</v>
      </c>
      <c r="W206" s="43">
        <f t="shared" si="79"/>
        <v>0</v>
      </c>
      <c r="X206" s="43">
        <f t="shared" si="80"/>
        <v>0</v>
      </c>
      <c r="Y206" s="43">
        <f t="shared" si="81"/>
        <v>0</v>
      </c>
      <c r="Z206" s="43">
        <f t="shared" si="82"/>
        <v>0</v>
      </c>
      <c r="AB206" s="43">
        <f t="shared" si="60"/>
        <v>0</v>
      </c>
      <c r="AC206" s="43">
        <f t="shared" si="61"/>
        <v>0</v>
      </c>
      <c r="AD206" s="43">
        <f t="shared" si="62"/>
        <v>0</v>
      </c>
      <c r="AE206" s="43">
        <f t="shared" si="63"/>
        <v>0</v>
      </c>
      <c r="AF206" s="43">
        <f t="shared" si="64"/>
        <v>0</v>
      </c>
      <c r="AH206" s="43">
        <f t="shared" si="65"/>
        <v>0</v>
      </c>
      <c r="AI206" s="43">
        <f t="shared" si="66"/>
        <v>0</v>
      </c>
      <c r="AJ206" s="43">
        <f t="shared" si="67"/>
        <v>0</v>
      </c>
      <c r="AK206" s="43">
        <f t="shared" si="68"/>
        <v>0</v>
      </c>
      <c r="AL206" s="43">
        <f t="shared" si="69"/>
        <v>0</v>
      </c>
      <c r="AN206" s="47">
        <f t="shared" si="70"/>
        <v>0</v>
      </c>
      <c r="AO206" s="47">
        <f t="shared" si="71"/>
        <v>0</v>
      </c>
      <c r="AP206" s="47">
        <f t="shared" si="72"/>
        <v>0</v>
      </c>
      <c r="AQ206" s="47">
        <f t="shared" si="73"/>
        <v>0</v>
      </c>
      <c r="AR206" s="43">
        <f t="shared" si="74"/>
        <v>0</v>
      </c>
      <c r="AY206" s="3"/>
    </row>
    <row r="207" spans="1:51">
      <c r="A207" s="226"/>
      <c r="B207" s="37">
        <f>'13. Desinvesteringen'!B490</f>
        <v>471</v>
      </c>
      <c r="C207" s="48"/>
      <c r="D207" s="48"/>
      <c r="E207" s="48"/>
      <c r="F207" s="354">
        <f>'5. Input GAW-waarde desinv.'!D166</f>
        <v>0</v>
      </c>
      <c r="G207" s="175">
        <f>'13. Desinvesteringen'!D490</f>
        <v>1990</v>
      </c>
      <c r="H207" s="175">
        <f>'13. Desinvesteringen'!G490</f>
        <v>2023</v>
      </c>
      <c r="I207" s="37" t="str">
        <f>'13. Desinvesteringen'!C490</f>
        <v>15 Compressorstations (TT-BT-AT)</v>
      </c>
      <c r="J207" s="165">
        <f>'13. Desinvesteringen'!F490</f>
        <v>0</v>
      </c>
      <c r="K207" s="38">
        <f>_xlfn.XLOOKUP(I207,'3. Input (des)investeringen '!$B$11:$B$89,'3. Input (des)investeringen '!$E$11:$E$89)</f>
        <v>1</v>
      </c>
      <c r="L207" s="48"/>
      <c r="M207" s="38">
        <f>_xlfn.XLOOKUP(I207,'3. Input (des)investeringen '!$B$11:$B$89,'3. Input (des)investeringen '!$D$11:$D$89,0)</f>
        <v>30</v>
      </c>
      <c r="N207" s="38">
        <f t="shared" si="59"/>
        <v>0</v>
      </c>
      <c r="P207" s="43">
        <f t="shared" si="85"/>
        <v>0</v>
      </c>
      <c r="Q207" s="43">
        <f t="shared" si="85"/>
        <v>0</v>
      </c>
      <c r="R207" s="43">
        <f t="shared" si="85"/>
        <v>0</v>
      </c>
      <c r="S207" s="43">
        <f t="shared" si="85"/>
        <v>0</v>
      </c>
      <c r="T207" s="43">
        <f t="shared" si="85"/>
        <v>0</v>
      </c>
      <c r="V207" s="43">
        <f t="shared" si="78"/>
        <v>0</v>
      </c>
      <c r="W207" s="43">
        <f t="shared" si="79"/>
        <v>0</v>
      </c>
      <c r="X207" s="43">
        <f t="shared" si="80"/>
        <v>0</v>
      </c>
      <c r="Y207" s="43">
        <f t="shared" si="81"/>
        <v>0</v>
      </c>
      <c r="Z207" s="43">
        <f t="shared" si="82"/>
        <v>0</v>
      </c>
      <c r="AB207" s="43">
        <f t="shared" si="60"/>
        <v>0</v>
      </c>
      <c r="AC207" s="43">
        <f t="shared" si="61"/>
        <v>0</v>
      </c>
      <c r="AD207" s="43">
        <f t="shared" si="62"/>
        <v>0</v>
      </c>
      <c r="AE207" s="43">
        <f t="shared" si="63"/>
        <v>0</v>
      </c>
      <c r="AF207" s="43">
        <f t="shared" si="64"/>
        <v>0</v>
      </c>
      <c r="AH207" s="43">
        <f t="shared" si="65"/>
        <v>0</v>
      </c>
      <c r="AI207" s="43">
        <f t="shared" si="66"/>
        <v>0</v>
      </c>
      <c r="AJ207" s="43">
        <f t="shared" si="67"/>
        <v>0</v>
      </c>
      <c r="AK207" s="43">
        <f t="shared" si="68"/>
        <v>0</v>
      </c>
      <c r="AL207" s="43">
        <f t="shared" si="69"/>
        <v>0</v>
      </c>
      <c r="AN207" s="47">
        <f t="shared" si="70"/>
        <v>0</v>
      </c>
      <c r="AO207" s="47">
        <f t="shared" si="71"/>
        <v>0</v>
      </c>
      <c r="AP207" s="47">
        <f t="shared" si="72"/>
        <v>0</v>
      </c>
      <c r="AQ207" s="47">
        <f t="shared" si="73"/>
        <v>0</v>
      </c>
      <c r="AR207" s="43">
        <f t="shared" si="74"/>
        <v>0</v>
      </c>
      <c r="AY207" s="3"/>
    </row>
    <row r="208" spans="1:51">
      <c r="A208" s="226"/>
      <c r="B208" s="37">
        <f>'13. Desinvesteringen'!B491</f>
        <v>472</v>
      </c>
      <c r="C208" s="48"/>
      <c r="D208" s="48"/>
      <c r="E208" s="48"/>
      <c r="F208" s="354">
        <f>'5. Input GAW-waarde desinv.'!D167</f>
        <v>20595.049218865919</v>
      </c>
      <c r="G208" s="175">
        <f>'13. Desinvesteringen'!D491</f>
        <v>1992</v>
      </c>
      <c r="H208" s="175">
        <f>'13. Desinvesteringen'!G491</f>
        <v>2023</v>
      </c>
      <c r="I208" s="37" t="str">
        <f>'13. Desinvesteringen'!C491</f>
        <v>15 Compressorstations (TT-BT-AT)</v>
      </c>
      <c r="J208" s="165">
        <f>'13. Desinvesteringen'!F491</f>
        <v>0</v>
      </c>
      <c r="K208" s="38">
        <f>_xlfn.XLOOKUP(I208,'3. Input (des)investeringen '!$B$11:$B$89,'3. Input (des)investeringen '!$E$11:$E$89)</f>
        <v>1</v>
      </c>
      <c r="L208" s="48"/>
      <c r="M208" s="38">
        <f>_xlfn.XLOOKUP(I208,'3. Input (des)investeringen '!$B$11:$B$89,'3. Input (des)investeringen '!$D$11:$D$89,0)</f>
        <v>30</v>
      </c>
      <c r="N208" s="38">
        <f t="shared" ref="N208:N267" si="86">IF($M208&gt;0, MAX(0,IF(G208&lt;2022,M208-2021+G208-0.5,M208)), 0)</f>
        <v>0.5</v>
      </c>
      <c r="P208" s="43">
        <f t="shared" si="85"/>
        <v>18535.544296979329</v>
      </c>
      <c r="Q208" s="43">
        <f t="shared" si="85"/>
        <v>0</v>
      </c>
      <c r="R208" s="43">
        <f t="shared" si="85"/>
        <v>0</v>
      </c>
      <c r="S208" s="43">
        <f t="shared" si="85"/>
        <v>0</v>
      </c>
      <c r="T208" s="43">
        <f t="shared" si="85"/>
        <v>0</v>
      </c>
      <c r="V208" s="43">
        <f t="shared" si="78"/>
        <v>2059.504921886592</v>
      </c>
      <c r="W208" s="43">
        <f t="shared" si="79"/>
        <v>0</v>
      </c>
      <c r="X208" s="43">
        <f t="shared" si="80"/>
        <v>0</v>
      </c>
      <c r="Y208" s="43">
        <f t="shared" si="81"/>
        <v>0</v>
      </c>
      <c r="Z208" s="43">
        <f t="shared" si="82"/>
        <v>0</v>
      </c>
      <c r="AB208" s="43">
        <f t="shared" ref="AB208:AB267" si="87">P208+V208</f>
        <v>20595.049218865923</v>
      </c>
      <c r="AC208" s="43">
        <f t="shared" ref="AC208:AC267" si="88">Q208+W208</f>
        <v>0</v>
      </c>
      <c r="AD208" s="43">
        <f t="shared" ref="AD208:AD267" si="89">R208+X208</f>
        <v>0</v>
      </c>
      <c r="AE208" s="43">
        <f t="shared" ref="AE208:AE267" si="90">S208+Y208</f>
        <v>0</v>
      </c>
      <c r="AF208" s="43">
        <f t="shared" ref="AF208:AF267" si="91">T208+Z208</f>
        <v>0</v>
      </c>
      <c r="AH208" s="43">
        <f t="shared" ref="AH208:AH267" si="92">IF($M208&gt;0, IF($M208&gt;0,IF(OR($G208&gt;AH$50,$G208+$M208&lt;=AH$50),0,IF(AH$50=2022,$F208-AB208,AG208-AB208))), $F208)</f>
        <v>0</v>
      </c>
      <c r="AI208" s="43">
        <f t="shared" ref="AI208:AI267" si="93">IF($M208&gt;0, IF(OR($G208&gt;AI$50,$G208+$M208&lt;=AI$50),0,IF(AI$50=2022,$F208-AC208,AH208-AC208)), AH208)</f>
        <v>0</v>
      </c>
      <c r="AJ208" s="43">
        <f t="shared" ref="AJ208:AJ267" si="94">IF($M208&gt;0, IF(OR($G208&gt;AJ$50,$G208+$M208&lt;=AJ$50),0,IF(AJ$50=2022,$F208-AD208,AI208-AD208)), AI208)</f>
        <v>0</v>
      </c>
      <c r="AK208" s="43">
        <f t="shared" ref="AK208:AK267" si="95">IF($M208&gt;0, IF(OR($G208&gt;AK$50,$G208+$M208&lt;=AK$50),0,IF(AK$50=2022,$F208-AE208,AJ208-AE208)), AJ208)</f>
        <v>0</v>
      </c>
      <c r="AL208" s="43">
        <f t="shared" ref="AL208:AL267" si="96">IF($M208&gt;0, IF(OR($G208&gt;AL$50,$G208+$M208&lt;=AL$50),0,IF(AL$50=2022,$F208-AF208,AK208-AF208)), AK208)</f>
        <v>0</v>
      </c>
      <c r="AN208" s="47">
        <f t="shared" ref="AN208:AN267" si="97">(AB208+AH208*H$17)*IF($K208=1,$F$32,1)</f>
        <v>20595.049218865923</v>
      </c>
      <c r="AO208" s="47">
        <f t="shared" ref="AO208:AO267" si="98">(AC208+AI208*I$17)*IF($K208=1,$F$32,1)</f>
        <v>0</v>
      </c>
      <c r="AP208" s="47">
        <f t="shared" ref="AP208:AP267" si="99">(AD208+AJ208*J$17)*IF($K208=1,$F$32,1)</f>
        <v>0</v>
      </c>
      <c r="AQ208" s="47">
        <f t="shared" ref="AQ208:AQ267" si="100">(AE208+AK208*K$17)*IF($K208=1,$F$32,1)</f>
        <v>0</v>
      </c>
      <c r="AR208" s="43">
        <f t="shared" ref="AR208:AR267" si="101">(AF208+AL208*L$17)*IF($K208=1,$F$32,1)</f>
        <v>0</v>
      </c>
      <c r="AY208" s="3"/>
    </row>
    <row r="209" spans="1:51">
      <c r="A209" s="226"/>
      <c r="B209" s="37">
        <f>'13. Desinvesteringen'!B492</f>
        <v>473</v>
      </c>
      <c r="C209" s="48"/>
      <c r="D209" s="48"/>
      <c r="E209" s="48"/>
      <c r="F209" s="354">
        <f>'5. Input GAW-waarde desinv.'!D168</f>
        <v>6033.3008476088025</v>
      </c>
      <c r="G209" s="175">
        <f>'13. Desinvesteringen'!D492</f>
        <v>1998</v>
      </c>
      <c r="H209" s="175">
        <f>'13. Desinvesteringen'!G492</f>
        <v>2023</v>
      </c>
      <c r="I209" s="37" t="str">
        <f>'13. Desinvesteringen'!C492</f>
        <v>15 Compressorstations (TT-BT-AT)</v>
      </c>
      <c r="J209" s="165">
        <f>'13. Desinvesteringen'!F492</f>
        <v>0</v>
      </c>
      <c r="K209" s="38">
        <f>_xlfn.XLOOKUP(I209,'3. Input (des)investeringen '!$B$11:$B$89,'3. Input (des)investeringen '!$E$11:$E$89)</f>
        <v>1</v>
      </c>
      <c r="L209" s="48"/>
      <c r="M209" s="38">
        <f>_xlfn.XLOOKUP(I209,'3. Input (des)investeringen '!$B$11:$B$89,'3. Input (des)investeringen '!$D$11:$D$89,0)</f>
        <v>30</v>
      </c>
      <c r="N209" s="38">
        <f t="shared" si="86"/>
        <v>6.5</v>
      </c>
      <c r="P209" s="43">
        <f t="shared" si="85"/>
        <v>1085.9941525695845</v>
      </c>
      <c r="Q209" s="43">
        <f t="shared" si="85"/>
        <v>868.79532205566761</v>
      </c>
      <c r="R209" s="43">
        <f t="shared" si="85"/>
        <v>772.2625084939267</v>
      </c>
      <c r="S209" s="43">
        <f t="shared" si="85"/>
        <v>772.2625084939267</v>
      </c>
      <c r="T209" s="43">
        <f t="shared" si="85"/>
        <v>772.2625084939267</v>
      </c>
      <c r="V209" s="43">
        <f t="shared" si="78"/>
        <v>92.820013040135436</v>
      </c>
      <c r="W209" s="43">
        <f t="shared" si="79"/>
        <v>92.820013040135422</v>
      </c>
      <c r="X209" s="43">
        <f t="shared" si="80"/>
        <v>92.820013040135422</v>
      </c>
      <c r="Y209" s="43">
        <f t="shared" si="81"/>
        <v>92.820013040135422</v>
      </c>
      <c r="Z209" s="43">
        <f t="shared" si="82"/>
        <v>92.820013040135422</v>
      </c>
      <c r="AB209" s="43">
        <f t="shared" si="87"/>
        <v>1178.8141656097198</v>
      </c>
      <c r="AC209" s="43">
        <f t="shared" si="88"/>
        <v>961.61533509580306</v>
      </c>
      <c r="AD209" s="43">
        <f t="shared" si="89"/>
        <v>865.08252153406215</v>
      </c>
      <c r="AE209" s="43">
        <f t="shared" si="90"/>
        <v>865.08252153406215</v>
      </c>
      <c r="AF209" s="43">
        <f t="shared" si="91"/>
        <v>865.08252153406215</v>
      </c>
      <c r="AH209" s="43">
        <f t="shared" si="92"/>
        <v>4854.486681999083</v>
      </c>
      <c r="AI209" s="43">
        <f t="shared" si="93"/>
        <v>3892.87134690328</v>
      </c>
      <c r="AJ209" s="43">
        <f t="shared" si="94"/>
        <v>3027.7888253692181</v>
      </c>
      <c r="AK209" s="43">
        <f t="shared" si="95"/>
        <v>2162.7063038351562</v>
      </c>
      <c r="AL209" s="43">
        <f t="shared" si="96"/>
        <v>1297.623782301094</v>
      </c>
      <c r="AN209" s="47">
        <f t="shared" si="97"/>
        <v>1377.8481195716822</v>
      </c>
      <c r="AO209" s="47">
        <f t="shared" si="98"/>
        <v>1160.1517737878703</v>
      </c>
      <c r="AP209" s="47">
        <f t="shared" si="99"/>
        <v>1019.4997516278922</v>
      </c>
      <c r="AQ209" s="47">
        <f t="shared" si="100"/>
        <v>984.03136824499575</v>
      </c>
      <c r="AR209" s="43">
        <f t="shared" si="101"/>
        <v>914.39222526150377</v>
      </c>
      <c r="AY209" s="3"/>
    </row>
    <row r="210" spans="1:51">
      <c r="A210" s="226"/>
      <c r="B210" s="37">
        <f>'13. Desinvesteringen'!B493</f>
        <v>474</v>
      </c>
      <c r="C210" s="48"/>
      <c r="D210" s="48"/>
      <c r="E210" s="48"/>
      <c r="F210" s="354">
        <f>'5. Input GAW-waarde desinv.'!D169</f>
        <v>114286.36357614314</v>
      </c>
      <c r="G210" s="175">
        <f>'13. Desinvesteringen'!D493</f>
        <v>2002</v>
      </c>
      <c r="H210" s="175">
        <f>'13. Desinvesteringen'!G493</f>
        <v>2023</v>
      </c>
      <c r="I210" s="37" t="str">
        <f>'13. Desinvesteringen'!C493</f>
        <v>15 Compressorstations (TT-BT-AT)</v>
      </c>
      <c r="J210" s="165">
        <f>'13. Desinvesteringen'!F493</f>
        <v>0</v>
      </c>
      <c r="K210" s="38">
        <f>_xlfn.XLOOKUP(I210,'3. Input (des)investeringen '!$B$11:$B$89,'3. Input (des)investeringen '!$E$11:$E$89)</f>
        <v>1</v>
      </c>
      <c r="L210" s="48"/>
      <c r="M210" s="38">
        <f>_xlfn.XLOOKUP(I210,'3. Input (des)investeringen '!$B$11:$B$89,'3. Input (des)investeringen '!$D$11:$D$89,0)</f>
        <v>30</v>
      </c>
      <c r="N210" s="38">
        <f t="shared" si="86"/>
        <v>10.5</v>
      </c>
      <c r="P210" s="43">
        <f t="shared" si="85"/>
        <v>12734.76622705595</v>
      </c>
      <c r="Q210" s="43">
        <f t="shared" si="85"/>
        <v>11158.080884658546</v>
      </c>
      <c r="R210" s="43">
        <f t="shared" si="85"/>
        <v>9776.6042037008228</v>
      </c>
      <c r="S210" s="43">
        <f t="shared" si="85"/>
        <v>9225.1034537484684</v>
      </c>
      <c r="T210" s="43">
        <f t="shared" si="85"/>
        <v>9225.1034537484684</v>
      </c>
      <c r="V210" s="43">
        <f t="shared" si="78"/>
        <v>1088.4415578680298</v>
      </c>
      <c r="W210" s="43">
        <f t="shared" si="79"/>
        <v>1088.4415578680298</v>
      </c>
      <c r="X210" s="43">
        <f t="shared" si="80"/>
        <v>1088.4415578680298</v>
      </c>
      <c r="Y210" s="43">
        <f t="shared" si="81"/>
        <v>1088.4415578680298</v>
      </c>
      <c r="Z210" s="43">
        <f t="shared" si="82"/>
        <v>1088.4415578680298</v>
      </c>
      <c r="AB210" s="43">
        <f t="shared" si="87"/>
        <v>13823.207784923979</v>
      </c>
      <c r="AC210" s="43">
        <f t="shared" si="88"/>
        <v>12246.522442526575</v>
      </c>
      <c r="AD210" s="43">
        <f t="shared" si="89"/>
        <v>10865.045761568852</v>
      </c>
      <c r="AE210" s="43">
        <f t="shared" si="90"/>
        <v>10313.545011616498</v>
      </c>
      <c r="AF210" s="43">
        <f t="shared" si="91"/>
        <v>10313.545011616498</v>
      </c>
      <c r="AH210" s="43">
        <f t="shared" si="92"/>
        <v>100463.15579121915</v>
      </c>
      <c r="AI210" s="43">
        <f t="shared" si="93"/>
        <v>88216.633348692572</v>
      </c>
      <c r="AJ210" s="43">
        <f t="shared" si="94"/>
        <v>77351.587587123722</v>
      </c>
      <c r="AK210" s="43">
        <f t="shared" si="95"/>
        <v>67038.042575507221</v>
      </c>
      <c r="AL210" s="43">
        <f t="shared" si="96"/>
        <v>56724.49756389072</v>
      </c>
      <c r="AN210" s="47">
        <f t="shared" si="97"/>
        <v>17942.197172363965</v>
      </c>
      <c r="AO210" s="47">
        <f t="shared" si="98"/>
        <v>16745.570743309894</v>
      </c>
      <c r="AP210" s="47">
        <f t="shared" si="99"/>
        <v>14809.976728512162</v>
      </c>
      <c r="AQ210" s="47">
        <f t="shared" si="100"/>
        <v>14000.637353269394</v>
      </c>
      <c r="AR210" s="43">
        <f t="shared" si="101"/>
        <v>12469.075919044346</v>
      </c>
      <c r="AY210" s="3"/>
    </row>
    <row r="211" spans="1:51">
      <c r="A211" s="226"/>
      <c r="B211" s="37">
        <f>'13. Desinvesteringen'!B494</f>
        <v>475</v>
      </c>
      <c r="C211" s="48"/>
      <c r="D211" s="48"/>
      <c r="E211" s="48"/>
      <c r="F211" s="354">
        <f>'5. Input GAW-waarde desinv.'!D170</f>
        <v>1010914.3326142207</v>
      </c>
      <c r="G211" s="175">
        <f>'13. Desinvesteringen'!D494</f>
        <v>2004</v>
      </c>
      <c r="H211" s="175">
        <f>'13. Desinvesteringen'!G494</f>
        <v>2023</v>
      </c>
      <c r="I211" s="37" t="str">
        <f>'13. Desinvesteringen'!C494</f>
        <v>15 Compressorstations (TT-BT-AT)</v>
      </c>
      <c r="J211" s="165">
        <f>'13. Desinvesteringen'!F494</f>
        <v>0</v>
      </c>
      <c r="K211" s="38">
        <f>_xlfn.XLOOKUP(I211,'3. Input (des)investeringen '!$B$11:$B$89,'3. Input (des)investeringen '!$E$11:$E$89)</f>
        <v>1</v>
      </c>
      <c r="L211" s="48"/>
      <c r="M211" s="38">
        <f>_xlfn.XLOOKUP(I211,'3. Input (des)investeringen '!$B$11:$B$89,'3. Input (des)investeringen '!$D$11:$D$89,0)</f>
        <v>30</v>
      </c>
      <c r="N211" s="38">
        <f t="shared" si="86"/>
        <v>12.5</v>
      </c>
      <c r="P211" s="43">
        <f t="shared" si="85"/>
        <v>94621.581532691067</v>
      </c>
      <c r="Q211" s="43">
        <f t="shared" si="85"/>
        <v>84780.937053291185</v>
      </c>
      <c r="R211" s="43">
        <f t="shared" si="85"/>
        <v>75963.719599748918</v>
      </c>
      <c r="S211" s="43">
        <f t="shared" si="85"/>
        <v>68890.174859691324</v>
      </c>
      <c r="T211" s="43">
        <f t="shared" si="85"/>
        <v>68890.174859691324</v>
      </c>
      <c r="V211" s="43">
        <f t="shared" si="78"/>
        <v>8087.3146609137657</v>
      </c>
      <c r="W211" s="43">
        <f t="shared" si="79"/>
        <v>8087.3146609137657</v>
      </c>
      <c r="X211" s="43">
        <f t="shared" si="80"/>
        <v>8087.3146609137657</v>
      </c>
      <c r="Y211" s="43">
        <f t="shared" si="81"/>
        <v>8087.3146609137657</v>
      </c>
      <c r="Z211" s="43">
        <f t="shared" si="82"/>
        <v>8087.3146609137657</v>
      </c>
      <c r="AB211" s="43">
        <f t="shared" si="87"/>
        <v>102708.89619360483</v>
      </c>
      <c r="AC211" s="43">
        <f t="shared" si="88"/>
        <v>92868.251714204947</v>
      </c>
      <c r="AD211" s="43">
        <f t="shared" si="89"/>
        <v>84051.03426066268</v>
      </c>
      <c r="AE211" s="43">
        <f t="shared" si="90"/>
        <v>76977.489520605086</v>
      </c>
      <c r="AF211" s="43">
        <f t="shared" si="91"/>
        <v>76977.489520605086</v>
      </c>
      <c r="AH211" s="43">
        <f t="shared" si="92"/>
        <v>908205.43642061588</v>
      </c>
      <c r="AI211" s="43">
        <f t="shared" si="93"/>
        <v>815337.18470641098</v>
      </c>
      <c r="AJ211" s="43">
        <f t="shared" si="94"/>
        <v>731286.15044574835</v>
      </c>
      <c r="AK211" s="43">
        <f t="shared" si="95"/>
        <v>654308.66092514328</v>
      </c>
      <c r="AL211" s="43">
        <f t="shared" si="96"/>
        <v>577331.17140453821</v>
      </c>
      <c r="AN211" s="47">
        <f t="shared" si="97"/>
        <v>139945.3190868501</v>
      </c>
      <c r="AO211" s="47">
        <f t="shared" si="98"/>
        <v>134450.4481342319</v>
      </c>
      <c r="AP211" s="47">
        <f t="shared" si="99"/>
        <v>121346.62793339585</v>
      </c>
      <c r="AQ211" s="47">
        <f t="shared" si="100"/>
        <v>112964.46587148798</v>
      </c>
      <c r="AR211" s="43">
        <f t="shared" si="101"/>
        <v>98916.074033977537</v>
      </c>
      <c r="AY211" s="3"/>
    </row>
    <row r="212" spans="1:51">
      <c r="A212" s="226"/>
      <c r="B212" s="37">
        <f>'13. Desinvesteringen'!B495</f>
        <v>476</v>
      </c>
      <c r="C212" s="48"/>
      <c r="D212" s="48"/>
      <c r="E212" s="48"/>
      <c r="F212" s="354">
        <f>'5. Input GAW-waarde desinv.'!D171</f>
        <v>110113.496706638</v>
      </c>
      <c r="G212" s="175">
        <f>'13. Desinvesteringen'!D495</f>
        <v>2005</v>
      </c>
      <c r="H212" s="175">
        <f>'13. Desinvesteringen'!G495</f>
        <v>2023</v>
      </c>
      <c r="I212" s="37" t="str">
        <f>'13. Desinvesteringen'!C495</f>
        <v>15 Compressorstations (TT-BT-AT)</v>
      </c>
      <c r="J212" s="165">
        <f>'13. Desinvesteringen'!F495</f>
        <v>0</v>
      </c>
      <c r="K212" s="38">
        <f>_xlfn.XLOOKUP(I212,'3. Input (des)investeringen '!$B$11:$B$89,'3. Input (des)investeringen '!$E$11:$E$89)</f>
        <v>1</v>
      </c>
      <c r="L212" s="48"/>
      <c r="M212" s="38">
        <f>_xlfn.XLOOKUP(I212,'3. Input (des)investeringen '!$B$11:$B$89,'3. Input (des)investeringen '!$D$11:$D$89,0)</f>
        <v>30</v>
      </c>
      <c r="N212" s="38">
        <f t="shared" si="86"/>
        <v>13.5</v>
      </c>
      <c r="P212" s="43">
        <f t="shared" ref="P212:T221" si="102">IF($M212&gt;0, IF(OR($G212&gt;P$50,$G212+$M212&lt;P$50),0,
VDB($F212,0,$N212,MAX(0,P$50-2022),MIN($N212,P$50-2021),$F$23,FALSE))*(1-$F$26), 0)</f>
        <v>9543.1697145752951</v>
      </c>
      <c r="Q212" s="43">
        <f t="shared" si="102"/>
        <v>8624.1978161347088</v>
      </c>
      <c r="R212" s="43">
        <f t="shared" si="102"/>
        <v>7793.7195079143312</v>
      </c>
      <c r="S212" s="43">
        <f t="shared" si="102"/>
        <v>7043.2131849299876</v>
      </c>
      <c r="T212" s="43">
        <f t="shared" si="102"/>
        <v>6957.668085517882</v>
      </c>
      <c r="V212" s="43">
        <f t="shared" si="78"/>
        <v>815.6555311602815</v>
      </c>
      <c r="W212" s="43">
        <f t="shared" si="79"/>
        <v>815.6555311602815</v>
      </c>
      <c r="X212" s="43">
        <f t="shared" si="80"/>
        <v>815.6555311602815</v>
      </c>
      <c r="Y212" s="43">
        <f t="shared" si="81"/>
        <v>815.6555311602815</v>
      </c>
      <c r="Z212" s="43">
        <f t="shared" si="82"/>
        <v>815.6555311602815</v>
      </c>
      <c r="AB212" s="43">
        <f t="shared" si="87"/>
        <v>10358.825245735577</v>
      </c>
      <c r="AC212" s="43">
        <f t="shared" si="88"/>
        <v>9439.8533472949894</v>
      </c>
      <c r="AD212" s="43">
        <f t="shared" si="89"/>
        <v>8609.3750390746136</v>
      </c>
      <c r="AE212" s="43">
        <f t="shared" si="90"/>
        <v>7858.8687160902691</v>
      </c>
      <c r="AF212" s="43">
        <f t="shared" si="91"/>
        <v>7773.3236166781635</v>
      </c>
      <c r="AH212" s="43">
        <f t="shared" si="92"/>
        <v>99754.671460902435</v>
      </c>
      <c r="AI212" s="43">
        <f t="shared" si="93"/>
        <v>90314.818113607442</v>
      </c>
      <c r="AJ212" s="43">
        <f t="shared" si="94"/>
        <v>81705.443074532828</v>
      </c>
      <c r="AK212" s="43">
        <f t="shared" si="95"/>
        <v>73846.574358442565</v>
      </c>
      <c r="AL212" s="43">
        <f t="shared" si="96"/>
        <v>66073.250741764408</v>
      </c>
      <c r="AN212" s="47">
        <f t="shared" si="97"/>
        <v>14448.766775632577</v>
      </c>
      <c r="AO212" s="47">
        <f t="shared" si="98"/>
        <v>14045.909071088969</v>
      </c>
      <c r="AP212" s="47">
        <f t="shared" si="99"/>
        <v>12776.352635875788</v>
      </c>
      <c r="AQ212" s="47">
        <f t="shared" si="100"/>
        <v>11920.43030580461</v>
      </c>
      <c r="AR212" s="43">
        <f t="shared" si="101"/>
        <v>10284.107144865211</v>
      </c>
      <c r="AY212" s="3"/>
    </row>
    <row r="213" spans="1:51">
      <c r="A213" s="226"/>
      <c r="B213" s="37">
        <f>'13. Desinvesteringen'!B496</f>
        <v>477</v>
      </c>
      <c r="C213" s="48"/>
      <c r="D213" s="48"/>
      <c r="E213" s="48"/>
      <c r="F213" s="354">
        <f>'5. Input GAW-waarde desinv.'!D172</f>
        <v>26631.619932073358</v>
      </c>
      <c r="G213" s="175">
        <f>'13. Desinvesteringen'!D496</f>
        <v>2006</v>
      </c>
      <c r="H213" s="175">
        <f>'13. Desinvesteringen'!G496</f>
        <v>2023</v>
      </c>
      <c r="I213" s="37" t="str">
        <f>'13. Desinvesteringen'!C496</f>
        <v>15 Compressorstations (TT-BT-AT)</v>
      </c>
      <c r="J213" s="165">
        <f>'13. Desinvesteringen'!F496</f>
        <v>0</v>
      </c>
      <c r="K213" s="38">
        <f>_xlfn.XLOOKUP(I213,'3. Input (des)investeringen '!$B$11:$B$89,'3. Input (des)investeringen '!$E$11:$E$89)</f>
        <v>1</v>
      </c>
      <c r="L213" s="48"/>
      <c r="M213" s="38">
        <f>_xlfn.XLOOKUP(I213,'3. Input (des)investeringen '!$B$11:$B$89,'3. Input (des)investeringen '!$D$11:$D$89,0)</f>
        <v>30</v>
      </c>
      <c r="N213" s="38">
        <f t="shared" si="86"/>
        <v>14.5</v>
      </c>
      <c r="P213" s="43">
        <f t="shared" si="102"/>
        <v>2148.8962290017812</v>
      </c>
      <c r="Q213" s="43">
        <f t="shared" si="102"/>
        <v>1956.2365670912766</v>
      </c>
      <c r="R213" s="43">
        <f t="shared" si="102"/>
        <v>1780.8498403865415</v>
      </c>
      <c r="S213" s="43">
        <f t="shared" si="102"/>
        <v>1621.1874409036102</v>
      </c>
      <c r="T213" s="43">
        <f t="shared" si="102"/>
        <v>1567.741701093601</v>
      </c>
      <c r="V213" s="43">
        <f t="shared" si="78"/>
        <v>183.66634435912661</v>
      </c>
      <c r="W213" s="43">
        <f t="shared" si="79"/>
        <v>183.66634435912658</v>
      </c>
      <c r="X213" s="43">
        <f t="shared" si="80"/>
        <v>183.66634435912658</v>
      </c>
      <c r="Y213" s="43">
        <f t="shared" si="81"/>
        <v>183.66634435912658</v>
      </c>
      <c r="Z213" s="43">
        <f t="shared" si="82"/>
        <v>183.66634435912658</v>
      </c>
      <c r="AB213" s="43">
        <f t="shared" si="87"/>
        <v>2332.5625733609077</v>
      </c>
      <c r="AC213" s="43">
        <f t="shared" si="88"/>
        <v>2139.9029114504033</v>
      </c>
      <c r="AD213" s="43">
        <f t="shared" si="89"/>
        <v>1964.5161847456679</v>
      </c>
      <c r="AE213" s="43">
        <f t="shared" si="90"/>
        <v>1804.8537852627369</v>
      </c>
      <c r="AF213" s="43">
        <f t="shared" si="91"/>
        <v>1751.4080454527275</v>
      </c>
      <c r="AH213" s="43">
        <f t="shared" si="92"/>
        <v>24299.057358712449</v>
      </c>
      <c r="AI213" s="43">
        <f t="shared" si="93"/>
        <v>22159.154447262044</v>
      </c>
      <c r="AJ213" s="43">
        <f t="shared" si="94"/>
        <v>20194.638262516375</v>
      </c>
      <c r="AK213" s="43">
        <f t="shared" si="95"/>
        <v>18389.784477253637</v>
      </c>
      <c r="AL213" s="43">
        <f t="shared" si="96"/>
        <v>16638.376431800909</v>
      </c>
      <c r="AN213" s="47">
        <f t="shared" si="97"/>
        <v>3328.8239250681181</v>
      </c>
      <c r="AO213" s="47">
        <f t="shared" si="98"/>
        <v>3270.0197882607672</v>
      </c>
      <c r="AP213" s="47">
        <f t="shared" si="99"/>
        <v>2994.4427361340031</v>
      </c>
      <c r="AQ213" s="47">
        <f t="shared" si="100"/>
        <v>2816.2919315116869</v>
      </c>
      <c r="AR213" s="43">
        <f t="shared" si="101"/>
        <v>2383.666349861162</v>
      </c>
      <c r="AY213" s="3"/>
    </row>
    <row r="214" spans="1:51">
      <c r="A214" s="226"/>
      <c r="B214" s="37">
        <f>'13. Desinvesteringen'!B497</f>
        <v>478</v>
      </c>
      <c r="C214" s="48"/>
      <c r="D214" s="48"/>
      <c r="E214" s="48"/>
      <c r="F214" s="354">
        <f>'5. Input GAW-waarde desinv.'!D173</f>
        <v>1462385.1890917395</v>
      </c>
      <c r="G214" s="175">
        <f>'13. Desinvesteringen'!D497</f>
        <v>2008</v>
      </c>
      <c r="H214" s="175">
        <f>'13. Desinvesteringen'!G497</f>
        <v>2023</v>
      </c>
      <c r="I214" s="37" t="str">
        <f>'13. Desinvesteringen'!C497</f>
        <v>15 Compressorstations (TT-BT-AT)</v>
      </c>
      <c r="J214" s="165">
        <f>'13. Desinvesteringen'!F497</f>
        <v>0</v>
      </c>
      <c r="K214" s="38">
        <f>_xlfn.XLOOKUP(I214,'3. Input (des)investeringen '!$B$11:$B$89,'3. Input (des)investeringen '!$E$11:$E$89)</f>
        <v>1</v>
      </c>
      <c r="L214" s="48"/>
      <c r="M214" s="38">
        <f>_xlfn.XLOOKUP(I214,'3. Input (des)investeringen '!$B$11:$B$89,'3. Input (des)investeringen '!$D$11:$D$89,0)</f>
        <v>30</v>
      </c>
      <c r="N214" s="38">
        <f t="shared" si="86"/>
        <v>16.5</v>
      </c>
      <c r="P214" s="43">
        <f t="shared" si="102"/>
        <v>103696.40431741427</v>
      </c>
      <c r="Q214" s="43">
        <f t="shared" si="102"/>
        <v>95526.384583314968</v>
      </c>
      <c r="R214" s="43">
        <f t="shared" si="102"/>
        <v>88000.063373720463</v>
      </c>
      <c r="S214" s="43">
        <f t="shared" si="102"/>
        <v>81066.725047306114</v>
      </c>
      <c r="T214" s="43">
        <f t="shared" si="102"/>
        <v>75828.567428864786</v>
      </c>
      <c r="V214" s="43">
        <f t="shared" si="78"/>
        <v>8862.9405399499356</v>
      </c>
      <c r="W214" s="43">
        <f t="shared" si="79"/>
        <v>8862.9405399499356</v>
      </c>
      <c r="X214" s="43">
        <f t="shared" si="80"/>
        <v>8862.9405399499356</v>
      </c>
      <c r="Y214" s="43">
        <f t="shared" si="81"/>
        <v>8862.9405399499356</v>
      </c>
      <c r="Z214" s="43">
        <f t="shared" si="82"/>
        <v>8862.9405399499356</v>
      </c>
      <c r="AB214" s="43">
        <f t="shared" si="87"/>
        <v>112559.34485736421</v>
      </c>
      <c r="AC214" s="43">
        <f t="shared" si="88"/>
        <v>104389.32512326491</v>
      </c>
      <c r="AD214" s="43">
        <f t="shared" si="89"/>
        <v>96863.0039136704</v>
      </c>
      <c r="AE214" s="43">
        <f t="shared" si="90"/>
        <v>89929.665587256051</v>
      </c>
      <c r="AF214" s="43">
        <f t="shared" si="91"/>
        <v>84691.507968814723</v>
      </c>
      <c r="AH214" s="43">
        <f t="shared" si="92"/>
        <v>1349825.8442343753</v>
      </c>
      <c r="AI214" s="43">
        <f t="shared" si="93"/>
        <v>1245436.5191111104</v>
      </c>
      <c r="AJ214" s="43">
        <f t="shared" si="94"/>
        <v>1148573.5151974401</v>
      </c>
      <c r="AK214" s="43">
        <f t="shared" si="95"/>
        <v>1058643.8496101841</v>
      </c>
      <c r="AL214" s="43">
        <f t="shared" si="96"/>
        <v>973952.34164136939</v>
      </c>
      <c r="AN214" s="47">
        <f t="shared" si="97"/>
        <v>167902.20447097361</v>
      </c>
      <c r="AO214" s="47">
        <f t="shared" si="98"/>
        <v>167906.58759793153</v>
      </c>
      <c r="AP214" s="47">
        <f t="shared" si="99"/>
        <v>155440.25318873982</v>
      </c>
      <c r="AQ214" s="47">
        <f t="shared" si="100"/>
        <v>148155.07731581619</v>
      </c>
      <c r="AR214" s="43">
        <f t="shared" si="101"/>
        <v>121701.69695118675</v>
      </c>
      <c r="AY214" s="3"/>
    </row>
    <row r="215" spans="1:51">
      <c r="A215" s="226"/>
      <c r="B215" s="37">
        <f>'13. Desinvesteringen'!B498</f>
        <v>479</v>
      </c>
      <c r="C215" s="48"/>
      <c r="D215" s="48"/>
      <c r="E215" s="48"/>
      <c r="F215" s="354">
        <f>'5. Input GAW-waarde desinv.'!D174</f>
        <v>26797.310321813446</v>
      </c>
      <c r="G215" s="175">
        <f>'13. Desinvesteringen'!D498</f>
        <v>2009</v>
      </c>
      <c r="H215" s="175">
        <f>'13. Desinvesteringen'!G498</f>
        <v>2023</v>
      </c>
      <c r="I215" s="37" t="str">
        <f>'13. Desinvesteringen'!C498</f>
        <v>15 Compressorstations (TT-BT-AT)</v>
      </c>
      <c r="J215" s="165">
        <f>'13. Desinvesteringen'!F498</f>
        <v>0</v>
      </c>
      <c r="K215" s="38">
        <f>_xlfn.XLOOKUP(I215,'3. Input (des)investeringen '!$B$11:$B$89,'3. Input (des)investeringen '!$E$11:$E$89)</f>
        <v>1</v>
      </c>
      <c r="L215" s="48"/>
      <c r="M215" s="38">
        <f>_xlfn.XLOOKUP(I215,'3. Input (des)investeringen '!$B$11:$B$89,'3. Input (des)investeringen '!$D$11:$D$89,0)</f>
        <v>30</v>
      </c>
      <c r="N215" s="38">
        <f t="shared" si="86"/>
        <v>17.5</v>
      </c>
      <c r="P215" s="43">
        <f t="shared" si="102"/>
        <v>1791.5916043726704</v>
      </c>
      <c r="Q215" s="43">
        <f t="shared" si="102"/>
        <v>1658.5019423335577</v>
      </c>
      <c r="R215" s="43">
        <f t="shared" si="102"/>
        <v>1535.2989409030652</v>
      </c>
      <c r="S215" s="43">
        <f t="shared" si="102"/>
        <v>1421.2481624359802</v>
      </c>
      <c r="T215" s="43">
        <f t="shared" si="102"/>
        <v>1315.6697275121646</v>
      </c>
      <c r="V215" s="43">
        <f t="shared" si="78"/>
        <v>153.12748755321968</v>
      </c>
      <c r="W215" s="43">
        <f t="shared" si="79"/>
        <v>153.12748755321971</v>
      </c>
      <c r="X215" s="43">
        <f t="shared" si="80"/>
        <v>153.12748755321971</v>
      </c>
      <c r="Y215" s="43">
        <f t="shared" si="81"/>
        <v>153.12748755321971</v>
      </c>
      <c r="Z215" s="43">
        <f t="shared" si="82"/>
        <v>153.12748755321971</v>
      </c>
      <c r="AB215" s="43">
        <f t="shared" si="87"/>
        <v>1944.7190919258901</v>
      </c>
      <c r="AC215" s="43">
        <f t="shared" si="88"/>
        <v>1811.6294298867774</v>
      </c>
      <c r="AD215" s="43">
        <f t="shared" si="89"/>
        <v>1688.4264284562848</v>
      </c>
      <c r="AE215" s="43">
        <f t="shared" si="90"/>
        <v>1574.3756499891999</v>
      </c>
      <c r="AF215" s="43">
        <f t="shared" si="91"/>
        <v>1468.7972150653843</v>
      </c>
      <c r="AH215" s="43">
        <f t="shared" si="92"/>
        <v>24852.591229887556</v>
      </c>
      <c r="AI215" s="43">
        <f t="shared" si="93"/>
        <v>23040.961800000779</v>
      </c>
      <c r="AJ215" s="43">
        <f t="shared" si="94"/>
        <v>21352.535371544494</v>
      </c>
      <c r="AK215" s="43">
        <f t="shared" si="95"/>
        <v>19778.159721555294</v>
      </c>
      <c r="AL215" s="43">
        <f t="shared" si="96"/>
        <v>18309.36250648991</v>
      </c>
      <c r="AN215" s="47">
        <f t="shared" si="97"/>
        <v>2963.6753323512798</v>
      </c>
      <c r="AO215" s="47">
        <f t="shared" si="98"/>
        <v>2986.7184816868171</v>
      </c>
      <c r="AP215" s="47">
        <f t="shared" si="99"/>
        <v>2777.4057324050541</v>
      </c>
      <c r="AQ215" s="47">
        <f t="shared" si="100"/>
        <v>2662.174434674741</v>
      </c>
      <c r="AR215" s="43">
        <f t="shared" si="101"/>
        <v>2164.5529903120009</v>
      </c>
      <c r="AY215" s="3"/>
    </row>
    <row r="216" spans="1:51">
      <c r="A216" s="226"/>
      <c r="B216" s="37">
        <f>'13. Desinvesteringen'!B499</f>
        <v>480</v>
      </c>
      <c r="C216" s="48"/>
      <c r="D216" s="48"/>
      <c r="E216" s="48"/>
      <c r="F216" s="354">
        <f>'5. Input GAW-waarde desinv.'!D175</f>
        <v>143440.45474083052</v>
      </c>
      <c r="G216" s="175">
        <f>'13. Desinvesteringen'!D499</f>
        <v>2010</v>
      </c>
      <c r="H216" s="175">
        <f>'13. Desinvesteringen'!G499</f>
        <v>2023</v>
      </c>
      <c r="I216" s="37" t="str">
        <f>'13. Desinvesteringen'!C499</f>
        <v>15 Compressorstations (TT-BT-AT)</v>
      </c>
      <c r="J216" s="165">
        <f>'13. Desinvesteringen'!F499</f>
        <v>0</v>
      </c>
      <c r="K216" s="38">
        <f>_xlfn.XLOOKUP(I216,'3. Input (des)investeringen '!$B$11:$B$89,'3. Input (des)investeringen '!$E$11:$E$89)</f>
        <v>1</v>
      </c>
      <c r="L216" s="48"/>
      <c r="M216" s="38">
        <f>_xlfn.XLOOKUP(I216,'3. Input (des)investeringen '!$B$11:$B$89,'3. Input (des)investeringen '!$D$11:$D$89,0)</f>
        <v>30</v>
      </c>
      <c r="N216" s="38">
        <f t="shared" si="86"/>
        <v>18.5</v>
      </c>
      <c r="P216" s="43">
        <f t="shared" si="102"/>
        <v>9071.6395700957692</v>
      </c>
      <c r="Q216" s="43">
        <f t="shared" si="102"/>
        <v>8434.1730057106597</v>
      </c>
      <c r="R216" s="43">
        <f t="shared" si="102"/>
        <v>7841.5013890931541</v>
      </c>
      <c r="S216" s="43">
        <f t="shared" si="102"/>
        <v>7290.4769671568783</v>
      </c>
      <c r="T216" s="43">
        <f t="shared" si="102"/>
        <v>6778.1731802755849</v>
      </c>
      <c r="V216" s="43">
        <f t="shared" si="78"/>
        <v>775.35380940989489</v>
      </c>
      <c r="W216" s="43">
        <f t="shared" si="79"/>
        <v>775.35380940989478</v>
      </c>
      <c r="X216" s="43">
        <f t="shared" si="80"/>
        <v>775.35380940989478</v>
      </c>
      <c r="Y216" s="43">
        <f t="shared" si="81"/>
        <v>775.35380940989478</v>
      </c>
      <c r="Z216" s="43">
        <f t="shared" si="82"/>
        <v>775.35380940989478</v>
      </c>
      <c r="AB216" s="43">
        <f t="shared" si="87"/>
        <v>9846.9933795056641</v>
      </c>
      <c r="AC216" s="43">
        <f t="shared" si="88"/>
        <v>9209.5268151205546</v>
      </c>
      <c r="AD216" s="43">
        <f t="shared" si="89"/>
        <v>8616.8551985030481</v>
      </c>
      <c r="AE216" s="43">
        <f t="shared" si="90"/>
        <v>8065.8307765667732</v>
      </c>
      <c r="AF216" s="43">
        <f t="shared" si="91"/>
        <v>7553.5269896854797</v>
      </c>
      <c r="AH216" s="43">
        <f t="shared" si="92"/>
        <v>133593.46136132485</v>
      </c>
      <c r="AI216" s="43">
        <f t="shared" si="93"/>
        <v>124383.9345462043</v>
      </c>
      <c r="AJ216" s="43">
        <f t="shared" si="94"/>
        <v>115767.07934770125</v>
      </c>
      <c r="AK216" s="43">
        <f t="shared" si="95"/>
        <v>107701.24857113448</v>
      </c>
      <c r="AL216" s="43">
        <f t="shared" si="96"/>
        <v>100147.721581449</v>
      </c>
      <c r="AN216" s="47">
        <f t="shared" si="97"/>
        <v>15324.325295319984</v>
      </c>
      <c r="AO216" s="47">
        <f t="shared" si="98"/>
        <v>15553.107476976973</v>
      </c>
      <c r="AP216" s="47">
        <f t="shared" si="99"/>
        <v>14520.976245235812</v>
      </c>
      <c r="AQ216" s="47">
        <f t="shared" si="100"/>
        <v>13989.399447979169</v>
      </c>
      <c r="AR216" s="43">
        <f t="shared" si="101"/>
        <v>11359.140409780543</v>
      </c>
      <c r="AY216" s="3"/>
    </row>
    <row r="217" spans="1:51">
      <c r="A217" s="226"/>
      <c r="B217" s="37">
        <f>'13. Desinvesteringen'!B500</f>
        <v>481</v>
      </c>
      <c r="C217" s="48"/>
      <c r="D217" s="48"/>
      <c r="E217" s="48"/>
      <c r="F217" s="354">
        <f>'5. Input GAW-waarde desinv.'!D176</f>
        <v>37686.268046364217</v>
      </c>
      <c r="G217" s="175">
        <f>'13. Desinvesteringen'!D500</f>
        <v>2011</v>
      </c>
      <c r="H217" s="175">
        <f>'13. Desinvesteringen'!G500</f>
        <v>2023</v>
      </c>
      <c r="I217" s="37" t="str">
        <f>'13. Desinvesteringen'!C500</f>
        <v>15 Compressorstations (TT-BT-AT)</v>
      </c>
      <c r="J217" s="165">
        <f>'13. Desinvesteringen'!F500</f>
        <v>0</v>
      </c>
      <c r="K217" s="38">
        <f>_xlfn.XLOOKUP(I217,'3. Input (des)investeringen '!$B$11:$B$89,'3. Input (des)investeringen '!$E$11:$E$89)</f>
        <v>1</v>
      </c>
      <c r="L217" s="48"/>
      <c r="M217" s="38">
        <f>_xlfn.XLOOKUP(I217,'3. Input (des)investeringen '!$B$11:$B$89,'3. Input (des)investeringen '!$D$11:$D$89,0)</f>
        <v>30</v>
      </c>
      <c r="N217" s="38">
        <f t="shared" si="86"/>
        <v>19.5</v>
      </c>
      <c r="P217" s="43">
        <f t="shared" si="102"/>
        <v>2261.176082781853</v>
      </c>
      <c r="Q217" s="43">
        <f t="shared" si="102"/>
        <v>2110.4310105963964</v>
      </c>
      <c r="R217" s="43">
        <f t="shared" si="102"/>
        <v>1969.7356098899697</v>
      </c>
      <c r="S217" s="43">
        <f t="shared" si="102"/>
        <v>1838.4199025639718</v>
      </c>
      <c r="T217" s="43">
        <f t="shared" si="102"/>
        <v>1715.8585757263738</v>
      </c>
      <c r="V217" s="43">
        <f t="shared" si="78"/>
        <v>193.26291305827806</v>
      </c>
      <c r="W217" s="43">
        <f t="shared" si="79"/>
        <v>193.26291305827803</v>
      </c>
      <c r="X217" s="43">
        <f t="shared" si="80"/>
        <v>193.26291305827803</v>
      </c>
      <c r="Y217" s="43">
        <f t="shared" si="81"/>
        <v>193.26291305827803</v>
      </c>
      <c r="Z217" s="43">
        <f t="shared" si="82"/>
        <v>193.26291305827803</v>
      </c>
      <c r="AB217" s="43">
        <f t="shared" si="87"/>
        <v>2454.4389958401312</v>
      </c>
      <c r="AC217" s="43">
        <f t="shared" si="88"/>
        <v>2303.6939236546746</v>
      </c>
      <c r="AD217" s="43">
        <f t="shared" si="89"/>
        <v>2162.9985229482477</v>
      </c>
      <c r="AE217" s="43">
        <f t="shared" si="90"/>
        <v>2031.6828156222498</v>
      </c>
      <c r="AF217" s="43">
        <f t="shared" si="91"/>
        <v>1909.1214887846518</v>
      </c>
      <c r="AH217" s="43">
        <f t="shared" si="92"/>
        <v>35231.829050524088</v>
      </c>
      <c r="AI217" s="43">
        <f t="shared" si="93"/>
        <v>32928.135126869412</v>
      </c>
      <c r="AJ217" s="43">
        <f t="shared" si="94"/>
        <v>30765.136603921164</v>
      </c>
      <c r="AK217" s="43">
        <f t="shared" si="95"/>
        <v>28733.453788298913</v>
      </c>
      <c r="AL217" s="43">
        <f t="shared" si="96"/>
        <v>26824.332299514263</v>
      </c>
      <c r="AN217" s="47">
        <f t="shared" si="97"/>
        <v>3898.9439869116186</v>
      </c>
      <c r="AO217" s="47">
        <f t="shared" si="98"/>
        <v>3983.0288151250143</v>
      </c>
      <c r="AP217" s="47">
        <f t="shared" si="99"/>
        <v>3732.0204897482272</v>
      </c>
      <c r="AQ217" s="47">
        <f t="shared" si="100"/>
        <v>3612.0227739786901</v>
      </c>
      <c r="AR217" s="43">
        <f t="shared" si="101"/>
        <v>2928.4461161661939</v>
      </c>
      <c r="AY217" s="3"/>
    </row>
    <row r="218" spans="1:51">
      <c r="A218" s="226"/>
      <c r="B218" s="37">
        <f>'13. Desinvesteringen'!B501</f>
        <v>482</v>
      </c>
      <c r="C218" s="48"/>
      <c r="D218" s="48"/>
      <c r="E218" s="48"/>
      <c r="F218" s="354">
        <f>'5. Input GAW-waarde desinv.'!D177</f>
        <v>5687877.4465793725</v>
      </c>
      <c r="G218" s="175">
        <f>'13. Desinvesteringen'!D501</f>
        <v>2012</v>
      </c>
      <c r="H218" s="175">
        <f>'13. Desinvesteringen'!G501</f>
        <v>2023</v>
      </c>
      <c r="I218" s="37" t="str">
        <f>'13. Desinvesteringen'!C501</f>
        <v>15 Compressorstations (TT-BT-AT)</v>
      </c>
      <c r="J218" s="165">
        <f>'13. Desinvesteringen'!F501</f>
        <v>0</v>
      </c>
      <c r="K218" s="38">
        <f>_xlfn.XLOOKUP(I218,'3. Input (des)investeringen '!$B$11:$B$89,'3. Input (des)investeringen '!$E$11:$E$89)</f>
        <v>1</v>
      </c>
      <c r="L218" s="48"/>
      <c r="M218" s="38">
        <f>_xlfn.XLOOKUP(I218,'3. Input (des)investeringen '!$B$11:$B$89,'3. Input (des)investeringen '!$D$11:$D$89,0)</f>
        <v>30</v>
      </c>
      <c r="N218" s="38">
        <f t="shared" si="86"/>
        <v>20.5</v>
      </c>
      <c r="P218" s="43">
        <f t="shared" si="102"/>
        <v>324625.20060965198</v>
      </c>
      <c r="Q218" s="43">
        <f t="shared" si="102"/>
        <v>304039.21227830823</v>
      </c>
      <c r="R218" s="43">
        <f t="shared" si="102"/>
        <v>284758.67686553742</v>
      </c>
      <c r="S218" s="43">
        <f t="shared" si="102"/>
        <v>266700.80955211306</v>
      </c>
      <c r="T218" s="43">
        <f t="shared" si="102"/>
        <v>249788.07528783273</v>
      </c>
      <c r="V218" s="43">
        <f t="shared" si="78"/>
        <v>27745.743641850597</v>
      </c>
      <c r="W218" s="43">
        <f t="shared" si="79"/>
        <v>27745.743641850597</v>
      </c>
      <c r="X218" s="43">
        <f t="shared" si="80"/>
        <v>27745.743641850597</v>
      </c>
      <c r="Y218" s="43">
        <f t="shared" si="81"/>
        <v>27745.743641850597</v>
      </c>
      <c r="Z218" s="43">
        <f t="shared" si="82"/>
        <v>27745.743641850597</v>
      </c>
      <c r="AB218" s="43">
        <f t="shared" si="87"/>
        <v>352370.94425150257</v>
      </c>
      <c r="AC218" s="43">
        <f t="shared" si="88"/>
        <v>331784.95592015883</v>
      </c>
      <c r="AD218" s="43">
        <f t="shared" si="89"/>
        <v>312504.42050738801</v>
      </c>
      <c r="AE218" s="43">
        <f t="shared" si="90"/>
        <v>294446.55319396366</v>
      </c>
      <c r="AF218" s="43">
        <f t="shared" si="91"/>
        <v>277533.8189296833</v>
      </c>
      <c r="AH218" s="43">
        <f t="shared" si="92"/>
        <v>5335506.5023278696</v>
      </c>
      <c r="AI218" s="43">
        <f t="shared" si="93"/>
        <v>5003721.5464077108</v>
      </c>
      <c r="AJ218" s="43">
        <f t="shared" si="94"/>
        <v>4691217.1259003226</v>
      </c>
      <c r="AK218" s="43">
        <f t="shared" si="95"/>
        <v>4396770.5727063585</v>
      </c>
      <c r="AL218" s="43">
        <f t="shared" si="96"/>
        <v>4119236.7537766751</v>
      </c>
      <c r="AN218" s="47">
        <f t="shared" si="97"/>
        <v>571126.71084694518</v>
      </c>
      <c r="AO218" s="47">
        <f t="shared" si="98"/>
        <v>586974.75478695205</v>
      </c>
      <c r="AP218" s="47">
        <f t="shared" si="99"/>
        <v>551756.49392830441</v>
      </c>
      <c r="AQ218" s="47">
        <f t="shared" si="100"/>
        <v>536268.93469281332</v>
      </c>
      <c r="AR218" s="43">
        <f t="shared" si="101"/>
        <v>434064.81557319697</v>
      </c>
      <c r="AY218" s="3"/>
    </row>
    <row r="219" spans="1:51">
      <c r="A219" s="226"/>
      <c r="B219" s="37">
        <f>'13. Desinvesteringen'!B502</f>
        <v>483</v>
      </c>
      <c r="C219" s="48"/>
      <c r="D219" s="48"/>
      <c r="E219" s="48"/>
      <c r="F219" s="354">
        <f>'5. Input GAW-waarde desinv.'!D178</f>
        <v>611283.63783680694</v>
      </c>
      <c r="G219" s="175">
        <f>'13. Desinvesteringen'!D502</f>
        <v>2014</v>
      </c>
      <c r="H219" s="175">
        <f>'13. Desinvesteringen'!G502</f>
        <v>2023</v>
      </c>
      <c r="I219" s="37" t="str">
        <f>'13. Desinvesteringen'!C502</f>
        <v>15 Compressorstations (TT-BT-AT)</v>
      </c>
      <c r="J219" s="165">
        <f>'13. Desinvesteringen'!F502</f>
        <v>0</v>
      </c>
      <c r="K219" s="38">
        <f>_xlfn.XLOOKUP(I219,'3. Input (des)investeringen '!$B$11:$B$89,'3. Input (des)investeringen '!$E$11:$E$89)</f>
        <v>1</v>
      </c>
      <c r="L219" s="48"/>
      <c r="M219" s="38">
        <f>_xlfn.XLOOKUP(I219,'3. Input (des)investeringen '!$B$11:$B$89,'3. Input (des)investeringen '!$D$11:$D$89,0)</f>
        <v>30</v>
      </c>
      <c r="N219" s="38">
        <f t="shared" si="86"/>
        <v>22.5</v>
      </c>
      <c r="P219" s="43">
        <f t="shared" si="102"/>
        <v>31786.749167513968</v>
      </c>
      <c r="Q219" s="43">
        <f t="shared" si="102"/>
        <v>29950.181437835377</v>
      </c>
      <c r="R219" s="43">
        <f t="shared" si="102"/>
        <v>28219.726510315999</v>
      </c>
      <c r="S219" s="43">
        <f t="shared" si="102"/>
        <v>26589.253423053295</v>
      </c>
      <c r="T219" s="43">
        <f t="shared" si="102"/>
        <v>25052.985447499104</v>
      </c>
      <c r="V219" s="43">
        <f t="shared" si="78"/>
        <v>2716.8161681635866</v>
      </c>
      <c r="W219" s="43">
        <f t="shared" si="79"/>
        <v>2716.8161681635866</v>
      </c>
      <c r="X219" s="43">
        <f t="shared" si="80"/>
        <v>2716.8161681635866</v>
      </c>
      <c r="Y219" s="43">
        <f t="shared" si="81"/>
        <v>2716.8161681635866</v>
      </c>
      <c r="Z219" s="43">
        <f t="shared" si="82"/>
        <v>2716.8161681635866</v>
      </c>
      <c r="AB219" s="43">
        <f t="shared" si="87"/>
        <v>34503.565335677558</v>
      </c>
      <c r="AC219" s="43">
        <f t="shared" si="88"/>
        <v>32666.997605998964</v>
      </c>
      <c r="AD219" s="43">
        <f t="shared" si="89"/>
        <v>30936.542678479585</v>
      </c>
      <c r="AE219" s="43">
        <f t="shared" si="90"/>
        <v>29306.069591216881</v>
      </c>
      <c r="AF219" s="43">
        <f t="shared" si="91"/>
        <v>27769.801615662691</v>
      </c>
      <c r="AH219" s="43">
        <f t="shared" si="92"/>
        <v>576780.07250112935</v>
      </c>
      <c r="AI219" s="43">
        <f t="shared" si="93"/>
        <v>544113.07489513035</v>
      </c>
      <c r="AJ219" s="43">
        <f t="shared" si="94"/>
        <v>513176.53221665078</v>
      </c>
      <c r="AK219" s="43">
        <f t="shared" si="95"/>
        <v>483870.46262543392</v>
      </c>
      <c r="AL219" s="43">
        <f t="shared" si="96"/>
        <v>456100.66100977123</v>
      </c>
      <c r="AN219" s="47">
        <f t="shared" si="97"/>
        <v>58151.548308223864</v>
      </c>
      <c r="AO219" s="47">
        <f t="shared" si="98"/>
        <v>60416.76442565061</v>
      </c>
      <c r="AP219" s="47">
        <f t="shared" si="99"/>
        <v>57108.545821528773</v>
      </c>
      <c r="AQ219" s="47">
        <f t="shared" si="100"/>
        <v>55918.945035615747</v>
      </c>
      <c r="AR219" s="43">
        <f t="shared" si="101"/>
        <v>45101.626734033998</v>
      </c>
      <c r="AY219" s="3"/>
    </row>
    <row r="220" spans="1:51">
      <c r="A220" s="226"/>
      <c r="B220" s="37">
        <f>'13. Desinvesteringen'!B503</f>
        <v>484</v>
      </c>
      <c r="C220" s="48"/>
      <c r="D220" s="48"/>
      <c r="E220" s="48"/>
      <c r="F220" s="354">
        <f>'5. Input GAW-waarde desinv.'!D179</f>
        <v>348308.75445981714</v>
      </c>
      <c r="G220" s="175">
        <f>'13. Desinvesteringen'!D503</f>
        <v>2015</v>
      </c>
      <c r="H220" s="175">
        <f>'13. Desinvesteringen'!G503</f>
        <v>2023</v>
      </c>
      <c r="I220" s="37" t="str">
        <f>'13. Desinvesteringen'!C503</f>
        <v>15 Compressorstations (TT-BT-AT)</v>
      </c>
      <c r="J220" s="165">
        <f>'13. Desinvesteringen'!F503</f>
        <v>0</v>
      </c>
      <c r="K220" s="38">
        <f>_xlfn.XLOOKUP(I220,'3. Input (des)investeringen '!$B$11:$B$89,'3. Input (des)investeringen '!$E$11:$E$89)</f>
        <v>1</v>
      </c>
      <c r="L220" s="48"/>
      <c r="M220" s="38">
        <f>_xlfn.XLOOKUP(I220,'3. Input (des)investeringen '!$B$11:$B$89,'3. Input (des)investeringen '!$D$11:$D$89,0)</f>
        <v>30</v>
      </c>
      <c r="N220" s="38">
        <f t="shared" si="86"/>
        <v>23.5</v>
      </c>
      <c r="P220" s="43">
        <f t="shared" si="102"/>
        <v>17341.329477361112</v>
      </c>
      <c r="Q220" s="43">
        <f t="shared" si="102"/>
        <v>16382.021889251773</v>
      </c>
      <c r="R220" s="43">
        <f t="shared" si="102"/>
        <v>15475.782380484654</v>
      </c>
      <c r="S220" s="43">
        <f t="shared" si="102"/>
        <v>14619.675270074862</v>
      </c>
      <c r="T220" s="43">
        <f t="shared" si="102"/>
        <v>13810.927276411147</v>
      </c>
      <c r="V220" s="43">
        <f t="shared" si="78"/>
        <v>1482.1649125949666</v>
      </c>
      <c r="W220" s="43">
        <f t="shared" si="79"/>
        <v>1482.1649125949666</v>
      </c>
      <c r="X220" s="43">
        <f t="shared" si="80"/>
        <v>1482.1649125949666</v>
      </c>
      <c r="Y220" s="43">
        <f t="shared" si="81"/>
        <v>1482.1649125949666</v>
      </c>
      <c r="Z220" s="43">
        <f t="shared" si="82"/>
        <v>1482.1649125949666</v>
      </c>
      <c r="AB220" s="43">
        <f t="shared" si="87"/>
        <v>18823.494389956079</v>
      </c>
      <c r="AC220" s="43">
        <f t="shared" si="88"/>
        <v>17864.186801846739</v>
      </c>
      <c r="AD220" s="43">
        <f t="shared" si="89"/>
        <v>16957.947293079622</v>
      </c>
      <c r="AE220" s="43">
        <f t="shared" si="90"/>
        <v>16101.840182669828</v>
      </c>
      <c r="AF220" s="43">
        <f t="shared" si="91"/>
        <v>15293.092189006113</v>
      </c>
      <c r="AH220" s="43">
        <f t="shared" si="92"/>
        <v>329485.26006986108</v>
      </c>
      <c r="AI220" s="43">
        <f t="shared" si="93"/>
        <v>311621.07326801436</v>
      </c>
      <c r="AJ220" s="43">
        <f t="shared" si="94"/>
        <v>294663.12597493472</v>
      </c>
      <c r="AK220" s="43">
        <f t="shared" si="95"/>
        <v>278561.28579226491</v>
      </c>
      <c r="AL220" s="43">
        <f t="shared" si="96"/>
        <v>263268.19360325881</v>
      </c>
      <c r="AN220" s="47">
        <f t="shared" si="97"/>
        <v>32332.390052820381</v>
      </c>
      <c r="AO220" s="47">
        <f t="shared" si="98"/>
        <v>33756.86153851547</v>
      </c>
      <c r="AP220" s="47">
        <f t="shared" si="99"/>
        <v>31985.766717801293</v>
      </c>
      <c r="AQ220" s="47">
        <f t="shared" si="100"/>
        <v>31422.710901244398</v>
      </c>
      <c r="AR220" s="43">
        <f t="shared" si="101"/>
        <v>25297.283545929946</v>
      </c>
      <c r="AY220" s="3"/>
    </row>
    <row r="221" spans="1:51">
      <c r="A221" s="226"/>
      <c r="B221" s="37">
        <f>'13. Desinvesteringen'!B504</f>
        <v>485</v>
      </c>
      <c r="C221" s="48"/>
      <c r="D221" s="48"/>
      <c r="E221" s="48"/>
      <c r="F221" s="354">
        <f>'5. Input GAW-waarde desinv.'!D180</f>
        <v>119705.82972723366</v>
      </c>
      <c r="G221" s="175">
        <f>'13. Desinvesteringen'!D504</f>
        <v>2016</v>
      </c>
      <c r="H221" s="175">
        <f>'13. Desinvesteringen'!G504</f>
        <v>2023</v>
      </c>
      <c r="I221" s="37" t="str">
        <f>'13. Desinvesteringen'!C504</f>
        <v>15 Compressorstations (TT-BT-AT)</v>
      </c>
      <c r="J221" s="165">
        <f>'13. Desinvesteringen'!F504</f>
        <v>0</v>
      </c>
      <c r="K221" s="38">
        <f>_xlfn.XLOOKUP(I221,'3. Input (des)investeringen '!$B$11:$B$89,'3. Input (des)investeringen '!$E$11:$E$89)</f>
        <v>1</v>
      </c>
      <c r="L221" s="48"/>
      <c r="M221" s="38">
        <f>_xlfn.XLOOKUP(I221,'3. Input (des)investeringen '!$B$11:$B$89,'3. Input (des)investeringen '!$D$11:$D$89,0)</f>
        <v>30</v>
      </c>
      <c r="N221" s="38">
        <f t="shared" si="86"/>
        <v>24.5</v>
      </c>
      <c r="P221" s="43">
        <f t="shared" si="102"/>
        <v>5716.5641135046289</v>
      </c>
      <c r="Q221" s="43">
        <f t="shared" si="102"/>
        <v>5413.2362217676491</v>
      </c>
      <c r="R221" s="43">
        <f t="shared" si="102"/>
        <v>5126.003279388141</v>
      </c>
      <c r="S221" s="43">
        <f t="shared" si="102"/>
        <v>4854.0112686450966</v>
      </c>
      <c r="T221" s="43">
        <f t="shared" si="102"/>
        <v>4596.4514870435205</v>
      </c>
      <c r="V221" s="43">
        <f t="shared" si="78"/>
        <v>488.59522337646399</v>
      </c>
      <c r="W221" s="43">
        <f t="shared" si="79"/>
        <v>488.59522337646399</v>
      </c>
      <c r="X221" s="43">
        <f t="shared" si="80"/>
        <v>488.59522337646399</v>
      </c>
      <c r="Y221" s="43">
        <f t="shared" si="81"/>
        <v>488.59522337646399</v>
      </c>
      <c r="Z221" s="43">
        <f t="shared" si="82"/>
        <v>488.59522337646399</v>
      </c>
      <c r="AB221" s="43">
        <f t="shared" si="87"/>
        <v>6205.1593368810927</v>
      </c>
      <c r="AC221" s="43">
        <f t="shared" si="88"/>
        <v>5901.8314451441129</v>
      </c>
      <c r="AD221" s="43">
        <f t="shared" si="89"/>
        <v>5614.5985027646047</v>
      </c>
      <c r="AE221" s="43">
        <f t="shared" si="90"/>
        <v>5342.6064920215604</v>
      </c>
      <c r="AF221" s="43">
        <f t="shared" si="91"/>
        <v>5085.0467104199843</v>
      </c>
      <c r="AH221" s="43">
        <f t="shared" si="92"/>
        <v>113500.67039035258</v>
      </c>
      <c r="AI221" s="43">
        <f t="shared" si="93"/>
        <v>107598.83894520847</v>
      </c>
      <c r="AJ221" s="43">
        <f t="shared" si="94"/>
        <v>101984.24044244386</v>
      </c>
      <c r="AK221" s="43">
        <f t="shared" si="95"/>
        <v>96641.6339504223</v>
      </c>
      <c r="AL221" s="43">
        <f t="shared" si="96"/>
        <v>91556.587240002322</v>
      </c>
      <c r="AN221" s="47">
        <f t="shared" si="97"/>
        <v>10858.686822885549</v>
      </c>
      <c r="AO221" s="47">
        <f t="shared" si="98"/>
        <v>11389.372231349746</v>
      </c>
      <c r="AP221" s="47">
        <f t="shared" si="99"/>
        <v>10815.794765329241</v>
      </c>
      <c r="AQ221" s="47">
        <f t="shared" si="100"/>
        <v>10657.896359294788</v>
      </c>
      <c r="AR221" s="43">
        <f t="shared" si="101"/>
        <v>8564.197025540072</v>
      </c>
      <c r="AY221" s="3"/>
    </row>
    <row r="222" spans="1:51">
      <c r="A222" s="226"/>
      <c r="B222" s="37">
        <f>'13. Desinvesteringen'!B505</f>
        <v>486</v>
      </c>
      <c r="C222" s="48"/>
      <c r="D222" s="48"/>
      <c r="E222" s="48"/>
      <c r="F222" s="354">
        <f>'5. Input GAW-waarde desinv.'!D181</f>
        <v>0</v>
      </c>
      <c r="G222" s="175">
        <f>'13. Desinvesteringen'!D505</f>
        <v>1977</v>
      </c>
      <c r="H222" s="175">
        <f>'13. Desinvesteringen'!G505</f>
        <v>2023</v>
      </c>
      <c r="I222" s="37" t="str">
        <f>'13. Desinvesteringen'!C505</f>
        <v>16 LNG installaties</v>
      </c>
      <c r="J222" s="165">
        <f>'13. Desinvesteringen'!F505</f>
        <v>0</v>
      </c>
      <c r="K222" s="38">
        <f>_xlfn.XLOOKUP(I222,'3. Input (des)investeringen '!$B$11:$B$89,'3. Input (des)investeringen '!$E$11:$E$89)</f>
        <v>0</v>
      </c>
      <c r="L222" s="48"/>
      <c r="M222" s="38">
        <f>_xlfn.XLOOKUP(I222,'3. Input (des)investeringen '!$B$11:$B$89,'3. Input (des)investeringen '!$D$11:$D$89,0)</f>
        <v>30</v>
      </c>
      <c r="N222" s="38">
        <f t="shared" si="86"/>
        <v>0</v>
      </c>
      <c r="P222" s="43">
        <f t="shared" ref="P222:T231" si="103">IF($M222&gt;0, IF(OR($G222&gt;P$50,$G222+$M222&lt;P$50),0,
VDB($F222,0,$N222,MAX(0,P$50-2022),MIN($N222,P$50-2021),$F$23,FALSE))*(1-$F$26), 0)</f>
        <v>0</v>
      </c>
      <c r="Q222" s="43">
        <f t="shared" si="103"/>
        <v>0</v>
      </c>
      <c r="R222" s="43">
        <f t="shared" si="103"/>
        <v>0</v>
      </c>
      <c r="S222" s="43">
        <f t="shared" si="103"/>
        <v>0</v>
      </c>
      <c r="T222" s="43">
        <f t="shared" si="103"/>
        <v>0</v>
      </c>
      <c r="V222" s="43">
        <f t="shared" si="78"/>
        <v>0</v>
      </c>
      <c r="W222" s="43">
        <f t="shared" si="79"/>
        <v>0</v>
      </c>
      <c r="X222" s="43">
        <f t="shared" si="80"/>
        <v>0</v>
      </c>
      <c r="Y222" s="43">
        <f t="shared" si="81"/>
        <v>0</v>
      </c>
      <c r="Z222" s="43">
        <f t="shared" si="82"/>
        <v>0</v>
      </c>
      <c r="AB222" s="43">
        <f t="shared" si="87"/>
        <v>0</v>
      </c>
      <c r="AC222" s="43">
        <f t="shared" si="88"/>
        <v>0</v>
      </c>
      <c r="AD222" s="43">
        <f t="shared" si="89"/>
        <v>0</v>
      </c>
      <c r="AE222" s="43">
        <f t="shared" si="90"/>
        <v>0</v>
      </c>
      <c r="AF222" s="43">
        <f t="shared" si="91"/>
        <v>0</v>
      </c>
      <c r="AH222" s="43">
        <f t="shared" si="92"/>
        <v>0</v>
      </c>
      <c r="AI222" s="43">
        <f t="shared" si="93"/>
        <v>0</v>
      </c>
      <c r="AJ222" s="43">
        <f t="shared" si="94"/>
        <v>0</v>
      </c>
      <c r="AK222" s="43">
        <f t="shared" si="95"/>
        <v>0</v>
      </c>
      <c r="AL222" s="43">
        <f t="shared" si="96"/>
        <v>0</v>
      </c>
      <c r="AN222" s="47">
        <f t="shared" si="97"/>
        <v>0</v>
      </c>
      <c r="AO222" s="47">
        <f t="shared" si="98"/>
        <v>0</v>
      </c>
      <c r="AP222" s="47">
        <f t="shared" si="99"/>
        <v>0</v>
      </c>
      <c r="AQ222" s="47">
        <f t="shared" si="100"/>
        <v>0</v>
      </c>
      <c r="AR222" s="43">
        <f t="shared" si="101"/>
        <v>0</v>
      </c>
      <c r="AY222" s="3"/>
    </row>
    <row r="223" spans="1:51">
      <c r="A223" s="226"/>
      <c r="B223" s="37">
        <f>'13. Desinvesteringen'!B506</f>
        <v>487</v>
      </c>
      <c r="C223" s="48"/>
      <c r="D223" s="48"/>
      <c r="E223" s="48"/>
      <c r="F223" s="354">
        <f>'5. Input GAW-waarde desinv.'!D182</f>
        <v>0</v>
      </c>
      <c r="G223" s="175">
        <f>'13. Desinvesteringen'!D506</f>
        <v>1985</v>
      </c>
      <c r="H223" s="175">
        <f>'13. Desinvesteringen'!G506</f>
        <v>2023</v>
      </c>
      <c r="I223" s="37" t="str">
        <f>'13. Desinvesteringen'!C506</f>
        <v>17 Mengstations</v>
      </c>
      <c r="J223" s="165">
        <f>'13. Desinvesteringen'!F506</f>
        <v>0</v>
      </c>
      <c r="K223" s="38">
        <f>_xlfn.XLOOKUP(I223,'3. Input (des)investeringen '!$B$11:$B$89,'3. Input (des)investeringen '!$E$11:$E$89)</f>
        <v>0</v>
      </c>
      <c r="L223" s="48"/>
      <c r="M223" s="38">
        <f>_xlfn.XLOOKUP(I223,'3. Input (des)investeringen '!$B$11:$B$89,'3. Input (des)investeringen '!$D$11:$D$89,0)</f>
        <v>30</v>
      </c>
      <c r="N223" s="38">
        <f t="shared" si="86"/>
        <v>0</v>
      </c>
      <c r="P223" s="43">
        <f t="shared" si="103"/>
        <v>0</v>
      </c>
      <c r="Q223" s="43">
        <f t="shared" si="103"/>
        <v>0</v>
      </c>
      <c r="R223" s="43">
        <f t="shared" si="103"/>
        <v>0</v>
      </c>
      <c r="S223" s="43">
        <f t="shared" si="103"/>
        <v>0</v>
      </c>
      <c r="T223" s="43">
        <f t="shared" si="103"/>
        <v>0</v>
      </c>
      <c r="V223" s="43">
        <f t="shared" si="78"/>
        <v>0</v>
      </c>
      <c r="W223" s="43">
        <f t="shared" si="79"/>
        <v>0</v>
      </c>
      <c r="X223" s="43">
        <f t="shared" si="80"/>
        <v>0</v>
      </c>
      <c r="Y223" s="43">
        <f t="shared" si="81"/>
        <v>0</v>
      </c>
      <c r="Z223" s="43">
        <f t="shared" si="82"/>
        <v>0</v>
      </c>
      <c r="AB223" s="43">
        <f t="shared" si="87"/>
        <v>0</v>
      </c>
      <c r="AC223" s="43">
        <f t="shared" si="88"/>
        <v>0</v>
      </c>
      <c r="AD223" s="43">
        <f t="shared" si="89"/>
        <v>0</v>
      </c>
      <c r="AE223" s="43">
        <f t="shared" si="90"/>
        <v>0</v>
      </c>
      <c r="AF223" s="43">
        <f t="shared" si="91"/>
        <v>0</v>
      </c>
      <c r="AH223" s="43">
        <f t="shared" si="92"/>
        <v>0</v>
      </c>
      <c r="AI223" s="43">
        <f t="shared" si="93"/>
        <v>0</v>
      </c>
      <c r="AJ223" s="43">
        <f t="shared" si="94"/>
        <v>0</v>
      </c>
      <c r="AK223" s="43">
        <f t="shared" si="95"/>
        <v>0</v>
      </c>
      <c r="AL223" s="43">
        <f t="shared" si="96"/>
        <v>0</v>
      </c>
      <c r="AN223" s="47">
        <f t="shared" si="97"/>
        <v>0</v>
      </c>
      <c r="AO223" s="47">
        <f t="shared" si="98"/>
        <v>0</v>
      </c>
      <c r="AP223" s="47">
        <f t="shared" si="99"/>
        <v>0</v>
      </c>
      <c r="AQ223" s="47">
        <f t="shared" si="100"/>
        <v>0</v>
      </c>
      <c r="AR223" s="43">
        <f t="shared" si="101"/>
        <v>0</v>
      </c>
      <c r="AY223" s="3"/>
    </row>
    <row r="224" spans="1:51">
      <c r="A224" s="226"/>
      <c r="B224" s="37">
        <f>'13. Desinvesteringen'!B507</f>
        <v>488</v>
      </c>
      <c r="C224" s="48"/>
      <c r="D224" s="48"/>
      <c r="E224" s="48"/>
      <c r="F224" s="354">
        <f>'5. Input GAW-waarde desinv.'!D183</f>
        <v>0</v>
      </c>
      <c r="G224" s="175">
        <f>'13. Desinvesteringen'!D507</f>
        <v>1988</v>
      </c>
      <c r="H224" s="175">
        <f>'13. Desinvesteringen'!G507</f>
        <v>2023</v>
      </c>
      <c r="I224" s="37" t="str">
        <f>'13. Desinvesteringen'!C507</f>
        <v>17 Mengstations</v>
      </c>
      <c r="J224" s="165">
        <f>'13. Desinvesteringen'!F507</f>
        <v>0</v>
      </c>
      <c r="K224" s="38">
        <f>_xlfn.XLOOKUP(I224,'3. Input (des)investeringen '!$B$11:$B$89,'3. Input (des)investeringen '!$E$11:$E$89)</f>
        <v>0</v>
      </c>
      <c r="L224" s="48"/>
      <c r="M224" s="38">
        <f>_xlfn.XLOOKUP(I224,'3. Input (des)investeringen '!$B$11:$B$89,'3. Input (des)investeringen '!$D$11:$D$89,0)</f>
        <v>30</v>
      </c>
      <c r="N224" s="38">
        <f t="shared" si="86"/>
        <v>0</v>
      </c>
      <c r="P224" s="43">
        <f t="shared" si="103"/>
        <v>0</v>
      </c>
      <c r="Q224" s="43">
        <f t="shared" si="103"/>
        <v>0</v>
      </c>
      <c r="R224" s="43">
        <f t="shared" si="103"/>
        <v>0</v>
      </c>
      <c r="S224" s="43">
        <f t="shared" si="103"/>
        <v>0</v>
      </c>
      <c r="T224" s="43">
        <f t="shared" si="103"/>
        <v>0</v>
      </c>
      <c r="V224" s="43">
        <f t="shared" si="78"/>
        <v>0</v>
      </c>
      <c r="W224" s="43">
        <f t="shared" si="79"/>
        <v>0</v>
      </c>
      <c r="X224" s="43">
        <f t="shared" si="80"/>
        <v>0</v>
      </c>
      <c r="Y224" s="43">
        <f t="shared" si="81"/>
        <v>0</v>
      </c>
      <c r="Z224" s="43">
        <f t="shared" si="82"/>
        <v>0</v>
      </c>
      <c r="AB224" s="43">
        <f t="shared" si="87"/>
        <v>0</v>
      </c>
      <c r="AC224" s="43">
        <f t="shared" si="88"/>
        <v>0</v>
      </c>
      <c r="AD224" s="43">
        <f t="shared" si="89"/>
        <v>0</v>
      </c>
      <c r="AE224" s="43">
        <f t="shared" si="90"/>
        <v>0</v>
      </c>
      <c r="AF224" s="43">
        <f t="shared" si="91"/>
        <v>0</v>
      </c>
      <c r="AH224" s="43">
        <f t="shared" si="92"/>
        <v>0</v>
      </c>
      <c r="AI224" s="43">
        <f t="shared" si="93"/>
        <v>0</v>
      </c>
      <c r="AJ224" s="43">
        <f t="shared" si="94"/>
        <v>0</v>
      </c>
      <c r="AK224" s="43">
        <f t="shared" si="95"/>
        <v>0</v>
      </c>
      <c r="AL224" s="43">
        <f t="shared" si="96"/>
        <v>0</v>
      </c>
      <c r="AN224" s="47">
        <f t="shared" si="97"/>
        <v>0</v>
      </c>
      <c r="AO224" s="47">
        <f t="shared" si="98"/>
        <v>0</v>
      </c>
      <c r="AP224" s="47">
        <f t="shared" si="99"/>
        <v>0</v>
      </c>
      <c r="AQ224" s="47">
        <f t="shared" si="100"/>
        <v>0</v>
      </c>
      <c r="AR224" s="43">
        <f t="shared" si="101"/>
        <v>0</v>
      </c>
      <c r="AY224" s="3"/>
    </row>
    <row r="225" spans="1:51">
      <c r="A225" s="226"/>
      <c r="B225" s="37">
        <f>'13. Desinvesteringen'!B508</f>
        <v>489</v>
      </c>
      <c r="C225" s="48"/>
      <c r="D225" s="48"/>
      <c r="E225" s="48"/>
      <c r="F225" s="354">
        <f>'5. Input GAW-waarde desinv.'!D184</f>
        <v>0</v>
      </c>
      <c r="G225" s="175">
        <f>'13. Desinvesteringen'!D508</f>
        <v>1990</v>
      </c>
      <c r="H225" s="175">
        <f>'13. Desinvesteringen'!G508</f>
        <v>2023</v>
      </c>
      <c r="I225" s="37" t="str">
        <f>'13. Desinvesteringen'!C508</f>
        <v>17 Mengstations</v>
      </c>
      <c r="J225" s="165">
        <f>'13. Desinvesteringen'!F508</f>
        <v>0</v>
      </c>
      <c r="K225" s="38">
        <f>_xlfn.XLOOKUP(I225,'3. Input (des)investeringen '!$B$11:$B$89,'3. Input (des)investeringen '!$E$11:$E$89)</f>
        <v>0</v>
      </c>
      <c r="L225" s="48"/>
      <c r="M225" s="38">
        <f>_xlfn.XLOOKUP(I225,'3. Input (des)investeringen '!$B$11:$B$89,'3. Input (des)investeringen '!$D$11:$D$89,0)</f>
        <v>30</v>
      </c>
      <c r="N225" s="38">
        <f t="shared" si="86"/>
        <v>0</v>
      </c>
      <c r="P225" s="43">
        <f t="shared" si="103"/>
        <v>0</v>
      </c>
      <c r="Q225" s="43">
        <f t="shared" si="103"/>
        <v>0</v>
      </c>
      <c r="R225" s="43">
        <f t="shared" si="103"/>
        <v>0</v>
      </c>
      <c r="S225" s="43">
        <f t="shared" si="103"/>
        <v>0</v>
      </c>
      <c r="T225" s="43">
        <f t="shared" si="103"/>
        <v>0</v>
      </c>
      <c r="V225" s="43">
        <f t="shared" si="78"/>
        <v>0</v>
      </c>
      <c r="W225" s="43">
        <f t="shared" si="79"/>
        <v>0</v>
      </c>
      <c r="X225" s="43">
        <f t="shared" si="80"/>
        <v>0</v>
      </c>
      <c r="Y225" s="43">
        <f t="shared" si="81"/>
        <v>0</v>
      </c>
      <c r="Z225" s="43">
        <f t="shared" si="82"/>
        <v>0</v>
      </c>
      <c r="AB225" s="43">
        <f t="shared" si="87"/>
        <v>0</v>
      </c>
      <c r="AC225" s="43">
        <f t="shared" si="88"/>
        <v>0</v>
      </c>
      <c r="AD225" s="43">
        <f t="shared" si="89"/>
        <v>0</v>
      </c>
      <c r="AE225" s="43">
        <f t="shared" si="90"/>
        <v>0</v>
      </c>
      <c r="AF225" s="43">
        <f t="shared" si="91"/>
        <v>0</v>
      </c>
      <c r="AH225" s="43">
        <f t="shared" si="92"/>
        <v>0</v>
      </c>
      <c r="AI225" s="43">
        <f t="shared" si="93"/>
        <v>0</v>
      </c>
      <c r="AJ225" s="43">
        <f t="shared" si="94"/>
        <v>0</v>
      </c>
      <c r="AK225" s="43">
        <f t="shared" si="95"/>
        <v>0</v>
      </c>
      <c r="AL225" s="43">
        <f t="shared" si="96"/>
        <v>0</v>
      </c>
      <c r="AN225" s="47">
        <f t="shared" si="97"/>
        <v>0</v>
      </c>
      <c r="AO225" s="47">
        <f t="shared" si="98"/>
        <v>0</v>
      </c>
      <c r="AP225" s="47">
        <f t="shared" si="99"/>
        <v>0</v>
      </c>
      <c r="AQ225" s="47">
        <f t="shared" si="100"/>
        <v>0</v>
      </c>
      <c r="AR225" s="43">
        <f t="shared" si="101"/>
        <v>0</v>
      </c>
      <c r="AY225" s="3"/>
    </row>
    <row r="226" spans="1:51">
      <c r="A226" s="226"/>
      <c r="B226" s="37">
        <f>'13. Desinvesteringen'!B509</f>
        <v>490</v>
      </c>
      <c r="C226" s="48"/>
      <c r="D226" s="48"/>
      <c r="E226" s="48"/>
      <c r="F226" s="354">
        <f>'5. Input GAW-waarde desinv.'!D185</f>
        <v>165539.3694759488</v>
      </c>
      <c r="G226" s="175">
        <f>'13. Desinvesteringen'!D509</f>
        <v>1992</v>
      </c>
      <c r="H226" s="175">
        <f>'13. Desinvesteringen'!G509</f>
        <v>2023</v>
      </c>
      <c r="I226" s="37" t="str">
        <f>'13. Desinvesteringen'!C509</f>
        <v>17 Mengstations</v>
      </c>
      <c r="J226" s="165">
        <f>'13. Desinvesteringen'!F509</f>
        <v>0</v>
      </c>
      <c r="K226" s="38">
        <f>_xlfn.XLOOKUP(I226,'3. Input (des)investeringen '!$B$11:$B$89,'3. Input (des)investeringen '!$E$11:$E$89)</f>
        <v>0</v>
      </c>
      <c r="L226" s="48"/>
      <c r="M226" s="38">
        <f>_xlfn.XLOOKUP(I226,'3. Input (des)investeringen '!$B$11:$B$89,'3. Input (des)investeringen '!$D$11:$D$89,0)</f>
        <v>30</v>
      </c>
      <c r="N226" s="38">
        <f t="shared" si="86"/>
        <v>0.5</v>
      </c>
      <c r="P226" s="43">
        <f t="shared" si="103"/>
        <v>148985.43252835394</v>
      </c>
      <c r="Q226" s="43">
        <f t="shared" si="103"/>
        <v>0</v>
      </c>
      <c r="R226" s="43">
        <f t="shared" si="103"/>
        <v>0</v>
      </c>
      <c r="S226" s="43">
        <f t="shared" si="103"/>
        <v>0</v>
      </c>
      <c r="T226" s="43">
        <f t="shared" si="103"/>
        <v>0</v>
      </c>
      <c r="V226" s="43">
        <f t="shared" si="78"/>
        <v>16553.936947594881</v>
      </c>
      <c r="W226" s="43">
        <f t="shared" si="79"/>
        <v>0</v>
      </c>
      <c r="X226" s="43">
        <f t="shared" si="80"/>
        <v>0</v>
      </c>
      <c r="Y226" s="43">
        <f t="shared" si="81"/>
        <v>0</v>
      </c>
      <c r="Z226" s="43">
        <f t="shared" si="82"/>
        <v>0</v>
      </c>
      <c r="AB226" s="43">
        <f t="shared" si="87"/>
        <v>165539.36947594883</v>
      </c>
      <c r="AC226" s="43">
        <f t="shared" si="88"/>
        <v>0</v>
      </c>
      <c r="AD226" s="43">
        <f t="shared" si="89"/>
        <v>0</v>
      </c>
      <c r="AE226" s="43">
        <f t="shared" si="90"/>
        <v>0</v>
      </c>
      <c r="AF226" s="43">
        <f t="shared" si="91"/>
        <v>0</v>
      </c>
      <c r="AH226" s="43">
        <f t="shared" si="92"/>
        <v>0</v>
      </c>
      <c r="AI226" s="43">
        <f t="shared" si="93"/>
        <v>0</v>
      </c>
      <c r="AJ226" s="43">
        <f t="shared" si="94"/>
        <v>0</v>
      </c>
      <c r="AK226" s="43">
        <f t="shared" si="95"/>
        <v>0</v>
      </c>
      <c r="AL226" s="43">
        <f t="shared" si="96"/>
        <v>0</v>
      </c>
      <c r="AN226" s="47">
        <f t="shared" si="97"/>
        <v>165539.36947594883</v>
      </c>
      <c r="AO226" s="47">
        <f t="shared" si="98"/>
        <v>0</v>
      </c>
      <c r="AP226" s="47">
        <f t="shared" si="99"/>
        <v>0</v>
      </c>
      <c r="AQ226" s="47">
        <f t="shared" si="100"/>
        <v>0</v>
      </c>
      <c r="AR226" s="43">
        <f t="shared" si="101"/>
        <v>0</v>
      </c>
      <c r="AY226" s="3"/>
    </row>
    <row r="227" spans="1:51">
      <c r="A227" s="226"/>
      <c r="B227" s="37">
        <f>'13. Desinvesteringen'!B510</f>
        <v>491</v>
      </c>
      <c r="C227" s="48"/>
      <c r="D227" s="48"/>
      <c r="E227" s="48"/>
      <c r="F227" s="354">
        <f>'5. Input GAW-waarde desinv.'!D186</f>
        <v>487022.63956122473</v>
      </c>
      <c r="G227" s="175">
        <f>'13. Desinvesteringen'!D510</f>
        <v>1995</v>
      </c>
      <c r="H227" s="175">
        <f>'13. Desinvesteringen'!G510</f>
        <v>2023</v>
      </c>
      <c r="I227" s="37" t="str">
        <f>'13. Desinvesteringen'!C510</f>
        <v>17 Mengstations</v>
      </c>
      <c r="J227" s="165">
        <f>'13. Desinvesteringen'!F510</f>
        <v>0</v>
      </c>
      <c r="K227" s="38">
        <f>_xlfn.XLOOKUP(I227,'3. Input (des)investeringen '!$B$11:$B$89,'3. Input (des)investeringen '!$E$11:$E$89)</f>
        <v>0</v>
      </c>
      <c r="L227" s="48"/>
      <c r="M227" s="38">
        <f>_xlfn.XLOOKUP(I227,'3. Input (des)investeringen '!$B$11:$B$89,'3. Input (des)investeringen '!$D$11:$D$89,0)</f>
        <v>30</v>
      </c>
      <c r="N227" s="38">
        <f t="shared" si="86"/>
        <v>3.5</v>
      </c>
      <c r="P227" s="43">
        <f t="shared" si="103"/>
        <v>162804.71093903799</v>
      </c>
      <c r="Q227" s="43">
        <f t="shared" si="103"/>
        <v>110206.26586642572</v>
      </c>
      <c r="R227" s="43">
        <f t="shared" si="103"/>
        <v>110206.26586642572</v>
      </c>
      <c r="S227" s="43">
        <f t="shared" si="103"/>
        <v>55103.132933212859</v>
      </c>
      <c r="T227" s="43">
        <f t="shared" si="103"/>
        <v>0</v>
      </c>
      <c r="V227" s="43">
        <f t="shared" si="78"/>
        <v>13914.932558892135</v>
      </c>
      <c r="W227" s="43">
        <f t="shared" si="79"/>
        <v>13914.932558892138</v>
      </c>
      <c r="X227" s="43">
        <f t="shared" si="80"/>
        <v>13914.932558892138</v>
      </c>
      <c r="Y227" s="43">
        <f t="shared" si="81"/>
        <v>6957.4662794460692</v>
      </c>
      <c r="Z227" s="43">
        <f t="shared" si="82"/>
        <v>0</v>
      </c>
      <c r="AB227" s="43">
        <f t="shared" si="87"/>
        <v>176719.64349793014</v>
      </c>
      <c r="AC227" s="43">
        <f t="shared" si="88"/>
        <v>124121.19842531785</v>
      </c>
      <c r="AD227" s="43">
        <f t="shared" si="89"/>
        <v>124121.19842531785</v>
      </c>
      <c r="AE227" s="43">
        <f t="shared" si="90"/>
        <v>62060.599212658926</v>
      </c>
      <c r="AF227" s="43">
        <f t="shared" si="91"/>
        <v>0</v>
      </c>
      <c r="AH227" s="43">
        <f t="shared" si="92"/>
        <v>310302.99606329459</v>
      </c>
      <c r="AI227" s="43">
        <f t="shared" si="93"/>
        <v>186181.79763797674</v>
      </c>
      <c r="AJ227" s="43">
        <f t="shared" si="94"/>
        <v>62060.599212658883</v>
      </c>
      <c r="AK227" s="43">
        <f t="shared" si="95"/>
        <v>0</v>
      </c>
      <c r="AL227" s="43">
        <f t="shared" si="96"/>
        <v>0</v>
      </c>
      <c r="AN227" s="47">
        <f t="shared" si="97"/>
        <v>189442.06633652523</v>
      </c>
      <c r="AO227" s="47">
        <f t="shared" si="98"/>
        <v>133616.47010485467</v>
      </c>
      <c r="AP227" s="47">
        <f t="shared" si="99"/>
        <v>127286.28898516345</v>
      </c>
      <c r="AQ227" s="47">
        <f t="shared" si="100"/>
        <v>62060.599212658926</v>
      </c>
      <c r="AR227" s="43">
        <f t="shared" si="101"/>
        <v>0</v>
      </c>
      <c r="AY227" s="3"/>
    </row>
    <row r="228" spans="1:51">
      <c r="A228" s="226"/>
      <c r="B228" s="37">
        <f>'13. Desinvesteringen'!B511</f>
        <v>492</v>
      </c>
      <c r="C228" s="48"/>
      <c r="D228" s="48"/>
      <c r="E228" s="48"/>
      <c r="F228" s="354">
        <f>'5. Input GAW-waarde desinv.'!D187</f>
        <v>2791.7858330904492</v>
      </c>
      <c r="G228" s="175">
        <f>'13. Desinvesteringen'!D511</f>
        <v>1996</v>
      </c>
      <c r="H228" s="175">
        <f>'13. Desinvesteringen'!G511</f>
        <v>2023</v>
      </c>
      <c r="I228" s="37" t="str">
        <f>'13. Desinvesteringen'!C511</f>
        <v>17 Mengstations</v>
      </c>
      <c r="J228" s="165">
        <f>'13. Desinvesteringen'!F511</f>
        <v>0</v>
      </c>
      <c r="K228" s="38">
        <f>_xlfn.XLOOKUP(I228,'3. Input (des)investeringen '!$B$11:$B$89,'3. Input (des)investeringen '!$E$11:$E$89)</f>
        <v>0</v>
      </c>
      <c r="L228" s="48"/>
      <c r="M228" s="38">
        <f>_xlfn.XLOOKUP(I228,'3. Input (des)investeringen '!$B$11:$B$89,'3. Input (des)investeringen '!$D$11:$D$89,0)</f>
        <v>30</v>
      </c>
      <c r="N228" s="38">
        <f t="shared" si="86"/>
        <v>4.5</v>
      </c>
      <c r="P228" s="43">
        <f t="shared" si="103"/>
        <v>725.86431660351684</v>
      </c>
      <c r="Q228" s="43">
        <f t="shared" si="103"/>
        <v>516.17018069583412</v>
      </c>
      <c r="R228" s="43">
        <f t="shared" si="103"/>
        <v>508.22910099282126</v>
      </c>
      <c r="S228" s="43">
        <f t="shared" si="103"/>
        <v>508.22910099282126</v>
      </c>
      <c r="T228" s="43">
        <f t="shared" si="103"/>
        <v>254.11455049641063</v>
      </c>
      <c r="V228" s="43">
        <f t="shared" si="78"/>
        <v>62.039685179787767</v>
      </c>
      <c r="W228" s="43">
        <f t="shared" si="79"/>
        <v>62.039685179787767</v>
      </c>
      <c r="X228" s="43">
        <f t="shared" si="80"/>
        <v>62.039685179787767</v>
      </c>
      <c r="Y228" s="43">
        <f t="shared" si="81"/>
        <v>62.039685179787767</v>
      </c>
      <c r="Z228" s="43">
        <f t="shared" si="82"/>
        <v>31.019842589893884</v>
      </c>
      <c r="AB228" s="43">
        <f t="shared" si="87"/>
        <v>787.90400178330458</v>
      </c>
      <c r="AC228" s="43">
        <f t="shared" si="88"/>
        <v>578.20986587562186</v>
      </c>
      <c r="AD228" s="43">
        <f t="shared" si="89"/>
        <v>570.268786172609</v>
      </c>
      <c r="AE228" s="43">
        <f t="shared" si="90"/>
        <v>570.268786172609</v>
      </c>
      <c r="AF228" s="43">
        <f t="shared" si="91"/>
        <v>285.1343930863045</v>
      </c>
      <c r="AH228" s="43">
        <f t="shared" si="92"/>
        <v>2003.8818313071447</v>
      </c>
      <c r="AI228" s="43">
        <f t="shared" si="93"/>
        <v>1425.6719654315229</v>
      </c>
      <c r="AJ228" s="43">
        <f t="shared" si="94"/>
        <v>855.40317925891395</v>
      </c>
      <c r="AK228" s="43">
        <f t="shared" si="95"/>
        <v>285.13439308630495</v>
      </c>
      <c r="AL228" s="43">
        <f t="shared" si="96"/>
        <v>0</v>
      </c>
      <c r="AN228" s="47">
        <f t="shared" si="97"/>
        <v>870.06315686689754</v>
      </c>
      <c r="AO228" s="47">
        <f t="shared" si="98"/>
        <v>650.91913611262953</v>
      </c>
      <c r="AP228" s="47">
        <f t="shared" si="99"/>
        <v>613.89434831481356</v>
      </c>
      <c r="AQ228" s="47">
        <f t="shared" si="100"/>
        <v>585.95117779235579</v>
      </c>
      <c r="AR228" s="43">
        <f t="shared" si="101"/>
        <v>285.1343930863045</v>
      </c>
      <c r="AY228" s="3"/>
    </row>
    <row r="229" spans="1:51">
      <c r="A229" s="226"/>
      <c r="B229" s="37">
        <f>'13. Desinvesteringen'!B512</f>
        <v>493</v>
      </c>
      <c r="C229" s="48"/>
      <c r="D229" s="48"/>
      <c r="E229" s="48"/>
      <c r="F229" s="354">
        <f>'5. Input GAW-waarde desinv.'!D188</f>
        <v>9448.553239950219</v>
      </c>
      <c r="G229" s="175">
        <f>'13. Desinvesteringen'!D512</f>
        <v>1998</v>
      </c>
      <c r="H229" s="175">
        <f>'13. Desinvesteringen'!G512</f>
        <v>2023</v>
      </c>
      <c r="I229" s="37" t="str">
        <f>'13. Desinvesteringen'!C512</f>
        <v>17 Mengstations</v>
      </c>
      <c r="J229" s="165">
        <f>'13. Desinvesteringen'!F512</f>
        <v>0</v>
      </c>
      <c r="K229" s="38">
        <f>_xlfn.XLOOKUP(I229,'3. Input (des)investeringen '!$B$11:$B$89,'3. Input (des)investeringen '!$E$11:$E$89)</f>
        <v>0</v>
      </c>
      <c r="L229" s="48"/>
      <c r="M229" s="38">
        <f>_xlfn.XLOOKUP(I229,'3. Input (des)investeringen '!$B$11:$B$89,'3. Input (des)investeringen '!$D$11:$D$89,0)</f>
        <v>30</v>
      </c>
      <c r="N229" s="38">
        <f t="shared" si="86"/>
        <v>6.5</v>
      </c>
      <c r="P229" s="43">
        <f t="shared" si="103"/>
        <v>1700.7395831910396</v>
      </c>
      <c r="Q229" s="43">
        <f t="shared" si="103"/>
        <v>1360.5916665528316</v>
      </c>
      <c r="R229" s="43">
        <f t="shared" si="103"/>
        <v>1209.4148147136282</v>
      </c>
      <c r="S229" s="43">
        <f t="shared" si="103"/>
        <v>1209.4148147136282</v>
      </c>
      <c r="T229" s="43">
        <f t="shared" si="103"/>
        <v>1209.4148147136282</v>
      </c>
      <c r="V229" s="43">
        <f t="shared" si="78"/>
        <v>145.36235753769569</v>
      </c>
      <c r="W229" s="43">
        <f t="shared" si="79"/>
        <v>145.36235753769569</v>
      </c>
      <c r="X229" s="43">
        <f t="shared" si="80"/>
        <v>145.36235753769569</v>
      </c>
      <c r="Y229" s="43">
        <f t="shared" si="81"/>
        <v>145.36235753769569</v>
      </c>
      <c r="Z229" s="43">
        <f t="shared" si="82"/>
        <v>145.36235753769569</v>
      </c>
      <c r="AB229" s="43">
        <f t="shared" si="87"/>
        <v>1846.1019407287354</v>
      </c>
      <c r="AC229" s="43">
        <f t="shared" si="88"/>
        <v>1505.9540240905274</v>
      </c>
      <c r="AD229" s="43">
        <f t="shared" si="89"/>
        <v>1354.7771722513239</v>
      </c>
      <c r="AE229" s="43">
        <f t="shared" si="90"/>
        <v>1354.7771722513239</v>
      </c>
      <c r="AF229" s="43">
        <f t="shared" si="91"/>
        <v>1354.7771722513239</v>
      </c>
      <c r="AH229" s="43">
        <f t="shared" si="92"/>
        <v>7602.4512992214841</v>
      </c>
      <c r="AI229" s="43">
        <f t="shared" si="93"/>
        <v>6096.497275130957</v>
      </c>
      <c r="AJ229" s="43">
        <f t="shared" si="94"/>
        <v>4741.7201028796335</v>
      </c>
      <c r="AK229" s="43">
        <f t="shared" si="95"/>
        <v>3386.9429306283096</v>
      </c>
      <c r="AL229" s="43">
        <f t="shared" si="96"/>
        <v>2032.1657583769857</v>
      </c>
      <c r="AN229" s="47">
        <f t="shared" si="97"/>
        <v>2157.8024439968162</v>
      </c>
      <c r="AO229" s="47">
        <f t="shared" si="98"/>
        <v>1816.8753851222061</v>
      </c>
      <c r="AP229" s="47">
        <f t="shared" si="99"/>
        <v>1596.6048974981852</v>
      </c>
      <c r="AQ229" s="47">
        <f t="shared" si="100"/>
        <v>1541.059033435881</v>
      </c>
      <c r="AR229" s="43">
        <f t="shared" si="101"/>
        <v>1431.9994710696494</v>
      </c>
      <c r="AY229" s="3"/>
    </row>
    <row r="230" spans="1:51">
      <c r="A230" s="226"/>
      <c r="B230" s="37">
        <f>'13. Desinvesteringen'!B513</f>
        <v>494</v>
      </c>
      <c r="C230" s="48"/>
      <c r="D230" s="48"/>
      <c r="E230" s="48"/>
      <c r="F230" s="354">
        <f>'5. Input GAW-waarde desinv.'!D189</f>
        <v>124976.62709455805</v>
      </c>
      <c r="G230" s="175">
        <f>'13. Desinvesteringen'!D513</f>
        <v>2001</v>
      </c>
      <c r="H230" s="175">
        <f>'13. Desinvesteringen'!G513</f>
        <v>2023</v>
      </c>
      <c r="I230" s="37" t="str">
        <f>'13. Desinvesteringen'!C513</f>
        <v>17 Mengstations</v>
      </c>
      <c r="J230" s="165">
        <f>'13. Desinvesteringen'!F513</f>
        <v>0</v>
      </c>
      <c r="K230" s="38">
        <f>_xlfn.XLOOKUP(I230,'3. Input (des)investeringen '!$B$11:$B$89,'3. Input (des)investeringen '!$E$11:$E$89)</f>
        <v>0</v>
      </c>
      <c r="L230" s="48"/>
      <c r="M230" s="38">
        <f>_xlfn.XLOOKUP(I230,'3. Input (des)investeringen '!$B$11:$B$89,'3. Input (des)investeringen '!$D$11:$D$89,0)</f>
        <v>30</v>
      </c>
      <c r="N230" s="38">
        <f t="shared" si="86"/>
        <v>9.5</v>
      </c>
      <c r="P230" s="43">
        <f t="shared" si="103"/>
        <v>15391.85828427715</v>
      </c>
      <c r="Q230" s="43">
        <f t="shared" si="103"/>
        <v>13285.603992744487</v>
      </c>
      <c r="R230" s="43">
        <f t="shared" si="103"/>
        <v>11467.573972684715</v>
      </c>
      <c r="S230" s="43">
        <f t="shared" si="103"/>
        <v>11128.296636214753</v>
      </c>
      <c r="T230" s="43">
        <f t="shared" si="103"/>
        <v>11128.296636214753</v>
      </c>
      <c r="V230" s="43">
        <f t="shared" si="78"/>
        <v>1315.5434431006111</v>
      </c>
      <c r="W230" s="43">
        <f t="shared" si="79"/>
        <v>1315.5434431006111</v>
      </c>
      <c r="X230" s="43">
        <f t="shared" si="80"/>
        <v>1315.5434431006111</v>
      </c>
      <c r="Y230" s="43">
        <f t="shared" si="81"/>
        <v>1315.5434431006111</v>
      </c>
      <c r="Z230" s="43">
        <f t="shared" si="82"/>
        <v>1315.5434431006111</v>
      </c>
      <c r="AB230" s="43">
        <f t="shared" si="87"/>
        <v>16707.401727377761</v>
      </c>
      <c r="AC230" s="43">
        <f t="shared" si="88"/>
        <v>14601.147435845098</v>
      </c>
      <c r="AD230" s="43">
        <f t="shared" si="89"/>
        <v>12783.117415785326</v>
      </c>
      <c r="AE230" s="43">
        <f t="shared" si="90"/>
        <v>12443.840079315363</v>
      </c>
      <c r="AF230" s="43">
        <f t="shared" si="91"/>
        <v>12443.840079315363</v>
      </c>
      <c r="AH230" s="43">
        <f t="shared" si="92"/>
        <v>108269.22536718029</v>
      </c>
      <c r="AI230" s="43">
        <f t="shared" si="93"/>
        <v>93668.077931335196</v>
      </c>
      <c r="AJ230" s="43">
        <f t="shared" si="94"/>
        <v>80884.960515549872</v>
      </c>
      <c r="AK230" s="43">
        <f t="shared" si="95"/>
        <v>68441.120436234516</v>
      </c>
      <c r="AL230" s="43">
        <f t="shared" si="96"/>
        <v>55997.280356919153</v>
      </c>
      <c r="AN230" s="47">
        <f t="shared" si="97"/>
        <v>21146.439967432154</v>
      </c>
      <c r="AO230" s="47">
        <f t="shared" si="98"/>
        <v>19378.21941034319</v>
      </c>
      <c r="AP230" s="47">
        <f t="shared" si="99"/>
        <v>16908.250402078367</v>
      </c>
      <c r="AQ230" s="47">
        <f t="shared" si="100"/>
        <v>16208.101703308261</v>
      </c>
      <c r="AR230" s="43">
        <f t="shared" si="101"/>
        <v>14571.736732878291</v>
      </c>
      <c r="AY230" s="3"/>
    </row>
    <row r="231" spans="1:51">
      <c r="A231" s="226"/>
      <c r="B231" s="37">
        <f>'13. Desinvesteringen'!B514</f>
        <v>495</v>
      </c>
      <c r="C231" s="48"/>
      <c r="D231" s="48"/>
      <c r="E231" s="48"/>
      <c r="F231" s="354">
        <f>'5. Input GAW-waarde desinv.'!D190</f>
        <v>18067.471447845164</v>
      </c>
      <c r="G231" s="175">
        <f>'13. Desinvesteringen'!D514</f>
        <v>2003</v>
      </c>
      <c r="H231" s="175">
        <f>'13. Desinvesteringen'!G514</f>
        <v>2023</v>
      </c>
      <c r="I231" s="37" t="str">
        <f>'13. Desinvesteringen'!C514</f>
        <v>17 Mengstations</v>
      </c>
      <c r="J231" s="165">
        <f>'13. Desinvesteringen'!F514</f>
        <v>0</v>
      </c>
      <c r="K231" s="38">
        <f>_xlfn.XLOOKUP(I231,'3. Input (des)investeringen '!$B$11:$B$89,'3. Input (des)investeringen '!$E$11:$E$89)</f>
        <v>0</v>
      </c>
      <c r="L231" s="48"/>
      <c r="M231" s="38">
        <f>_xlfn.XLOOKUP(I231,'3. Input (des)investeringen '!$B$11:$B$89,'3. Input (des)investeringen '!$D$11:$D$89,0)</f>
        <v>30</v>
      </c>
      <c r="N231" s="38">
        <f t="shared" si="86"/>
        <v>11.5</v>
      </c>
      <c r="P231" s="43">
        <f t="shared" si="103"/>
        <v>1838.1688342590298</v>
      </c>
      <c r="Q231" s="43">
        <f t="shared" si="103"/>
        <v>1630.3758356036612</v>
      </c>
      <c r="R231" s="43">
        <f t="shared" si="103"/>
        <v>1446.0724802745515</v>
      </c>
      <c r="S231" s="43">
        <f t="shared" si="103"/>
        <v>1334.8361356380476</v>
      </c>
      <c r="T231" s="43">
        <f t="shared" si="103"/>
        <v>1334.8361356380476</v>
      </c>
      <c r="V231" s="43">
        <f t="shared" si="78"/>
        <v>157.10844737256664</v>
      </c>
      <c r="W231" s="43">
        <f t="shared" si="79"/>
        <v>157.10844737256664</v>
      </c>
      <c r="X231" s="43">
        <f t="shared" si="80"/>
        <v>157.10844737256664</v>
      </c>
      <c r="Y231" s="43">
        <f t="shared" si="81"/>
        <v>157.10844737256664</v>
      </c>
      <c r="Z231" s="43">
        <f t="shared" si="82"/>
        <v>157.10844737256664</v>
      </c>
      <c r="AB231" s="43">
        <f t="shared" si="87"/>
        <v>1995.2772816315965</v>
      </c>
      <c r="AC231" s="43">
        <f t="shared" si="88"/>
        <v>1787.4842829762279</v>
      </c>
      <c r="AD231" s="43">
        <f t="shared" si="89"/>
        <v>1603.1809276471181</v>
      </c>
      <c r="AE231" s="43">
        <f t="shared" si="90"/>
        <v>1491.9445830106142</v>
      </c>
      <c r="AF231" s="43">
        <f t="shared" si="91"/>
        <v>1491.9445830106142</v>
      </c>
      <c r="AH231" s="43">
        <f t="shared" si="92"/>
        <v>16072.194166213569</v>
      </c>
      <c r="AI231" s="43">
        <f t="shared" si="93"/>
        <v>14284.709883237341</v>
      </c>
      <c r="AJ231" s="43">
        <f t="shared" si="94"/>
        <v>12681.528955590224</v>
      </c>
      <c r="AK231" s="43">
        <f t="shared" si="95"/>
        <v>11189.584372579609</v>
      </c>
      <c r="AL231" s="43">
        <f t="shared" si="96"/>
        <v>9697.6397895689952</v>
      </c>
      <c r="AN231" s="47">
        <f t="shared" si="97"/>
        <v>2654.2372424463529</v>
      </c>
      <c r="AO231" s="47">
        <f t="shared" si="98"/>
        <v>2516.0044870213324</v>
      </c>
      <c r="AP231" s="47">
        <f t="shared" si="99"/>
        <v>2249.9389043822193</v>
      </c>
      <c r="AQ231" s="47">
        <f t="shared" si="100"/>
        <v>2107.3717235024928</v>
      </c>
      <c r="AR231" s="43">
        <f t="shared" si="101"/>
        <v>1860.4548950142362</v>
      </c>
      <c r="AY231" s="3"/>
    </row>
    <row r="232" spans="1:51">
      <c r="A232" s="226"/>
      <c r="B232" s="37">
        <f>'13. Desinvesteringen'!B515</f>
        <v>496</v>
      </c>
      <c r="C232" s="48"/>
      <c r="D232" s="48"/>
      <c r="E232" s="48"/>
      <c r="F232" s="354">
        <f>'5. Input GAW-waarde desinv.'!D191</f>
        <v>24745.075221292602</v>
      </c>
      <c r="G232" s="175">
        <f>'13. Desinvesteringen'!D515</f>
        <v>2004</v>
      </c>
      <c r="H232" s="175">
        <f>'13. Desinvesteringen'!G515</f>
        <v>2023</v>
      </c>
      <c r="I232" s="37" t="str">
        <f>'13. Desinvesteringen'!C515</f>
        <v>17 Mengstations</v>
      </c>
      <c r="J232" s="165">
        <f>'13. Desinvesteringen'!F515</f>
        <v>0</v>
      </c>
      <c r="K232" s="38">
        <f>_xlfn.XLOOKUP(I232,'3. Input (des)investeringen '!$B$11:$B$89,'3. Input (des)investeringen '!$E$11:$E$89)</f>
        <v>0</v>
      </c>
      <c r="L232" s="48"/>
      <c r="M232" s="38">
        <f>_xlfn.XLOOKUP(I232,'3. Input (des)investeringen '!$B$11:$B$89,'3. Input (des)investeringen '!$D$11:$D$89,0)</f>
        <v>30</v>
      </c>
      <c r="N232" s="38">
        <f t="shared" si="86"/>
        <v>12.5</v>
      </c>
      <c r="P232" s="43">
        <f t="shared" ref="P232:T241" si="104">IF($M232&gt;0, IF(OR($G232&gt;P$50,$G232+$M232&lt;P$50),0,
VDB($F232,0,$N232,MAX(0,P$50-2022),MIN($N232,P$50-2021),$F$23,FALSE))*(1-$F$26), 0)</f>
        <v>2316.1390407129879</v>
      </c>
      <c r="Q232" s="43">
        <f t="shared" si="104"/>
        <v>2075.2605804788373</v>
      </c>
      <c r="R232" s="43">
        <f t="shared" si="104"/>
        <v>1859.4334801090379</v>
      </c>
      <c r="S232" s="43">
        <f t="shared" si="104"/>
        <v>1686.2878524065766</v>
      </c>
      <c r="T232" s="43">
        <f t="shared" si="104"/>
        <v>1686.2878524065766</v>
      </c>
      <c r="V232" s="43">
        <f t="shared" si="78"/>
        <v>197.96060177034084</v>
      </c>
      <c r="W232" s="43">
        <f t="shared" si="79"/>
        <v>197.96060177034082</v>
      </c>
      <c r="X232" s="43">
        <f t="shared" si="80"/>
        <v>197.96060177034082</v>
      </c>
      <c r="Y232" s="43">
        <f t="shared" si="81"/>
        <v>197.96060177034082</v>
      </c>
      <c r="Z232" s="43">
        <f t="shared" si="82"/>
        <v>197.96060177034082</v>
      </c>
      <c r="AB232" s="43">
        <f t="shared" si="87"/>
        <v>2514.0996424833288</v>
      </c>
      <c r="AC232" s="43">
        <f t="shared" si="88"/>
        <v>2273.2211822491781</v>
      </c>
      <c r="AD232" s="43">
        <f t="shared" si="89"/>
        <v>2057.3940818793785</v>
      </c>
      <c r="AE232" s="43">
        <f t="shared" si="90"/>
        <v>1884.2484541769174</v>
      </c>
      <c r="AF232" s="43">
        <f t="shared" si="91"/>
        <v>1884.2484541769174</v>
      </c>
      <c r="AH232" s="43">
        <f t="shared" si="92"/>
        <v>22230.975578809273</v>
      </c>
      <c r="AI232" s="43">
        <f t="shared" si="93"/>
        <v>19957.754396560096</v>
      </c>
      <c r="AJ232" s="43">
        <f t="shared" si="94"/>
        <v>17900.360314680718</v>
      </c>
      <c r="AK232" s="43">
        <f t="shared" si="95"/>
        <v>16016.111860503801</v>
      </c>
      <c r="AL232" s="43">
        <f t="shared" si="96"/>
        <v>14131.863406326884</v>
      </c>
      <c r="AN232" s="47">
        <f t="shared" si="97"/>
        <v>3425.5696412145089</v>
      </c>
      <c r="AO232" s="47">
        <f t="shared" si="98"/>
        <v>3291.066656473743</v>
      </c>
      <c r="AP232" s="47">
        <f t="shared" si="99"/>
        <v>2970.3124579280952</v>
      </c>
      <c r="AQ232" s="47">
        <f t="shared" si="100"/>
        <v>2765.1346065046264</v>
      </c>
      <c r="AR232" s="43">
        <f t="shared" si="101"/>
        <v>2421.259263617339</v>
      </c>
      <c r="AY232" s="3"/>
    </row>
    <row r="233" spans="1:51">
      <c r="A233" s="226"/>
      <c r="B233" s="37">
        <f>'13. Desinvesteringen'!B516</f>
        <v>497</v>
      </c>
      <c r="C233" s="48"/>
      <c r="D233" s="48"/>
      <c r="E233" s="48"/>
      <c r="F233" s="354">
        <f>'5. Input GAW-waarde desinv.'!D192</f>
        <v>96007.434247363446</v>
      </c>
      <c r="G233" s="175">
        <f>'13. Desinvesteringen'!D516</f>
        <v>2005</v>
      </c>
      <c r="H233" s="175">
        <f>'13. Desinvesteringen'!G516</f>
        <v>2023</v>
      </c>
      <c r="I233" s="37" t="str">
        <f>'13. Desinvesteringen'!C516</f>
        <v>17 Mengstations</v>
      </c>
      <c r="J233" s="165">
        <f>'13. Desinvesteringen'!F516</f>
        <v>0</v>
      </c>
      <c r="K233" s="38">
        <f>_xlfn.XLOOKUP(I233,'3. Input (des)investeringen '!$B$11:$B$89,'3. Input (des)investeringen '!$E$11:$E$89)</f>
        <v>0</v>
      </c>
      <c r="L233" s="48"/>
      <c r="M233" s="38">
        <f>_xlfn.XLOOKUP(I233,'3. Input (des)investeringen '!$B$11:$B$89,'3. Input (des)investeringen '!$D$11:$D$89,0)</f>
        <v>30</v>
      </c>
      <c r="N233" s="38">
        <f t="shared" si="86"/>
        <v>13.5</v>
      </c>
      <c r="P233" s="43">
        <f t="shared" si="104"/>
        <v>8320.6443014381657</v>
      </c>
      <c r="Q233" s="43">
        <f t="shared" si="104"/>
        <v>7519.3970724107858</v>
      </c>
      <c r="R233" s="43">
        <f t="shared" si="104"/>
        <v>6795.306983956415</v>
      </c>
      <c r="S233" s="43">
        <f t="shared" si="104"/>
        <v>6140.9440892050561</v>
      </c>
      <c r="T233" s="43">
        <f t="shared" si="104"/>
        <v>6066.3577237491245</v>
      </c>
      <c r="V233" s="43">
        <f t="shared" si="78"/>
        <v>711.16617961009968</v>
      </c>
      <c r="W233" s="43">
        <f t="shared" si="79"/>
        <v>711.16617961009968</v>
      </c>
      <c r="X233" s="43">
        <f t="shared" si="80"/>
        <v>711.16617961009968</v>
      </c>
      <c r="Y233" s="43">
        <f t="shared" si="81"/>
        <v>711.16617961009968</v>
      </c>
      <c r="Z233" s="43">
        <f t="shared" si="82"/>
        <v>711.16617961009968</v>
      </c>
      <c r="AB233" s="43">
        <f t="shared" si="87"/>
        <v>9031.8104810482655</v>
      </c>
      <c r="AC233" s="43">
        <f t="shared" si="88"/>
        <v>8230.5632520208856</v>
      </c>
      <c r="AD233" s="43">
        <f t="shared" si="89"/>
        <v>7506.4731635665148</v>
      </c>
      <c r="AE233" s="43">
        <f t="shared" si="90"/>
        <v>6852.1102688151559</v>
      </c>
      <c r="AF233" s="43">
        <f t="shared" si="91"/>
        <v>6777.5239033592243</v>
      </c>
      <c r="AH233" s="43">
        <f t="shared" si="92"/>
        <v>86975.623766315184</v>
      </c>
      <c r="AI233" s="43">
        <f t="shared" si="93"/>
        <v>78745.060514294295</v>
      </c>
      <c r="AJ233" s="43">
        <f t="shared" si="94"/>
        <v>71238.587350727787</v>
      </c>
      <c r="AK233" s="43">
        <f t="shared" si="95"/>
        <v>64386.477081912628</v>
      </c>
      <c r="AL233" s="43">
        <f t="shared" si="96"/>
        <v>57608.953178553405</v>
      </c>
      <c r="AN233" s="47">
        <f t="shared" si="97"/>
        <v>12597.811055467188</v>
      </c>
      <c r="AO233" s="47">
        <f t="shared" si="98"/>
        <v>12246.561338249894</v>
      </c>
      <c r="AP233" s="47">
        <f t="shared" si="99"/>
        <v>11139.641118453632</v>
      </c>
      <c r="AQ233" s="47">
        <f t="shared" si="100"/>
        <v>10393.36650832035</v>
      </c>
      <c r="AR233" s="43">
        <f t="shared" si="101"/>
        <v>8966.6641241442539</v>
      </c>
      <c r="AY233" s="3"/>
    </row>
    <row r="234" spans="1:51">
      <c r="A234" s="226"/>
      <c r="B234" s="37">
        <f>'13. Desinvesteringen'!B517</f>
        <v>498</v>
      </c>
      <c r="C234" s="48"/>
      <c r="D234" s="48"/>
      <c r="E234" s="48"/>
      <c r="F234" s="354">
        <f>'5. Input GAW-waarde desinv.'!D193</f>
        <v>256937.21086962681</v>
      </c>
      <c r="G234" s="175">
        <f>'13. Desinvesteringen'!D517</f>
        <v>2006</v>
      </c>
      <c r="H234" s="175">
        <f>'13. Desinvesteringen'!G517</f>
        <v>2023</v>
      </c>
      <c r="I234" s="37" t="str">
        <f>'13. Desinvesteringen'!C517</f>
        <v>17 Mengstations</v>
      </c>
      <c r="J234" s="165">
        <f>'13. Desinvesteringen'!F517</f>
        <v>0</v>
      </c>
      <c r="K234" s="38">
        <f>_xlfn.XLOOKUP(I234,'3. Input (des)investeringen '!$B$11:$B$89,'3. Input (des)investeringen '!$E$11:$E$89)</f>
        <v>0</v>
      </c>
      <c r="L234" s="48"/>
      <c r="M234" s="38">
        <f>_xlfn.XLOOKUP(I234,'3. Input (des)investeringen '!$B$11:$B$89,'3. Input (des)investeringen '!$D$11:$D$89,0)</f>
        <v>30</v>
      </c>
      <c r="N234" s="38">
        <f t="shared" si="86"/>
        <v>14.5</v>
      </c>
      <c r="P234" s="43">
        <f t="shared" si="104"/>
        <v>20732.174946031959</v>
      </c>
      <c r="Q234" s="43">
        <f t="shared" si="104"/>
        <v>18873.42822673254</v>
      </c>
      <c r="R234" s="43">
        <f t="shared" si="104"/>
        <v>17181.327765025486</v>
      </c>
      <c r="S234" s="43">
        <f t="shared" si="104"/>
        <v>15640.932861954232</v>
      </c>
      <c r="T234" s="43">
        <f t="shared" si="104"/>
        <v>15125.297712659039</v>
      </c>
      <c r="V234" s="43">
        <f t="shared" si="78"/>
        <v>1771.9807646181159</v>
      </c>
      <c r="W234" s="43">
        <f t="shared" si="79"/>
        <v>1771.9807646181159</v>
      </c>
      <c r="X234" s="43">
        <f t="shared" si="80"/>
        <v>1771.9807646181159</v>
      </c>
      <c r="Y234" s="43">
        <f t="shared" si="81"/>
        <v>1771.9807646181159</v>
      </c>
      <c r="Z234" s="43">
        <f t="shared" si="82"/>
        <v>1771.9807646181159</v>
      </c>
      <c r="AB234" s="43">
        <f t="shared" si="87"/>
        <v>22504.155710650073</v>
      </c>
      <c r="AC234" s="43">
        <f t="shared" si="88"/>
        <v>20645.408991350654</v>
      </c>
      <c r="AD234" s="43">
        <f t="shared" si="89"/>
        <v>18953.3085296436</v>
      </c>
      <c r="AE234" s="43">
        <f t="shared" si="90"/>
        <v>17412.913626572346</v>
      </c>
      <c r="AF234" s="43">
        <f t="shared" si="91"/>
        <v>16897.278477277156</v>
      </c>
      <c r="AH234" s="43">
        <f t="shared" si="92"/>
        <v>234433.05515897673</v>
      </c>
      <c r="AI234" s="43">
        <f t="shared" si="93"/>
        <v>213787.64616762608</v>
      </c>
      <c r="AJ234" s="43">
        <f t="shared" si="94"/>
        <v>194834.33763798248</v>
      </c>
      <c r="AK234" s="43">
        <f t="shared" si="95"/>
        <v>177421.42401141013</v>
      </c>
      <c r="AL234" s="43">
        <f t="shared" si="96"/>
        <v>160524.14553413296</v>
      </c>
      <c r="AN234" s="47">
        <f t="shared" si="97"/>
        <v>32115.91097216812</v>
      </c>
      <c r="AO234" s="47">
        <f t="shared" si="98"/>
        <v>31548.578945899586</v>
      </c>
      <c r="AP234" s="47">
        <f t="shared" si="99"/>
        <v>28889.859749180705</v>
      </c>
      <c r="AQ234" s="47">
        <f t="shared" si="100"/>
        <v>27171.091947199904</v>
      </c>
      <c r="AR234" s="43">
        <f t="shared" si="101"/>
        <v>22997.19600757421</v>
      </c>
      <c r="AY234" s="3"/>
    </row>
    <row r="235" spans="1:51">
      <c r="A235" s="226"/>
      <c r="B235" s="37">
        <f>'13. Desinvesteringen'!B518</f>
        <v>499</v>
      </c>
      <c r="C235" s="48"/>
      <c r="D235" s="48"/>
      <c r="E235" s="48"/>
      <c r="F235" s="354">
        <f>'5. Input GAW-waarde desinv.'!D194</f>
        <v>702049.39906389359</v>
      </c>
      <c r="G235" s="175">
        <f>'13. Desinvesteringen'!D518</f>
        <v>2007</v>
      </c>
      <c r="H235" s="175">
        <f>'13. Desinvesteringen'!G518</f>
        <v>2023</v>
      </c>
      <c r="I235" s="37" t="str">
        <f>'13. Desinvesteringen'!C518</f>
        <v>17 Mengstations</v>
      </c>
      <c r="J235" s="165">
        <f>'13. Desinvesteringen'!F518</f>
        <v>0</v>
      </c>
      <c r="K235" s="38">
        <f>_xlfn.XLOOKUP(I235,'3. Input (des)investeringen '!$B$11:$B$89,'3. Input (des)investeringen '!$E$11:$E$89)</f>
        <v>0</v>
      </c>
      <c r="L235" s="48"/>
      <c r="M235" s="38">
        <f>_xlfn.XLOOKUP(I235,'3. Input (des)investeringen '!$B$11:$B$89,'3. Input (des)investeringen '!$D$11:$D$89,0)</f>
        <v>30</v>
      </c>
      <c r="N235" s="38">
        <f t="shared" si="86"/>
        <v>15.5</v>
      </c>
      <c r="P235" s="43">
        <f t="shared" si="104"/>
        <v>52993.40625191971</v>
      </c>
      <c r="Q235" s="43">
        <f t="shared" si="104"/>
        <v>48548.797985629673</v>
      </c>
      <c r="R235" s="43">
        <f t="shared" si="104"/>
        <v>44476.963315867186</v>
      </c>
      <c r="S235" s="43">
        <f t="shared" si="104"/>
        <v>40746.637360342836</v>
      </c>
      <c r="T235" s="43">
        <f t="shared" si="104"/>
        <v>38702.491673369113</v>
      </c>
      <c r="V235" s="43">
        <f t="shared" si="78"/>
        <v>4529.3509617025402</v>
      </c>
      <c r="W235" s="43">
        <f t="shared" si="79"/>
        <v>4529.3509617025402</v>
      </c>
      <c r="X235" s="43">
        <f t="shared" si="80"/>
        <v>4529.3509617025402</v>
      </c>
      <c r="Y235" s="43">
        <f t="shared" si="81"/>
        <v>4529.3509617025402</v>
      </c>
      <c r="Z235" s="43">
        <f t="shared" si="82"/>
        <v>4529.3509617025402</v>
      </c>
      <c r="AB235" s="43">
        <f t="shared" si="87"/>
        <v>57522.757213622252</v>
      </c>
      <c r="AC235" s="43">
        <f t="shared" si="88"/>
        <v>53078.148947332214</v>
      </c>
      <c r="AD235" s="43">
        <f t="shared" si="89"/>
        <v>49006.314277569727</v>
      </c>
      <c r="AE235" s="43">
        <f t="shared" si="90"/>
        <v>45275.988322045378</v>
      </c>
      <c r="AF235" s="43">
        <f t="shared" si="91"/>
        <v>43231.842635071655</v>
      </c>
      <c r="AH235" s="43">
        <f t="shared" si="92"/>
        <v>644526.64185027138</v>
      </c>
      <c r="AI235" s="43">
        <f t="shared" si="93"/>
        <v>591448.49290293921</v>
      </c>
      <c r="AJ235" s="43">
        <f t="shared" si="94"/>
        <v>542442.17862536944</v>
      </c>
      <c r="AK235" s="43">
        <f t="shared" si="95"/>
        <v>497166.19030332408</v>
      </c>
      <c r="AL235" s="43">
        <f t="shared" si="96"/>
        <v>453934.34766825242</v>
      </c>
      <c r="AN235" s="47">
        <f t="shared" si="97"/>
        <v>83948.349529483385</v>
      </c>
      <c r="AO235" s="47">
        <f t="shared" si="98"/>
        <v>83242.022085382108</v>
      </c>
      <c r="AP235" s="47">
        <f t="shared" si="99"/>
        <v>76670.865387463564</v>
      </c>
      <c r="AQ235" s="47">
        <f t="shared" si="100"/>
        <v>72620.128788728209</v>
      </c>
      <c r="AR235" s="43">
        <f t="shared" si="101"/>
        <v>60481.347846465243</v>
      </c>
      <c r="AY235" s="3"/>
    </row>
    <row r="236" spans="1:51">
      <c r="A236" s="226"/>
      <c r="B236" s="37">
        <f>'13. Desinvesteringen'!B519</f>
        <v>500</v>
      </c>
      <c r="C236" s="48"/>
      <c r="D236" s="48"/>
      <c r="E236" s="48"/>
      <c r="F236" s="354">
        <f>'5. Input GAW-waarde desinv.'!D195</f>
        <v>1042957.4504958389</v>
      </c>
      <c r="G236" s="175">
        <f>'13. Desinvesteringen'!D519</f>
        <v>2008</v>
      </c>
      <c r="H236" s="175">
        <f>'13. Desinvesteringen'!G519</f>
        <v>2023</v>
      </c>
      <c r="I236" s="37" t="str">
        <f>'13. Desinvesteringen'!C519</f>
        <v>17 Mengstations</v>
      </c>
      <c r="J236" s="165">
        <f>'13. Desinvesteringen'!F519</f>
        <v>0</v>
      </c>
      <c r="K236" s="38">
        <f>_xlfn.XLOOKUP(I236,'3. Input (des)investeringen '!$B$11:$B$89,'3. Input (des)investeringen '!$E$11:$E$89)</f>
        <v>0</v>
      </c>
      <c r="L236" s="48"/>
      <c r="M236" s="38">
        <f>_xlfn.XLOOKUP(I236,'3. Input (des)investeringen '!$B$11:$B$89,'3. Input (des)investeringen '!$D$11:$D$89,0)</f>
        <v>30</v>
      </c>
      <c r="N236" s="38">
        <f t="shared" si="86"/>
        <v>16.5</v>
      </c>
      <c r="P236" s="43">
        <f t="shared" si="104"/>
        <v>73955.164671523133</v>
      </c>
      <c r="Q236" s="43">
        <f t="shared" si="104"/>
        <v>68128.394121645557</v>
      </c>
      <c r="R236" s="43">
        <f t="shared" si="104"/>
        <v>62760.702463576497</v>
      </c>
      <c r="S236" s="43">
        <f t="shared" si="104"/>
        <v>57815.919845234115</v>
      </c>
      <c r="T236" s="43">
        <f t="shared" si="104"/>
        <v>54080.121947542058</v>
      </c>
      <c r="V236" s="43">
        <f t="shared" si="78"/>
        <v>6320.9542454293269</v>
      </c>
      <c r="W236" s="43">
        <f t="shared" si="79"/>
        <v>6320.9542454293269</v>
      </c>
      <c r="X236" s="43">
        <f t="shared" si="80"/>
        <v>6320.9542454293269</v>
      </c>
      <c r="Y236" s="43">
        <f t="shared" si="81"/>
        <v>6320.9542454293269</v>
      </c>
      <c r="Z236" s="43">
        <f t="shared" si="82"/>
        <v>6320.9542454293269</v>
      </c>
      <c r="AB236" s="43">
        <f t="shared" si="87"/>
        <v>80276.118916952459</v>
      </c>
      <c r="AC236" s="43">
        <f t="shared" si="88"/>
        <v>74449.348367074883</v>
      </c>
      <c r="AD236" s="43">
        <f t="shared" si="89"/>
        <v>69081.656709005823</v>
      </c>
      <c r="AE236" s="43">
        <f t="shared" si="90"/>
        <v>64136.874090663441</v>
      </c>
      <c r="AF236" s="43">
        <f t="shared" si="91"/>
        <v>60401.076192971384</v>
      </c>
      <c r="AH236" s="43">
        <f t="shared" si="92"/>
        <v>962681.33157888637</v>
      </c>
      <c r="AI236" s="43">
        <f t="shared" si="93"/>
        <v>888231.98321181152</v>
      </c>
      <c r="AJ236" s="43">
        <f t="shared" si="94"/>
        <v>819150.32650280569</v>
      </c>
      <c r="AK236" s="43">
        <f t="shared" si="95"/>
        <v>755013.4524121423</v>
      </c>
      <c r="AL236" s="43">
        <f t="shared" si="96"/>
        <v>694612.37621917087</v>
      </c>
      <c r="AN236" s="47">
        <f t="shared" si="97"/>
        <v>119746.0535116868</v>
      </c>
      <c r="AO236" s="47">
        <f t="shared" si="98"/>
        <v>119749.17951087726</v>
      </c>
      <c r="AP236" s="47">
        <f t="shared" si="99"/>
        <v>110858.32336064891</v>
      </c>
      <c r="AQ236" s="47">
        <f t="shared" si="100"/>
        <v>105662.61397333126</v>
      </c>
      <c r="AR236" s="43">
        <f t="shared" si="101"/>
        <v>86796.346489299875</v>
      </c>
      <c r="AY236" s="3"/>
    </row>
    <row r="237" spans="1:51">
      <c r="A237" s="226"/>
      <c r="B237" s="37">
        <f>'13. Desinvesteringen'!B520</f>
        <v>501</v>
      </c>
      <c r="C237" s="48"/>
      <c r="D237" s="48"/>
      <c r="E237" s="48"/>
      <c r="F237" s="354">
        <f>'5. Input GAW-waarde desinv.'!D196</f>
        <v>70079.94837897965</v>
      </c>
      <c r="G237" s="175">
        <f>'13. Desinvesteringen'!D520</f>
        <v>2009</v>
      </c>
      <c r="H237" s="175">
        <f>'13. Desinvesteringen'!G520</f>
        <v>2023</v>
      </c>
      <c r="I237" s="37" t="str">
        <f>'13. Desinvesteringen'!C520</f>
        <v>17 Mengstations</v>
      </c>
      <c r="J237" s="165">
        <f>'13. Desinvesteringen'!F520</f>
        <v>0</v>
      </c>
      <c r="K237" s="38">
        <f>_xlfn.XLOOKUP(I237,'3. Input (des)investeringen '!$B$11:$B$89,'3. Input (des)investeringen '!$E$11:$E$89)</f>
        <v>0</v>
      </c>
      <c r="L237" s="48"/>
      <c r="M237" s="38">
        <f>_xlfn.XLOOKUP(I237,'3. Input (des)investeringen '!$B$11:$B$89,'3. Input (des)investeringen '!$D$11:$D$89,0)</f>
        <v>30</v>
      </c>
      <c r="N237" s="38">
        <f t="shared" si="86"/>
        <v>17.5</v>
      </c>
      <c r="P237" s="43">
        <f t="shared" si="104"/>
        <v>4685.34512019464</v>
      </c>
      <c r="Q237" s="43">
        <f t="shared" si="104"/>
        <v>4337.2909112658954</v>
      </c>
      <c r="R237" s="43">
        <f t="shared" si="104"/>
        <v>4015.0921578575717</v>
      </c>
      <c r="S237" s="43">
        <f t="shared" si="104"/>
        <v>3716.8281689881514</v>
      </c>
      <c r="T237" s="43">
        <f t="shared" si="104"/>
        <v>3440.7209335776029</v>
      </c>
      <c r="V237" s="43">
        <f t="shared" si="78"/>
        <v>400.45684787988375</v>
      </c>
      <c r="W237" s="43">
        <f t="shared" si="79"/>
        <v>400.4568478798837</v>
      </c>
      <c r="X237" s="43">
        <f t="shared" si="80"/>
        <v>400.4568478798837</v>
      </c>
      <c r="Y237" s="43">
        <f t="shared" si="81"/>
        <v>400.4568478798837</v>
      </c>
      <c r="Z237" s="43">
        <f t="shared" si="82"/>
        <v>400.4568478798837</v>
      </c>
      <c r="AB237" s="43">
        <f t="shared" si="87"/>
        <v>5085.8019680745238</v>
      </c>
      <c r="AC237" s="43">
        <f t="shared" si="88"/>
        <v>4737.7477591457791</v>
      </c>
      <c r="AD237" s="43">
        <f t="shared" si="89"/>
        <v>4415.5490057374554</v>
      </c>
      <c r="AE237" s="43">
        <f t="shared" si="90"/>
        <v>4117.2850168680352</v>
      </c>
      <c r="AF237" s="43">
        <f t="shared" si="91"/>
        <v>3841.1777814574866</v>
      </c>
      <c r="AH237" s="43">
        <f t="shared" si="92"/>
        <v>64994.14641090513</v>
      </c>
      <c r="AI237" s="43">
        <f t="shared" si="93"/>
        <v>60256.398651759351</v>
      </c>
      <c r="AJ237" s="43">
        <f t="shared" si="94"/>
        <v>55840.849646021896</v>
      </c>
      <c r="AK237" s="43">
        <f t="shared" si="95"/>
        <v>51723.564629153858</v>
      </c>
      <c r="AL237" s="43">
        <f t="shared" si="96"/>
        <v>47882.386847696369</v>
      </c>
      <c r="AN237" s="47">
        <f t="shared" si="97"/>
        <v>7750.5619709216344</v>
      </c>
      <c r="AO237" s="47">
        <f t="shared" si="98"/>
        <v>7810.8240903855058</v>
      </c>
      <c r="AP237" s="47">
        <f t="shared" si="99"/>
        <v>7263.4323376845714</v>
      </c>
      <c r="AQ237" s="47">
        <f t="shared" si="100"/>
        <v>6962.0810714714971</v>
      </c>
      <c r="AR237" s="43">
        <f t="shared" si="101"/>
        <v>5660.7084816699489</v>
      </c>
      <c r="AY237" s="3"/>
    </row>
    <row r="238" spans="1:51">
      <c r="A238" s="226"/>
      <c r="B238" s="37">
        <f>'13. Desinvesteringen'!B521</f>
        <v>502</v>
      </c>
      <c r="C238" s="48"/>
      <c r="D238" s="48"/>
      <c r="E238" s="48"/>
      <c r="F238" s="354">
        <f>'5. Input GAW-waarde desinv.'!D197</f>
        <v>704771.29332217178</v>
      </c>
      <c r="G238" s="175">
        <f>'13. Desinvesteringen'!D521</f>
        <v>2010</v>
      </c>
      <c r="H238" s="175">
        <f>'13. Desinvesteringen'!G521</f>
        <v>2023</v>
      </c>
      <c r="I238" s="37" t="str">
        <f>'13. Desinvesteringen'!C521</f>
        <v>17 Mengstations</v>
      </c>
      <c r="J238" s="165">
        <f>'13. Desinvesteringen'!F521</f>
        <v>0</v>
      </c>
      <c r="K238" s="38">
        <f>_xlfn.XLOOKUP(I238,'3. Input (des)investeringen '!$B$11:$B$89,'3. Input (des)investeringen '!$E$11:$E$89)</f>
        <v>0</v>
      </c>
      <c r="L238" s="48"/>
      <c r="M238" s="38">
        <f>_xlfn.XLOOKUP(I238,'3. Input (des)investeringen '!$B$11:$B$89,'3. Input (des)investeringen '!$D$11:$D$89,0)</f>
        <v>30</v>
      </c>
      <c r="N238" s="38">
        <f t="shared" si="86"/>
        <v>18.5</v>
      </c>
      <c r="P238" s="43">
        <f t="shared" si="104"/>
        <v>44572.022334429246</v>
      </c>
      <c r="Q238" s="43">
        <f t="shared" si="104"/>
        <v>41439.934278496374</v>
      </c>
      <c r="R238" s="43">
        <f t="shared" si="104"/>
        <v>38527.938896764193</v>
      </c>
      <c r="S238" s="43">
        <f t="shared" si="104"/>
        <v>35820.57021753212</v>
      </c>
      <c r="T238" s="43">
        <f t="shared" si="104"/>
        <v>33303.449067110945</v>
      </c>
      <c r="V238" s="43">
        <f t="shared" si="78"/>
        <v>3809.574558498226</v>
      </c>
      <c r="W238" s="43">
        <f t="shared" si="79"/>
        <v>3809.574558498226</v>
      </c>
      <c r="X238" s="43">
        <f t="shared" si="80"/>
        <v>3809.574558498226</v>
      </c>
      <c r="Y238" s="43">
        <f t="shared" si="81"/>
        <v>3809.574558498226</v>
      </c>
      <c r="Z238" s="43">
        <f t="shared" si="82"/>
        <v>3809.574558498226</v>
      </c>
      <c r="AB238" s="43">
        <f t="shared" si="87"/>
        <v>48381.596892927475</v>
      </c>
      <c r="AC238" s="43">
        <f t="shared" si="88"/>
        <v>45249.508836994602</v>
      </c>
      <c r="AD238" s="43">
        <f t="shared" si="89"/>
        <v>42337.513455262422</v>
      </c>
      <c r="AE238" s="43">
        <f t="shared" si="90"/>
        <v>39630.144776030349</v>
      </c>
      <c r="AF238" s="43">
        <f t="shared" si="91"/>
        <v>37113.023625609174</v>
      </c>
      <c r="AH238" s="43">
        <f t="shared" si="92"/>
        <v>656389.69642924436</v>
      </c>
      <c r="AI238" s="43">
        <f t="shared" si="93"/>
        <v>611140.18759224971</v>
      </c>
      <c r="AJ238" s="43">
        <f t="shared" si="94"/>
        <v>568802.67413698731</v>
      </c>
      <c r="AK238" s="43">
        <f t="shared" si="95"/>
        <v>529172.52936095698</v>
      </c>
      <c r="AL238" s="43">
        <f t="shared" si="96"/>
        <v>492059.5057353478</v>
      </c>
      <c r="AN238" s="47">
        <f t="shared" si="97"/>
        <v>75293.574446526502</v>
      </c>
      <c r="AO238" s="47">
        <f t="shared" si="98"/>
        <v>76417.658404199334</v>
      </c>
      <c r="AP238" s="47">
        <f t="shared" si="99"/>
        <v>71346.449836248765</v>
      </c>
      <c r="AQ238" s="47">
        <f t="shared" si="100"/>
        <v>68734.633890882978</v>
      </c>
      <c r="AR238" s="43">
        <f t="shared" si="101"/>
        <v>55811.284843552392</v>
      </c>
      <c r="AY238" s="3"/>
    </row>
    <row r="239" spans="1:51">
      <c r="A239" s="226"/>
      <c r="B239" s="37">
        <f>'13. Desinvesteringen'!B522</f>
        <v>503</v>
      </c>
      <c r="C239" s="48"/>
      <c r="D239" s="48"/>
      <c r="E239" s="48"/>
      <c r="F239" s="354">
        <f>'5. Input GAW-waarde desinv.'!D198</f>
        <v>1024239.4945113533</v>
      </c>
      <c r="G239" s="175">
        <f>'13. Desinvesteringen'!D522</f>
        <v>2011</v>
      </c>
      <c r="H239" s="175">
        <f>'13. Desinvesteringen'!G522</f>
        <v>2023</v>
      </c>
      <c r="I239" s="37" t="str">
        <f>'13. Desinvesteringen'!C522</f>
        <v>17 Mengstations</v>
      </c>
      <c r="J239" s="165">
        <f>'13. Desinvesteringen'!F522</f>
        <v>0</v>
      </c>
      <c r="K239" s="38">
        <f>_xlfn.XLOOKUP(I239,'3. Input (des)investeringen '!$B$11:$B$89,'3. Input (des)investeringen '!$E$11:$E$89)</f>
        <v>0</v>
      </c>
      <c r="L239" s="48"/>
      <c r="M239" s="38">
        <f>_xlfn.XLOOKUP(I239,'3. Input (des)investeringen '!$B$11:$B$89,'3. Input (des)investeringen '!$D$11:$D$89,0)</f>
        <v>30</v>
      </c>
      <c r="N239" s="38">
        <f t="shared" si="86"/>
        <v>19.5</v>
      </c>
      <c r="P239" s="43">
        <f t="shared" si="104"/>
        <v>61454.369670681204</v>
      </c>
      <c r="Q239" s="43">
        <f t="shared" si="104"/>
        <v>57357.411692635782</v>
      </c>
      <c r="R239" s="43">
        <f t="shared" si="104"/>
        <v>53533.584246460072</v>
      </c>
      <c r="S239" s="43">
        <f t="shared" si="104"/>
        <v>49964.678630029397</v>
      </c>
      <c r="T239" s="43">
        <f t="shared" si="104"/>
        <v>46633.700054694113</v>
      </c>
      <c r="V239" s="43">
        <f t="shared" si="78"/>
        <v>5252.5102282633507</v>
      </c>
      <c r="W239" s="43">
        <f t="shared" si="79"/>
        <v>5252.5102282633507</v>
      </c>
      <c r="X239" s="43">
        <f t="shared" si="80"/>
        <v>5252.5102282633507</v>
      </c>
      <c r="Y239" s="43">
        <f t="shared" si="81"/>
        <v>5252.5102282633507</v>
      </c>
      <c r="Z239" s="43">
        <f t="shared" si="82"/>
        <v>5252.5102282633507</v>
      </c>
      <c r="AB239" s="43">
        <f t="shared" si="87"/>
        <v>66706.879898944549</v>
      </c>
      <c r="AC239" s="43">
        <f t="shared" si="88"/>
        <v>62609.921920899134</v>
      </c>
      <c r="AD239" s="43">
        <f t="shared" si="89"/>
        <v>58786.094474723424</v>
      </c>
      <c r="AE239" s="43">
        <f t="shared" si="90"/>
        <v>55217.18885829275</v>
      </c>
      <c r="AF239" s="43">
        <f t="shared" si="91"/>
        <v>51886.210282957465</v>
      </c>
      <c r="AH239" s="43">
        <f t="shared" si="92"/>
        <v>957532.6146124088</v>
      </c>
      <c r="AI239" s="43">
        <f t="shared" si="93"/>
        <v>894922.69269150961</v>
      </c>
      <c r="AJ239" s="43">
        <f t="shared" si="94"/>
        <v>836136.59821678617</v>
      </c>
      <c r="AK239" s="43">
        <f t="shared" si="95"/>
        <v>780919.4093584934</v>
      </c>
      <c r="AL239" s="43">
        <f t="shared" si="96"/>
        <v>729033.19907553599</v>
      </c>
      <c r="AN239" s="47">
        <f t="shared" si="97"/>
        <v>105965.71709805331</v>
      </c>
      <c r="AO239" s="47">
        <f t="shared" si="98"/>
        <v>108250.97924816611</v>
      </c>
      <c r="AP239" s="47">
        <f t="shared" si="99"/>
        <v>101429.06098377952</v>
      </c>
      <c r="AQ239" s="47">
        <f t="shared" si="100"/>
        <v>98167.756373009877</v>
      </c>
      <c r="AR239" s="43">
        <f t="shared" si="101"/>
        <v>79589.471847827837</v>
      </c>
      <c r="AY239" s="3"/>
    </row>
    <row r="240" spans="1:51">
      <c r="A240" s="226"/>
      <c r="B240" s="37">
        <f>'13. Desinvesteringen'!B523</f>
        <v>504</v>
      </c>
      <c r="C240" s="48"/>
      <c r="D240" s="48"/>
      <c r="E240" s="48"/>
      <c r="F240" s="354">
        <f>'5. Input GAW-waarde desinv.'!D199</f>
        <v>376397.15055039537</v>
      </c>
      <c r="G240" s="175">
        <f>'13. Desinvesteringen'!D523</f>
        <v>2012</v>
      </c>
      <c r="H240" s="175">
        <f>'13. Desinvesteringen'!G523</f>
        <v>2023</v>
      </c>
      <c r="I240" s="37" t="str">
        <f>'13. Desinvesteringen'!C523</f>
        <v>17 Mengstations</v>
      </c>
      <c r="J240" s="165">
        <f>'13. Desinvesteringen'!F523</f>
        <v>0</v>
      </c>
      <c r="K240" s="38">
        <f>_xlfn.XLOOKUP(I240,'3. Input (des)investeringen '!$B$11:$B$89,'3. Input (des)investeringen '!$E$11:$E$89)</f>
        <v>0</v>
      </c>
      <c r="L240" s="48"/>
      <c r="M240" s="38">
        <f>_xlfn.XLOOKUP(I240,'3. Input (des)investeringen '!$B$11:$B$89,'3. Input (des)investeringen '!$D$11:$D$89,0)</f>
        <v>30</v>
      </c>
      <c r="N240" s="38">
        <f t="shared" si="86"/>
        <v>20.5</v>
      </c>
      <c r="P240" s="43">
        <f t="shared" si="104"/>
        <v>21482.178836290856</v>
      </c>
      <c r="Q240" s="43">
        <f t="shared" si="104"/>
        <v>20119.894324721194</v>
      </c>
      <c r="R240" s="43">
        <f t="shared" si="104"/>
        <v>18843.99858705595</v>
      </c>
      <c r="S240" s="43">
        <f t="shared" si="104"/>
        <v>17649.013310803621</v>
      </c>
      <c r="T240" s="43">
        <f t="shared" si="104"/>
        <v>16529.807588655094</v>
      </c>
      <c r="V240" s="43">
        <f t="shared" si="78"/>
        <v>1836.0836612214407</v>
      </c>
      <c r="W240" s="43">
        <f t="shared" si="79"/>
        <v>1836.0836612214412</v>
      </c>
      <c r="X240" s="43">
        <f t="shared" si="80"/>
        <v>1836.0836612214412</v>
      </c>
      <c r="Y240" s="43">
        <f t="shared" si="81"/>
        <v>1836.0836612214412</v>
      </c>
      <c r="Z240" s="43">
        <f t="shared" si="82"/>
        <v>1836.0836612214412</v>
      </c>
      <c r="AB240" s="43">
        <f t="shared" si="87"/>
        <v>23318.262497512296</v>
      </c>
      <c r="AC240" s="43">
        <f t="shared" si="88"/>
        <v>21955.977985942634</v>
      </c>
      <c r="AD240" s="43">
        <f t="shared" si="89"/>
        <v>20680.082248277391</v>
      </c>
      <c r="AE240" s="43">
        <f t="shared" si="90"/>
        <v>19485.096972025061</v>
      </c>
      <c r="AF240" s="43">
        <f t="shared" si="91"/>
        <v>18365.891249876535</v>
      </c>
      <c r="AH240" s="43">
        <f t="shared" si="92"/>
        <v>353078.88805288309</v>
      </c>
      <c r="AI240" s="43">
        <f t="shared" si="93"/>
        <v>331122.91006694047</v>
      </c>
      <c r="AJ240" s="43">
        <f t="shared" si="94"/>
        <v>310442.82781866309</v>
      </c>
      <c r="AK240" s="43">
        <f t="shared" si="95"/>
        <v>290957.73084663803</v>
      </c>
      <c r="AL240" s="43">
        <f t="shared" si="96"/>
        <v>272591.83959676151</v>
      </c>
      <c r="AN240" s="47">
        <f t="shared" si="97"/>
        <v>37794.496907680499</v>
      </c>
      <c r="AO240" s="47">
        <f t="shared" si="98"/>
        <v>38843.246399356598</v>
      </c>
      <c r="AP240" s="47">
        <f t="shared" si="99"/>
        <v>36512.666467029208</v>
      </c>
      <c r="AQ240" s="47">
        <f t="shared" si="100"/>
        <v>35487.772168590156</v>
      </c>
      <c r="AR240" s="43">
        <f t="shared" si="101"/>
        <v>28724.38115455347</v>
      </c>
      <c r="AY240" s="3"/>
    </row>
    <row r="241" spans="1:51">
      <c r="A241" s="226"/>
      <c r="B241" s="37">
        <f>'13. Desinvesteringen'!B524</f>
        <v>505</v>
      </c>
      <c r="C241" s="48"/>
      <c r="D241" s="48"/>
      <c r="E241" s="48"/>
      <c r="F241" s="354">
        <f>'5. Input GAW-waarde desinv.'!D200</f>
        <v>514916.23301467963</v>
      </c>
      <c r="G241" s="175">
        <f>'13. Desinvesteringen'!D524</f>
        <v>2013</v>
      </c>
      <c r="H241" s="175">
        <f>'13. Desinvesteringen'!G524</f>
        <v>2023</v>
      </c>
      <c r="I241" s="37" t="str">
        <f>'13. Desinvesteringen'!C524</f>
        <v>17 Mengstations</v>
      </c>
      <c r="J241" s="165">
        <f>'13. Desinvesteringen'!F524</f>
        <v>0</v>
      </c>
      <c r="K241" s="38">
        <f>_xlfn.XLOOKUP(I241,'3. Input (des)investeringen '!$B$11:$B$89,'3. Input (des)investeringen '!$E$11:$E$89)</f>
        <v>0</v>
      </c>
      <c r="L241" s="48"/>
      <c r="M241" s="38">
        <f>_xlfn.XLOOKUP(I241,'3. Input (des)investeringen '!$B$11:$B$89,'3. Input (des)investeringen '!$D$11:$D$89,0)</f>
        <v>30</v>
      </c>
      <c r="N241" s="38">
        <f t="shared" si="86"/>
        <v>21.5</v>
      </c>
      <c r="P241" s="43">
        <f t="shared" si="104"/>
        <v>28021.022912891869</v>
      </c>
      <c r="Q241" s="43">
        <f t="shared" si="104"/>
        <v>26326.728504205381</v>
      </c>
      <c r="R241" s="43">
        <f t="shared" si="104"/>
        <v>24734.879803951102</v>
      </c>
      <c r="S241" s="43">
        <f t="shared" si="104"/>
        <v>23239.282420456388</v>
      </c>
      <c r="T241" s="43">
        <f t="shared" si="104"/>
        <v>21834.116506661347</v>
      </c>
      <c r="V241" s="43">
        <f t="shared" si="78"/>
        <v>2394.9592233240915</v>
      </c>
      <c r="W241" s="43">
        <f t="shared" si="79"/>
        <v>2394.9592233240915</v>
      </c>
      <c r="X241" s="43">
        <f t="shared" si="80"/>
        <v>2394.9592233240915</v>
      </c>
      <c r="Y241" s="43">
        <f t="shared" si="81"/>
        <v>2394.9592233240915</v>
      </c>
      <c r="Z241" s="43">
        <f t="shared" si="82"/>
        <v>2394.9592233240915</v>
      </c>
      <c r="AB241" s="43">
        <f t="shared" si="87"/>
        <v>30415.98213621596</v>
      </c>
      <c r="AC241" s="43">
        <f t="shared" si="88"/>
        <v>28721.687727529472</v>
      </c>
      <c r="AD241" s="43">
        <f t="shared" si="89"/>
        <v>27129.839027275193</v>
      </c>
      <c r="AE241" s="43">
        <f t="shared" si="90"/>
        <v>25634.241643780479</v>
      </c>
      <c r="AF241" s="43">
        <f t="shared" si="91"/>
        <v>24229.075729985438</v>
      </c>
      <c r="AH241" s="43">
        <f t="shared" si="92"/>
        <v>484500.25087846367</v>
      </c>
      <c r="AI241" s="43">
        <f t="shared" si="93"/>
        <v>455778.56315093418</v>
      </c>
      <c r="AJ241" s="43">
        <f t="shared" si="94"/>
        <v>428648.72412365896</v>
      </c>
      <c r="AK241" s="43">
        <f t="shared" si="95"/>
        <v>403014.48247987847</v>
      </c>
      <c r="AL241" s="43">
        <f t="shared" si="96"/>
        <v>378785.40674989304</v>
      </c>
      <c r="AN241" s="47">
        <f t="shared" si="97"/>
        <v>50280.492422232972</v>
      </c>
      <c r="AO241" s="47">
        <f t="shared" si="98"/>
        <v>51966.394448227118</v>
      </c>
      <c r="AP241" s="47">
        <f t="shared" si="99"/>
        <v>48990.923957581799</v>
      </c>
      <c r="AQ241" s="47">
        <f t="shared" si="100"/>
        <v>47800.038180173797</v>
      </c>
      <c r="AR241" s="43">
        <f t="shared" si="101"/>
        <v>38622.92118648137</v>
      </c>
      <c r="AY241" s="3"/>
    </row>
    <row r="242" spans="1:51">
      <c r="A242" s="226"/>
      <c r="B242" s="37">
        <f>'13. Desinvesteringen'!B525</f>
        <v>506</v>
      </c>
      <c r="C242" s="48"/>
      <c r="D242" s="48"/>
      <c r="E242" s="48"/>
      <c r="F242" s="354">
        <f>'5. Input GAW-waarde desinv.'!D201</f>
        <v>1302.0888101333342</v>
      </c>
      <c r="G242" s="175">
        <f>'13. Desinvesteringen'!D525</f>
        <v>2014</v>
      </c>
      <c r="H242" s="175">
        <f>'13. Desinvesteringen'!G525</f>
        <v>2023</v>
      </c>
      <c r="I242" s="37" t="str">
        <f>'13. Desinvesteringen'!C525</f>
        <v>17 Mengstations</v>
      </c>
      <c r="J242" s="165">
        <f>'13. Desinvesteringen'!F525</f>
        <v>0</v>
      </c>
      <c r="K242" s="38">
        <f>_xlfn.XLOOKUP(I242,'3. Input (des)investeringen '!$B$11:$B$89,'3. Input (des)investeringen '!$E$11:$E$89)</f>
        <v>0</v>
      </c>
      <c r="L242" s="48"/>
      <c r="M242" s="38">
        <f>_xlfn.XLOOKUP(I242,'3. Input (des)investeringen '!$B$11:$B$89,'3. Input (des)investeringen '!$D$11:$D$89,0)</f>
        <v>30</v>
      </c>
      <c r="N242" s="38">
        <f t="shared" si="86"/>
        <v>22.5</v>
      </c>
      <c r="P242" s="43">
        <f t="shared" ref="P242:T251" si="105">IF($M242&gt;0, IF(OR($G242&gt;P$50,$G242+$M242&lt;P$50),0,
VDB($F242,0,$N242,MAX(0,P$50-2022),MIN($N242,P$50-2021),$F$23,FALSE))*(1-$F$26), 0)</f>
        <v>67.708618126933374</v>
      </c>
      <c r="Q242" s="43">
        <f t="shared" si="105"/>
        <v>63.796564635155015</v>
      </c>
      <c r="R242" s="43">
        <f t="shared" si="105"/>
        <v>60.110540900679389</v>
      </c>
      <c r="S242" s="43">
        <f t="shared" si="105"/>
        <v>56.637487426417906</v>
      </c>
      <c r="T242" s="43">
        <f t="shared" si="105"/>
        <v>53.365099264002652</v>
      </c>
      <c r="V242" s="43">
        <f t="shared" si="78"/>
        <v>5.7870613783703746</v>
      </c>
      <c r="W242" s="43">
        <f t="shared" si="79"/>
        <v>5.7870613783703746</v>
      </c>
      <c r="X242" s="43">
        <f t="shared" si="80"/>
        <v>5.7870613783703746</v>
      </c>
      <c r="Y242" s="43">
        <f t="shared" si="81"/>
        <v>5.7870613783703746</v>
      </c>
      <c r="Z242" s="43">
        <f t="shared" si="82"/>
        <v>5.7870613783703746</v>
      </c>
      <c r="AB242" s="43">
        <f t="shared" si="87"/>
        <v>73.495679505303741</v>
      </c>
      <c r="AC242" s="43">
        <f t="shared" si="88"/>
        <v>69.583626013525389</v>
      </c>
      <c r="AD242" s="43">
        <f t="shared" si="89"/>
        <v>65.897602279049764</v>
      </c>
      <c r="AE242" s="43">
        <f t="shared" si="90"/>
        <v>62.42454880478828</v>
      </c>
      <c r="AF242" s="43">
        <f t="shared" si="91"/>
        <v>59.152160642373026</v>
      </c>
      <c r="AH242" s="43">
        <f t="shared" si="92"/>
        <v>1228.5931306280304</v>
      </c>
      <c r="AI242" s="43">
        <f t="shared" si="93"/>
        <v>1159.009504614505</v>
      </c>
      <c r="AJ242" s="43">
        <f t="shared" si="94"/>
        <v>1093.1119023354552</v>
      </c>
      <c r="AK242" s="43">
        <f t="shared" si="95"/>
        <v>1030.687353530667</v>
      </c>
      <c r="AL242" s="43">
        <f t="shared" si="96"/>
        <v>971.53519288829398</v>
      </c>
      <c r="AN242" s="47">
        <f t="shared" si="97"/>
        <v>123.867997861053</v>
      </c>
      <c r="AO242" s="47">
        <f t="shared" si="98"/>
        <v>128.69311074886514</v>
      </c>
      <c r="AP242" s="47">
        <f t="shared" si="99"/>
        <v>121.64630929815797</v>
      </c>
      <c r="AQ242" s="47">
        <f t="shared" si="100"/>
        <v>119.11235324897496</v>
      </c>
      <c r="AR242" s="43">
        <f t="shared" si="101"/>
        <v>96.070497972128194</v>
      </c>
      <c r="AY242" s="3"/>
    </row>
    <row r="243" spans="1:51">
      <c r="A243" s="226"/>
      <c r="B243" s="37">
        <f>'13. Desinvesteringen'!B526</f>
        <v>507</v>
      </c>
      <c r="C243" s="48"/>
      <c r="D243" s="48"/>
      <c r="E243" s="48"/>
      <c r="F243" s="354">
        <f>'5. Input GAW-waarde desinv.'!D202</f>
        <v>32369.723836884237</v>
      </c>
      <c r="G243" s="175">
        <f>'13. Desinvesteringen'!D526</f>
        <v>2016</v>
      </c>
      <c r="H243" s="175">
        <f>'13. Desinvesteringen'!G526</f>
        <v>2023</v>
      </c>
      <c r="I243" s="37" t="str">
        <f>'13. Desinvesteringen'!C526</f>
        <v>17 Mengstations</v>
      </c>
      <c r="J243" s="165">
        <f>'13. Desinvesteringen'!F526</f>
        <v>0</v>
      </c>
      <c r="K243" s="38">
        <f>_xlfn.XLOOKUP(I243,'3. Input (des)investeringen '!$B$11:$B$89,'3. Input (des)investeringen '!$E$11:$E$89)</f>
        <v>0</v>
      </c>
      <c r="L243" s="48"/>
      <c r="M243" s="38">
        <f>_xlfn.XLOOKUP(I243,'3. Input (des)investeringen '!$B$11:$B$89,'3. Input (des)investeringen '!$D$11:$D$89,0)</f>
        <v>30</v>
      </c>
      <c r="N243" s="38">
        <f t="shared" si="86"/>
        <v>24.5</v>
      </c>
      <c r="P243" s="43">
        <f t="shared" si="105"/>
        <v>1545.8194648634515</v>
      </c>
      <c r="Q243" s="43">
        <f t="shared" si="105"/>
        <v>1463.7963912176356</v>
      </c>
      <c r="R243" s="43">
        <f t="shared" si="105"/>
        <v>1386.1255622958836</v>
      </c>
      <c r="S243" s="43">
        <f t="shared" si="105"/>
        <v>1312.5760426638572</v>
      </c>
      <c r="T243" s="43">
        <f t="shared" si="105"/>
        <v>1242.9291506041425</v>
      </c>
      <c r="V243" s="43">
        <f t="shared" si="78"/>
        <v>132.12132178320095</v>
      </c>
      <c r="W243" s="43">
        <f t="shared" si="79"/>
        <v>132.12132178320095</v>
      </c>
      <c r="X243" s="43">
        <f t="shared" si="80"/>
        <v>132.12132178320095</v>
      </c>
      <c r="Y243" s="43">
        <f t="shared" si="81"/>
        <v>132.12132178320095</v>
      </c>
      <c r="Z243" s="43">
        <f t="shared" si="82"/>
        <v>132.12132178320095</v>
      </c>
      <c r="AB243" s="43">
        <f t="shared" si="87"/>
        <v>1677.9407866466524</v>
      </c>
      <c r="AC243" s="43">
        <f t="shared" si="88"/>
        <v>1595.9177130008366</v>
      </c>
      <c r="AD243" s="43">
        <f t="shared" si="89"/>
        <v>1518.2468840790846</v>
      </c>
      <c r="AE243" s="43">
        <f t="shared" si="90"/>
        <v>1444.6973644470581</v>
      </c>
      <c r="AF243" s="43">
        <f t="shared" si="91"/>
        <v>1375.0504723873435</v>
      </c>
      <c r="AH243" s="43">
        <f t="shared" si="92"/>
        <v>30691.783050237584</v>
      </c>
      <c r="AI243" s="43">
        <f t="shared" si="93"/>
        <v>29095.865337236748</v>
      </c>
      <c r="AJ243" s="43">
        <f t="shared" si="94"/>
        <v>27577.618453157662</v>
      </c>
      <c r="AK243" s="43">
        <f t="shared" si="95"/>
        <v>26132.921088710602</v>
      </c>
      <c r="AL243" s="43">
        <f t="shared" si="96"/>
        <v>24757.87061632326</v>
      </c>
      <c r="AN243" s="47">
        <f t="shared" si="97"/>
        <v>2936.3038917063932</v>
      </c>
      <c r="AO243" s="47">
        <f t="shared" si="98"/>
        <v>3079.8068451999106</v>
      </c>
      <c r="AP243" s="47">
        <f t="shared" si="99"/>
        <v>2924.7054251901254</v>
      </c>
      <c r="AQ243" s="47">
        <f t="shared" si="100"/>
        <v>2882.0080243261409</v>
      </c>
      <c r="AR243" s="43">
        <f t="shared" si="101"/>
        <v>2315.8495558076274</v>
      </c>
      <c r="AY243" s="3"/>
    </row>
    <row r="244" spans="1:51">
      <c r="A244" s="226"/>
      <c r="B244" s="37">
        <f>'13. Desinvesteringen'!B527</f>
        <v>508</v>
      </c>
      <c r="C244" s="48"/>
      <c r="D244" s="48"/>
      <c r="E244" s="48"/>
      <c r="F244" s="354">
        <f>'5. Input GAW-waarde desinv.'!D203</f>
        <v>0</v>
      </c>
      <c r="G244" s="175">
        <f>'13. Desinvesteringen'!D527</f>
        <v>1964</v>
      </c>
      <c r="H244" s="175">
        <f>'13. Desinvesteringen'!G527</f>
        <v>2023</v>
      </c>
      <c r="I244" s="37" t="str">
        <f>'13. Desinvesteringen'!C527</f>
        <v>21 Hoofdtransportleiding</v>
      </c>
      <c r="J244" s="165">
        <f>'13. Desinvesteringen'!F527</f>
        <v>0</v>
      </c>
      <c r="K244" s="38">
        <f>_xlfn.XLOOKUP(I244,'3. Input (des)investeringen '!$B$11:$B$89,'3. Input (des)investeringen '!$E$11:$E$89)</f>
        <v>1</v>
      </c>
      <c r="L244" s="48"/>
      <c r="M244" s="38">
        <f>_xlfn.XLOOKUP(I244,'3. Input (des)investeringen '!$B$11:$B$89,'3. Input (des)investeringen '!$D$11:$D$89,0)</f>
        <v>55</v>
      </c>
      <c r="N244" s="38">
        <f t="shared" si="86"/>
        <v>0</v>
      </c>
      <c r="P244" s="43">
        <f t="shared" si="105"/>
        <v>0</v>
      </c>
      <c r="Q244" s="43">
        <f t="shared" si="105"/>
        <v>0</v>
      </c>
      <c r="R244" s="43">
        <f t="shared" si="105"/>
        <v>0</v>
      </c>
      <c r="S244" s="43">
        <f t="shared" si="105"/>
        <v>0</v>
      </c>
      <c r="T244" s="43">
        <f t="shared" si="105"/>
        <v>0</v>
      </c>
      <c r="V244" s="43">
        <f t="shared" ref="V244:V307" si="106">IF($M244&gt;0, IF(OR($G244&gt;V$50,$G244+$M244&lt;V$50),0,
VDB($F244,0,$N244,MAX(0,P$50-2022),MIN($N244,P$50-2021),1,FALSE))*$F$26, 0)</f>
        <v>0</v>
      </c>
      <c r="W244" s="43">
        <f t="shared" ref="W244:W307" si="107">IF($M244&gt;0, IF(OR($G244&gt;W$50,$G244+$M244&lt;W$50),0,
VDB($F244,0,$N244,MAX(0,Q$50-2022),MIN($N244,Q$50-2021),1,FALSE))*$F$26, 0)</f>
        <v>0</v>
      </c>
      <c r="X244" s="43">
        <f t="shared" ref="X244:X307" si="108">IF($M244&gt;0, IF(OR($G244&gt;X$50,$G244+$M244&lt;X$50),0,
VDB($F244,0,$N244,MAX(0,R$50-2022),MIN($N244,R$50-2021),1,FALSE))*$F$26, 0)</f>
        <v>0</v>
      </c>
      <c r="Y244" s="43">
        <f t="shared" ref="Y244:Y307" si="109">IF($M244&gt;0, IF(OR($G244&gt;Y$50,$G244+$M244&lt;Y$50),0,
VDB($F244,0,$N244,MAX(0,S$50-2022),MIN($N244,S$50-2021),1,FALSE))*$F$26, 0)</f>
        <v>0</v>
      </c>
      <c r="Z244" s="43">
        <f t="shared" ref="Z244:Z307" si="110">IF($M244&gt;0, IF(OR($G244&gt;Z$50,$G244+$M244&lt;Z$50),0,
VDB($F244,0,$N244,MAX(0,T$50-2022),MIN($N244,T$50-2021),1,FALSE))*$F$26, 0)</f>
        <v>0</v>
      </c>
      <c r="AB244" s="43">
        <f t="shared" si="87"/>
        <v>0</v>
      </c>
      <c r="AC244" s="43">
        <f t="shared" si="88"/>
        <v>0</v>
      </c>
      <c r="AD244" s="43">
        <f t="shared" si="89"/>
        <v>0</v>
      </c>
      <c r="AE244" s="43">
        <f t="shared" si="90"/>
        <v>0</v>
      </c>
      <c r="AF244" s="43">
        <f t="shared" si="91"/>
        <v>0</v>
      </c>
      <c r="AH244" s="43">
        <f t="shared" si="92"/>
        <v>0</v>
      </c>
      <c r="AI244" s="43">
        <f t="shared" si="93"/>
        <v>0</v>
      </c>
      <c r="AJ244" s="43">
        <f t="shared" si="94"/>
        <v>0</v>
      </c>
      <c r="AK244" s="43">
        <f t="shared" si="95"/>
        <v>0</v>
      </c>
      <c r="AL244" s="43">
        <f t="shared" si="96"/>
        <v>0</v>
      </c>
      <c r="AN244" s="47">
        <f t="shared" si="97"/>
        <v>0</v>
      </c>
      <c r="AO244" s="47">
        <f t="shared" si="98"/>
        <v>0</v>
      </c>
      <c r="AP244" s="47">
        <f t="shared" si="99"/>
        <v>0</v>
      </c>
      <c r="AQ244" s="47">
        <f t="shared" si="100"/>
        <v>0</v>
      </c>
      <c r="AR244" s="43">
        <f t="shared" si="101"/>
        <v>0</v>
      </c>
      <c r="AY244" s="3"/>
    </row>
    <row r="245" spans="1:51">
      <c r="A245" s="226"/>
      <c r="B245" s="37">
        <f>'13. Desinvesteringen'!B528</f>
        <v>509</v>
      </c>
      <c r="C245" s="48"/>
      <c r="D245" s="48"/>
      <c r="E245" s="48"/>
      <c r="F245" s="354">
        <f>'5. Input GAW-waarde desinv.'!D204</f>
        <v>0</v>
      </c>
      <c r="G245" s="175">
        <f>'13. Desinvesteringen'!D528</f>
        <v>1966</v>
      </c>
      <c r="H245" s="175">
        <f>'13. Desinvesteringen'!G528</f>
        <v>2023</v>
      </c>
      <c r="I245" s="37" t="str">
        <f>'13. Desinvesteringen'!C528</f>
        <v>21 Hoofdtransportleiding</v>
      </c>
      <c r="J245" s="165">
        <f>'13. Desinvesteringen'!F528</f>
        <v>0</v>
      </c>
      <c r="K245" s="38">
        <f>_xlfn.XLOOKUP(I245,'3. Input (des)investeringen '!$B$11:$B$89,'3. Input (des)investeringen '!$E$11:$E$89)</f>
        <v>1</v>
      </c>
      <c r="L245" s="48"/>
      <c r="M245" s="38">
        <f>_xlfn.XLOOKUP(I245,'3. Input (des)investeringen '!$B$11:$B$89,'3. Input (des)investeringen '!$D$11:$D$89,0)</f>
        <v>55</v>
      </c>
      <c r="N245" s="38">
        <f t="shared" si="86"/>
        <v>0</v>
      </c>
      <c r="P245" s="43">
        <f t="shared" si="105"/>
        <v>0</v>
      </c>
      <c r="Q245" s="43">
        <f t="shared" si="105"/>
        <v>0</v>
      </c>
      <c r="R245" s="43">
        <f t="shared" si="105"/>
        <v>0</v>
      </c>
      <c r="S245" s="43">
        <f t="shared" si="105"/>
        <v>0</v>
      </c>
      <c r="T245" s="43">
        <f t="shared" si="105"/>
        <v>0</v>
      </c>
      <c r="V245" s="43">
        <f t="shared" si="106"/>
        <v>0</v>
      </c>
      <c r="W245" s="43">
        <f t="shared" si="107"/>
        <v>0</v>
      </c>
      <c r="X245" s="43">
        <f t="shared" si="108"/>
        <v>0</v>
      </c>
      <c r="Y245" s="43">
        <f t="shared" si="109"/>
        <v>0</v>
      </c>
      <c r="Z245" s="43">
        <f t="shared" si="110"/>
        <v>0</v>
      </c>
      <c r="AB245" s="43">
        <f t="shared" si="87"/>
        <v>0</v>
      </c>
      <c r="AC245" s="43">
        <f t="shared" si="88"/>
        <v>0</v>
      </c>
      <c r="AD245" s="43">
        <f t="shared" si="89"/>
        <v>0</v>
      </c>
      <c r="AE245" s="43">
        <f t="shared" si="90"/>
        <v>0</v>
      </c>
      <c r="AF245" s="43">
        <f t="shared" si="91"/>
        <v>0</v>
      </c>
      <c r="AH245" s="43">
        <f t="shared" si="92"/>
        <v>0</v>
      </c>
      <c r="AI245" s="43">
        <f t="shared" si="93"/>
        <v>0</v>
      </c>
      <c r="AJ245" s="43">
        <f t="shared" si="94"/>
        <v>0</v>
      </c>
      <c r="AK245" s="43">
        <f t="shared" si="95"/>
        <v>0</v>
      </c>
      <c r="AL245" s="43">
        <f t="shared" si="96"/>
        <v>0</v>
      </c>
      <c r="AN245" s="47">
        <f t="shared" si="97"/>
        <v>0</v>
      </c>
      <c r="AO245" s="47">
        <f t="shared" si="98"/>
        <v>0</v>
      </c>
      <c r="AP245" s="47">
        <f t="shared" si="99"/>
        <v>0</v>
      </c>
      <c r="AQ245" s="47">
        <f t="shared" si="100"/>
        <v>0</v>
      </c>
      <c r="AR245" s="43">
        <f t="shared" si="101"/>
        <v>0</v>
      </c>
      <c r="AY245" s="3"/>
    </row>
    <row r="246" spans="1:51">
      <c r="A246" s="226"/>
      <c r="B246" s="37">
        <f>'13. Desinvesteringen'!B529</f>
        <v>510</v>
      </c>
      <c r="C246" s="48"/>
      <c r="D246" s="48"/>
      <c r="E246" s="48"/>
      <c r="F246" s="354">
        <f>'5. Input GAW-waarde desinv.'!D205</f>
        <v>391.2500930325707</v>
      </c>
      <c r="G246" s="175">
        <f>'13. Desinvesteringen'!D529</f>
        <v>1967</v>
      </c>
      <c r="H246" s="175">
        <f>'13. Desinvesteringen'!G529</f>
        <v>2023</v>
      </c>
      <c r="I246" s="37" t="str">
        <f>'13. Desinvesteringen'!C529</f>
        <v>21 Hoofdtransportleiding</v>
      </c>
      <c r="J246" s="165">
        <f>'13. Desinvesteringen'!F529</f>
        <v>0</v>
      </c>
      <c r="K246" s="38">
        <f>_xlfn.XLOOKUP(I246,'3. Input (des)investeringen '!$B$11:$B$89,'3. Input (des)investeringen '!$E$11:$E$89)</f>
        <v>1</v>
      </c>
      <c r="L246" s="48"/>
      <c r="M246" s="38">
        <f>_xlfn.XLOOKUP(I246,'3. Input (des)investeringen '!$B$11:$B$89,'3. Input (des)investeringen '!$D$11:$D$89,0)</f>
        <v>55</v>
      </c>
      <c r="N246" s="38">
        <f t="shared" si="86"/>
        <v>0.5</v>
      </c>
      <c r="P246" s="43">
        <f t="shared" si="105"/>
        <v>352.12508372931364</v>
      </c>
      <c r="Q246" s="43">
        <f t="shared" si="105"/>
        <v>0</v>
      </c>
      <c r="R246" s="43">
        <f t="shared" si="105"/>
        <v>0</v>
      </c>
      <c r="S246" s="43">
        <f t="shared" si="105"/>
        <v>0</v>
      </c>
      <c r="T246" s="43">
        <f t="shared" si="105"/>
        <v>0</v>
      </c>
      <c r="V246" s="43">
        <f t="shared" si="106"/>
        <v>39.125009303257073</v>
      </c>
      <c r="W246" s="43">
        <f t="shared" si="107"/>
        <v>0</v>
      </c>
      <c r="X246" s="43">
        <f t="shared" si="108"/>
        <v>0</v>
      </c>
      <c r="Y246" s="43">
        <f t="shared" si="109"/>
        <v>0</v>
      </c>
      <c r="Z246" s="43">
        <f t="shared" si="110"/>
        <v>0</v>
      </c>
      <c r="AB246" s="43">
        <f t="shared" si="87"/>
        <v>391.2500930325707</v>
      </c>
      <c r="AC246" s="43">
        <f t="shared" si="88"/>
        <v>0</v>
      </c>
      <c r="AD246" s="43">
        <f t="shared" si="89"/>
        <v>0</v>
      </c>
      <c r="AE246" s="43">
        <f t="shared" si="90"/>
        <v>0</v>
      </c>
      <c r="AF246" s="43">
        <f t="shared" si="91"/>
        <v>0</v>
      </c>
      <c r="AH246" s="43">
        <f t="shared" si="92"/>
        <v>0</v>
      </c>
      <c r="AI246" s="43">
        <f t="shared" si="93"/>
        <v>0</v>
      </c>
      <c r="AJ246" s="43">
        <f t="shared" si="94"/>
        <v>0</v>
      </c>
      <c r="AK246" s="43">
        <f t="shared" si="95"/>
        <v>0</v>
      </c>
      <c r="AL246" s="43">
        <f t="shared" si="96"/>
        <v>0</v>
      </c>
      <c r="AN246" s="47">
        <f t="shared" si="97"/>
        <v>391.2500930325707</v>
      </c>
      <c r="AO246" s="47">
        <f t="shared" si="98"/>
        <v>0</v>
      </c>
      <c r="AP246" s="47">
        <f t="shared" si="99"/>
        <v>0</v>
      </c>
      <c r="AQ246" s="47">
        <f t="shared" si="100"/>
        <v>0</v>
      </c>
      <c r="AR246" s="43">
        <f t="shared" si="101"/>
        <v>0</v>
      </c>
      <c r="AY246" s="3"/>
    </row>
    <row r="247" spans="1:51">
      <c r="A247" s="226"/>
      <c r="B247" s="37">
        <f>'13. Desinvesteringen'!B530</f>
        <v>511</v>
      </c>
      <c r="C247" s="48"/>
      <c r="D247" s="48"/>
      <c r="E247" s="48"/>
      <c r="F247" s="354">
        <f>'5. Input GAW-waarde desinv.'!D206</f>
        <v>5807.0127406390793</v>
      </c>
      <c r="G247" s="175">
        <f>'13. Desinvesteringen'!D530</f>
        <v>1970</v>
      </c>
      <c r="H247" s="175">
        <f>'13. Desinvesteringen'!G530</f>
        <v>2023</v>
      </c>
      <c r="I247" s="37" t="str">
        <f>'13. Desinvesteringen'!C530</f>
        <v>21 Hoofdtransportleiding</v>
      </c>
      <c r="J247" s="165">
        <f>'13. Desinvesteringen'!F530</f>
        <v>0</v>
      </c>
      <c r="K247" s="38">
        <f>_xlfn.XLOOKUP(I247,'3. Input (des)investeringen '!$B$11:$B$89,'3. Input (des)investeringen '!$E$11:$E$89)</f>
        <v>1</v>
      </c>
      <c r="L247" s="48"/>
      <c r="M247" s="38">
        <f>_xlfn.XLOOKUP(I247,'3. Input (des)investeringen '!$B$11:$B$89,'3. Input (des)investeringen '!$D$11:$D$89,0)</f>
        <v>55</v>
      </c>
      <c r="N247" s="38">
        <f t="shared" si="86"/>
        <v>3.5</v>
      </c>
      <c r="P247" s="43">
        <f t="shared" si="105"/>
        <v>1941.201401870778</v>
      </c>
      <c r="Q247" s="43">
        <f t="shared" si="105"/>
        <v>1314.0440258817573</v>
      </c>
      <c r="R247" s="43">
        <f t="shared" si="105"/>
        <v>1314.0440258817573</v>
      </c>
      <c r="S247" s="43">
        <f t="shared" si="105"/>
        <v>657.02201294087865</v>
      </c>
      <c r="T247" s="43">
        <f t="shared" si="105"/>
        <v>0</v>
      </c>
      <c r="V247" s="43">
        <f t="shared" si="106"/>
        <v>165.91464973254514</v>
      </c>
      <c r="W247" s="43">
        <f t="shared" si="107"/>
        <v>165.91464973254514</v>
      </c>
      <c r="X247" s="43">
        <f t="shared" si="108"/>
        <v>165.91464973254514</v>
      </c>
      <c r="Y247" s="43">
        <f t="shared" si="109"/>
        <v>82.957324866272572</v>
      </c>
      <c r="Z247" s="43">
        <f t="shared" si="110"/>
        <v>0</v>
      </c>
      <c r="AB247" s="43">
        <f t="shared" si="87"/>
        <v>2107.1160516033233</v>
      </c>
      <c r="AC247" s="43">
        <f t="shared" si="88"/>
        <v>1479.9586756143024</v>
      </c>
      <c r="AD247" s="43">
        <f t="shared" si="89"/>
        <v>1479.9586756143024</v>
      </c>
      <c r="AE247" s="43">
        <f t="shared" si="90"/>
        <v>739.97933780715118</v>
      </c>
      <c r="AF247" s="43">
        <f t="shared" si="91"/>
        <v>0</v>
      </c>
      <c r="AH247" s="43">
        <f t="shared" si="92"/>
        <v>3699.896689035756</v>
      </c>
      <c r="AI247" s="43">
        <f t="shared" si="93"/>
        <v>2219.9380134214534</v>
      </c>
      <c r="AJ247" s="43">
        <f t="shared" si="94"/>
        <v>739.97933780715107</v>
      </c>
      <c r="AK247" s="43">
        <f t="shared" si="95"/>
        <v>0</v>
      </c>
      <c r="AL247" s="43">
        <f t="shared" si="96"/>
        <v>0</v>
      </c>
      <c r="AN247" s="47">
        <f t="shared" si="97"/>
        <v>2258.8118158537891</v>
      </c>
      <c r="AO247" s="47">
        <f t="shared" si="98"/>
        <v>1593.1755142987965</v>
      </c>
      <c r="AP247" s="47">
        <f t="shared" si="99"/>
        <v>1517.697621842467</v>
      </c>
      <c r="AQ247" s="47">
        <f t="shared" si="100"/>
        <v>739.97933780715118</v>
      </c>
      <c r="AR247" s="43">
        <f t="shared" si="101"/>
        <v>0</v>
      </c>
      <c r="AY247" s="3"/>
    </row>
    <row r="248" spans="1:51">
      <c r="A248" s="226"/>
      <c r="B248" s="37">
        <f>'13. Desinvesteringen'!B531</f>
        <v>512</v>
      </c>
      <c r="C248" s="48"/>
      <c r="D248" s="48"/>
      <c r="E248" s="48"/>
      <c r="F248" s="354">
        <f>'5. Input GAW-waarde desinv.'!D207</f>
        <v>3846.4772684956265</v>
      </c>
      <c r="G248" s="175">
        <f>'13. Desinvesteringen'!D531</f>
        <v>1971</v>
      </c>
      <c r="H248" s="175">
        <f>'13. Desinvesteringen'!G531</f>
        <v>2023</v>
      </c>
      <c r="I248" s="37" t="str">
        <f>'13. Desinvesteringen'!C531</f>
        <v>21 Hoofdtransportleiding</v>
      </c>
      <c r="J248" s="165">
        <f>'13. Desinvesteringen'!F531</f>
        <v>0</v>
      </c>
      <c r="K248" s="38">
        <f>_xlfn.XLOOKUP(I248,'3. Input (des)investeringen '!$B$11:$B$89,'3. Input (des)investeringen '!$E$11:$E$89)</f>
        <v>1</v>
      </c>
      <c r="L248" s="48"/>
      <c r="M248" s="38">
        <f>_xlfn.XLOOKUP(I248,'3. Input (des)investeringen '!$B$11:$B$89,'3. Input (des)investeringen '!$D$11:$D$89,0)</f>
        <v>55</v>
      </c>
      <c r="N248" s="38">
        <f t="shared" si="86"/>
        <v>4.5</v>
      </c>
      <c r="P248" s="43">
        <f t="shared" si="105"/>
        <v>1000.084089808863</v>
      </c>
      <c r="Q248" s="43">
        <f t="shared" si="105"/>
        <v>711.17090830852476</v>
      </c>
      <c r="R248" s="43">
        <f t="shared" si="105"/>
        <v>700.22981741147044</v>
      </c>
      <c r="S248" s="43">
        <f t="shared" si="105"/>
        <v>700.22981741147044</v>
      </c>
      <c r="T248" s="43">
        <f t="shared" si="105"/>
        <v>350.11490870573522</v>
      </c>
      <c r="V248" s="43">
        <f t="shared" si="106"/>
        <v>85.477272633236154</v>
      </c>
      <c r="W248" s="43">
        <f t="shared" si="107"/>
        <v>85.477272633236154</v>
      </c>
      <c r="X248" s="43">
        <f t="shared" si="108"/>
        <v>85.477272633236154</v>
      </c>
      <c r="Y248" s="43">
        <f t="shared" si="109"/>
        <v>85.477272633236154</v>
      </c>
      <c r="Z248" s="43">
        <f t="shared" si="110"/>
        <v>42.738636316618077</v>
      </c>
      <c r="AB248" s="43">
        <f t="shared" si="87"/>
        <v>1085.5613624420992</v>
      </c>
      <c r="AC248" s="43">
        <f t="shared" si="88"/>
        <v>796.64818094176087</v>
      </c>
      <c r="AD248" s="43">
        <f t="shared" si="89"/>
        <v>785.70709004470655</v>
      </c>
      <c r="AE248" s="43">
        <f t="shared" si="90"/>
        <v>785.70709004470655</v>
      </c>
      <c r="AF248" s="43">
        <f t="shared" si="91"/>
        <v>392.85354502235327</v>
      </c>
      <c r="AH248" s="43">
        <f t="shared" si="92"/>
        <v>2760.9159060535276</v>
      </c>
      <c r="AI248" s="43">
        <f t="shared" si="93"/>
        <v>1964.2677251117666</v>
      </c>
      <c r="AJ248" s="43">
        <f t="shared" si="94"/>
        <v>1178.56063506706</v>
      </c>
      <c r="AK248" s="43">
        <f t="shared" si="95"/>
        <v>392.8535450223535</v>
      </c>
      <c r="AL248" s="43">
        <f t="shared" si="96"/>
        <v>0</v>
      </c>
      <c r="AN248" s="47">
        <f t="shared" si="97"/>
        <v>1198.7589145902939</v>
      </c>
      <c r="AO248" s="47">
        <f t="shared" si="98"/>
        <v>896.8258349224609</v>
      </c>
      <c r="AP248" s="47">
        <f t="shared" si="99"/>
        <v>845.81368243312659</v>
      </c>
      <c r="AQ248" s="47">
        <f t="shared" si="100"/>
        <v>807.31403502093599</v>
      </c>
      <c r="AR248" s="43">
        <f t="shared" si="101"/>
        <v>392.85354502235327</v>
      </c>
      <c r="AY248" s="3"/>
    </row>
    <row r="249" spans="1:51">
      <c r="A249" s="226"/>
      <c r="B249" s="37">
        <f>'13. Desinvesteringen'!B532</f>
        <v>513</v>
      </c>
      <c r="C249" s="48"/>
      <c r="D249" s="48"/>
      <c r="E249" s="48"/>
      <c r="F249" s="354">
        <f>'5. Input GAW-waarde desinv.'!D208</f>
        <v>68227.138320870654</v>
      </c>
      <c r="G249" s="175">
        <f>'13. Desinvesteringen'!D532</f>
        <v>1975</v>
      </c>
      <c r="H249" s="175">
        <f>'13. Desinvesteringen'!G532</f>
        <v>2023</v>
      </c>
      <c r="I249" s="37" t="str">
        <f>'13. Desinvesteringen'!C532</f>
        <v>21 Hoofdtransportleiding</v>
      </c>
      <c r="J249" s="165">
        <f>'13. Desinvesteringen'!F532</f>
        <v>0</v>
      </c>
      <c r="K249" s="38">
        <f>_xlfn.XLOOKUP(I249,'3. Input (des)investeringen '!$B$11:$B$89,'3. Input (des)investeringen '!$E$11:$E$89)</f>
        <v>1</v>
      </c>
      <c r="L249" s="48"/>
      <c r="M249" s="38">
        <f>_xlfn.XLOOKUP(I249,'3. Input (des)investeringen '!$B$11:$B$89,'3. Input (des)investeringen '!$D$11:$D$89,0)</f>
        <v>55</v>
      </c>
      <c r="N249" s="38">
        <f t="shared" si="86"/>
        <v>8.5</v>
      </c>
      <c r="P249" s="43">
        <f t="shared" si="105"/>
        <v>9391.2649218139613</v>
      </c>
      <c r="Q249" s="43">
        <f t="shared" si="105"/>
        <v>7954.9538161247665</v>
      </c>
      <c r="R249" s="43">
        <f t="shared" si="105"/>
        <v>6778.1855001299782</v>
      </c>
      <c r="S249" s="43">
        <f t="shared" si="105"/>
        <v>6778.1855001299782</v>
      </c>
      <c r="T249" s="43">
        <f t="shared" si="105"/>
        <v>6778.1855001299782</v>
      </c>
      <c r="V249" s="43">
        <f t="shared" si="106"/>
        <v>802.67221553965476</v>
      </c>
      <c r="W249" s="43">
        <f t="shared" si="107"/>
        <v>802.67221553965476</v>
      </c>
      <c r="X249" s="43">
        <f t="shared" si="108"/>
        <v>802.67221553965476</v>
      </c>
      <c r="Y249" s="43">
        <f t="shared" si="109"/>
        <v>802.67221553965476</v>
      </c>
      <c r="Z249" s="43">
        <f t="shared" si="110"/>
        <v>802.67221553965476</v>
      </c>
      <c r="AB249" s="43">
        <f t="shared" si="87"/>
        <v>10193.937137353616</v>
      </c>
      <c r="AC249" s="43">
        <f t="shared" si="88"/>
        <v>8757.626031664422</v>
      </c>
      <c r="AD249" s="43">
        <f t="shared" si="89"/>
        <v>7580.8577156696329</v>
      </c>
      <c r="AE249" s="43">
        <f t="shared" si="90"/>
        <v>7580.8577156696329</v>
      </c>
      <c r="AF249" s="43">
        <f t="shared" si="91"/>
        <v>7580.8577156696329</v>
      </c>
      <c r="AH249" s="43">
        <f t="shared" si="92"/>
        <v>58033.201183517041</v>
      </c>
      <c r="AI249" s="43">
        <f t="shared" si="93"/>
        <v>49275.575151852623</v>
      </c>
      <c r="AJ249" s="43">
        <f t="shared" si="94"/>
        <v>41694.717436182989</v>
      </c>
      <c r="AK249" s="43">
        <f t="shared" si="95"/>
        <v>34113.859720513356</v>
      </c>
      <c r="AL249" s="43">
        <f t="shared" si="96"/>
        <v>26533.002004843722</v>
      </c>
      <c r="AN249" s="47">
        <f t="shared" si="97"/>
        <v>12573.298385877815</v>
      </c>
      <c r="AO249" s="47">
        <f t="shared" si="98"/>
        <v>11270.680364408905</v>
      </c>
      <c r="AP249" s="47">
        <f t="shared" si="99"/>
        <v>9707.2883049149641</v>
      </c>
      <c r="AQ249" s="47">
        <f t="shared" si="100"/>
        <v>9457.1200002978676</v>
      </c>
      <c r="AR249" s="43">
        <f t="shared" si="101"/>
        <v>8589.1117918536947</v>
      </c>
      <c r="AY249" s="3"/>
    </row>
    <row r="250" spans="1:51">
      <c r="A250" s="226"/>
      <c r="B250" s="37">
        <f>'13. Desinvesteringen'!B533</f>
        <v>514</v>
      </c>
      <c r="C250" s="48"/>
      <c r="D250" s="48"/>
      <c r="E250" s="48"/>
      <c r="F250" s="354">
        <f>'5. Input GAW-waarde desinv.'!D209</f>
        <v>18541.10836769961</v>
      </c>
      <c r="G250" s="175">
        <f>'13. Desinvesteringen'!D533</f>
        <v>1976</v>
      </c>
      <c r="H250" s="175">
        <f>'13. Desinvesteringen'!G533</f>
        <v>2023</v>
      </c>
      <c r="I250" s="37" t="str">
        <f>'13. Desinvesteringen'!C533</f>
        <v>21 Hoofdtransportleiding</v>
      </c>
      <c r="J250" s="165">
        <f>'13. Desinvesteringen'!F533</f>
        <v>0</v>
      </c>
      <c r="K250" s="38">
        <f>_xlfn.XLOOKUP(I250,'3. Input (des)investeringen '!$B$11:$B$89,'3. Input (des)investeringen '!$E$11:$E$89)</f>
        <v>1</v>
      </c>
      <c r="L250" s="48"/>
      <c r="M250" s="38">
        <f>_xlfn.XLOOKUP(I250,'3. Input (des)investeringen '!$B$11:$B$89,'3. Input (des)investeringen '!$D$11:$D$89,0)</f>
        <v>55</v>
      </c>
      <c r="N250" s="38">
        <f t="shared" si="86"/>
        <v>9.5</v>
      </c>
      <c r="P250" s="43">
        <f t="shared" si="105"/>
        <v>2283.4838726535313</v>
      </c>
      <c r="Q250" s="43">
        <f t="shared" si="105"/>
        <v>1971.0071321851531</v>
      </c>
      <c r="R250" s="43">
        <f t="shared" si="105"/>
        <v>1701.2903667282374</v>
      </c>
      <c r="S250" s="43">
        <f t="shared" si="105"/>
        <v>1650.9563322096503</v>
      </c>
      <c r="T250" s="43">
        <f t="shared" si="105"/>
        <v>1650.9563322096503</v>
      </c>
      <c r="V250" s="43">
        <f t="shared" si="106"/>
        <v>195.16956176525906</v>
      </c>
      <c r="W250" s="43">
        <f t="shared" si="107"/>
        <v>195.16956176525906</v>
      </c>
      <c r="X250" s="43">
        <f t="shared" si="108"/>
        <v>195.16956176525906</v>
      </c>
      <c r="Y250" s="43">
        <f t="shared" si="109"/>
        <v>195.16956176525906</v>
      </c>
      <c r="Z250" s="43">
        <f t="shared" si="110"/>
        <v>195.16956176525906</v>
      </c>
      <c r="AB250" s="43">
        <f t="shared" si="87"/>
        <v>2478.6534344187903</v>
      </c>
      <c r="AC250" s="43">
        <f t="shared" si="88"/>
        <v>2166.1766939504123</v>
      </c>
      <c r="AD250" s="43">
        <f t="shared" si="89"/>
        <v>1896.4599284934964</v>
      </c>
      <c r="AE250" s="43">
        <f t="shared" si="90"/>
        <v>1846.1258939749093</v>
      </c>
      <c r="AF250" s="43">
        <f t="shared" si="91"/>
        <v>1846.1258939749093</v>
      </c>
      <c r="AH250" s="43">
        <f t="shared" si="92"/>
        <v>16062.45493328082</v>
      </c>
      <c r="AI250" s="43">
        <f t="shared" si="93"/>
        <v>13896.278239330408</v>
      </c>
      <c r="AJ250" s="43">
        <f t="shared" si="94"/>
        <v>11999.818310836912</v>
      </c>
      <c r="AK250" s="43">
        <f t="shared" si="95"/>
        <v>10153.692416862003</v>
      </c>
      <c r="AL250" s="43">
        <f t="shared" si="96"/>
        <v>8307.566522887093</v>
      </c>
      <c r="AN250" s="47">
        <f t="shared" si="97"/>
        <v>3137.2140866833042</v>
      </c>
      <c r="AO250" s="47">
        <f t="shared" si="98"/>
        <v>2874.886884156263</v>
      </c>
      <c r="AP250" s="47">
        <f t="shared" si="99"/>
        <v>2508.4506623461789</v>
      </c>
      <c r="AQ250" s="47">
        <f t="shared" si="100"/>
        <v>2404.5789769023195</v>
      </c>
      <c r="AR250" s="43">
        <f t="shared" si="101"/>
        <v>2161.8134218446189</v>
      </c>
      <c r="AY250" s="3"/>
    </row>
    <row r="251" spans="1:51">
      <c r="A251" s="226"/>
      <c r="B251" s="37">
        <f>'13. Desinvesteringen'!B534</f>
        <v>515</v>
      </c>
      <c r="C251" s="48"/>
      <c r="D251" s="48"/>
      <c r="E251" s="48"/>
      <c r="F251" s="354">
        <f>'5. Input GAW-waarde desinv.'!D210</f>
        <v>9654.3986266756274</v>
      </c>
      <c r="G251" s="175">
        <f>'13. Desinvesteringen'!D534</f>
        <v>1978</v>
      </c>
      <c r="H251" s="175">
        <f>'13. Desinvesteringen'!G534</f>
        <v>2023</v>
      </c>
      <c r="I251" s="37" t="str">
        <f>'13. Desinvesteringen'!C534</f>
        <v>21 Hoofdtransportleiding</v>
      </c>
      <c r="J251" s="165">
        <f>'13. Desinvesteringen'!F534</f>
        <v>0</v>
      </c>
      <c r="K251" s="38">
        <f>_xlfn.XLOOKUP(I251,'3. Input (des)investeringen '!$B$11:$B$89,'3. Input (des)investeringen '!$E$11:$E$89)</f>
        <v>1</v>
      </c>
      <c r="L251" s="48"/>
      <c r="M251" s="38">
        <f>_xlfn.XLOOKUP(I251,'3. Input (des)investeringen '!$B$11:$B$89,'3. Input (des)investeringen '!$D$11:$D$89,0)</f>
        <v>55</v>
      </c>
      <c r="N251" s="38">
        <f t="shared" si="86"/>
        <v>11.5</v>
      </c>
      <c r="P251" s="43">
        <f t="shared" si="105"/>
        <v>982.23012114873779</v>
      </c>
      <c r="Q251" s="43">
        <f t="shared" si="105"/>
        <v>871.19541180148906</v>
      </c>
      <c r="R251" s="43">
        <f t="shared" si="105"/>
        <v>772.71245220653816</v>
      </c>
      <c r="S251" s="43">
        <f t="shared" si="105"/>
        <v>713.27303280603519</v>
      </c>
      <c r="T251" s="43">
        <f t="shared" si="105"/>
        <v>713.27303280603519</v>
      </c>
      <c r="V251" s="43">
        <f t="shared" si="106"/>
        <v>83.951292405875023</v>
      </c>
      <c r="W251" s="43">
        <f t="shared" si="107"/>
        <v>83.951292405875023</v>
      </c>
      <c r="X251" s="43">
        <f t="shared" si="108"/>
        <v>83.951292405875023</v>
      </c>
      <c r="Y251" s="43">
        <f t="shared" si="109"/>
        <v>83.951292405875023</v>
      </c>
      <c r="Z251" s="43">
        <f t="shared" si="110"/>
        <v>83.951292405875023</v>
      </c>
      <c r="AB251" s="43">
        <f t="shared" si="87"/>
        <v>1066.1814135546128</v>
      </c>
      <c r="AC251" s="43">
        <f t="shared" si="88"/>
        <v>955.14670420736411</v>
      </c>
      <c r="AD251" s="43">
        <f t="shared" si="89"/>
        <v>856.66374461241321</v>
      </c>
      <c r="AE251" s="43">
        <f t="shared" si="90"/>
        <v>797.22432521191024</v>
      </c>
      <c r="AF251" s="43">
        <f t="shared" si="91"/>
        <v>797.22432521191024</v>
      </c>
      <c r="AH251" s="43">
        <f t="shared" si="92"/>
        <v>8588.2172131210136</v>
      </c>
      <c r="AI251" s="43">
        <f t="shared" si="93"/>
        <v>7633.07050891365</v>
      </c>
      <c r="AJ251" s="43">
        <f t="shared" si="94"/>
        <v>6776.4067643012368</v>
      </c>
      <c r="AK251" s="43">
        <f t="shared" si="95"/>
        <v>5979.1824390893262</v>
      </c>
      <c r="AL251" s="43">
        <f t="shared" si="96"/>
        <v>5181.9581138774156</v>
      </c>
      <c r="AN251" s="47">
        <f t="shared" si="97"/>
        <v>1418.2983192925744</v>
      </c>
      <c r="AO251" s="47">
        <f t="shared" si="98"/>
        <v>1344.4333001619602</v>
      </c>
      <c r="AP251" s="47">
        <f t="shared" si="99"/>
        <v>1202.2604895917761</v>
      </c>
      <c r="AQ251" s="47">
        <f t="shared" si="100"/>
        <v>1126.0793593618232</v>
      </c>
      <c r="AR251" s="43">
        <f t="shared" si="101"/>
        <v>994.13873353925203</v>
      </c>
      <c r="AY251" s="3"/>
    </row>
    <row r="252" spans="1:51">
      <c r="A252" s="226"/>
      <c r="B252" s="37">
        <f>'13. Desinvesteringen'!B535</f>
        <v>516</v>
      </c>
      <c r="C252" s="48"/>
      <c r="D252" s="48"/>
      <c r="E252" s="48"/>
      <c r="F252" s="354">
        <f>'5. Input GAW-waarde desinv.'!D211</f>
        <v>11416.655239751346</v>
      </c>
      <c r="G252" s="175">
        <f>'13. Desinvesteringen'!D535</f>
        <v>1980</v>
      </c>
      <c r="H252" s="175">
        <f>'13. Desinvesteringen'!G535</f>
        <v>2023</v>
      </c>
      <c r="I252" s="37" t="str">
        <f>'13. Desinvesteringen'!C535</f>
        <v>21 Hoofdtransportleiding</v>
      </c>
      <c r="J252" s="165">
        <f>'13. Desinvesteringen'!F535</f>
        <v>0</v>
      </c>
      <c r="K252" s="38">
        <f>_xlfn.XLOOKUP(I252,'3. Input (des)investeringen '!$B$11:$B$89,'3. Input (des)investeringen '!$E$11:$E$89)</f>
        <v>1</v>
      </c>
      <c r="L252" s="48"/>
      <c r="M252" s="38">
        <f>_xlfn.XLOOKUP(I252,'3. Input (des)investeringen '!$B$11:$B$89,'3. Input (des)investeringen '!$D$11:$D$89,0)</f>
        <v>55</v>
      </c>
      <c r="N252" s="38">
        <f t="shared" si="86"/>
        <v>13.5</v>
      </c>
      <c r="P252" s="43">
        <f t="shared" ref="P252:T261" si="111">IF($M252&gt;0, IF(OR($G252&gt;P$50,$G252+$M252&lt;P$50),0,
VDB($F252,0,$N252,MAX(0,P$50-2022),MIN($N252,P$50-2021),$F$23,FALSE))*(1-$F$26), 0)</f>
        <v>989.44345411178335</v>
      </c>
      <c r="Q252" s="43">
        <f t="shared" si="111"/>
        <v>894.1637140862041</v>
      </c>
      <c r="R252" s="43">
        <f t="shared" si="111"/>
        <v>808.05906013716231</v>
      </c>
      <c r="S252" s="43">
        <f t="shared" si="111"/>
        <v>730.24596545728741</v>
      </c>
      <c r="T252" s="43">
        <f t="shared" si="111"/>
        <v>721.37658126144981</v>
      </c>
      <c r="V252" s="43">
        <f t="shared" si="106"/>
        <v>84.567816590750724</v>
      </c>
      <c r="W252" s="43">
        <f t="shared" si="107"/>
        <v>84.567816590750724</v>
      </c>
      <c r="X252" s="43">
        <f t="shared" si="108"/>
        <v>84.567816590750724</v>
      </c>
      <c r="Y252" s="43">
        <f t="shared" si="109"/>
        <v>84.567816590750724</v>
      </c>
      <c r="Z252" s="43">
        <f t="shared" si="110"/>
        <v>84.567816590750724</v>
      </c>
      <c r="AB252" s="43">
        <f t="shared" si="87"/>
        <v>1074.0112707025341</v>
      </c>
      <c r="AC252" s="43">
        <f t="shared" si="88"/>
        <v>978.73153067695478</v>
      </c>
      <c r="AD252" s="43">
        <f t="shared" si="89"/>
        <v>892.62687672791299</v>
      </c>
      <c r="AE252" s="43">
        <f t="shared" si="90"/>
        <v>814.81378204803809</v>
      </c>
      <c r="AF252" s="43">
        <f t="shared" si="91"/>
        <v>805.9443978522005</v>
      </c>
      <c r="AH252" s="43">
        <f t="shared" si="92"/>
        <v>10342.643969048811</v>
      </c>
      <c r="AI252" s="43">
        <f t="shared" si="93"/>
        <v>9363.9124383718572</v>
      </c>
      <c r="AJ252" s="43">
        <f t="shared" si="94"/>
        <v>8471.2855616439447</v>
      </c>
      <c r="AK252" s="43">
        <f t="shared" si="95"/>
        <v>7656.4717795959068</v>
      </c>
      <c r="AL252" s="43">
        <f t="shared" si="96"/>
        <v>6850.5273817437064</v>
      </c>
      <c r="AN252" s="47">
        <f t="shared" si="97"/>
        <v>1498.0596734335354</v>
      </c>
      <c r="AO252" s="47">
        <f t="shared" si="98"/>
        <v>1456.2910650339195</v>
      </c>
      <c r="AP252" s="47">
        <f t="shared" si="99"/>
        <v>1324.6624403717542</v>
      </c>
      <c r="AQ252" s="47">
        <f t="shared" si="100"/>
        <v>1235.919729925813</v>
      </c>
      <c r="AR252" s="43">
        <f t="shared" si="101"/>
        <v>1066.2644383584613</v>
      </c>
      <c r="AY252" s="3"/>
    </row>
    <row r="253" spans="1:51">
      <c r="A253" s="226"/>
      <c r="B253" s="37">
        <f>'13. Desinvesteringen'!B536</f>
        <v>517</v>
      </c>
      <c r="C253" s="48"/>
      <c r="D253" s="48"/>
      <c r="E253" s="48"/>
      <c r="F253" s="354">
        <f>'5. Input GAW-waarde desinv.'!D212</f>
        <v>17633.404807314058</v>
      </c>
      <c r="G253" s="175">
        <f>'13. Desinvesteringen'!D536</f>
        <v>1982</v>
      </c>
      <c r="H253" s="175">
        <f>'13. Desinvesteringen'!G536</f>
        <v>2023</v>
      </c>
      <c r="I253" s="37" t="str">
        <f>'13. Desinvesteringen'!C536</f>
        <v>21 Hoofdtransportleiding</v>
      </c>
      <c r="J253" s="165">
        <f>'13. Desinvesteringen'!F536</f>
        <v>0</v>
      </c>
      <c r="K253" s="38">
        <f>_xlfn.XLOOKUP(I253,'3. Input (des)investeringen '!$B$11:$B$89,'3. Input (des)investeringen '!$E$11:$E$89)</f>
        <v>1</v>
      </c>
      <c r="L253" s="48"/>
      <c r="M253" s="38">
        <f>_xlfn.XLOOKUP(I253,'3. Input (des)investeringen '!$B$11:$B$89,'3. Input (des)investeringen '!$D$11:$D$89,0)</f>
        <v>55</v>
      </c>
      <c r="N253" s="38">
        <f t="shared" si="86"/>
        <v>15.5</v>
      </c>
      <c r="P253" s="43">
        <f t="shared" si="111"/>
        <v>1331.0376531972547</v>
      </c>
      <c r="Q253" s="43">
        <f t="shared" si="111"/>
        <v>1219.4022371226463</v>
      </c>
      <c r="R253" s="43">
        <f t="shared" si="111"/>
        <v>1117.1297914284889</v>
      </c>
      <c r="S253" s="43">
        <f t="shared" si="111"/>
        <v>1023.4350347280349</v>
      </c>
      <c r="T253" s="43">
        <f t="shared" si="111"/>
        <v>972.09214000923726</v>
      </c>
      <c r="V253" s="43">
        <f t="shared" si="106"/>
        <v>113.76390198267134</v>
      </c>
      <c r="W253" s="43">
        <f t="shared" si="107"/>
        <v>113.76390198267134</v>
      </c>
      <c r="X253" s="43">
        <f t="shared" si="108"/>
        <v>113.76390198267134</v>
      </c>
      <c r="Y253" s="43">
        <f t="shared" si="109"/>
        <v>113.76390198267134</v>
      </c>
      <c r="Z253" s="43">
        <f t="shared" si="110"/>
        <v>113.76390198267134</v>
      </c>
      <c r="AB253" s="43">
        <f t="shared" si="87"/>
        <v>1444.801555179926</v>
      </c>
      <c r="AC253" s="43">
        <f t="shared" si="88"/>
        <v>1333.1661391053176</v>
      </c>
      <c r="AD253" s="43">
        <f t="shared" si="89"/>
        <v>1230.8936934111603</v>
      </c>
      <c r="AE253" s="43">
        <f t="shared" si="90"/>
        <v>1137.1989367107062</v>
      </c>
      <c r="AF253" s="43">
        <f t="shared" si="91"/>
        <v>1085.8560419919086</v>
      </c>
      <c r="AH253" s="43">
        <f t="shared" si="92"/>
        <v>16188.603252134133</v>
      </c>
      <c r="AI253" s="43">
        <f t="shared" si="93"/>
        <v>14855.437113028816</v>
      </c>
      <c r="AJ253" s="43">
        <f t="shared" si="94"/>
        <v>13624.543419617656</v>
      </c>
      <c r="AK253" s="43">
        <f t="shared" si="95"/>
        <v>12487.344482906949</v>
      </c>
      <c r="AL253" s="43">
        <f t="shared" si="96"/>
        <v>11401.48844091504</v>
      </c>
      <c r="AN253" s="47">
        <f t="shared" si="97"/>
        <v>2108.5342885174255</v>
      </c>
      <c r="AO253" s="47">
        <f t="shared" si="98"/>
        <v>2090.7934318697871</v>
      </c>
      <c r="AP253" s="47">
        <f t="shared" si="99"/>
        <v>1925.7454078116607</v>
      </c>
      <c r="AQ253" s="47">
        <f t="shared" si="100"/>
        <v>1824.0028832705884</v>
      </c>
      <c r="AR253" s="43">
        <f t="shared" si="101"/>
        <v>1519.1126027466801</v>
      </c>
      <c r="AY253" s="3"/>
    </row>
    <row r="254" spans="1:51">
      <c r="A254" s="226"/>
      <c r="B254" s="37">
        <f>'13. Desinvesteringen'!B537</f>
        <v>518</v>
      </c>
      <c r="C254" s="48"/>
      <c r="D254" s="48"/>
      <c r="E254" s="48"/>
      <c r="F254" s="354">
        <f>'5. Input GAW-waarde desinv.'!D213</f>
        <v>15300.61437397597</v>
      </c>
      <c r="G254" s="175">
        <f>'13. Desinvesteringen'!D537</f>
        <v>1986</v>
      </c>
      <c r="H254" s="175">
        <f>'13. Desinvesteringen'!G537</f>
        <v>2023</v>
      </c>
      <c r="I254" s="37" t="str">
        <f>'13. Desinvesteringen'!C537</f>
        <v>21 Hoofdtransportleiding</v>
      </c>
      <c r="J254" s="165">
        <f>'13. Desinvesteringen'!F537</f>
        <v>0</v>
      </c>
      <c r="K254" s="38">
        <f>_xlfn.XLOOKUP(I254,'3. Input (des)investeringen '!$B$11:$B$89,'3. Input (des)investeringen '!$E$11:$E$89)</f>
        <v>1</v>
      </c>
      <c r="L254" s="48"/>
      <c r="M254" s="38">
        <f>_xlfn.XLOOKUP(I254,'3. Input (des)investeringen '!$B$11:$B$89,'3. Input (des)investeringen '!$D$11:$D$89,0)</f>
        <v>55</v>
      </c>
      <c r="N254" s="38">
        <f t="shared" si="86"/>
        <v>19.5</v>
      </c>
      <c r="P254" s="43">
        <f t="shared" si="111"/>
        <v>918.03686243855816</v>
      </c>
      <c r="Q254" s="43">
        <f t="shared" si="111"/>
        <v>856.83440494265426</v>
      </c>
      <c r="R254" s="43">
        <f t="shared" si="111"/>
        <v>799.71211127981076</v>
      </c>
      <c r="S254" s="43">
        <f t="shared" si="111"/>
        <v>746.39797052782342</v>
      </c>
      <c r="T254" s="43">
        <f t="shared" si="111"/>
        <v>696.63810582596852</v>
      </c>
      <c r="V254" s="43">
        <f t="shared" si="106"/>
        <v>78.464689097312672</v>
      </c>
      <c r="W254" s="43">
        <f t="shared" si="107"/>
        <v>78.464689097312672</v>
      </c>
      <c r="X254" s="43">
        <f t="shared" si="108"/>
        <v>78.464689097312672</v>
      </c>
      <c r="Y254" s="43">
        <f t="shared" si="109"/>
        <v>78.464689097312672</v>
      </c>
      <c r="Z254" s="43">
        <f t="shared" si="110"/>
        <v>78.464689097312672</v>
      </c>
      <c r="AB254" s="43">
        <f t="shared" si="87"/>
        <v>996.50155153587082</v>
      </c>
      <c r="AC254" s="43">
        <f t="shared" si="88"/>
        <v>935.29909403996692</v>
      </c>
      <c r="AD254" s="43">
        <f t="shared" si="89"/>
        <v>878.17680037712341</v>
      </c>
      <c r="AE254" s="43">
        <f t="shared" si="90"/>
        <v>824.86265962513608</v>
      </c>
      <c r="AF254" s="43">
        <f t="shared" si="91"/>
        <v>775.10279492328118</v>
      </c>
      <c r="AH254" s="43">
        <f t="shared" si="92"/>
        <v>14304.1128224401</v>
      </c>
      <c r="AI254" s="43">
        <f t="shared" si="93"/>
        <v>13368.813728400133</v>
      </c>
      <c r="AJ254" s="43">
        <f t="shared" si="94"/>
        <v>12490.63692802301</v>
      </c>
      <c r="AK254" s="43">
        <f t="shared" si="95"/>
        <v>11665.774268397874</v>
      </c>
      <c r="AL254" s="43">
        <f t="shared" si="96"/>
        <v>10890.671473474593</v>
      </c>
      <c r="AN254" s="47">
        <f t="shared" si="97"/>
        <v>1582.9701772559149</v>
      </c>
      <c r="AO254" s="47">
        <f t="shared" si="98"/>
        <v>1617.1085941883737</v>
      </c>
      <c r="AP254" s="47">
        <f t="shared" si="99"/>
        <v>1515.1992837062969</v>
      </c>
      <c r="AQ254" s="47">
        <f t="shared" si="100"/>
        <v>1466.4802443870192</v>
      </c>
      <c r="AR254" s="43">
        <f t="shared" si="101"/>
        <v>1188.9483109153157</v>
      </c>
      <c r="AY254" s="3"/>
    </row>
    <row r="255" spans="1:51">
      <c r="A255" s="226"/>
      <c r="B255" s="37">
        <f>'13. Desinvesteringen'!B538</f>
        <v>519</v>
      </c>
      <c r="C255" s="48"/>
      <c r="D255" s="48"/>
      <c r="E255" s="48"/>
      <c r="F255" s="354">
        <f>'5. Input GAW-waarde desinv.'!D214</f>
        <v>16001.249643380297</v>
      </c>
      <c r="G255" s="175">
        <f>'13. Desinvesteringen'!D538</f>
        <v>1987</v>
      </c>
      <c r="H255" s="175">
        <f>'13. Desinvesteringen'!G538</f>
        <v>2023</v>
      </c>
      <c r="I255" s="37" t="str">
        <f>'13. Desinvesteringen'!C538</f>
        <v>21 Hoofdtransportleiding</v>
      </c>
      <c r="J255" s="165">
        <f>'13. Desinvesteringen'!F538</f>
        <v>0</v>
      </c>
      <c r="K255" s="38">
        <f>_xlfn.XLOOKUP(I255,'3. Input (des)investeringen '!$B$11:$B$89,'3. Input (des)investeringen '!$E$11:$E$89)</f>
        <v>1</v>
      </c>
      <c r="L255" s="48"/>
      <c r="M255" s="38">
        <f>_xlfn.XLOOKUP(I255,'3. Input (des)investeringen '!$B$11:$B$89,'3. Input (des)investeringen '!$D$11:$D$89,0)</f>
        <v>55</v>
      </c>
      <c r="N255" s="38">
        <f t="shared" si="86"/>
        <v>20.5</v>
      </c>
      <c r="P255" s="43">
        <f t="shared" si="111"/>
        <v>913.24205281731452</v>
      </c>
      <c r="Q255" s="43">
        <f t="shared" si="111"/>
        <v>855.32914215085066</v>
      </c>
      <c r="R255" s="43">
        <f t="shared" si="111"/>
        <v>801.08875752665028</v>
      </c>
      <c r="S255" s="43">
        <f t="shared" si="111"/>
        <v>750.28800704935065</v>
      </c>
      <c r="T255" s="43">
        <f t="shared" si="111"/>
        <v>702.70876757792826</v>
      </c>
      <c r="V255" s="43">
        <f t="shared" si="106"/>
        <v>78.054876309172187</v>
      </c>
      <c r="W255" s="43">
        <f t="shared" si="107"/>
        <v>78.054876309172187</v>
      </c>
      <c r="X255" s="43">
        <f t="shared" si="108"/>
        <v>78.054876309172187</v>
      </c>
      <c r="Y255" s="43">
        <f t="shared" si="109"/>
        <v>78.054876309172187</v>
      </c>
      <c r="Z255" s="43">
        <f t="shared" si="110"/>
        <v>78.054876309172187</v>
      </c>
      <c r="AB255" s="43">
        <f t="shared" si="87"/>
        <v>991.2969291264867</v>
      </c>
      <c r="AC255" s="43">
        <f t="shared" si="88"/>
        <v>933.38401846002284</v>
      </c>
      <c r="AD255" s="43">
        <f t="shared" si="89"/>
        <v>879.14363383582247</v>
      </c>
      <c r="AE255" s="43">
        <f t="shared" si="90"/>
        <v>828.34288335852284</v>
      </c>
      <c r="AF255" s="43">
        <f t="shared" si="91"/>
        <v>780.76364388710044</v>
      </c>
      <c r="AH255" s="43">
        <f t="shared" si="92"/>
        <v>15009.95271425381</v>
      </c>
      <c r="AI255" s="43">
        <f t="shared" si="93"/>
        <v>14076.568695793787</v>
      </c>
      <c r="AJ255" s="43">
        <f t="shared" si="94"/>
        <v>13197.425061957965</v>
      </c>
      <c r="AK255" s="43">
        <f t="shared" si="95"/>
        <v>12369.082178599443</v>
      </c>
      <c r="AL255" s="43">
        <f t="shared" si="96"/>
        <v>11588.318534712344</v>
      </c>
      <c r="AN255" s="47">
        <f t="shared" si="97"/>
        <v>1606.7049904108931</v>
      </c>
      <c r="AO255" s="47">
        <f t="shared" si="98"/>
        <v>1651.289021945506</v>
      </c>
      <c r="AP255" s="47">
        <f t="shared" si="99"/>
        <v>1552.2123119956786</v>
      </c>
      <c r="AQ255" s="47">
        <f t="shared" si="100"/>
        <v>1508.6424031814922</v>
      </c>
      <c r="AR255" s="43">
        <f t="shared" si="101"/>
        <v>1221.1197482061696</v>
      </c>
      <c r="AY255" s="3"/>
    </row>
    <row r="256" spans="1:51">
      <c r="A256" s="226"/>
      <c r="B256" s="37">
        <f>'13. Desinvesteringen'!B539</f>
        <v>520</v>
      </c>
      <c r="C256" s="48"/>
      <c r="D256" s="48"/>
      <c r="E256" s="48"/>
      <c r="F256" s="354">
        <f>'5. Input GAW-waarde desinv.'!D215</f>
        <v>20208.996722083291</v>
      </c>
      <c r="G256" s="175">
        <f>'13. Desinvesteringen'!D539</f>
        <v>1993</v>
      </c>
      <c r="H256" s="175">
        <f>'13. Desinvesteringen'!G539</f>
        <v>2023</v>
      </c>
      <c r="I256" s="37" t="str">
        <f>'13. Desinvesteringen'!C539</f>
        <v>21 Hoofdtransportleiding</v>
      </c>
      <c r="J256" s="165">
        <f>'13. Desinvesteringen'!F539</f>
        <v>0</v>
      </c>
      <c r="K256" s="38">
        <f>_xlfn.XLOOKUP(I256,'3. Input (des)investeringen '!$B$11:$B$89,'3. Input (des)investeringen '!$E$11:$E$89)</f>
        <v>1</v>
      </c>
      <c r="L256" s="48"/>
      <c r="M256" s="38">
        <f>_xlfn.XLOOKUP(I256,'3. Input (des)investeringen '!$B$11:$B$89,'3. Input (des)investeringen '!$D$11:$D$89,0)</f>
        <v>55</v>
      </c>
      <c r="N256" s="38">
        <f t="shared" si="86"/>
        <v>26.5</v>
      </c>
      <c r="P256" s="43">
        <f t="shared" si="111"/>
        <v>892.24627037122457</v>
      </c>
      <c r="Q256" s="43">
        <f t="shared" si="111"/>
        <v>848.47569861716443</v>
      </c>
      <c r="R256" s="43">
        <f t="shared" si="111"/>
        <v>806.85236245858664</v>
      </c>
      <c r="S256" s="43">
        <f t="shared" si="111"/>
        <v>767.27092580967485</v>
      </c>
      <c r="T256" s="43">
        <f t="shared" si="111"/>
        <v>729.631220015238</v>
      </c>
      <c r="V256" s="43">
        <f t="shared" si="106"/>
        <v>76.260364988993544</v>
      </c>
      <c r="W256" s="43">
        <f t="shared" si="107"/>
        <v>76.260364988993558</v>
      </c>
      <c r="X256" s="43">
        <f t="shared" si="108"/>
        <v>76.260364988993558</v>
      </c>
      <c r="Y256" s="43">
        <f t="shared" si="109"/>
        <v>76.260364988993558</v>
      </c>
      <c r="Z256" s="43">
        <f t="shared" si="110"/>
        <v>76.260364988993558</v>
      </c>
      <c r="AB256" s="43">
        <f t="shared" si="87"/>
        <v>968.50663536021807</v>
      </c>
      <c r="AC256" s="43">
        <f t="shared" si="88"/>
        <v>924.73606360615804</v>
      </c>
      <c r="AD256" s="43">
        <f t="shared" si="89"/>
        <v>883.11272744758026</v>
      </c>
      <c r="AE256" s="43">
        <f t="shared" si="90"/>
        <v>843.53129079866835</v>
      </c>
      <c r="AF256" s="43">
        <f t="shared" si="91"/>
        <v>805.8915850042315</v>
      </c>
      <c r="AH256" s="43">
        <f t="shared" si="92"/>
        <v>19240.490086723072</v>
      </c>
      <c r="AI256" s="43">
        <f t="shared" si="93"/>
        <v>18315.754023116915</v>
      </c>
      <c r="AJ256" s="43">
        <f t="shared" si="94"/>
        <v>17432.641295669335</v>
      </c>
      <c r="AK256" s="43">
        <f t="shared" si="95"/>
        <v>16589.110004870665</v>
      </c>
      <c r="AL256" s="43">
        <f t="shared" si="96"/>
        <v>15783.218419866433</v>
      </c>
      <c r="AN256" s="47">
        <f t="shared" si="97"/>
        <v>1757.3667289158641</v>
      </c>
      <c r="AO256" s="47">
        <f t="shared" si="98"/>
        <v>1858.8395187851206</v>
      </c>
      <c r="AP256" s="47">
        <f t="shared" si="99"/>
        <v>1772.1774335267164</v>
      </c>
      <c r="AQ256" s="47">
        <f t="shared" si="100"/>
        <v>1755.932341066555</v>
      </c>
      <c r="AR256" s="43">
        <f t="shared" si="101"/>
        <v>1405.6538849591559</v>
      </c>
      <c r="AY256" s="3"/>
    </row>
    <row r="257" spans="1:51">
      <c r="A257" s="226"/>
      <c r="B257" s="37">
        <f>'13. Desinvesteringen'!B540</f>
        <v>521</v>
      </c>
      <c r="C257" s="48"/>
      <c r="D257" s="48"/>
      <c r="E257" s="48"/>
      <c r="F257" s="354">
        <f>'5. Input GAW-waarde desinv.'!D216</f>
        <v>58527.314744578129</v>
      </c>
      <c r="G257" s="175">
        <f>'13. Desinvesteringen'!D540</f>
        <v>1996</v>
      </c>
      <c r="H257" s="175">
        <f>'13. Desinvesteringen'!G540</f>
        <v>2023</v>
      </c>
      <c r="I257" s="37" t="str">
        <f>'13. Desinvesteringen'!C540</f>
        <v>21 Hoofdtransportleiding</v>
      </c>
      <c r="J257" s="165">
        <f>'13. Desinvesteringen'!F540</f>
        <v>0</v>
      </c>
      <c r="K257" s="38">
        <f>_xlfn.XLOOKUP(I257,'3. Input (des)investeringen '!$B$11:$B$89,'3. Input (des)investeringen '!$E$11:$E$89)</f>
        <v>1</v>
      </c>
      <c r="L257" s="48"/>
      <c r="M257" s="38">
        <f>_xlfn.XLOOKUP(I257,'3. Input (des)investeringen '!$B$11:$B$89,'3. Input (des)investeringen '!$D$11:$D$89,0)</f>
        <v>55</v>
      </c>
      <c r="N257" s="38">
        <f t="shared" si="86"/>
        <v>29.5</v>
      </c>
      <c r="P257" s="43">
        <f t="shared" si="111"/>
        <v>2321.2528220730987</v>
      </c>
      <c r="Q257" s="43">
        <f t="shared" si="111"/>
        <v>2218.9603248291992</v>
      </c>
      <c r="R257" s="43">
        <f t="shared" si="111"/>
        <v>2121.1756325485908</v>
      </c>
      <c r="S257" s="43">
        <f t="shared" si="111"/>
        <v>2027.7000961989918</v>
      </c>
      <c r="T257" s="43">
        <f t="shared" si="111"/>
        <v>1938.3438207732736</v>
      </c>
      <c r="V257" s="43">
        <f t="shared" si="106"/>
        <v>198.39767710026484</v>
      </c>
      <c r="W257" s="43">
        <f t="shared" si="107"/>
        <v>198.39767710026484</v>
      </c>
      <c r="X257" s="43">
        <f t="shared" si="108"/>
        <v>198.39767710026484</v>
      </c>
      <c r="Y257" s="43">
        <f t="shared" si="109"/>
        <v>198.39767710026484</v>
      </c>
      <c r="Z257" s="43">
        <f t="shared" si="110"/>
        <v>198.39767710026484</v>
      </c>
      <c r="AB257" s="43">
        <f t="shared" si="87"/>
        <v>2519.6504991733636</v>
      </c>
      <c r="AC257" s="43">
        <f t="shared" si="88"/>
        <v>2417.3580019294641</v>
      </c>
      <c r="AD257" s="43">
        <f t="shared" si="89"/>
        <v>2319.5733096488557</v>
      </c>
      <c r="AE257" s="43">
        <f t="shared" si="90"/>
        <v>2226.0977732992565</v>
      </c>
      <c r="AF257" s="43">
        <f t="shared" si="91"/>
        <v>2136.7414978735383</v>
      </c>
      <c r="AH257" s="43">
        <f t="shared" si="92"/>
        <v>56007.664245404769</v>
      </c>
      <c r="AI257" s="43">
        <f t="shared" si="93"/>
        <v>53590.306243475308</v>
      </c>
      <c r="AJ257" s="43">
        <f t="shared" si="94"/>
        <v>51270.732933826454</v>
      </c>
      <c r="AK257" s="43">
        <f t="shared" si="95"/>
        <v>49044.635160527199</v>
      </c>
      <c r="AL257" s="43">
        <f t="shared" si="96"/>
        <v>46907.89366265366</v>
      </c>
      <c r="AN257" s="47">
        <f t="shared" si="97"/>
        <v>4815.9647332349596</v>
      </c>
      <c r="AO257" s="47">
        <f t="shared" si="98"/>
        <v>5150.4636203467053</v>
      </c>
      <c r="AP257" s="47">
        <f t="shared" si="99"/>
        <v>4934.3806892740049</v>
      </c>
      <c r="AQ257" s="47">
        <f t="shared" si="100"/>
        <v>4923.5527071282522</v>
      </c>
      <c r="AR257" s="43">
        <f t="shared" si="101"/>
        <v>3919.241457054377</v>
      </c>
      <c r="AY257" s="3"/>
    </row>
    <row r="258" spans="1:51">
      <c r="A258" s="226"/>
      <c r="B258" s="37">
        <f>'13. Desinvesteringen'!B541</f>
        <v>522</v>
      </c>
      <c r="C258" s="48"/>
      <c r="D258" s="48"/>
      <c r="E258" s="48"/>
      <c r="F258" s="354">
        <f>'5. Input GAW-waarde desinv.'!D217</f>
        <v>247531.06540005477</v>
      </c>
      <c r="G258" s="175">
        <f>'13. Desinvesteringen'!D541</f>
        <v>2002</v>
      </c>
      <c r="H258" s="175">
        <f>'13. Desinvesteringen'!G541</f>
        <v>2023</v>
      </c>
      <c r="I258" s="37" t="str">
        <f>'13. Desinvesteringen'!C541</f>
        <v>21 Hoofdtransportleiding</v>
      </c>
      <c r="J258" s="165">
        <f>'13. Desinvesteringen'!F541</f>
        <v>0</v>
      </c>
      <c r="K258" s="38">
        <f>_xlfn.XLOOKUP(I258,'3. Input (des)investeringen '!$B$11:$B$89,'3. Input (des)investeringen '!$E$11:$E$89)</f>
        <v>1</v>
      </c>
      <c r="L258" s="48"/>
      <c r="M258" s="38">
        <f>_xlfn.XLOOKUP(I258,'3. Input (des)investeringen '!$B$11:$B$89,'3. Input (des)investeringen '!$D$11:$D$89,0)</f>
        <v>55</v>
      </c>
      <c r="N258" s="38">
        <f t="shared" si="86"/>
        <v>35.5</v>
      </c>
      <c r="P258" s="43">
        <f t="shared" si="111"/>
        <v>8158.066099100397</v>
      </c>
      <c r="Q258" s="43">
        <f t="shared" si="111"/>
        <v>7859.3200165981289</v>
      </c>
      <c r="R258" s="43">
        <f t="shared" si="111"/>
        <v>7571.5139314832686</v>
      </c>
      <c r="S258" s="43">
        <f t="shared" si="111"/>
        <v>7294.247224133177</v>
      </c>
      <c r="T258" s="43">
        <f t="shared" si="111"/>
        <v>7027.1339455029474</v>
      </c>
      <c r="V258" s="43">
        <f t="shared" si="106"/>
        <v>697.27060676071778</v>
      </c>
      <c r="W258" s="43">
        <f t="shared" si="107"/>
        <v>697.27060676071767</v>
      </c>
      <c r="X258" s="43">
        <f t="shared" si="108"/>
        <v>697.27060676071767</v>
      </c>
      <c r="Y258" s="43">
        <f t="shared" si="109"/>
        <v>697.27060676071767</v>
      </c>
      <c r="Z258" s="43">
        <f t="shared" si="110"/>
        <v>697.27060676071767</v>
      </c>
      <c r="AB258" s="43">
        <f t="shared" si="87"/>
        <v>8855.3367058611148</v>
      </c>
      <c r="AC258" s="43">
        <f t="shared" si="88"/>
        <v>8556.5906233588466</v>
      </c>
      <c r="AD258" s="43">
        <f t="shared" si="89"/>
        <v>8268.7845382439864</v>
      </c>
      <c r="AE258" s="43">
        <f t="shared" si="90"/>
        <v>7991.5178308938948</v>
      </c>
      <c r="AF258" s="43">
        <f t="shared" si="91"/>
        <v>7724.4045522636652</v>
      </c>
      <c r="AH258" s="43">
        <f t="shared" si="92"/>
        <v>238675.72869419365</v>
      </c>
      <c r="AI258" s="43">
        <f t="shared" si="93"/>
        <v>230119.1380708348</v>
      </c>
      <c r="AJ258" s="43">
        <f t="shared" si="94"/>
        <v>221850.35353259082</v>
      </c>
      <c r="AK258" s="43">
        <f t="shared" si="95"/>
        <v>213858.83570169692</v>
      </c>
      <c r="AL258" s="43">
        <f t="shared" si="96"/>
        <v>206134.43114943325</v>
      </c>
      <c r="AN258" s="47">
        <f t="shared" si="97"/>
        <v>18641.041582323054</v>
      </c>
      <c r="AO258" s="47">
        <f t="shared" si="98"/>
        <v>20292.666664971421</v>
      </c>
      <c r="AP258" s="47">
        <f t="shared" si="99"/>
        <v>19583.15256840612</v>
      </c>
      <c r="AQ258" s="47">
        <f t="shared" si="100"/>
        <v>19753.753794487227</v>
      </c>
      <c r="AR258" s="43">
        <f t="shared" si="101"/>
        <v>15557.51293594213</v>
      </c>
      <c r="AY258" s="3"/>
    </row>
    <row r="259" spans="1:51">
      <c r="A259" s="226"/>
      <c r="B259" s="37">
        <f>'13. Desinvesteringen'!B542</f>
        <v>523</v>
      </c>
      <c r="C259" s="48"/>
      <c r="D259" s="48"/>
      <c r="E259" s="48"/>
      <c r="F259" s="354">
        <f>'5. Input GAW-waarde desinv.'!D218</f>
        <v>31800.173255745365</v>
      </c>
      <c r="G259" s="175">
        <f>'13. Desinvesteringen'!D542</f>
        <v>2008</v>
      </c>
      <c r="H259" s="175">
        <f>'13. Desinvesteringen'!G542</f>
        <v>2023</v>
      </c>
      <c r="I259" s="37" t="str">
        <f>'13. Desinvesteringen'!C542</f>
        <v>21 Hoofdtransportleiding</v>
      </c>
      <c r="J259" s="165">
        <f>'13. Desinvesteringen'!F542</f>
        <v>0</v>
      </c>
      <c r="K259" s="38">
        <f>_xlfn.XLOOKUP(I259,'3. Input (des)investeringen '!$B$11:$B$89,'3. Input (des)investeringen '!$E$11:$E$89)</f>
        <v>1</v>
      </c>
      <c r="L259" s="48"/>
      <c r="M259" s="38">
        <f>_xlfn.XLOOKUP(I259,'3. Input (des)investeringen '!$B$11:$B$89,'3. Input (des)investeringen '!$D$11:$D$89,0)</f>
        <v>55</v>
      </c>
      <c r="N259" s="38">
        <f t="shared" si="86"/>
        <v>41.5</v>
      </c>
      <c r="P259" s="43">
        <f t="shared" si="111"/>
        <v>896.53500504149588</v>
      </c>
      <c r="Q259" s="43">
        <f t="shared" si="111"/>
        <v>868.45077596790691</v>
      </c>
      <c r="R259" s="43">
        <f t="shared" si="111"/>
        <v>841.24629382915316</v>
      </c>
      <c r="S259" s="43">
        <f t="shared" si="111"/>
        <v>814.89400028751697</v>
      </c>
      <c r="T259" s="43">
        <f t="shared" si="111"/>
        <v>789.36720027851038</v>
      </c>
      <c r="V259" s="43">
        <f t="shared" si="106"/>
        <v>76.626923507820166</v>
      </c>
      <c r="W259" s="43">
        <f t="shared" si="107"/>
        <v>76.626923507820152</v>
      </c>
      <c r="X259" s="43">
        <f t="shared" si="108"/>
        <v>76.626923507820152</v>
      </c>
      <c r="Y259" s="43">
        <f t="shared" si="109"/>
        <v>76.626923507820152</v>
      </c>
      <c r="Z259" s="43">
        <f t="shared" si="110"/>
        <v>76.626923507820152</v>
      </c>
      <c r="AB259" s="43">
        <f t="shared" si="87"/>
        <v>973.16192854931603</v>
      </c>
      <c r="AC259" s="43">
        <f t="shared" si="88"/>
        <v>945.07769947572706</v>
      </c>
      <c r="AD259" s="43">
        <f t="shared" si="89"/>
        <v>917.87321733697331</v>
      </c>
      <c r="AE259" s="43">
        <f t="shared" si="90"/>
        <v>891.52092379533713</v>
      </c>
      <c r="AF259" s="43">
        <f t="shared" si="91"/>
        <v>865.99412378633053</v>
      </c>
      <c r="AH259" s="43">
        <f t="shared" si="92"/>
        <v>30827.011327196051</v>
      </c>
      <c r="AI259" s="43">
        <f t="shared" si="93"/>
        <v>29881.933627720326</v>
      </c>
      <c r="AJ259" s="43">
        <f t="shared" si="94"/>
        <v>28964.060410383354</v>
      </c>
      <c r="AK259" s="43">
        <f t="shared" si="95"/>
        <v>28072.539486588015</v>
      </c>
      <c r="AL259" s="43">
        <f t="shared" si="96"/>
        <v>27206.545362801684</v>
      </c>
      <c r="AN259" s="47">
        <f t="shared" si="97"/>
        <v>2237.0693929643544</v>
      </c>
      <c r="AO259" s="47">
        <f t="shared" si="98"/>
        <v>2469.0563144894636</v>
      </c>
      <c r="AP259" s="47">
        <f t="shared" si="99"/>
        <v>2395.0402982665246</v>
      </c>
      <c r="AQ259" s="47">
        <f t="shared" si="100"/>
        <v>2435.5105955576778</v>
      </c>
      <c r="AR259" s="43">
        <f t="shared" si="101"/>
        <v>1899.8428475727947</v>
      </c>
      <c r="AY259" s="3"/>
    </row>
    <row r="260" spans="1:51">
      <c r="A260" s="226"/>
      <c r="B260" s="37">
        <f>'13. Desinvesteringen'!B543</f>
        <v>524</v>
      </c>
      <c r="C260" s="48"/>
      <c r="D260" s="48"/>
      <c r="E260" s="48"/>
      <c r="F260" s="354">
        <f>'5. Input GAW-waarde desinv.'!D219</f>
        <v>0</v>
      </c>
      <c r="G260" s="175">
        <f>'13. Desinvesteringen'!D543</f>
        <v>1974</v>
      </c>
      <c r="H260" s="175">
        <f>'13. Desinvesteringen'!G543</f>
        <v>2023</v>
      </c>
      <c r="I260" s="37" t="str">
        <f>'13. Desinvesteringen'!C543</f>
        <v>32 M&amp;R stations</v>
      </c>
      <c r="J260" s="165">
        <f>'13. Desinvesteringen'!F543</f>
        <v>0</v>
      </c>
      <c r="K260" s="38">
        <f>_xlfn.XLOOKUP(I260,'3. Input (des)investeringen '!$B$11:$B$89,'3. Input (des)investeringen '!$E$11:$E$89)</f>
        <v>1</v>
      </c>
      <c r="L260" s="48"/>
      <c r="M260" s="38">
        <f>_xlfn.XLOOKUP(I260,'3. Input (des)investeringen '!$B$11:$B$89,'3. Input (des)investeringen '!$D$11:$D$89,0)</f>
        <v>30</v>
      </c>
      <c r="N260" s="38">
        <f t="shared" si="86"/>
        <v>0</v>
      </c>
      <c r="P260" s="43">
        <f t="shared" si="111"/>
        <v>0</v>
      </c>
      <c r="Q260" s="43">
        <f t="shared" si="111"/>
        <v>0</v>
      </c>
      <c r="R260" s="43">
        <f t="shared" si="111"/>
        <v>0</v>
      </c>
      <c r="S260" s="43">
        <f t="shared" si="111"/>
        <v>0</v>
      </c>
      <c r="T260" s="43">
        <f t="shared" si="111"/>
        <v>0</v>
      </c>
      <c r="V260" s="43">
        <f t="shared" si="106"/>
        <v>0</v>
      </c>
      <c r="W260" s="43">
        <f t="shared" si="107"/>
        <v>0</v>
      </c>
      <c r="X260" s="43">
        <f t="shared" si="108"/>
        <v>0</v>
      </c>
      <c r="Y260" s="43">
        <f t="shared" si="109"/>
        <v>0</v>
      </c>
      <c r="Z260" s="43">
        <f t="shared" si="110"/>
        <v>0</v>
      </c>
      <c r="AB260" s="43">
        <f t="shared" si="87"/>
        <v>0</v>
      </c>
      <c r="AC260" s="43">
        <f t="shared" si="88"/>
        <v>0</v>
      </c>
      <c r="AD260" s="43">
        <f t="shared" si="89"/>
        <v>0</v>
      </c>
      <c r="AE260" s="43">
        <f t="shared" si="90"/>
        <v>0</v>
      </c>
      <c r="AF260" s="43">
        <f t="shared" si="91"/>
        <v>0</v>
      </c>
      <c r="AH260" s="43">
        <f t="shared" si="92"/>
        <v>0</v>
      </c>
      <c r="AI260" s="43">
        <f t="shared" si="93"/>
        <v>0</v>
      </c>
      <c r="AJ260" s="43">
        <f t="shared" si="94"/>
        <v>0</v>
      </c>
      <c r="AK260" s="43">
        <f t="shared" si="95"/>
        <v>0</v>
      </c>
      <c r="AL260" s="43">
        <f t="shared" si="96"/>
        <v>0</v>
      </c>
      <c r="AN260" s="47">
        <f t="shared" si="97"/>
        <v>0</v>
      </c>
      <c r="AO260" s="47">
        <f t="shared" si="98"/>
        <v>0</v>
      </c>
      <c r="AP260" s="47">
        <f t="shared" si="99"/>
        <v>0</v>
      </c>
      <c r="AQ260" s="47">
        <f t="shared" si="100"/>
        <v>0</v>
      </c>
      <c r="AR260" s="43">
        <f t="shared" si="101"/>
        <v>0</v>
      </c>
      <c r="AY260" s="3"/>
    </row>
    <row r="261" spans="1:51">
      <c r="A261" s="226"/>
      <c r="B261" s="37">
        <f>'13. Desinvesteringen'!B544</f>
        <v>525</v>
      </c>
      <c r="C261" s="48"/>
      <c r="D261" s="48"/>
      <c r="E261" s="48"/>
      <c r="F261" s="354">
        <f>'5. Input GAW-waarde desinv.'!D220</f>
        <v>0</v>
      </c>
      <c r="G261" s="175">
        <f>'13. Desinvesteringen'!D544</f>
        <v>1966</v>
      </c>
      <c r="H261" s="175">
        <f>'13. Desinvesteringen'!G544</f>
        <v>2023</v>
      </c>
      <c r="I261" s="37" t="str">
        <f>'13. Desinvesteringen'!C544</f>
        <v>33 Exportstations</v>
      </c>
      <c r="J261" s="165">
        <f>'13. Desinvesteringen'!F544</f>
        <v>0</v>
      </c>
      <c r="K261" s="38">
        <f>_xlfn.XLOOKUP(I261,'3. Input (des)investeringen '!$B$11:$B$89,'3. Input (des)investeringen '!$E$11:$E$89)</f>
        <v>1</v>
      </c>
      <c r="L261" s="48"/>
      <c r="M261" s="38">
        <f>_xlfn.XLOOKUP(I261,'3. Input (des)investeringen '!$B$11:$B$89,'3. Input (des)investeringen '!$D$11:$D$89,0)</f>
        <v>30</v>
      </c>
      <c r="N261" s="38">
        <f t="shared" si="86"/>
        <v>0</v>
      </c>
      <c r="P261" s="43">
        <f t="shared" si="111"/>
        <v>0</v>
      </c>
      <c r="Q261" s="43">
        <f t="shared" si="111"/>
        <v>0</v>
      </c>
      <c r="R261" s="43">
        <f t="shared" si="111"/>
        <v>0</v>
      </c>
      <c r="S261" s="43">
        <f t="shared" si="111"/>
        <v>0</v>
      </c>
      <c r="T261" s="43">
        <f t="shared" si="111"/>
        <v>0</v>
      </c>
      <c r="V261" s="43">
        <f t="shared" si="106"/>
        <v>0</v>
      </c>
      <c r="W261" s="43">
        <f t="shared" si="107"/>
        <v>0</v>
      </c>
      <c r="X261" s="43">
        <f t="shared" si="108"/>
        <v>0</v>
      </c>
      <c r="Y261" s="43">
        <f t="shared" si="109"/>
        <v>0</v>
      </c>
      <c r="Z261" s="43">
        <f t="shared" si="110"/>
        <v>0</v>
      </c>
      <c r="AB261" s="43">
        <f t="shared" si="87"/>
        <v>0</v>
      </c>
      <c r="AC261" s="43">
        <f t="shared" si="88"/>
        <v>0</v>
      </c>
      <c r="AD261" s="43">
        <f t="shared" si="89"/>
        <v>0</v>
      </c>
      <c r="AE261" s="43">
        <f t="shared" si="90"/>
        <v>0</v>
      </c>
      <c r="AF261" s="43">
        <f t="shared" si="91"/>
        <v>0</v>
      </c>
      <c r="AH261" s="43">
        <f t="shared" si="92"/>
        <v>0</v>
      </c>
      <c r="AI261" s="43">
        <f t="shared" si="93"/>
        <v>0</v>
      </c>
      <c r="AJ261" s="43">
        <f t="shared" si="94"/>
        <v>0</v>
      </c>
      <c r="AK261" s="43">
        <f t="shared" si="95"/>
        <v>0</v>
      </c>
      <c r="AL261" s="43">
        <f t="shared" si="96"/>
        <v>0</v>
      </c>
      <c r="AN261" s="47">
        <f t="shared" si="97"/>
        <v>0</v>
      </c>
      <c r="AO261" s="47">
        <f t="shared" si="98"/>
        <v>0</v>
      </c>
      <c r="AP261" s="47">
        <f t="shared" si="99"/>
        <v>0</v>
      </c>
      <c r="AQ261" s="47">
        <f t="shared" si="100"/>
        <v>0</v>
      </c>
      <c r="AR261" s="43">
        <f t="shared" si="101"/>
        <v>0</v>
      </c>
      <c r="AY261" s="3"/>
    </row>
    <row r="262" spans="1:51">
      <c r="A262" s="226"/>
      <c r="B262" s="37">
        <f>'13. Desinvesteringen'!B545</f>
        <v>526</v>
      </c>
      <c r="C262" s="48"/>
      <c r="D262" s="48"/>
      <c r="E262" s="48"/>
      <c r="F262" s="354">
        <f>'5. Input GAW-waarde desinv.'!D221</f>
        <v>0</v>
      </c>
      <c r="G262" s="175">
        <f>'13. Desinvesteringen'!D545</f>
        <v>1967</v>
      </c>
      <c r="H262" s="175">
        <f>'13. Desinvesteringen'!G545</f>
        <v>2023</v>
      </c>
      <c r="I262" s="37" t="str">
        <f>'13. Desinvesteringen'!C545</f>
        <v>33 Exportstations</v>
      </c>
      <c r="J262" s="165">
        <f>'13. Desinvesteringen'!F545</f>
        <v>0</v>
      </c>
      <c r="K262" s="38">
        <f>_xlfn.XLOOKUP(I262,'3. Input (des)investeringen '!$B$11:$B$89,'3. Input (des)investeringen '!$E$11:$E$89)</f>
        <v>1</v>
      </c>
      <c r="L262" s="48"/>
      <c r="M262" s="38">
        <f>_xlfn.XLOOKUP(I262,'3. Input (des)investeringen '!$B$11:$B$89,'3. Input (des)investeringen '!$D$11:$D$89,0)</f>
        <v>30</v>
      </c>
      <c r="N262" s="38">
        <f t="shared" si="86"/>
        <v>0</v>
      </c>
      <c r="P262" s="43">
        <f t="shared" ref="P262:T271" si="112">IF($M262&gt;0, IF(OR($G262&gt;P$50,$G262+$M262&lt;P$50),0,
VDB($F262,0,$N262,MAX(0,P$50-2022),MIN($N262,P$50-2021),$F$23,FALSE))*(1-$F$26), 0)</f>
        <v>0</v>
      </c>
      <c r="Q262" s="43">
        <f t="shared" si="112"/>
        <v>0</v>
      </c>
      <c r="R262" s="43">
        <f t="shared" si="112"/>
        <v>0</v>
      </c>
      <c r="S262" s="43">
        <f t="shared" si="112"/>
        <v>0</v>
      </c>
      <c r="T262" s="43">
        <f t="shared" si="112"/>
        <v>0</v>
      </c>
      <c r="V262" s="43">
        <f t="shared" si="106"/>
        <v>0</v>
      </c>
      <c r="W262" s="43">
        <f t="shared" si="107"/>
        <v>0</v>
      </c>
      <c r="X262" s="43">
        <f t="shared" si="108"/>
        <v>0</v>
      </c>
      <c r="Y262" s="43">
        <f t="shared" si="109"/>
        <v>0</v>
      </c>
      <c r="Z262" s="43">
        <f t="shared" si="110"/>
        <v>0</v>
      </c>
      <c r="AB262" s="43">
        <f t="shared" si="87"/>
        <v>0</v>
      </c>
      <c r="AC262" s="43">
        <f t="shared" si="88"/>
        <v>0</v>
      </c>
      <c r="AD262" s="43">
        <f t="shared" si="89"/>
        <v>0</v>
      </c>
      <c r="AE262" s="43">
        <f t="shared" si="90"/>
        <v>0</v>
      </c>
      <c r="AF262" s="43">
        <f t="shared" si="91"/>
        <v>0</v>
      </c>
      <c r="AH262" s="43">
        <f t="shared" si="92"/>
        <v>0</v>
      </c>
      <c r="AI262" s="43">
        <f t="shared" si="93"/>
        <v>0</v>
      </c>
      <c r="AJ262" s="43">
        <f t="shared" si="94"/>
        <v>0</v>
      </c>
      <c r="AK262" s="43">
        <f t="shared" si="95"/>
        <v>0</v>
      </c>
      <c r="AL262" s="43">
        <f t="shared" si="96"/>
        <v>0</v>
      </c>
      <c r="AN262" s="47">
        <f t="shared" si="97"/>
        <v>0</v>
      </c>
      <c r="AO262" s="47">
        <f t="shared" si="98"/>
        <v>0</v>
      </c>
      <c r="AP262" s="47">
        <f t="shared" si="99"/>
        <v>0</v>
      </c>
      <c r="AQ262" s="47">
        <f t="shared" si="100"/>
        <v>0</v>
      </c>
      <c r="AR262" s="43">
        <f t="shared" si="101"/>
        <v>0</v>
      </c>
      <c r="AY262" s="3"/>
    </row>
    <row r="263" spans="1:51">
      <c r="A263" s="226"/>
      <c r="B263" s="37">
        <f>'13. Desinvesteringen'!B546</f>
        <v>527</v>
      </c>
      <c r="C263" s="48"/>
      <c r="D263" s="48"/>
      <c r="E263" s="48"/>
      <c r="F263" s="354">
        <f>'5. Input GAW-waarde desinv.'!D222</f>
        <v>0</v>
      </c>
      <c r="G263" s="175">
        <f>'13. Desinvesteringen'!D546</f>
        <v>1972</v>
      </c>
      <c r="H263" s="175">
        <f>'13. Desinvesteringen'!G546</f>
        <v>2023</v>
      </c>
      <c r="I263" s="37" t="str">
        <f>'13. Desinvesteringen'!C546</f>
        <v>33 Exportstations</v>
      </c>
      <c r="J263" s="165">
        <f>'13. Desinvesteringen'!F546</f>
        <v>0</v>
      </c>
      <c r="K263" s="38">
        <f>_xlfn.XLOOKUP(I263,'3. Input (des)investeringen '!$B$11:$B$89,'3. Input (des)investeringen '!$E$11:$E$89)</f>
        <v>1</v>
      </c>
      <c r="L263" s="48"/>
      <c r="M263" s="38">
        <f>_xlfn.XLOOKUP(I263,'3. Input (des)investeringen '!$B$11:$B$89,'3. Input (des)investeringen '!$D$11:$D$89,0)</f>
        <v>30</v>
      </c>
      <c r="N263" s="38">
        <f t="shared" si="86"/>
        <v>0</v>
      </c>
      <c r="P263" s="43">
        <f t="shared" si="112"/>
        <v>0</v>
      </c>
      <c r="Q263" s="43">
        <f t="shared" si="112"/>
        <v>0</v>
      </c>
      <c r="R263" s="43">
        <f t="shared" si="112"/>
        <v>0</v>
      </c>
      <c r="S263" s="43">
        <f t="shared" si="112"/>
        <v>0</v>
      </c>
      <c r="T263" s="43">
        <f t="shared" si="112"/>
        <v>0</v>
      </c>
      <c r="V263" s="43">
        <f t="shared" si="106"/>
        <v>0</v>
      </c>
      <c r="W263" s="43">
        <f t="shared" si="107"/>
        <v>0</v>
      </c>
      <c r="X263" s="43">
        <f t="shared" si="108"/>
        <v>0</v>
      </c>
      <c r="Y263" s="43">
        <f t="shared" si="109"/>
        <v>0</v>
      </c>
      <c r="Z263" s="43">
        <f t="shared" si="110"/>
        <v>0</v>
      </c>
      <c r="AB263" s="43">
        <f t="shared" si="87"/>
        <v>0</v>
      </c>
      <c r="AC263" s="43">
        <f t="shared" si="88"/>
        <v>0</v>
      </c>
      <c r="AD263" s="43">
        <f t="shared" si="89"/>
        <v>0</v>
      </c>
      <c r="AE263" s="43">
        <f t="shared" si="90"/>
        <v>0</v>
      </c>
      <c r="AF263" s="43">
        <f t="shared" si="91"/>
        <v>0</v>
      </c>
      <c r="AH263" s="43">
        <f t="shared" si="92"/>
        <v>0</v>
      </c>
      <c r="AI263" s="43">
        <f t="shared" si="93"/>
        <v>0</v>
      </c>
      <c r="AJ263" s="43">
        <f t="shared" si="94"/>
        <v>0</v>
      </c>
      <c r="AK263" s="43">
        <f t="shared" si="95"/>
        <v>0</v>
      </c>
      <c r="AL263" s="43">
        <f t="shared" si="96"/>
        <v>0</v>
      </c>
      <c r="AN263" s="47">
        <f t="shared" si="97"/>
        <v>0</v>
      </c>
      <c r="AO263" s="47">
        <f t="shared" si="98"/>
        <v>0</v>
      </c>
      <c r="AP263" s="47">
        <f t="shared" si="99"/>
        <v>0</v>
      </c>
      <c r="AQ263" s="47">
        <f t="shared" si="100"/>
        <v>0</v>
      </c>
      <c r="AR263" s="43">
        <f t="shared" si="101"/>
        <v>0</v>
      </c>
      <c r="AY263" s="3"/>
    </row>
    <row r="264" spans="1:51">
      <c r="A264" s="226"/>
      <c r="B264" s="37">
        <f>'13. Desinvesteringen'!B547</f>
        <v>528</v>
      </c>
      <c r="C264" s="48"/>
      <c r="D264" s="48"/>
      <c r="E264" s="48"/>
      <c r="F264" s="354">
        <f>'5. Input GAW-waarde desinv.'!D223</f>
        <v>0</v>
      </c>
      <c r="G264" s="175">
        <f>'13. Desinvesteringen'!D547</f>
        <v>1974</v>
      </c>
      <c r="H264" s="175">
        <f>'13. Desinvesteringen'!G547</f>
        <v>2023</v>
      </c>
      <c r="I264" s="37" t="str">
        <f>'13. Desinvesteringen'!C547</f>
        <v>33 Exportstations</v>
      </c>
      <c r="J264" s="165">
        <f>'13. Desinvesteringen'!F547</f>
        <v>0</v>
      </c>
      <c r="K264" s="38">
        <f>_xlfn.XLOOKUP(I264,'3. Input (des)investeringen '!$B$11:$B$89,'3. Input (des)investeringen '!$E$11:$E$89)</f>
        <v>1</v>
      </c>
      <c r="L264" s="48"/>
      <c r="M264" s="38">
        <f>_xlfn.XLOOKUP(I264,'3. Input (des)investeringen '!$B$11:$B$89,'3. Input (des)investeringen '!$D$11:$D$89,0)</f>
        <v>30</v>
      </c>
      <c r="N264" s="38">
        <f t="shared" si="86"/>
        <v>0</v>
      </c>
      <c r="P264" s="43">
        <f t="shared" si="112"/>
        <v>0</v>
      </c>
      <c r="Q264" s="43">
        <f t="shared" si="112"/>
        <v>0</v>
      </c>
      <c r="R264" s="43">
        <f t="shared" si="112"/>
        <v>0</v>
      </c>
      <c r="S264" s="43">
        <f t="shared" si="112"/>
        <v>0</v>
      </c>
      <c r="T264" s="43">
        <f t="shared" si="112"/>
        <v>0</v>
      </c>
      <c r="V264" s="43">
        <f t="shared" si="106"/>
        <v>0</v>
      </c>
      <c r="W264" s="43">
        <f t="shared" si="107"/>
        <v>0</v>
      </c>
      <c r="X264" s="43">
        <f t="shared" si="108"/>
        <v>0</v>
      </c>
      <c r="Y264" s="43">
        <f t="shared" si="109"/>
        <v>0</v>
      </c>
      <c r="Z264" s="43">
        <f t="shared" si="110"/>
        <v>0</v>
      </c>
      <c r="AB264" s="43">
        <f t="shared" si="87"/>
        <v>0</v>
      </c>
      <c r="AC264" s="43">
        <f t="shared" si="88"/>
        <v>0</v>
      </c>
      <c r="AD264" s="43">
        <f t="shared" si="89"/>
        <v>0</v>
      </c>
      <c r="AE264" s="43">
        <f t="shared" si="90"/>
        <v>0</v>
      </c>
      <c r="AF264" s="43">
        <f t="shared" si="91"/>
        <v>0</v>
      </c>
      <c r="AH264" s="43">
        <f t="shared" si="92"/>
        <v>0</v>
      </c>
      <c r="AI264" s="43">
        <f t="shared" si="93"/>
        <v>0</v>
      </c>
      <c r="AJ264" s="43">
        <f t="shared" si="94"/>
        <v>0</v>
      </c>
      <c r="AK264" s="43">
        <f t="shared" si="95"/>
        <v>0</v>
      </c>
      <c r="AL264" s="43">
        <f t="shared" si="96"/>
        <v>0</v>
      </c>
      <c r="AN264" s="47">
        <f t="shared" si="97"/>
        <v>0</v>
      </c>
      <c r="AO264" s="47">
        <f t="shared" si="98"/>
        <v>0</v>
      </c>
      <c r="AP264" s="47">
        <f t="shared" si="99"/>
        <v>0</v>
      </c>
      <c r="AQ264" s="47">
        <f t="shared" si="100"/>
        <v>0</v>
      </c>
      <c r="AR264" s="43">
        <f t="shared" si="101"/>
        <v>0</v>
      </c>
      <c r="AY264" s="3"/>
    </row>
    <row r="265" spans="1:51">
      <c r="A265" s="226"/>
      <c r="B265" s="37">
        <f>'13. Desinvesteringen'!B548</f>
        <v>529</v>
      </c>
      <c r="C265" s="48"/>
      <c r="D265" s="48"/>
      <c r="E265" s="48"/>
      <c r="F265" s="354">
        <f>'5. Input GAW-waarde desinv.'!D224</f>
        <v>0</v>
      </c>
      <c r="G265" s="175">
        <f>'13. Desinvesteringen'!D548</f>
        <v>1975</v>
      </c>
      <c r="H265" s="175">
        <f>'13. Desinvesteringen'!G548</f>
        <v>2023</v>
      </c>
      <c r="I265" s="37" t="str">
        <f>'13. Desinvesteringen'!C548</f>
        <v>33 Exportstations</v>
      </c>
      <c r="J265" s="165">
        <f>'13. Desinvesteringen'!F548</f>
        <v>0</v>
      </c>
      <c r="K265" s="38">
        <f>_xlfn.XLOOKUP(I265,'3. Input (des)investeringen '!$B$11:$B$89,'3. Input (des)investeringen '!$E$11:$E$89)</f>
        <v>1</v>
      </c>
      <c r="L265" s="48"/>
      <c r="M265" s="38">
        <f>_xlfn.XLOOKUP(I265,'3. Input (des)investeringen '!$B$11:$B$89,'3. Input (des)investeringen '!$D$11:$D$89,0)</f>
        <v>30</v>
      </c>
      <c r="N265" s="38">
        <f t="shared" si="86"/>
        <v>0</v>
      </c>
      <c r="P265" s="43">
        <f t="shared" si="112"/>
        <v>0</v>
      </c>
      <c r="Q265" s="43">
        <f t="shared" si="112"/>
        <v>0</v>
      </c>
      <c r="R265" s="43">
        <f t="shared" si="112"/>
        <v>0</v>
      </c>
      <c r="S265" s="43">
        <f t="shared" si="112"/>
        <v>0</v>
      </c>
      <c r="T265" s="43">
        <f t="shared" si="112"/>
        <v>0</v>
      </c>
      <c r="V265" s="43">
        <f t="shared" si="106"/>
        <v>0</v>
      </c>
      <c r="W265" s="43">
        <f t="shared" si="107"/>
        <v>0</v>
      </c>
      <c r="X265" s="43">
        <f t="shared" si="108"/>
        <v>0</v>
      </c>
      <c r="Y265" s="43">
        <f t="shared" si="109"/>
        <v>0</v>
      </c>
      <c r="Z265" s="43">
        <f t="shared" si="110"/>
        <v>0</v>
      </c>
      <c r="AB265" s="43">
        <f t="shared" si="87"/>
        <v>0</v>
      </c>
      <c r="AC265" s="43">
        <f t="shared" si="88"/>
        <v>0</v>
      </c>
      <c r="AD265" s="43">
        <f t="shared" si="89"/>
        <v>0</v>
      </c>
      <c r="AE265" s="43">
        <f t="shared" si="90"/>
        <v>0</v>
      </c>
      <c r="AF265" s="43">
        <f t="shared" si="91"/>
        <v>0</v>
      </c>
      <c r="AH265" s="43">
        <f t="shared" si="92"/>
        <v>0</v>
      </c>
      <c r="AI265" s="43">
        <f t="shared" si="93"/>
        <v>0</v>
      </c>
      <c r="AJ265" s="43">
        <f t="shared" si="94"/>
        <v>0</v>
      </c>
      <c r="AK265" s="43">
        <f t="shared" si="95"/>
        <v>0</v>
      </c>
      <c r="AL265" s="43">
        <f t="shared" si="96"/>
        <v>0</v>
      </c>
      <c r="AN265" s="47">
        <f t="shared" si="97"/>
        <v>0</v>
      </c>
      <c r="AO265" s="47">
        <f t="shared" si="98"/>
        <v>0</v>
      </c>
      <c r="AP265" s="47">
        <f t="shared" si="99"/>
        <v>0</v>
      </c>
      <c r="AQ265" s="47">
        <f t="shared" si="100"/>
        <v>0</v>
      </c>
      <c r="AR265" s="43">
        <f t="shared" si="101"/>
        <v>0</v>
      </c>
      <c r="AY265" s="3"/>
    </row>
    <row r="266" spans="1:51">
      <c r="A266" s="226"/>
      <c r="B266" s="37">
        <f>'13. Desinvesteringen'!B549</f>
        <v>530</v>
      </c>
      <c r="C266" s="48"/>
      <c r="D266" s="48"/>
      <c r="E266" s="48"/>
      <c r="F266" s="354">
        <f>'5. Input GAW-waarde desinv.'!D225</f>
        <v>0</v>
      </c>
      <c r="G266" s="175">
        <f>'13. Desinvesteringen'!D549</f>
        <v>1979</v>
      </c>
      <c r="H266" s="175">
        <f>'13. Desinvesteringen'!G549</f>
        <v>2023</v>
      </c>
      <c r="I266" s="37" t="str">
        <f>'13. Desinvesteringen'!C549</f>
        <v>34 Reduceerstations</v>
      </c>
      <c r="J266" s="165">
        <f>'13. Desinvesteringen'!F549</f>
        <v>0</v>
      </c>
      <c r="K266" s="38">
        <f>_xlfn.XLOOKUP(I266,'3. Input (des)investeringen '!$B$11:$B$89,'3. Input (des)investeringen '!$E$11:$E$89)</f>
        <v>1</v>
      </c>
      <c r="L266" s="48"/>
      <c r="M266" s="38">
        <f>_xlfn.XLOOKUP(I266,'3. Input (des)investeringen '!$B$11:$B$89,'3. Input (des)investeringen '!$D$11:$D$89,0)</f>
        <v>30</v>
      </c>
      <c r="N266" s="38">
        <f t="shared" si="86"/>
        <v>0</v>
      </c>
      <c r="P266" s="43">
        <f t="shared" si="112"/>
        <v>0</v>
      </c>
      <c r="Q266" s="43">
        <f t="shared" si="112"/>
        <v>0</v>
      </c>
      <c r="R266" s="43">
        <f t="shared" si="112"/>
        <v>0</v>
      </c>
      <c r="S266" s="43">
        <f t="shared" si="112"/>
        <v>0</v>
      </c>
      <c r="T266" s="43">
        <f t="shared" si="112"/>
        <v>0</v>
      </c>
      <c r="V266" s="43">
        <f t="shared" si="106"/>
        <v>0</v>
      </c>
      <c r="W266" s="43">
        <f t="shared" si="107"/>
        <v>0</v>
      </c>
      <c r="X266" s="43">
        <f t="shared" si="108"/>
        <v>0</v>
      </c>
      <c r="Y266" s="43">
        <f t="shared" si="109"/>
        <v>0</v>
      </c>
      <c r="Z266" s="43">
        <f t="shared" si="110"/>
        <v>0</v>
      </c>
      <c r="AB266" s="43">
        <f t="shared" si="87"/>
        <v>0</v>
      </c>
      <c r="AC266" s="43">
        <f t="shared" si="88"/>
        <v>0</v>
      </c>
      <c r="AD266" s="43">
        <f t="shared" si="89"/>
        <v>0</v>
      </c>
      <c r="AE266" s="43">
        <f t="shared" si="90"/>
        <v>0</v>
      </c>
      <c r="AF266" s="43">
        <f t="shared" si="91"/>
        <v>0</v>
      </c>
      <c r="AH266" s="43">
        <f t="shared" si="92"/>
        <v>0</v>
      </c>
      <c r="AI266" s="43">
        <f t="shared" si="93"/>
        <v>0</v>
      </c>
      <c r="AJ266" s="43">
        <f t="shared" si="94"/>
        <v>0</v>
      </c>
      <c r="AK266" s="43">
        <f t="shared" si="95"/>
        <v>0</v>
      </c>
      <c r="AL266" s="43">
        <f t="shared" si="96"/>
        <v>0</v>
      </c>
      <c r="AN266" s="47">
        <f t="shared" si="97"/>
        <v>0</v>
      </c>
      <c r="AO266" s="47">
        <f t="shared" si="98"/>
        <v>0</v>
      </c>
      <c r="AP266" s="47">
        <f t="shared" si="99"/>
        <v>0</v>
      </c>
      <c r="AQ266" s="47">
        <f t="shared" si="100"/>
        <v>0</v>
      </c>
      <c r="AR266" s="43">
        <f t="shared" si="101"/>
        <v>0</v>
      </c>
      <c r="AY266" s="3"/>
    </row>
    <row r="267" spans="1:51">
      <c r="A267" s="226"/>
      <c r="B267" s="37">
        <f>'13. Desinvesteringen'!B550</f>
        <v>531</v>
      </c>
      <c r="C267" s="48"/>
      <c r="D267" s="48"/>
      <c r="E267" s="48"/>
      <c r="F267" s="354">
        <f>'5. Input GAW-waarde desinv.'!D226</f>
        <v>2913299.7564751511</v>
      </c>
      <c r="G267" s="175">
        <f>'13. Desinvesteringen'!D550</f>
        <v>2007</v>
      </c>
      <c r="H267" s="175">
        <f>'13. Desinvesteringen'!G550</f>
        <v>2023</v>
      </c>
      <c r="I267" s="37" t="str">
        <f>'13. Desinvesteringen'!C550</f>
        <v>36 Luchtscheidingsunit</v>
      </c>
      <c r="J267" s="165">
        <f>'13. Desinvesteringen'!F550</f>
        <v>0</v>
      </c>
      <c r="K267" s="38">
        <f>_xlfn.XLOOKUP(I267,'3. Input (des)investeringen '!$B$11:$B$89,'3. Input (des)investeringen '!$E$11:$E$89)</f>
        <v>0</v>
      </c>
      <c r="L267" s="48"/>
      <c r="M267" s="38">
        <f>_xlfn.XLOOKUP(I267,'3. Input (des)investeringen '!$B$11:$B$89,'3. Input (des)investeringen '!$D$11:$D$89,0)</f>
        <v>30</v>
      </c>
      <c r="N267" s="38">
        <f t="shared" si="86"/>
        <v>15.5</v>
      </c>
      <c r="P267" s="43">
        <f t="shared" si="112"/>
        <v>219907.14290812434</v>
      </c>
      <c r="Q267" s="43">
        <f t="shared" si="112"/>
        <v>201463.31801905585</v>
      </c>
      <c r="R267" s="43">
        <f t="shared" si="112"/>
        <v>184566.39457229633</v>
      </c>
      <c r="S267" s="43">
        <f t="shared" si="112"/>
        <v>169086.63244687792</v>
      </c>
      <c r="T267" s="43">
        <f t="shared" si="112"/>
        <v>160604.02546793755</v>
      </c>
      <c r="V267" s="43">
        <f t="shared" si="106"/>
        <v>18795.482299839685</v>
      </c>
      <c r="W267" s="43">
        <f t="shared" si="107"/>
        <v>18795.482299839681</v>
      </c>
      <c r="X267" s="43">
        <f t="shared" si="108"/>
        <v>18795.482299839681</v>
      </c>
      <c r="Y267" s="43">
        <f t="shared" si="109"/>
        <v>18795.482299839681</v>
      </c>
      <c r="Z267" s="43">
        <f t="shared" si="110"/>
        <v>18795.482299839681</v>
      </c>
      <c r="AB267" s="43">
        <f t="shared" si="87"/>
        <v>238702.62520796404</v>
      </c>
      <c r="AC267" s="43">
        <f t="shared" si="88"/>
        <v>220258.80031889552</v>
      </c>
      <c r="AD267" s="43">
        <f t="shared" si="89"/>
        <v>203361.876872136</v>
      </c>
      <c r="AE267" s="43">
        <f t="shared" si="90"/>
        <v>187882.11474671759</v>
      </c>
      <c r="AF267" s="43">
        <f t="shared" si="91"/>
        <v>179399.50776777722</v>
      </c>
      <c r="AH267" s="43">
        <f t="shared" si="92"/>
        <v>2674597.1312671872</v>
      </c>
      <c r="AI267" s="43">
        <f t="shared" si="93"/>
        <v>2454338.3309482918</v>
      </c>
      <c r="AJ267" s="43">
        <f t="shared" si="94"/>
        <v>2250976.454076156</v>
      </c>
      <c r="AK267" s="43">
        <f t="shared" si="95"/>
        <v>2063094.3393294385</v>
      </c>
      <c r="AL267" s="43">
        <f t="shared" si="96"/>
        <v>1883694.8315616613</v>
      </c>
      <c r="AN267" s="47">
        <f t="shared" si="97"/>
        <v>348361.10758991871</v>
      </c>
      <c r="AO267" s="47">
        <f t="shared" si="98"/>
        <v>345430.05519725836</v>
      </c>
      <c r="AP267" s="47">
        <f t="shared" si="99"/>
        <v>318161.67603001994</v>
      </c>
      <c r="AQ267" s="47">
        <f t="shared" si="100"/>
        <v>301352.30340983672</v>
      </c>
      <c r="AR267" s="43">
        <f t="shared" si="101"/>
        <v>250979.91136712034</v>
      </c>
      <c r="AY267" s="3"/>
    </row>
    <row r="268" spans="1:51" s="89" customFormat="1">
      <c r="A268" s="226"/>
      <c r="B268" s="37">
        <f>'13. Desinvesteringen'!B551</f>
        <v>532</v>
      </c>
      <c r="C268" s="331"/>
      <c r="D268" s="331"/>
      <c r="E268" s="331"/>
      <c r="F268" s="354">
        <f>'5. Input GAW-waarde desinv.'!D227</f>
        <v>0</v>
      </c>
      <c r="G268" s="175">
        <f>'13. Desinvesteringen'!D551</f>
        <v>1946</v>
      </c>
      <c r="H268" s="175">
        <f>'13. Desinvesteringen'!G551</f>
        <v>2024</v>
      </c>
      <c r="I268" s="37" t="str">
        <f>'13. Desinvesteringen'!C551</f>
        <v>01 Regionale leidingen</v>
      </c>
      <c r="J268" s="165">
        <f>'13. Desinvesteringen'!F551</f>
        <v>0</v>
      </c>
      <c r="K268" s="38">
        <f>_xlfn.XLOOKUP(I268,'3. Input (des)investeringen '!$B$11:$B$89,'3. Input (des)investeringen '!$E$11:$E$89)</f>
        <v>1</v>
      </c>
      <c r="L268" s="331"/>
      <c r="M268" s="38">
        <f>_xlfn.XLOOKUP(I268,'3. Input (des)investeringen '!$B$11:$B$89,'3. Input (des)investeringen '!$D$11:$D$89,0)</f>
        <v>55</v>
      </c>
      <c r="N268" s="38">
        <f t="shared" ref="N268:N331" si="113">IF($M268&gt;0, MAX(0,IF(G268&lt;2022,M268-2021+G268-0.5,M268)), 0)</f>
        <v>0</v>
      </c>
      <c r="P268" s="43">
        <f t="shared" si="112"/>
        <v>0</v>
      </c>
      <c r="Q268" s="43">
        <f t="shared" si="112"/>
        <v>0</v>
      </c>
      <c r="R268" s="43">
        <f t="shared" si="112"/>
        <v>0</v>
      </c>
      <c r="S268" s="43">
        <f t="shared" si="112"/>
        <v>0</v>
      </c>
      <c r="T268" s="43">
        <f t="shared" si="112"/>
        <v>0</v>
      </c>
      <c r="V268" s="43">
        <f t="shared" si="106"/>
        <v>0</v>
      </c>
      <c r="W268" s="43">
        <f t="shared" si="107"/>
        <v>0</v>
      </c>
      <c r="X268" s="43">
        <f t="shared" si="108"/>
        <v>0</v>
      </c>
      <c r="Y268" s="43">
        <f t="shared" si="109"/>
        <v>0</v>
      </c>
      <c r="Z268" s="43">
        <f t="shared" si="110"/>
        <v>0</v>
      </c>
      <c r="AB268" s="43">
        <f t="shared" ref="AB268:AB331" si="114">P268+V268</f>
        <v>0</v>
      </c>
      <c r="AC268" s="43">
        <f t="shared" ref="AC268:AC331" si="115">Q268+W268</f>
        <v>0</v>
      </c>
      <c r="AD268" s="43">
        <f t="shared" ref="AD268:AD331" si="116">R268+X268</f>
        <v>0</v>
      </c>
      <c r="AE268" s="43">
        <f t="shared" ref="AE268:AE331" si="117">S268+Y268</f>
        <v>0</v>
      </c>
      <c r="AF268" s="43">
        <f t="shared" ref="AF268:AF331" si="118">T268+Z268</f>
        <v>0</v>
      </c>
      <c r="AH268" s="43">
        <f t="shared" ref="AH268:AH331" si="119">IF($M268&gt;0, IF($M268&gt;0,IF(OR($G268&gt;AH$50,$G268+$M268&lt;=AH$50),0,IF(AH$50=2022,$F268-AB268,AG268-AB268))), $F268)</f>
        <v>0</v>
      </c>
      <c r="AI268" s="43">
        <f t="shared" ref="AI268:AI331" si="120">IF($M268&gt;0, IF(OR($G268&gt;AI$50,$G268+$M268&lt;=AI$50),0,IF(AI$50=2022,$F268-AC268,AH268-AC268)), AH268)</f>
        <v>0</v>
      </c>
      <c r="AJ268" s="43">
        <f t="shared" ref="AJ268:AJ331" si="121">IF($M268&gt;0, IF(OR($G268&gt;AJ$50,$G268+$M268&lt;=AJ$50),0,IF(AJ$50=2022,$F268-AD268,AI268-AD268)), AI268)</f>
        <v>0</v>
      </c>
      <c r="AK268" s="43">
        <f t="shared" ref="AK268:AK331" si="122">IF($M268&gt;0, IF(OR($G268&gt;AK$50,$G268+$M268&lt;=AK$50),0,IF(AK$50=2022,$F268-AE268,AJ268-AE268)), AJ268)</f>
        <v>0</v>
      </c>
      <c r="AL268" s="43">
        <f t="shared" ref="AL268:AL331" si="123">IF($M268&gt;0, IF(OR($G268&gt;AL$50,$G268+$M268&lt;=AL$50),0,IF(AL$50=2022,$F268-AF268,AK268-AF268)), AK268)</f>
        <v>0</v>
      </c>
      <c r="AN268" s="47">
        <f t="shared" ref="AN268:AN331" si="124">(AB268+AH268*H$17)*IF($K268=1,$F$32,1)</f>
        <v>0</v>
      </c>
      <c r="AO268" s="47">
        <f t="shared" ref="AO268:AO331" si="125">(AC268+AI268*I$17)*IF($K268=1,$F$32,1)</f>
        <v>0</v>
      </c>
      <c r="AP268" s="47">
        <f t="shared" ref="AP268:AP331" si="126">(AD268+AJ268*J$17)*IF($K268=1,$F$32,1)</f>
        <v>0</v>
      </c>
      <c r="AQ268" s="47">
        <f t="shared" ref="AQ268:AQ331" si="127">(AE268+AK268*K$17)*IF($K268=1,$F$32,1)</f>
        <v>0</v>
      </c>
      <c r="AR268" s="43">
        <f t="shared" ref="AR268:AR331" si="128">(AF268+AL268*L$17)*IF($K268=1,$F$32,1)</f>
        <v>0</v>
      </c>
      <c r="AS268" s="121"/>
      <c r="AT268" s="121"/>
      <c r="AU268" s="121"/>
      <c r="AV268" s="121"/>
      <c r="AW268" s="121"/>
      <c r="AX268" s="121"/>
    </row>
    <row r="269" spans="1:51" s="89" customFormat="1">
      <c r="A269" s="226"/>
      <c r="B269" s="37">
        <f>'13. Desinvesteringen'!B552</f>
        <v>533</v>
      </c>
      <c r="C269" s="331"/>
      <c r="D269" s="331"/>
      <c r="E269" s="331"/>
      <c r="F269" s="354">
        <f>'5. Input GAW-waarde desinv.'!D228</f>
        <v>0</v>
      </c>
      <c r="G269" s="175">
        <f>'13. Desinvesteringen'!D552</f>
        <v>1949</v>
      </c>
      <c r="H269" s="175">
        <f>'13. Desinvesteringen'!G552</f>
        <v>2024</v>
      </c>
      <c r="I269" s="37" t="str">
        <f>'13. Desinvesteringen'!C552</f>
        <v>01 Regionale leidingen</v>
      </c>
      <c r="J269" s="165">
        <f>'13. Desinvesteringen'!F552</f>
        <v>0</v>
      </c>
      <c r="K269" s="38">
        <f>_xlfn.XLOOKUP(I269,'3. Input (des)investeringen '!$B$11:$B$89,'3. Input (des)investeringen '!$E$11:$E$89)</f>
        <v>1</v>
      </c>
      <c r="L269" s="331"/>
      <c r="M269" s="38">
        <f>_xlfn.XLOOKUP(I269,'3. Input (des)investeringen '!$B$11:$B$89,'3. Input (des)investeringen '!$D$11:$D$89,0)</f>
        <v>55</v>
      </c>
      <c r="N269" s="38">
        <f t="shared" si="113"/>
        <v>0</v>
      </c>
      <c r="P269" s="43">
        <f t="shared" si="112"/>
        <v>0</v>
      </c>
      <c r="Q269" s="43">
        <f t="shared" si="112"/>
        <v>0</v>
      </c>
      <c r="R269" s="43">
        <f t="shared" si="112"/>
        <v>0</v>
      </c>
      <c r="S269" s="43">
        <f t="shared" si="112"/>
        <v>0</v>
      </c>
      <c r="T269" s="43">
        <f t="shared" si="112"/>
        <v>0</v>
      </c>
      <c r="V269" s="43">
        <f t="shared" si="106"/>
        <v>0</v>
      </c>
      <c r="W269" s="43">
        <f t="shared" si="107"/>
        <v>0</v>
      </c>
      <c r="X269" s="43">
        <f t="shared" si="108"/>
        <v>0</v>
      </c>
      <c r="Y269" s="43">
        <f t="shared" si="109"/>
        <v>0</v>
      </c>
      <c r="Z269" s="43">
        <f t="shared" si="110"/>
        <v>0</v>
      </c>
      <c r="AB269" s="43">
        <f t="shared" si="114"/>
        <v>0</v>
      </c>
      <c r="AC269" s="43">
        <f t="shared" si="115"/>
        <v>0</v>
      </c>
      <c r="AD269" s="43">
        <f t="shared" si="116"/>
        <v>0</v>
      </c>
      <c r="AE269" s="43">
        <f t="shared" si="117"/>
        <v>0</v>
      </c>
      <c r="AF269" s="43">
        <f t="shared" si="118"/>
        <v>0</v>
      </c>
      <c r="AH269" s="43">
        <f t="shared" si="119"/>
        <v>0</v>
      </c>
      <c r="AI269" s="43">
        <f t="shared" si="120"/>
        <v>0</v>
      </c>
      <c r="AJ269" s="43">
        <f t="shared" si="121"/>
        <v>0</v>
      </c>
      <c r="AK269" s="43">
        <f t="shared" si="122"/>
        <v>0</v>
      </c>
      <c r="AL269" s="43">
        <f t="shared" si="123"/>
        <v>0</v>
      </c>
      <c r="AN269" s="47">
        <f t="shared" si="124"/>
        <v>0</v>
      </c>
      <c r="AO269" s="47">
        <f t="shared" si="125"/>
        <v>0</v>
      </c>
      <c r="AP269" s="47">
        <f t="shared" si="126"/>
        <v>0</v>
      </c>
      <c r="AQ269" s="47">
        <f t="shared" si="127"/>
        <v>0</v>
      </c>
      <c r="AR269" s="43">
        <f t="shared" si="128"/>
        <v>0</v>
      </c>
      <c r="AS269" s="121"/>
      <c r="AT269" s="121"/>
      <c r="AU269" s="121"/>
      <c r="AV269" s="121"/>
      <c r="AW269" s="121"/>
      <c r="AX269" s="121"/>
    </row>
    <row r="270" spans="1:51" s="89" customFormat="1">
      <c r="A270" s="226"/>
      <c r="B270" s="37">
        <f>'13. Desinvesteringen'!B553</f>
        <v>534</v>
      </c>
      <c r="C270" s="331"/>
      <c r="D270" s="331"/>
      <c r="E270" s="331"/>
      <c r="F270" s="354">
        <f>'5. Input GAW-waarde desinv.'!D229</f>
        <v>0</v>
      </c>
      <c r="G270" s="175">
        <f>'13. Desinvesteringen'!D553</f>
        <v>1958</v>
      </c>
      <c r="H270" s="175">
        <f>'13. Desinvesteringen'!G553</f>
        <v>2024</v>
      </c>
      <c r="I270" s="37" t="str">
        <f>'13. Desinvesteringen'!C553</f>
        <v>01 Regionale leidingen</v>
      </c>
      <c r="J270" s="165">
        <f>'13. Desinvesteringen'!F553</f>
        <v>0</v>
      </c>
      <c r="K270" s="38">
        <f>_xlfn.XLOOKUP(I270,'3. Input (des)investeringen '!$B$11:$B$89,'3. Input (des)investeringen '!$E$11:$E$89)</f>
        <v>1</v>
      </c>
      <c r="L270" s="331"/>
      <c r="M270" s="38">
        <f>_xlfn.XLOOKUP(I270,'3. Input (des)investeringen '!$B$11:$B$89,'3. Input (des)investeringen '!$D$11:$D$89,0)</f>
        <v>55</v>
      </c>
      <c r="N270" s="38">
        <f t="shared" si="113"/>
        <v>0</v>
      </c>
      <c r="P270" s="43">
        <f t="shared" si="112"/>
        <v>0</v>
      </c>
      <c r="Q270" s="43">
        <f t="shared" si="112"/>
        <v>0</v>
      </c>
      <c r="R270" s="43">
        <f t="shared" si="112"/>
        <v>0</v>
      </c>
      <c r="S270" s="43">
        <f t="shared" si="112"/>
        <v>0</v>
      </c>
      <c r="T270" s="43">
        <f t="shared" si="112"/>
        <v>0</v>
      </c>
      <c r="V270" s="43">
        <f t="shared" si="106"/>
        <v>0</v>
      </c>
      <c r="W270" s="43">
        <f t="shared" si="107"/>
        <v>0</v>
      </c>
      <c r="X270" s="43">
        <f t="shared" si="108"/>
        <v>0</v>
      </c>
      <c r="Y270" s="43">
        <f t="shared" si="109"/>
        <v>0</v>
      </c>
      <c r="Z270" s="43">
        <f t="shared" si="110"/>
        <v>0</v>
      </c>
      <c r="AB270" s="43">
        <f t="shared" si="114"/>
        <v>0</v>
      </c>
      <c r="AC270" s="43">
        <f t="shared" si="115"/>
        <v>0</v>
      </c>
      <c r="AD270" s="43">
        <f t="shared" si="116"/>
        <v>0</v>
      </c>
      <c r="AE270" s="43">
        <f t="shared" si="117"/>
        <v>0</v>
      </c>
      <c r="AF270" s="43">
        <f t="shared" si="118"/>
        <v>0</v>
      </c>
      <c r="AH270" s="43">
        <f t="shared" si="119"/>
        <v>0</v>
      </c>
      <c r="AI270" s="43">
        <f t="shared" si="120"/>
        <v>0</v>
      </c>
      <c r="AJ270" s="43">
        <f t="shared" si="121"/>
        <v>0</v>
      </c>
      <c r="AK270" s="43">
        <f t="shared" si="122"/>
        <v>0</v>
      </c>
      <c r="AL270" s="43">
        <f t="shared" si="123"/>
        <v>0</v>
      </c>
      <c r="AN270" s="47">
        <f t="shared" si="124"/>
        <v>0</v>
      </c>
      <c r="AO270" s="47">
        <f t="shared" si="125"/>
        <v>0</v>
      </c>
      <c r="AP270" s="47">
        <f t="shared" si="126"/>
        <v>0</v>
      </c>
      <c r="AQ270" s="47">
        <f t="shared" si="127"/>
        <v>0</v>
      </c>
      <c r="AR270" s="43">
        <f t="shared" si="128"/>
        <v>0</v>
      </c>
      <c r="AS270" s="121"/>
      <c r="AT270" s="121"/>
      <c r="AU270" s="121"/>
      <c r="AV270" s="121"/>
      <c r="AW270" s="121"/>
      <c r="AX270" s="121"/>
    </row>
    <row r="271" spans="1:51" s="89" customFormat="1">
      <c r="A271" s="226"/>
      <c r="B271" s="37">
        <f>'13. Desinvesteringen'!B554</f>
        <v>535</v>
      </c>
      <c r="C271" s="331"/>
      <c r="D271" s="331"/>
      <c r="E271" s="331"/>
      <c r="F271" s="354">
        <f>'5. Input GAW-waarde desinv.'!D230</f>
        <v>0</v>
      </c>
      <c r="G271" s="175">
        <f>'13. Desinvesteringen'!D554</f>
        <v>1961</v>
      </c>
      <c r="H271" s="175">
        <f>'13. Desinvesteringen'!G554</f>
        <v>2024</v>
      </c>
      <c r="I271" s="37" t="str">
        <f>'13. Desinvesteringen'!C554</f>
        <v>01 Regionale leidingen</v>
      </c>
      <c r="J271" s="165">
        <f>'13. Desinvesteringen'!F554</f>
        <v>0</v>
      </c>
      <c r="K271" s="38">
        <f>_xlfn.XLOOKUP(I271,'3. Input (des)investeringen '!$B$11:$B$89,'3. Input (des)investeringen '!$E$11:$E$89)</f>
        <v>1</v>
      </c>
      <c r="L271" s="331"/>
      <c r="M271" s="38">
        <f>_xlfn.XLOOKUP(I271,'3. Input (des)investeringen '!$B$11:$B$89,'3. Input (des)investeringen '!$D$11:$D$89,0)</f>
        <v>55</v>
      </c>
      <c r="N271" s="38">
        <f t="shared" si="113"/>
        <v>0</v>
      </c>
      <c r="P271" s="43">
        <f t="shared" si="112"/>
        <v>0</v>
      </c>
      <c r="Q271" s="43">
        <f t="shared" si="112"/>
        <v>0</v>
      </c>
      <c r="R271" s="43">
        <f t="shared" si="112"/>
        <v>0</v>
      </c>
      <c r="S271" s="43">
        <f t="shared" si="112"/>
        <v>0</v>
      </c>
      <c r="T271" s="43">
        <f t="shared" si="112"/>
        <v>0</v>
      </c>
      <c r="V271" s="43">
        <f t="shared" si="106"/>
        <v>0</v>
      </c>
      <c r="W271" s="43">
        <f t="shared" si="107"/>
        <v>0</v>
      </c>
      <c r="X271" s="43">
        <f t="shared" si="108"/>
        <v>0</v>
      </c>
      <c r="Y271" s="43">
        <f t="shared" si="109"/>
        <v>0</v>
      </c>
      <c r="Z271" s="43">
        <f t="shared" si="110"/>
        <v>0</v>
      </c>
      <c r="AB271" s="43">
        <f t="shared" si="114"/>
        <v>0</v>
      </c>
      <c r="AC271" s="43">
        <f t="shared" si="115"/>
        <v>0</v>
      </c>
      <c r="AD271" s="43">
        <f t="shared" si="116"/>
        <v>0</v>
      </c>
      <c r="AE271" s="43">
        <f t="shared" si="117"/>
        <v>0</v>
      </c>
      <c r="AF271" s="43">
        <f t="shared" si="118"/>
        <v>0</v>
      </c>
      <c r="AH271" s="43">
        <f t="shared" si="119"/>
        <v>0</v>
      </c>
      <c r="AI271" s="43">
        <f t="shared" si="120"/>
        <v>0</v>
      </c>
      <c r="AJ271" s="43">
        <f t="shared" si="121"/>
        <v>0</v>
      </c>
      <c r="AK271" s="43">
        <f t="shared" si="122"/>
        <v>0</v>
      </c>
      <c r="AL271" s="43">
        <f t="shared" si="123"/>
        <v>0</v>
      </c>
      <c r="AN271" s="47">
        <f t="shared" si="124"/>
        <v>0</v>
      </c>
      <c r="AO271" s="47">
        <f t="shared" si="125"/>
        <v>0</v>
      </c>
      <c r="AP271" s="47">
        <f t="shared" si="126"/>
        <v>0</v>
      </c>
      <c r="AQ271" s="47">
        <f t="shared" si="127"/>
        <v>0</v>
      </c>
      <c r="AR271" s="43">
        <f t="shared" si="128"/>
        <v>0</v>
      </c>
      <c r="AS271" s="121"/>
      <c r="AT271" s="121"/>
      <c r="AU271" s="121"/>
      <c r="AV271" s="121"/>
      <c r="AW271" s="121"/>
      <c r="AX271" s="121"/>
    </row>
    <row r="272" spans="1:51" s="89" customFormat="1">
      <c r="A272" s="226"/>
      <c r="B272" s="37">
        <f>'13. Desinvesteringen'!B555</f>
        <v>536</v>
      </c>
      <c r="C272" s="331"/>
      <c r="D272" s="331"/>
      <c r="E272" s="331"/>
      <c r="F272" s="354">
        <f>'5. Input GAW-waarde desinv.'!D231</f>
        <v>0</v>
      </c>
      <c r="G272" s="175">
        <f>'13. Desinvesteringen'!D555</f>
        <v>1965</v>
      </c>
      <c r="H272" s="175">
        <f>'13. Desinvesteringen'!G555</f>
        <v>2024</v>
      </c>
      <c r="I272" s="37" t="str">
        <f>'13. Desinvesteringen'!C555</f>
        <v>01 Regionale leidingen</v>
      </c>
      <c r="J272" s="165">
        <f>'13. Desinvesteringen'!F555</f>
        <v>0</v>
      </c>
      <c r="K272" s="38">
        <f>_xlfn.XLOOKUP(I272,'3. Input (des)investeringen '!$B$11:$B$89,'3. Input (des)investeringen '!$E$11:$E$89)</f>
        <v>1</v>
      </c>
      <c r="L272" s="331"/>
      <c r="M272" s="38">
        <f>_xlfn.XLOOKUP(I272,'3. Input (des)investeringen '!$B$11:$B$89,'3. Input (des)investeringen '!$D$11:$D$89,0)</f>
        <v>55</v>
      </c>
      <c r="N272" s="38">
        <f t="shared" si="113"/>
        <v>0</v>
      </c>
      <c r="P272" s="43">
        <f t="shared" ref="P272:T281" si="129">IF($M272&gt;0, IF(OR($G272&gt;P$50,$G272+$M272&lt;P$50),0,
VDB($F272,0,$N272,MAX(0,P$50-2022),MIN($N272,P$50-2021),$F$23,FALSE))*(1-$F$26), 0)</f>
        <v>0</v>
      </c>
      <c r="Q272" s="43">
        <f t="shared" si="129"/>
        <v>0</v>
      </c>
      <c r="R272" s="43">
        <f t="shared" si="129"/>
        <v>0</v>
      </c>
      <c r="S272" s="43">
        <f t="shared" si="129"/>
        <v>0</v>
      </c>
      <c r="T272" s="43">
        <f t="shared" si="129"/>
        <v>0</v>
      </c>
      <c r="V272" s="43">
        <f t="shared" si="106"/>
        <v>0</v>
      </c>
      <c r="W272" s="43">
        <f t="shared" si="107"/>
        <v>0</v>
      </c>
      <c r="X272" s="43">
        <f t="shared" si="108"/>
        <v>0</v>
      </c>
      <c r="Y272" s="43">
        <f t="shared" si="109"/>
        <v>0</v>
      </c>
      <c r="Z272" s="43">
        <f t="shared" si="110"/>
        <v>0</v>
      </c>
      <c r="AB272" s="43">
        <f t="shared" si="114"/>
        <v>0</v>
      </c>
      <c r="AC272" s="43">
        <f t="shared" si="115"/>
        <v>0</v>
      </c>
      <c r="AD272" s="43">
        <f t="shared" si="116"/>
        <v>0</v>
      </c>
      <c r="AE272" s="43">
        <f t="shared" si="117"/>
        <v>0</v>
      </c>
      <c r="AF272" s="43">
        <f t="shared" si="118"/>
        <v>0</v>
      </c>
      <c r="AH272" s="43">
        <f t="shared" si="119"/>
        <v>0</v>
      </c>
      <c r="AI272" s="43">
        <f t="shared" si="120"/>
        <v>0</v>
      </c>
      <c r="AJ272" s="43">
        <f t="shared" si="121"/>
        <v>0</v>
      </c>
      <c r="AK272" s="43">
        <f t="shared" si="122"/>
        <v>0</v>
      </c>
      <c r="AL272" s="43">
        <f t="shared" si="123"/>
        <v>0</v>
      </c>
      <c r="AN272" s="47">
        <f t="shared" si="124"/>
        <v>0</v>
      </c>
      <c r="AO272" s="47">
        <f t="shared" si="125"/>
        <v>0</v>
      </c>
      <c r="AP272" s="47">
        <f t="shared" si="126"/>
        <v>0</v>
      </c>
      <c r="AQ272" s="47">
        <f t="shared" si="127"/>
        <v>0</v>
      </c>
      <c r="AR272" s="43">
        <f t="shared" si="128"/>
        <v>0</v>
      </c>
      <c r="AS272" s="121"/>
      <c r="AT272" s="121"/>
      <c r="AU272" s="121"/>
      <c r="AV272" s="121"/>
      <c r="AW272" s="121"/>
      <c r="AX272" s="121"/>
    </row>
    <row r="273" spans="1:50" s="89" customFormat="1">
      <c r="A273" s="226"/>
      <c r="B273" s="37">
        <f>'13. Desinvesteringen'!B556</f>
        <v>537</v>
      </c>
      <c r="C273" s="331"/>
      <c r="D273" s="331"/>
      <c r="E273" s="331"/>
      <c r="F273" s="354">
        <f>'5. Input GAW-waarde desinv.'!D232</f>
        <v>0</v>
      </c>
      <c r="G273" s="175">
        <f>'13. Desinvesteringen'!D556</f>
        <v>1966</v>
      </c>
      <c r="H273" s="175">
        <f>'13. Desinvesteringen'!G556</f>
        <v>2024</v>
      </c>
      <c r="I273" s="37" t="str">
        <f>'13. Desinvesteringen'!C556</f>
        <v>01 Regionale leidingen</v>
      </c>
      <c r="J273" s="165">
        <f>'13. Desinvesteringen'!F556</f>
        <v>0</v>
      </c>
      <c r="K273" s="38">
        <f>_xlfn.XLOOKUP(I273,'3. Input (des)investeringen '!$B$11:$B$89,'3. Input (des)investeringen '!$E$11:$E$89)</f>
        <v>1</v>
      </c>
      <c r="L273" s="331"/>
      <c r="M273" s="38">
        <f>_xlfn.XLOOKUP(I273,'3. Input (des)investeringen '!$B$11:$B$89,'3. Input (des)investeringen '!$D$11:$D$89,0)</f>
        <v>55</v>
      </c>
      <c r="N273" s="38">
        <f t="shared" si="113"/>
        <v>0</v>
      </c>
      <c r="P273" s="43">
        <f t="shared" si="129"/>
        <v>0</v>
      </c>
      <c r="Q273" s="43">
        <f t="shared" si="129"/>
        <v>0</v>
      </c>
      <c r="R273" s="43">
        <f t="shared" si="129"/>
        <v>0</v>
      </c>
      <c r="S273" s="43">
        <f t="shared" si="129"/>
        <v>0</v>
      </c>
      <c r="T273" s="43">
        <f t="shared" si="129"/>
        <v>0</v>
      </c>
      <c r="V273" s="43">
        <f t="shared" si="106"/>
        <v>0</v>
      </c>
      <c r="W273" s="43">
        <f t="shared" si="107"/>
        <v>0</v>
      </c>
      <c r="X273" s="43">
        <f t="shared" si="108"/>
        <v>0</v>
      </c>
      <c r="Y273" s="43">
        <f t="shared" si="109"/>
        <v>0</v>
      </c>
      <c r="Z273" s="43">
        <f t="shared" si="110"/>
        <v>0</v>
      </c>
      <c r="AB273" s="43">
        <f t="shared" si="114"/>
        <v>0</v>
      </c>
      <c r="AC273" s="43">
        <f t="shared" si="115"/>
        <v>0</v>
      </c>
      <c r="AD273" s="43">
        <f t="shared" si="116"/>
        <v>0</v>
      </c>
      <c r="AE273" s="43">
        <f t="shared" si="117"/>
        <v>0</v>
      </c>
      <c r="AF273" s="43">
        <f t="shared" si="118"/>
        <v>0</v>
      </c>
      <c r="AH273" s="43">
        <f t="shared" si="119"/>
        <v>0</v>
      </c>
      <c r="AI273" s="43">
        <f t="shared" si="120"/>
        <v>0</v>
      </c>
      <c r="AJ273" s="43">
        <f t="shared" si="121"/>
        <v>0</v>
      </c>
      <c r="AK273" s="43">
        <f t="shared" si="122"/>
        <v>0</v>
      </c>
      <c r="AL273" s="43">
        <f t="shared" si="123"/>
        <v>0</v>
      </c>
      <c r="AN273" s="47">
        <f t="shared" si="124"/>
        <v>0</v>
      </c>
      <c r="AO273" s="47">
        <f t="shared" si="125"/>
        <v>0</v>
      </c>
      <c r="AP273" s="47">
        <f t="shared" si="126"/>
        <v>0</v>
      </c>
      <c r="AQ273" s="47">
        <f t="shared" si="127"/>
        <v>0</v>
      </c>
      <c r="AR273" s="43">
        <f t="shared" si="128"/>
        <v>0</v>
      </c>
      <c r="AS273" s="121"/>
      <c r="AT273" s="121"/>
      <c r="AU273" s="121"/>
      <c r="AV273" s="121"/>
      <c r="AW273" s="121"/>
      <c r="AX273" s="121"/>
    </row>
    <row r="274" spans="1:50" s="89" customFormat="1">
      <c r="A274" s="226"/>
      <c r="B274" s="37">
        <f>'13. Desinvesteringen'!B557</f>
        <v>538</v>
      </c>
      <c r="C274" s="331"/>
      <c r="D274" s="331"/>
      <c r="E274" s="331"/>
      <c r="F274" s="354">
        <f>'5. Input GAW-waarde desinv.'!D233</f>
        <v>1574.447054456984</v>
      </c>
      <c r="G274" s="175">
        <f>'13. Desinvesteringen'!D557</f>
        <v>1967</v>
      </c>
      <c r="H274" s="175">
        <f>'13. Desinvesteringen'!G557</f>
        <v>2024</v>
      </c>
      <c r="I274" s="37" t="str">
        <f>'13. Desinvesteringen'!C557</f>
        <v>01 Regionale leidingen</v>
      </c>
      <c r="J274" s="165">
        <f>'13. Desinvesteringen'!F557</f>
        <v>0</v>
      </c>
      <c r="K274" s="38">
        <f>_xlfn.XLOOKUP(I274,'3. Input (des)investeringen '!$B$11:$B$89,'3. Input (des)investeringen '!$E$11:$E$89)</f>
        <v>1</v>
      </c>
      <c r="L274" s="331"/>
      <c r="M274" s="38">
        <f>_xlfn.XLOOKUP(I274,'3. Input (des)investeringen '!$B$11:$B$89,'3. Input (des)investeringen '!$D$11:$D$89,0)</f>
        <v>55</v>
      </c>
      <c r="N274" s="38">
        <f t="shared" si="113"/>
        <v>0.5</v>
      </c>
      <c r="P274" s="43">
        <f t="shared" si="129"/>
        <v>1417.0023490112856</v>
      </c>
      <c r="Q274" s="43">
        <f t="shared" si="129"/>
        <v>0</v>
      </c>
      <c r="R274" s="43">
        <f t="shared" si="129"/>
        <v>0</v>
      </c>
      <c r="S274" s="43">
        <f t="shared" si="129"/>
        <v>0</v>
      </c>
      <c r="T274" s="43">
        <f t="shared" si="129"/>
        <v>0</v>
      </c>
      <c r="V274" s="43">
        <f t="shared" si="106"/>
        <v>157.44470544569842</v>
      </c>
      <c r="W274" s="43">
        <f t="shared" si="107"/>
        <v>0</v>
      </c>
      <c r="X274" s="43">
        <f t="shared" si="108"/>
        <v>0</v>
      </c>
      <c r="Y274" s="43">
        <f t="shared" si="109"/>
        <v>0</v>
      </c>
      <c r="Z274" s="43">
        <f t="shared" si="110"/>
        <v>0</v>
      </c>
      <c r="AB274" s="43">
        <f t="shared" si="114"/>
        <v>1574.447054456984</v>
      </c>
      <c r="AC274" s="43">
        <f t="shared" si="115"/>
        <v>0</v>
      </c>
      <c r="AD274" s="43">
        <f t="shared" si="116"/>
        <v>0</v>
      </c>
      <c r="AE274" s="43">
        <f t="shared" si="117"/>
        <v>0</v>
      </c>
      <c r="AF274" s="43">
        <f t="shared" si="118"/>
        <v>0</v>
      </c>
      <c r="AH274" s="43">
        <f t="shared" si="119"/>
        <v>0</v>
      </c>
      <c r="AI274" s="43">
        <f t="shared" si="120"/>
        <v>0</v>
      </c>
      <c r="AJ274" s="43">
        <f t="shared" si="121"/>
        <v>0</v>
      </c>
      <c r="AK274" s="43">
        <f t="shared" si="122"/>
        <v>0</v>
      </c>
      <c r="AL274" s="43">
        <f t="shared" si="123"/>
        <v>0</v>
      </c>
      <c r="AN274" s="47">
        <f t="shared" si="124"/>
        <v>1574.447054456984</v>
      </c>
      <c r="AO274" s="47">
        <f t="shared" si="125"/>
        <v>0</v>
      </c>
      <c r="AP274" s="47">
        <f t="shared" si="126"/>
        <v>0</v>
      </c>
      <c r="AQ274" s="47">
        <f t="shared" si="127"/>
        <v>0</v>
      </c>
      <c r="AR274" s="43">
        <f t="shared" si="128"/>
        <v>0</v>
      </c>
      <c r="AS274" s="121"/>
      <c r="AT274" s="121"/>
      <c r="AU274" s="121"/>
      <c r="AV274" s="121"/>
      <c r="AW274" s="121"/>
      <c r="AX274" s="121"/>
    </row>
    <row r="275" spans="1:50" s="89" customFormat="1">
      <c r="A275" s="226"/>
      <c r="B275" s="37">
        <f>'13. Desinvesteringen'!B558</f>
        <v>539</v>
      </c>
      <c r="C275" s="331"/>
      <c r="D275" s="331"/>
      <c r="E275" s="331"/>
      <c r="F275" s="354">
        <f>'5. Input GAW-waarde desinv.'!D234</f>
        <v>20479.328356270184</v>
      </c>
      <c r="G275" s="175">
        <f>'13. Desinvesteringen'!D558</f>
        <v>1968</v>
      </c>
      <c r="H275" s="175">
        <f>'13. Desinvesteringen'!G558</f>
        <v>2024</v>
      </c>
      <c r="I275" s="37" t="str">
        <f>'13. Desinvesteringen'!C558</f>
        <v>01 Regionale leidingen</v>
      </c>
      <c r="J275" s="165">
        <f>'13. Desinvesteringen'!F558</f>
        <v>0</v>
      </c>
      <c r="K275" s="38">
        <f>_xlfn.XLOOKUP(I275,'3. Input (des)investeringen '!$B$11:$B$89,'3. Input (des)investeringen '!$E$11:$E$89)</f>
        <v>1</v>
      </c>
      <c r="L275" s="331"/>
      <c r="M275" s="38">
        <f>_xlfn.XLOOKUP(I275,'3. Input (des)investeringen '!$B$11:$B$89,'3. Input (des)investeringen '!$D$11:$D$89,0)</f>
        <v>55</v>
      </c>
      <c r="N275" s="38">
        <f t="shared" si="113"/>
        <v>1.5</v>
      </c>
      <c r="P275" s="43">
        <f t="shared" si="129"/>
        <v>15973.876117890743</v>
      </c>
      <c r="Q275" s="43">
        <f t="shared" si="129"/>
        <v>2457.5194027524226</v>
      </c>
      <c r="R275" s="43">
        <f t="shared" si="129"/>
        <v>0</v>
      </c>
      <c r="S275" s="43">
        <f t="shared" si="129"/>
        <v>0</v>
      </c>
      <c r="T275" s="43">
        <f t="shared" si="129"/>
        <v>0</v>
      </c>
      <c r="V275" s="43">
        <f t="shared" si="106"/>
        <v>1365.288557084679</v>
      </c>
      <c r="W275" s="43">
        <f t="shared" si="107"/>
        <v>682.64427854233952</v>
      </c>
      <c r="X275" s="43">
        <f t="shared" si="108"/>
        <v>0</v>
      </c>
      <c r="Y275" s="43">
        <f t="shared" si="109"/>
        <v>0</v>
      </c>
      <c r="Z275" s="43">
        <f t="shared" si="110"/>
        <v>0</v>
      </c>
      <c r="AB275" s="43">
        <f t="shared" si="114"/>
        <v>17339.164674975422</v>
      </c>
      <c r="AC275" s="43">
        <f t="shared" si="115"/>
        <v>3140.1636812947622</v>
      </c>
      <c r="AD275" s="43">
        <f t="shared" si="116"/>
        <v>0</v>
      </c>
      <c r="AE275" s="43">
        <f t="shared" si="117"/>
        <v>0</v>
      </c>
      <c r="AF275" s="43">
        <f t="shared" si="118"/>
        <v>0</v>
      </c>
      <c r="AH275" s="43">
        <f t="shared" si="119"/>
        <v>3140.1636812947618</v>
      </c>
      <c r="AI275" s="43">
        <f t="shared" si="120"/>
        <v>0</v>
      </c>
      <c r="AJ275" s="43">
        <f t="shared" si="121"/>
        <v>0</v>
      </c>
      <c r="AK275" s="43">
        <f t="shared" si="122"/>
        <v>0</v>
      </c>
      <c r="AL275" s="43">
        <f t="shared" si="123"/>
        <v>0</v>
      </c>
      <c r="AN275" s="47">
        <f t="shared" si="124"/>
        <v>17467.911385908508</v>
      </c>
      <c r="AO275" s="47">
        <f t="shared" si="125"/>
        <v>3140.1636812947622</v>
      </c>
      <c r="AP275" s="47">
        <f t="shared" si="126"/>
        <v>0</v>
      </c>
      <c r="AQ275" s="47">
        <f t="shared" si="127"/>
        <v>0</v>
      </c>
      <c r="AR275" s="43">
        <f t="shared" si="128"/>
        <v>0</v>
      </c>
      <c r="AS275" s="121"/>
      <c r="AT275" s="121"/>
      <c r="AU275" s="121"/>
      <c r="AV275" s="121"/>
      <c r="AW275" s="121"/>
      <c r="AX275" s="121"/>
    </row>
    <row r="276" spans="1:50" s="89" customFormat="1">
      <c r="A276" s="226"/>
      <c r="B276" s="37">
        <f>'13. Desinvesteringen'!B559</f>
        <v>540</v>
      </c>
      <c r="C276" s="331"/>
      <c r="D276" s="331"/>
      <c r="E276" s="331"/>
      <c r="F276" s="354">
        <f>'5. Input GAW-waarde desinv.'!D235</f>
        <v>25374.385345644296</v>
      </c>
      <c r="G276" s="175">
        <f>'13. Desinvesteringen'!D559</f>
        <v>1969</v>
      </c>
      <c r="H276" s="175">
        <f>'13. Desinvesteringen'!G559</f>
        <v>2024</v>
      </c>
      <c r="I276" s="37" t="str">
        <f>'13. Desinvesteringen'!C559</f>
        <v>01 Regionale leidingen</v>
      </c>
      <c r="J276" s="165">
        <f>'13. Desinvesteringen'!F559</f>
        <v>0</v>
      </c>
      <c r="K276" s="38">
        <f>_xlfn.XLOOKUP(I276,'3. Input (des)investeringen '!$B$11:$B$89,'3. Input (des)investeringen '!$E$11:$E$89)</f>
        <v>1</v>
      </c>
      <c r="L276" s="331"/>
      <c r="M276" s="38">
        <f>_xlfn.XLOOKUP(I276,'3. Input (des)investeringen '!$B$11:$B$89,'3. Input (des)investeringen '!$D$11:$D$89,0)</f>
        <v>55</v>
      </c>
      <c r="N276" s="38">
        <f t="shared" si="113"/>
        <v>2.5</v>
      </c>
      <c r="P276" s="43">
        <f t="shared" si="129"/>
        <v>11875.212341761531</v>
      </c>
      <c r="Q276" s="43">
        <f t="shared" si="129"/>
        <v>7307.8229795455563</v>
      </c>
      <c r="R276" s="43">
        <f t="shared" si="129"/>
        <v>3653.9114897727782</v>
      </c>
      <c r="S276" s="43">
        <f t="shared" si="129"/>
        <v>0</v>
      </c>
      <c r="T276" s="43">
        <f t="shared" si="129"/>
        <v>0</v>
      </c>
      <c r="V276" s="43">
        <f t="shared" si="106"/>
        <v>1014.9754138257719</v>
      </c>
      <c r="W276" s="43">
        <f t="shared" si="107"/>
        <v>1014.9754138257719</v>
      </c>
      <c r="X276" s="43">
        <f t="shared" si="108"/>
        <v>507.48770691288593</v>
      </c>
      <c r="Y276" s="43">
        <f t="shared" si="109"/>
        <v>0</v>
      </c>
      <c r="Z276" s="43">
        <f t="shared" si="110"/>
        <v>0</v>
      </c>
      <c r="AB276" s="43">
        <f t="shared" si="114"/>
        <v>12890.187755587303</v>
      </c>
      <c r="AC276" s="43">
        <f t="shared" si="115"/>
        <v>8322.7983933713276</v>
      </c>
      <c r="AD276" s="43">
        <f t="shared" si="116"/>
        <v>4161.3991966856638</v>
      </c>
      <c r="AE276" s="43">
        <f t="shared" si="117"/>
        <v>0</v>
      </c>
      <c r="AF276" s="43">
        <f t="shared" si="118"/>
        <v>0</v>
      </c>
      <c r="AH276" s="43">
        <f t="shared" si="119"/>
        <v>12484.197590056992</v>
      </c>
      <c r="AI276" s="43">
        <f t="shared" si="120"/>
        <v>4161.3991966856647</v>
      </c>
      <c r="AJ276" s="43">
        <f t="shared" si="121"/>
        <v>0</v>
      </c>
      <c r="AK276" s="43">
        <f t="shared" si="122"/>
        <v>0</v>
      </c>
      <c r="AL276" s="43">
        <f t="shared" si="123"/>
        <v>0</v>
      </c>
      <c r="AN276" s="47">
        <f t="shared" si="124"/>
        <v>13402.03985677964</v>
      </c>
      <c r="AO276" s="47">
        <f t="shared" si="125"/>
        <v>8535.0297524022972</v>
      </c>
      <c r="AP276" s="47">
        <f t="shared" si="126"/>
        <v>4161.3991966856638</v>
      </c>
      <c r="AQ276" s="47">
        <f t="shared" si="127"/>
        <v>0</v>
      </c>
      <c r="AR276" s="43">
        <f t="shared" si="128"/>
        <v>0</v>
      </c>
      <c r="AS276" s="121"/>
      <c r="AT276" s="121"/>
      <c r="AU276" s="121"/>
      <c r="AV276" s="121"/>
      <c r="AW276" s="121"/>
      <c r="AX276" s="121"/>
    </row>
    <row r="277" spans="1:50" s="89" customFormat="1">
      <c r="A277" s="226"/>
      <c r="B277" s="37">
        <f>'13. Desinvesteringen'!B560</f>
        <v>541</v>
      </c>
      <c r="C277" s="331"/>
      <c r="D277" s="331"/>
      <c r="E277" s="331"/>
      <c r="F277" s="354">
        <f>'5. Input GAW-waarde desinv.'!D236</f>
        <v>19518.619853143853</v>
      </c>
      <c r="G277" s="175">
        <f>'13. Desinvesteringen'!D560</f>
        <v>1970</v>
      </c>
      <c r="H277" s="175">
        <f>'13. Desinvesteringen'!G560</f>
        <v>2024</v>
      </c>
      <c r="I277" s="37" t="str">
        <f>'13. Desinvesteringen'!C560</f>
        <v>01 Regionale leidingen</v>
      </c>
      <c r="J277" s="165">
        <f>'13. Desinvesteringen'!F560</f>
        <v>0</v>
      </c>
      <c r="K277" s="38">
        <f>_xlfn.XLOOKUP(I277,'3. Input (des)investeringen '!$B$11:$B$89,'3. Input (des)investeringen '!$E$11:$E$89)</f>
        <v>1</v>
      </c>
      <c r="L277" s="331"/>
      <c r="M277" s="38">
        <f>_xlfn.XLOOKUP(I277,'3. Input (des)investeringen '!$B$11:$B$89,'3. Input (des)investeringen '!$D$11:$D$89,0)</f>
        <v>55</v>
      </c>
      <c r="N277" s="38">
        <f t="shared" si="113"/>
        <v>3.5</v>
      </c>
      <c r="P277" s="43">
        <f t="shared" si="129"/>
        <v>6524.7957794795166</v>
      </c>
      <c r="Q277" s="43">
        <f t="shared" si="129"/>
        <v>4416.7848353399804</v>
      </c>
      <c r="R277" s="43">
        <f t="shared" si="129"/>
        <v>4416.7848353399804</v>
      </c>
      <c r="S277" s="43">
        <f t="shared" si="129"/>
        <v>2208.3924176699902</v>
      </c>
      <c r="T277" s="43">
        <f t="shared" si="129"/>
        <v>0</v>
      </c>
      <c r="V277" s="43">
        <f t="shared" si="106"/>
        <v>557.67485294696723</v>
      </c>
      <c r="W277" s="43">
        <f t="shared" si="107"/>
        <v>557.67485294696723</v>
      </c>
      <c r="X277" s="43">
        <f t="shared" si="108"/>
        <v>557.67485294696723</v>
      </c>
      <c r="Y277" s="43">
        <f t="shared" si="109"/>
        <v>278.83742647348362</v>
      </c>
      <c r="Z277" s="43">
        <f t="shared" si="110"/>
        <v>0</v>
      </c>
      <c r="AB277" s="43">
        <f t="shared" si="114"/>
        <v>7082.4706324264835</v>
      </c>
      <c r="AC277" s="43">
        <f t="shared" si="115"/>
        <v>4974.4596882869473</v>
      </c>
      <c r="AD277" s="43">
        <f t="shared" si="116"/>
        <v>4974.4596882869473</v>
      </c>
      <c r="AE277" s="43">
        <f t="shared" si="117"/>
        <v>2487.2298441434737</v>
      </c>
      <c r="AF277" s="43">
        <f t="shared" si="118"/>
        <v>0</v>
      </c>
      <c r="AH277" s="43">
        <f t="shared" si="119"/>
        <v>12436.149220717369</v>
      </c>
      <c r="AI277" s="43">
        <f t="shared" si="120"/>
        <v>7461.6895324304214</v>
      </c>
      <c r="AJ277" s="43">
        <f t="shared" si="121"/>
        <v>2487.2298441434741</v>
      </c>
      <c r="AK277" s="43">
        <f t="shared" si="122"/>
        <v>0</v>
      </c>
      <c r="AL277" s="43">
        <f t="shared" si="123"/>
        <v>0</v>
      </c>
      <c r="AN277" s="47">
        <f t="shared" si="124"/>
        <v>7592.3527504758958</v>
      </c>
      <c r="AO277" s="47">
        <f t="shared" si="125"/>
        <v>5355.0058544408985</v>
      </c>
      <c r="AP277" s="47">
        <f t="shared" si="126"/>
        <v>5101.3084103382644</v>
      </c>
      <c r="AQ277" s="47">
        <f t="shared" si="127"/>
        <v>2487.2298441434737</v>
      </c>
      <c r="AR277" s="43">
        <f t="shared" si="128"/>
        <v>0</v>
      </c>
      <c r="AS277" s="121"/>
      <c r="AT277" s="121"/>
      <c r="AU277" s="121"/>
      <c r="AV277" s="121"/>
      <c r="AW277" s="121"/>
      <c r="AX277" s="121"/>
    </row>
    <row r="278" spans="1:50" s="89" customFormat="1">
      <c r="A278" s="226"/>
      <c r="B278" s="37">
        <f>'13. Desinvesteringen'!B561</f>
        <v>542</v>
      </c>
      <c r="C278" s="331"/>
      <c r="D278" s="331"/>
      <c r="E278" s="331"/>
      <c r="F278" s="354">
        <f>'5. Input GAW-waarde desinv.'!D237</f>
        <v>111800.93961557576</v>
      </c>
      <c r="G278" s="175">
        <f>'13. Desinvesteringen'!D561</f>
        <v>1971</v>
      </c>
      <c r="H278" s="175">
        <f>'13. Desinvesteringen'!G561</f>
        <v>2024</v>
      </c>
      <c r="I278" s="37" t="str">
        <f>'13. Desinvesteringen'!C561</f>
        <v>01 Regionale leidingen</v>
      </c>
      <c r="J278" s="165">
        <f>'13. Desinvesteringen'!F561</f>
        <v>0</v>
      </c>
      <c r="K278" s="38">
        <f>_xlfn.XLOOKUP(I278,'3. Input (des)investeringen '!$B$11:$B$89,'3. Input (des)investeringen '!$E$11:$E$89)</f>
        <v>1</v>
      </c>
      <c r="L278" s="331"/>
      <c r="M278" s="38">
        <f>_xlfn.XLOOKUP(I278,'3. Input (des)investeringen '!$B$11:$B$89,'3. Input (des)investeringen '!$D$11:$D$89,0)</f>
        <v>55</v>
      </c>
      <c r="N278" s="38">
        <f t="shared" si="113"/>
        <v>4.5</v>
      </c>
      <c r="P278" s="43">
        <f t="shared" si="129"/>
        <v>29068.244300049701</v>
      </c>
      <c r="Q278" s="43">
        <f t="shared" si="129"/>
        <v>20670.751502257561</v>
      </c>
      <c r="R278" s="43">
        <f t="shared" si="129"/>
        <v>20352.739940684369</v>
      </c>
      <c r="S278" s="43">
        <f t="shared" si="129"/>
        <v>20352.739940684369</v>
      </c>
      <c r="T278" s="43">
        <f t="shared" si="129"/>
        <v>10176.369970342184</v>
      </c>
      <c r="V278" s="43">
        <f t="shared" si="106"/>
        <v>2484.4653247905726</v>
      </c>
      <c r="W278" s="43">
        <f t="shared" si="107"/>
        <v>2484.4653247905726</v>
      </c>
      <c r="X278" s="43">
        <f t="shared" si="108"/>
        <v>2484.4653247905726</v>
      </c>
      <c r="Y278" s="43">
        <f t="shared" si="109"/>
        <v>2484.4653247905726</v>
      </c>
      <c r="Z278" s="43">
        <f t="shared" si="110"/>
        <v>1242.2326623952863</v>
      </c>
      <c r="AB278" s="43">
        <f t="shared" si="114"/>
        <v>31552.709624840274</v>
      </c>
      <c r="AC278" s="43">
        <f t="shared" si="115"/>
        <v>23155.216827048134</v>
      </c>
      <c r="AD278" s="43">
        <f t="shared" si="116"/>
        <v>22837.205265474942</v>
      </c>
      <c r="AE278" s="43">
        <f t="shared" si="117"/>
        <v>22837.205265474942</v>
      </c>
      <c r="AF278" s="43">
        <f t="shared" si="118"/>
        <v>11418.602632737471</v>
      </c>
      <c r="AH278" s="43">
        <f t="shared" si="119"/>
        <v>80248.229990735475</v>
      </c>
      <c r="AI278" s="43">
        <f t="shared" si="120"/>
        <v>57093.013163687341</v>
      </c>
      <c r="AJ278" s="43">
        <f t="shared" si="121"/>
        <v>34255.807898212399</v>
      </c>
      <c r="AK278" s="43">
        <f t="shared" si="122"/>
        <v>11418.602632737457</v>
      </c>
      <c r="AL278" s="43">
        <f t="shared" si="123"/>
        <v>0</v>
      </c>
      <c r="AN278" s="47">
        <f t="shared" si="124"/>
        <v>34842.887054460429</v>
      </c>
      <c r="AO278" s="47">
        <f t="shared" si="125"/>
        <v>26066.960498396187</v>
      </c>
      <c r="AP278" s="47">
        <f t="shared" si="126"/>
        <v>24584.251468283775</v>
      </c>
      <c r="AQ278" s="47">
        <f t="shared" si="127"/>
        <v>23465.228410275504</v>
      </c>
      <c r="AR278" s="43">
        <f t="shared" si="128"/>
        <v>11418.602632737471</v>
      </c>
      <c r="AS278" s="121"/>
      <c r="AT278" s="121"/>
      <c r="AU278" s="121"/>
      <c r="AV278" s="121"/>
      <c r="AW278" s="121"/>
      <c r="AX278" s="121"/>
    </row>
    <row r="279" spans="1:50" s="89" customFormat="1">
      <c r="A279" s="226"/>
      <c r="B279" s="37">
        <f>'13. Desinvesteringen'!B562</f>
        <v>543</v>
      </c>
      <c r="C279" s="331"/>
      <c r="D279" s="331"/>
      <c r="E279" s="331"/>
      <c r="F279" s="354">
        <f>'5. Input GAW-waarde desinv.'!D238</f>
        <v>31700.152105729732</v>
      </c>
      <c r="G279" s="175">
        <f>'13. Desinvesteringen'!D562</f>
        <v>1972</v>
      </c>
      <c r="H279" s="175">
        <f>'13. Desinvesteringen'!G562</f>
        <v>2024</v>
      </c>
      <c r="I279" s="37" t="str">
        <f>'13. Desinvesteringen'!C562</f>
        <v>01 Regionale leidingen</v>
      </c>
      <c r="J279" s="165">
        <f>'13. Desinvesteringen'!F562</f>
        <v>0</v>
      </c>
      <c r="K279" s="38">
        <f>_xlfn.XLOOKUP(I279,'3. Input (des)investeringen '!$B$11:$B$89,'3. Input (des)investeringen '!$E$11:$E$89)</f>
        <v>1</v>
      </c>
      <c r="L279" s="331"/>
      <c r="M279" s="38">
        <f>_xlfn.XLOOKUP(I279,'3. Input (des)investeringen '!$B$11:$B$89,'3. Input (des)investeringen '!$D$11:$D$89,0)</f>
        <v>55</v>
      </c>
      <c r="N279" s="38">
        <f t="shared" si="113"/>
        <v>5.5</v>
      </c>
      <c r="P279" s="43">
        <f t="shared" si="129"/>
        <v>6743.4869024915979</v>
      </c>
      <c r="Q279" s="43">
        <f t="shared" si="129"/>
        <v>5149.5718164481295</v>
      </c>
      <c r="R279" s="43">
        <f t="shared" si="129"/>
        <v>4753.4509074905809</v>
      </c>
      <c r="S279" s="43">
        <f t="shared" si="129"/>
        <v>4753.4509074905809</v>
      </c>
      <c r="T279" s="43">
        <f t="shared" si="129"/>
        <v>4753.4509074905809</v>
      </c>
      <c r="V279" s="43">
        <f t="shared" si="106"/>
        <v>576.36640192235882</v>
      </c>
      <c r="W279" s="43">
        <f t="shared" si="107"/>
        <v>576.3664019223587</v>
      </c>
      <c r="X279" s="43">
        <f t="shared" si="108"/>
        <v>576.3664019223587</v>
      </c>
      <c r="Y279" s="43">
        <f t="shared" si="109"/>
        <v>576.3664019223587</v>
      </c>
      <c r="Z279" s="43">
        <f t="shared" si="110"/>
        <v>576.3664019223587</v>
      </c>
      <c r="AB279" s="43">
        <f t="shared" si="114"/>
        <v>7319.8533044139567</v>
      </c>
      <c r="AC279" s="43">
        <f t="shared" si="115"/>
        <v>5725.9382183704884</v>
      </c>
      <c r="AD279" s="43">
        <f t="shared" si="116"/>
        <v>5329.8173094129397</v>
      </c>
      <c r="AE279" s="43">
        <f t="shared" si="117"/>
        <v>5329.8173094129397</v>
      </c>
      <c r="AF279" s="43">
        <f t="shared" si="118"/>
        <v>5329.8173094129397</v>
      </c>
      <c r="AH279" s="43">
        <f t="shared" si="119"/>
        <v>24380.298801315774</v>
      </c>
      <c r="AI279" s="43">
        <f t="shared" si="120"/>
        <v>18654.360582945286</v>
      </c>
      <c r="AJ279" s="43">
        <f t="shared" si="121"/>
        <v>13324.543273532347</v>
      </c>
      <c r="AK279" s="43">
        <f t="shared" si="122"/>
        <v>7994.7259641194069</v>
      </c>
      <c r="AL279" s="43">
        <f t="shared" si="123"/>
        <v>2664.9086547064671</v>
      </c>
      <c r="AN279" s="47">
        <f t="shared" si="124"/>
        <v>8319.4455552679028</v>
      </c>
      <c r="AO279" s="47">
        <f t="shared" si="125"/>
        <v>6677.3106081006981</v>
      </c>
      <c r="AP279" s="47">
        <f t="shared" si="126"/>
        <v>6009.369016363089</v>
      </c>
      <c r="AQ279" s="47">
        <f t="shared" si="127"/>
        <v>5769.5272374395072</v>
      </c>
      <c r="AR279" s="43">
        <f t="shared" si="128"/>
        <v>5431.0838382917855</v>
      </c>
      <c r="AS279" s="121"/>
      <c r="AT279" s="121"/>
      <c r="AU279" s="121"/>
      <c r="AV279" s="121"/>
      <c r="AW279" s="121"/>
      <c r="AX279" s="121"/>
    </row>
    <row r="280" spans="1:50" s="89" customFormat="1">
      <c r="A280" s="226"/>
      <c r="B280" s="37">
        <f>'13. Desinvesteringen'!B563</f>
        <v>544</v>
      </c>
      <c r="C280" s="331"/>
      <c r="D280" s="331"/>
      <c r="E280" s="331"/>
      <c r="F280" s="354">
        <f>'5. Input GAW-waarde desinv.'!D239</f>
        <v>50171.039481668777</v>
      </c>
      <c r="G280" s="175">
        <f>'13. Desinvesteringen'!D563</f>
        <v>1973</v>
      </c>
      <c r="H280" s="175">
        <f>'13. Desinvesteringen'!G563</f>
        <v>2024</v>
      </c>
      <c r="I280" s="37" t="str">
        <f>'13. Desinvesteringen'!C563</f>
        <v>01 Regionale leidingen</v>
      </c>
      <c r="J280" s="165">
        <f>'13. Desinvesteringen'!F563</f>
        <v>0</v>
      </c>
      <c r="K280" s="38">
        <f>_xlfn.XLOOKUP(I280,'3. Input (des)investeringen '!$B$11:$B$89,'3. Input (des)investeringen '!$E$11:$E$89)</f>
        <v>1</v>
      </c>
      <c r="L280" s="331"/>
      <c r="M280" s="38">
        <f>_xlfn.XLOOKUP(I280,'3. Input (des)investeringen '!$B$11:$B$89,'3. Input (des)investeringen '!$D$11:$D$89,0)</f>
        <v>55</v>
      </c>
      <c r="N280" s="38">
        <f t="shared" si="113"/>
        <v>6.5</v>
      </c>
      <c r="P280" s="43">
        <f t="shared" si="129"/>
        <v>9030.7871067003798</v>
      </c>
      <c r="Q280" s="43">
        <f t="shared" si="129"/>
        <v>7224.6296853603044</v>
      </c>
      <c r="R280" s="43">
        <f t="shared" si="129"/>
        <v>6421.8930536536036</v>
      </c>
      <c r="S280" s="43">
        <f t="shared" si="129"/>
        <v>6421.8930536536036</v>
      </c>
      <c r="T280" s="43">
        <f t="shared" si="129"/>
        <v>6421.8930536536036</v>
      </c>
      <c r="V280" s="43">
        <f t="shared" si="106"/>
        <v>771.86214587182747</v>
      </c>
      <c r="W280" s="43">
        <f t="shared" si="107"/>
        <v>771.86214587182735</v>
      </c>
      <c r="X280" s="43">
        <f t="shared" si="108"/>
        <v>771.86214587182735</v>
      </c>
      <c r="Y280" s="43">
        <f t="shared" si="109"/>
        <v>771.86214587182735</v>
      </c>
      <c r="Z280" s="43">
        <f t="shared" si="110"/>
        <v>771.86214587182735</v>
      </c>
      <c r="AB280" s="43">
        <f t="shared" si="114"/>
        <v>9802.6492525722078</v>
      </c>
      <c r="AC280" s="43">
        <f t="shared" si="115"/>
        <v>7996.4918312321315</v>
      </c>
      <c r="AD280" s="43">
        <f t="shared" si="116"/>
        <v>7193.7551995254307</v>
      </c>
      <c r="AE280" s="43">
        <f t="shared" si="117"/>
        <v>7193.7551995254307</v>
      </c>
      <c r="AF280" s="43">
        <f t="shared" si="118"/>
        <v>7193.7551995254307</v>
      </c>
      <c r="AH280" s="43">
        <f t="shared" si="119"/>
        <v>40368.390229096571</v>
      </c>
      <c r="AI280" s="43">
        <f t="shared" si="120"/>
        <v>32371.898397864439</v>
      </c>
      <c r="AJ280" s="43">
        <f t="shared" si="121"/>
        <v>25178.143198339007</v>
      </c>
      <c r="AK280" s="43">
        <f t="shared" si="122"/>
        <v>17984.387998813574</v>
      </c>
      <c r="AL280" s="43">
        <f t="shared" si="123"/>
        <v>10790.632799288143</v>
      </c>
      <c r="AN280" s="47">
        <f t="shared" si="124"/>
        <v>11457.753251965167</v>
      </c>
      <c r="AO280" s="47">
        <f t="shared" si="125"/>
        <v>9647.4586495232179</v>
      </c>
      <c r="AP280" s="47">
        <f t="shared" si="126"/>
        <v>8477.8405026407199</v>
      </c>
      <c r="AQ280" s="47">
        <f t="shared" si="127"/>
        <v>8182.8965394601773</v>
      </c>
      <c r="AR280" s="43">
        <f t="shared" si="128"/>
        <v>7603.7992458983799</v>
      </c>
      <c r="AS280" s="121"/>
      <c r="AT280" s="121"/>
      <c r="AU280" s="121"/>
      <c r="AV280" s="121"/>
      <c r="AW280" s="121"/>
      <c r="AX280" s="121"/>
    </row>
    <row r="281" spans="1:50" s="89" customFormat="1">
      <c r="A281" s="226"/>
      <c r="B281" s="37">
        <f>'13. Desinvesteringen'!B564</f>
        <v>545</v>
      </c>
      <c r="C281" s="331"/>
      <c r="D281" s="331"/>
      <c r="E281" s="331"/>
      <c r="F281" s="354">
        <f>'5. Input GAW-waarde desinv.'!D240</f>
        <v>20841.942479994177</v>
      </c>
      <c r="G281" s="175">
        <f>'13. Desinvesteringen'!D564</f>
        <v>1974</v>
      </c>
      <c r="H281" s="175">
        <f>'13. Desinvesteringen'!G564</f>
        <v>2024</v>
      </c>
      <c r="I281" s="37" t="str">
        <f>'13. Desinvesteringen'!C564</f>
        <v>01 Regionale leidingen</v>
      </c>
      <c r="J281" s="165">
        <f>'13. Desinvesteringen'!F564</f>
        <v>0</v>
      </c>
      <c r="K281" s="38">
        <f>_xlfn.XLOOKUP(I281,'3. Input (des)investeringen '!$B$11:$B$89,'3. Input (des)investeringen '!$E$11:$E$89)</f>
        <v>1</v>
      </c>
      <c r="L281" s="331"/>
      <c r="M281" s="38">
        <f>_xlfn.XLOOKUP(I281,'3. Input (des)investeringen '!$B$11:$B$89,'3. Input (des)investeringen '!$D$11:$D$89,0)</f>
        <v>55</v>
      </c>
      <c r="N281" s="38">
        <f t="shared" si="113"/>
        <v>7.5</v>
      </c>
      <c r="P281" s="43">
        <f t="shared" si="129"/>
        <v>3251.3430268790917</v>
      </c>
      <c r="Q281" s="43">
        <f t="shared" si="129"/>
        <v>2687.7769022200491</v>
      </c>
      <c r="R281" s="43">
        <f t="shared" si="129"/>
        <v>2330.6596914355664</v>
      </c>
      <c r="S281" s="43">
        <f t="shared" si="129"/>
        <v>2330.6596914355664</v>
      </c>
      <c r="T281" s="43">
        <f t="shared" si="129"/>
        <v>2330.6596914355664</v>
      </c>
      <c r="V281" s="43">
        <f t="shared" si="106"/>
        <v>277.89256639992237</v>
      </c>
      <c r="W281" s="43">
        <f t="shared" si="107"/>
        <v>277.89256639992237</v>
      </c>
      <c r="X281" s="43">
        <f t="shared" si="108"/>
        <v>277.89256639992237</v>
      </c>
      <c r="Y281" s="43">
        <f t="shared" si="109"/>
        <v>277.89256639992237</v>
      </c>
      <c r="Z281" s="43">
        <f t="shared" si="110"/>
        <v>277.89256639992237</v>
      </c>
      <c r="AB281" s="43">
        <f t="shared" si="114"/>
        <v>3529.2355932790142</v>
      </c>
      <c r="AC281" s="43">
        <f t="shared" si="115"/>
        <v>2965.6694686199717</v>
      </c>
      <c r="AD281" s="43">
        <f t="shared" si="116"/>
        <v>2608.5522578354889</v>
      </c>
      <c r="AE281" s="43">
        <f t="shared" si="117"/>
        <v>2608.5522578354889</v>
      </c>
      <c r="AF281" s="43">
        <f t="shared" si="118"/>
        <v>2608.5522578354889</v>
      </c>
      <c r="AH281" s="43">
        <f t="shared" si="119"/>
        <v>17312.706886715161</v>
      </c>
      <c r="AI281" s="43">
        <f t="shared" si="120"/>
        <v>14347.037418095189</v>
      </c>
      <c r="AJ281" s="43">
        <f t="shared" si="121"/>
        <v>11738.485160259701</v>
      </c>
      <c r="AK281" s="43">
        <f t="shared" si="122"/>
        <v>9129.9329024242124</v>
      </c>
      <c r="AL281" s="43">
        <f t="shared" si="123"/>
        <v>6521.380644588724</v>
      </c>
      <c r="AN281" s="47">
        <f t="shared" si="124"/>
        <v>4239.0565756343358</v>
      </c>
      <c r="AO281" s="47">
        <f t="shared" si="125"/>
        <v>3697.3683769428262</v>
      </c>
      <c r="AP281" s="47">
        <f t="shared" si="126"/>
        <v>3207.2150010087335</v>
      </c>
      <c r="AQ281" s="47">
        <f t="shared" si="127"/>
        <v>3110.6985674688208</v>
      </c>
      <c r="AR281" s="43">
        <f t="shared" si="128"/>
        <v>2856.3647223298603</v>
      </c>
      <c r="AS281" s="121"/>
      <c r="AT281" s="121"/>
      <c r="AU281" s="121"/>
      <c r="AV281" s="121"/>
      <c r="AW281" s="121"/>
      <c r="AX281" s="121"/>
    </row>
    <row r="282" spans="1:50" s="89" customFormat="1">
      <c r="A282" s="226"/>
      <c r="B282" s="37">
        <f>'13. Desinvesteringen'!B565</f>
        <v>546</v>
      </c>
      <c r="C282" s="331"/>
      <c r="D282" s="331"/>
      <c r="E282" s="331"/>
      <c r="F282" s="354">
        <f>'5. Input GAW-waarde desinv.'!D241</f>
        <v>21512.630367935792</v>
      </c>
      <c r="G282" s="175">
        <f>'13. Desinvesteringen'!D565</f>
        <v>1975</v>
      </c>
      <c r="H282" s="175">
        <f>'13. Desinvesteringen'!G565</f>
        <v>2024</v>
      </c>
      <c r="I282" s="37" t="str">
        <f>'13. Desinvesteringen'!C565</f>
        <v>01 Regionale leidingen</v>
      </c>
      <c r="J282" s="165">
        <f>'13. Desinvesteringen'!F565</f>
        <v>0</v>
      </c>
      <c r="K282" s="38">
        <f>_xlfn.XLOOKUP(I282,'3. Input (des)investeringen '!$B$11:$B$89,'3. Input (des)investeringen '!$E$11:$E$89)</f>
        <v>1</v>
      </c>
      <c r="L282" s="331"/>
      <c r="M282" s="38">
        <f>_xlfn.XLOOKUP(I282,'3. Input (des)investeringen '!$B$11:$B$89,'3. Input (des)investeringen '!$D$11:$D$89,0)</f>
        <v>55</v>
      </c>
      <c r="N282" s="38">
        <f t="shared" si="113"/>
        <v>8.5</v>
      </c>
      <c r="P282" s="43">
        <f t="shared" ref="P282:T291" si="130">IF($M282&gt;0, IF(OR($G282&gt;P$50,$G282+$M282&lt;P$50),0,
VDB($F282,0,$N282,MAX(0,P$50-2022),MIN($N282,P$50-2021),$F$23,FALSE))*(1-$F$26), 0)</f>
        <v>2961.1502977041032</v>
      </c>
      <c r="Q282" s="43">
        <f t="shared" si="130"/>
        <v>2508.2684874670053</v>
      </c>
      <c r="R282" s="43">
        <f t="shared" si="130"/>
        <v>2137.2228532263239</v>
      </c>
      <c r="S282" s="43">
        <f t="shared" si="130"/>
        <v>2137.2228532263239</v>
      </c>
      <c r="T282" s="43">
        <f t="shared" si="130"/>
        <v>2137.2228532263239</v>
      </c>
      <c r="V282" s="43">
        <f t="shared" si="106"/>
        <v>253.08976903453873</v>
      </c>
      <c r="W282" s="43">
        <f t="shared" si="107"/>
        <v>253.08976903453873</v>
      </c>
      <c r="X282" s="43">
        <f t="shared" si="108"/>
        <v>253.08976903453873</v>
      </c>
      <c r="Y282" s="43">
        <f t="shared" si="109"/>
        <v>253.08976903453873</v>
      </c>
      <c r="Z282" s="43">
        <f t="shared" si="110"/>
        <v>253.08976903453873</v>
      </c>
      <c r="AB282" s="43">
        <f t="shared" si="114"/>
        <v>3214.2400667386419</v>
      </c>
      <c r="AC282" s="43">
        <f t="shared" si="115"/>
        <v>2761.358256501544</v>
      </c>
      <c r="AD282" s="43">
        <f t="shared" si="116"/>
        <v>2390.3126222608626</v>
      </c>
      <c r="AE282" s="43">
        <f t="shared" si="117"/>
        <v>2390.3126222608626</v>
      </c>
      <c r="AF282" s="43">
        <f t="shared" si="118"/>
        <v>2390.3126222608626</v>
      </c>
      <c r="AH282" s="43">
        <f t="shared" si="119"/>
        <v>18298.390301197149</v>
      </c>
      <c r="AI282" s="43">
        <f t="shared" si="120"/>
        <v>15537.032044695605</v>
      </c>
      <c r="AJ282" s="43">
        <f t="shared" si="121"/>
        <v>13146.719422434742</v>
      </c>
      <c r="AK282" s="43">
        <f t="shared" si="122"/>
        <v>10756.40680017388</v>
      </c>
      <c r="AL282" s="43">
        <f t="shared" si="123"/>
        <v>8366.0941779130171</v>
      </c>
      <c r="AN282" s="47">
        <f t="shared" si="124"/>
        <v>3964.4740690877252</v>
      </c>
      <c r="AO282" s="47">
        <f t="shared" si="125"/>
        <v>3553.7468907810198</v>
      </c>
      <c r="AP282" s="47">
        <f t="shared" si="126"/>
        <v>3060.7953128050344</v>
      </c>
      <c r="AQ282" s="47">
        <f t="shared" si="127"/>
        <v>2981.9149962704259</v>
      </c>
      <c r="AR282" s="43">
        <f t="shared" si="128"/>
        <v>2708.2242010215573</v>
      </c>
      <c r="AS282" s="121"/>
      <c r="AT282" s="121"/>
      <c r="AU282" s="121"/>
      <c r="AV282" s="121"/>
      <c r="AW282" s="121"/>
      <c r="AX282" s="121"/>
    </row>
    <row r="283" spans="1:50" s="89" customFormat="1">
      <c r="A283" s="226"/>
      <c r="B283" s="37">
        <f>'13. Desinvesteringen'!B566</f>
        <v>547</v>
      </c>
      <c r="C283" s="331"/>
      <c r="D283" s="331"/>
      <c r="E283" s="331"/>
      <c r="F283" s="354">
        <f>'5. Input GAW-waarde desinv.'!D242</f>
        <v>125308.74203121607</v>
      </c>
      <c r="G283" s="175">
        <f>'13. Desinvesteringen'!D566</f>
        <v>1976</v>
      </c>
      <c r="H283" s="175">
        <f>'13. Desinvesteringen'!G566</f>
        <v>2024</v>
      </c>
      <c r="I283" s="37" t="str">
        <f>'13. Desinvesteringen'!C566</f>
        <v>01 Regionale leidingen</v>
      </c>
      <c r="J283" s="165">
        <f>'13. Desinvesteringen'!F566</f>
        <v>0</v>
      </c>
      <c r="K283" s="38">
        <f>_xlfn.XLOOKUP(I283,'3. Input (des)investeringen '!$B$11:$B$89,'3. Input (des)investeringen '!$E$11:$E$89)</f>
        <v>1</v>
      </c>
      <c r="L283" s="331"/>
      <c r="M283" s="38">
        <f>_xlfn.XLOOKUP(I283,'3. Input (des)investeringen '!$B$11:$B$89,'3. Input (des)investeringen '!$D$11:$D$89,0)</f>
        <v>55</v>
      </c>
      <c r="N283" s="38">
        <f t="shared" si="113"/>
        <v>9.5</v>
      </c>
      <c r="P283" s="43">
        <f t="shared" si="130"/>
        <v>15432.760860686612</v>
      </c>
      <c r="Q283" s="43">
        <f t="shared" si="130"/>
        <v>13320.90937448739</v>
      </c>
      <c r="R283" s="43">
        <f t="shared" si="130"/>
        <v>11498.0480916628</v>
      </c>
      <c r="S283" s="43">
        <f t="shared" si="130"/>
        <v>11157.869154039639</v>
      </c>
      <c r="T283" s="43">
        <f t="shared" si="130"/>
        <v>11157.869154039639</v>
      </c>
      <c r="V283" s="43">
        <f t="shared" si="106"/>
        <v>1319.0393898022746</v>
      </c>
      <c r="W283" s="43">
        <f t="shared" si="107"/>
        <v>1319.0393898022746</v>
      </c>
      <c r="X283" s="43">
        <f t="shared" si="108"/>
        <v>1319.0393898022746</v>
      </c>
      <c r="Y283" s="43">
        <f t="shared" si="109"/>
        <v>1319.0393898022746</v>
      </c>
      <c r="Z283" s="43">
        <f t="shared" si="110"/>
        <v>1319.0393898022746</v>
      </c>
      <c r="AB283" s="43">
        <f t="shared" si="114"/>
        <v>16751.800250488886</v>
      </c>
      <c r="AC283" s="43">
        <f t="shared" si="115"/>
        <v>14639.948764289664</v>
      </c>
      <c r="AD283" s="43">
        <f t="shared" si="116"/>
        <v>12817.087481465074</v>
      </c>
      <c r="AE283" s="43">
        <f t="shared" si="117"/>
        <v>12476.908543841913</v>
      </c>
      <c r="AF283" s="43">
        <f t="shared" si="118"/>
        <v>12476.908543841913</v>
      </c>
      <c r="AH283" s="43">
        <f t="shared" si="119"/>
        <v>108556.94178072718</v>
      </c>
      <c r="AI283" s="43">
        <f t="shared" si="120"/>
        <v>93916.993016437511</v>
      </c>
      <c r="AJ283" s="43">
        <f t="shared" si="121"/>
        <v>81099.905534972437</v>
      </c>
      <c r="AK283" s="43">
        <f t="shared" si="122"/>
        <v>68622.996991130523</v>
      </c>
      <c r="AL283" s="43">
        <f t="shared" si="123"/>
        <v>56146.08844728861</v>
      </c>
      <c r="AN283" s="47">
        <f t="shared" si="124"/>
        <v>21202.634863498701</v>
      </c>
      <c r="AO283" s="47">
        <f t="shared" si="125"/>
        <v>19429.715408127977</v>
      </c>
      <c r="AP283" s="47">
        <f t="shared" si="126"/>
        <v>16953.182663748667</v>
      </c>
      <c r="AQ283" s="47">
        <f t="shared" si="127"/>
        <v>16251.173378354091</v>
      </c>
      <c r="AR283" s="43">
        <f t="shared" si="128"/>
        <v>14610.459904838881</v>
      </c>
      <c r="AS283" s="121"/>
      <c r="AT283" s="121"/>
      <c r="AU283" s="121"/>
      <c r="AV283" s="121"/>
      <c r="AW283" s="121"/>
      <c r="AX283" s="121"/>
    </row>
    <row r="284" spans="1:50" s="89" customFormat="1">
      <c r="A284" s="226"/>
      <c r="B284" s="37">
        <f>'13. Desinvesteringen'!B567</f>
        <v>548</v>
      </c>
      <c r="C284" s="331"/>
      <c r="D284" s="331"/>
      <c r="E284" s="331"/>
      <c r="F284" s="354">
        <f>'5. Input GAW-waarde desinv.'!D243</f>
        <v>10935.593498707885</v>
      </c>
      <c r="G284" s="175">
        <f>'13. Desinvesteringen'!D567</f>
        <v>1977</v>
      </c>
      <c r="H284" s="175">
        <f>'13. Desinvesteringen'!G567</f>
        <v>2024</v>
      </c>
      <c r="I284" s="37" t="str">
        <f>'13. Desinvesteringen'!C567</f>
        <v>01 Regionale leidingen</v>
      </c>
      <c r="J284" s="165">
        <f>'13. Desinvesteringen'!F567</f>
        <v>0</v>
      </c>
      <c r="K284" s="38">
        <f>_xlfn.XLOOKUP(I284,'3. Input (des)investeringen '!$B$11:$B$89,'3. Input (des)investeringen '!$E$11:$E$89)</f>
        <v>1</v>
      </c>
      <c r="L284" s="331"/>
      <c r="M284" s="38">
        <f>_xlfn.XLOOKUP(I284,'3. Input (des)investeringen '!$B$11:$B$89,'3. Input (des)investeringen '!$D$11:$D$89,0)</f>
        <v>55</v>
      </c>
      <c r="N284" s="38">
        <f t="shared" si="113"/>
        <v>10.5</v>
      </c>
      <c r="P284" s="43">
        <f t="shared" si="130"/>
        <v>1218.537561284593</v>
      </c>
      <c r="Q284" s="43">
        <f t="shared" si="130"/>
        <v>1067.671006077929</v>
      </c>
      <c r="R284" s="43">
        <f t="shared" si="130"/>
        <v>935.48316723018547</v>
      </c>
      <c r="S284" s="43">
        <f t="shared" si="130"/>
        <v>882.71232189925195</v>
      </c>
      <c r="T284" s="43">
        <f t="shared" si="130"/>
        <v>882.71232189925195</v>
      </c>
      <c r="V284" s="43">
        <f t="shared" si="106"/>
        <v>104.14850951150368</v>
      </c>
      <c r="W284" s="43">
        <f t="shared" si="107"/>
        <v>104.14850951150368</v>
      </c>
      <c r="X284" s="43">
        <f t="shared" si="108"/>
        <v>104.14850951150368</v>
      </c>
      <c r="Y284" s="43">
        <f t="shared" si="109"/>
        <v>104.14850951150368</v>
      </c>
      <c r="Z284" s="43">
        <f t="shared" si="110"/>
        <v>104.14850951150368</v>
      </c>
      <c r="AB284" s="43">
        <f t="shared" si="114"/>
        <v>1322.6860707960968</v>
      </c>
      <c r="AC284" s="43">
        <f t="shared" si="115"/>
        <v>1171.8195155894327</v>
      </c>
      <c r="AD284" s="43">
        <f t="shared" si="116"/>
        <v>1039.6316767416893</v>
      </c>
      <c r="AE284" s="43">
        <f t="shared" si="117"/>
        <v>986.86083141075562</v>
      </c>
      <c r="AF284" s="43">
        <f t="shared" si="118"/>
        <v>986.86083141075562</v>
      </c>
      <c r="AH284" s="43">
        <f t="shared" si="119"/>
        <v>9612.9074279117885</v>
      </c>
      <c r="AI284" s="43">
        <f t="shared" si="120"/>
        <v>8441.0879123223567</v>
      </c>
      <c r="AJ284" s="43">
        <f t="shared" si="121"/>
        <v>7401.4562355806675</v>
      </c>
      <c r="AK284" s="43">
        <f t="shared" si="122"/>
        <v>6414.5954041699115</v>
      </c>
      <c r="AL284" s="43">
        <f t="shared" si="123"/>
        <v>5427.7345727591555</v>
      </c>
      <c r="AN284" s="47">
        <f t="shared" si="124"/>
        <v>1716.8152753404802</v>
      </c>
      <c r="AO284" s="47">
        <f t="shared" si="125"/>
        <v>1602.314999117873</v>
      </c>
      <c r="AP284" s="47">
        <f t="shared" si="126"/>
        <v>1417.1059447563034</v>
      </c>
      <c r="AQ284" s="47">
        <f t="shared" si="127"/>
        <v>1339.6635786401007</v>
      </c>
      <c r="AR284" s="43">
        <f t="shared" si="128"/>
        <v>1193.1147451756035</v>
      </c>
      <c r="AS284" s="121"/>
      <c r="AT284" s="121"/>
      <c r="AU284" s="121"/>
      <c r="AV284" s="121"/>
      <c r="AW284" s="121"/>
      <c r="AX284" s="121"/>
    </row>
    <row r="285" spans="1:50" s="89" customFormat="1">
      <c r="A285" s="226"/>
      <c r="B285" s="37">
        <f>'13. Desinvesteringen'!B568</f>
        <v>549</v>
      </c>
      <c r="C285" s="331"/>
      <c r="D285" s="331"/>
      <c r="E285" s="331"/>
      <c r="F285" s="354">
        <f>'5. Input GAW-waarde desinv.'!D244</f>
        <v>626.06137659381329</v>
      </c>
      <c r="G285" s="175">
        <f>'13. Desinvesteringen'!D568</f>
        <v>1979</v>
      </c>
      <c r="H285" s="175">
        <f>'13. Desinvesteringen'!G568</f>
        <v>2024</v>
      </c>
      <c r="I285" s="37" t="str">
        <f>'13. Desinvesteringen'!C568</f>
        <v>01 Regionale leidingen</v>
      </c>
      <c r="J285" s="165">
        <f>'13. Desinvesteringen'!F568</f>
        <v>0</v>
      </c>
      <c r="K285" s="38">
        <f>_xlfn.XLOOKUP(I285,'3. Input (des)investeringen '!$B$11:$B$89,'3. Input (des)investeringen '!$E$11:$E$89)</f>
        <v>1</v>
      </c>
      <c r="L285" s="331"/>
      <c r="M285" s="38">
        <f>_xlfn.XLOOKUP(I285,'3. Input (des)investeringen '!$B$11:$B$89,'3. Input (des)investeringen '!$D$11:$D$89,0)</f>
        <v>55</v>
      </c>
      <c r="N285" s="38">
        <f t="shared" si="113"/>
        <v>12.5</v>
      </c>
      <c r="P285" s="43">
        <f t="shared" si="130"/>
        <v>58.59934484918093</v>
      </c>
      <c r="Q285" s="43">
        <f t="shared" si="130"/>
        <v>52.505012984866113</v>
      </c>
      <c r="R285" s="43">
        <f t="shared" si="130"/>
        <v>47.044491634440043</v>
      </c>
      <c r="S285" s="43">
        <f t="shared" si="130"/>
        <v>42.663830470099462</v>
      </c>
      <c r="T285" s="43">
        <f t="shared" si="130"/>
        <v>42.663830470099462</v>
      </c>
      <c r="V285" s="43">
        <f t="shared" si="106"/>
        <v>5.0084910127505067</v>
      </c>
      <c r="W285" s="43">
        <f t="shared" si="107"/>
        <v>5.0084910127505067</v>
      </c>
      <c r="X285" s="43">
        <f t="shared" si="108"/>
        <v>5.0084910127505067</v>
      </c>
      <c r="Y285" s="43">
        <f t="shared" si="109"/>
        <v>5.0084910127505067</v>
      </c>
      <c r="Z285" s="43">
        <f t="shared" si="110"/>
        <v>5.0084910127505067</v>
      </c>
      <c r="AB285" s="43">
        <f t="shared" si="114"/>
        <v>63.607835861931434</v>
      </c>
      <c r="AC285" s="43">
        <f t="shared" si="115"/>
        <v>57.513503997616617</v>
      </c>
      <c r="AD285" s="43">
        <f t="shared" si="116"/>
        <v>52.052982647190547</v>
      </c>
      <c r="AE285" s="43">
        <f t="shared" si="117"/>
        <v>47.672321482849966</v>
      </c>
      <c r="AF285" s="43">
        <f t="shared" si="118"/>
        <v>47.672321482849966</v>
      </c>
      <c r="AH285" s="43">
        <f t="shared" si="119"/>
        <v>562.45354073188184</v>
      </c>
      <c r="AI285" s="43">
        <f t="shared" si="120"/>
        <v>504.94003673426522</v>
      </c>
      <c r="AJ285" s="43">
        <f t="shared" si="121"/>
        <v>452.88705408707466</v>
      </c>
      <c r="AK285" s="43">
        <f t="shared" si="122"/>
        <v>405.21473260422471</v>
      </c>
      <c r="AL285" s="43">
        <f t="shared" si="123"/>
        <v>357.54241112137476</v>
      </c>
      <c r="AN285" s="47">
        <f t="shared" si="124"/>
        <v>86.668431031938596</v>
      </c>
      <c r="AO285" s="47">
        <f t="shared" si="125"/>
        <v>83.265445871064145</v>
      </c>
      <c r="AP285" s="47">
        <f t="shared" si="126"/>
        <v>75.150222405631354</v>
      </c>
      <c r="AQ285" s="47">
        <f t="shared" si="127"/>
        <v>69.95913177608233</v>
      </c>
      <c r="AR285" s="43">
        <f t="shared" si="128"/>
        <v>61.258933105462205</v>
      </c>
      <c r="AS285" s="121"/>
      <c r="AT285" s="121"/>
      <c r="AU285" s="121"/>
      <c r="AV285" s="121"/>
      <c r="AW285" s="121"/>
      <c r="AX285" s="121"/>
    </row>
    <row r="286" spans="1:50" s="89" customFormat="1">
      <c r="A286" s="226"/>
      <c r="B286" s="37">
        <f>'13. Desinvesteringen'!B569</f>
        <v>550</v>
      </c>
      <c r="C286" s="331"/>
      <c r="D286" s="331"/>
      <c r="E286" s="331"/>
      <c r="F286" s="354">
        <f>'5. Input GAW-waarde desinv.'!D245</f>
        <v>1810.4047177063972</v>
      </c>
      <c r="G286" s="175">
        <f>'13. Desinvesteringen'!D569</f>
        <v>1985</v>
      </c>
      <c r="H286" s="175">
        <f>'13. Desinvesteringen'!G569</f>
        <v>2024</v>
      </c>
      <c r="I286" s="37" t="str">
        <f>'13. Desinvesteringen'!C569</f>
        <v>01 Regionale leidingen</v>
      </c>
      <c r="J286" s="165">
        <f>'13. Desinvesteringen'!F569</f>
        <v>0</v>
      </c>
      <c r="K286" s="38">
        <f>_xlfn.XLOOKUP(I286,'3. Input (des)investeringen '!$B$11:$B$89,'3. Input (des)investeringen '!$E$11:$E$89)</f>
        <v>1</v>
      </c>
      <c r="L286" s="331"/>
      <c r="M286" s="38">
        <f>_xlfn.XLOOKUP(I286,'3. Input (des)investeringen '!$B$11:$B$89,'3. Input (des)investeringen '!$D$11:$D$89,0)</f>
        <v>55</v>
      </c>
      <c r="N286" s="38">
        <f t="shared" si="113"/>
        <v>18.5</v>
      </c>
      <c r="P286" s="43">
        <f t="shared" si="130"/>
        <v>114.49586593062081</v>
      </c>
      <c r="Q286" s="43">
        <f t="shared" si="130"/>
        <v>106.45021048684744</v>
      </c>
      <c r="R286" s="43">
        <f t="shared" si="130"/>
        <v>98.969925425609517</v>
      </c>
      <c r="S286" s="43">
        <f t="shared" si="130"/>
        <v>92.015282017323429</v>
      </c>
      <c r="T286" s="43">
        <f t="shared" si="130"/>
        <v>85.549343280970973</v>
      </c>
      <c r="V286" s="43">
        <f t="shared" si="106"/>
        <v>9.7859714470616073</v>
      </c>
      <c r="W286" s="43">
        <f t="shared" si="107"/>
        <v>9.7859714470616055</v>
      </c>
      <c r="X286" s="43">
        <f t="shared" si="108"/>
        <v>9.7859714470616055</v>
      </c>
      <c r="Y286" s="43">
        <f t="shared" si="109"/>
        <v>9.7859714470616055</v>
      </c>
      <c r="Z286" s="43">
        <f t="shared" si="110"/>
        <v>9.7859714470616055</v>
      </c>
      <c r="AB286" s="43">
        <f t="shared" si="114"/>
        <v>124.28183737768242</v>
      </c>
      <c r="AC286" s="43">
        <f t="shared" si="115"/>
        <v>116.23618193390905</v>
      </c>
      <c r="AD286" s="43">
        <f t="shared" si="116"/>
        <v>108.75589687267112</v>
      </c>
      <c r="AE286" s="43">
        <f t="shared" si="117"/>
        <v>101.80125346438504</v>
      </c>
      <c r="AF286" s="43">
        <f t="shared" si="118"/>
        <v>95.335314728032586</v>
      </c>
      <c r="AH286" s="43">
        <f t="shared" si="119"/>
        <v>1686.1228803287147</v>
      </c>
      <c r="AI286" s="43">
        <f t="shared" si="120"/>
        <v>1569.8866983948055</v>
      </c>
      <c r="AJ286" s="43">
        <f t="shared" si="121"/>
        <v>1461.1308015221343</v>
      </c>
      <c r="AK286" s="43">
        <f t="shared" si="122"/>
        <v>1359.3295480577492</v>
      </c>
      <c r="AL286" s="43">
        <f t="shared" si="123"/>
        <v>1263.9942333297167</v>
      </c>
      <c r="AN286" s="47">
        <f t="shared" si="124"/>
        <v>193.41287547115974</v>
      </c>
      <c r="AO286" s="47">
        <f t="shared" si="125"/>
        <v>196.30040355204414</v>
      </c>
      <c r="AP286" s="47">
        <f t="shared" si="126"/>
        <v>183.27356775029995</v>
      </c>
      <c r="AQ286" s="47">
        <f t="shared" si="127"/>
        <v>176.56437860756125</v>
      </c>
      <c r="AR286" s="43">
        <f t="shared" si="128"/>
        <v>143.36709559456182</v>
      </c>
      <c r="AS286" s="121"/>
      <c r="AT286" s="121"/>
      <c r="AU286" s="121"/>
      <c r="AV286" s="121"/>
      <c r="AW286" s="121"/>
      <c r="AX286" s="121"/>
    </row>
    <row r="287" spans="1:50" s="89" customFormat="1">
      <c r="A287" s="226"/>
      <c r="B287" s="37">
        <f>'13. Desinvesteringen'!B570</f>
        <v>551</v>
      </c>
      <c r="C287" s="331"/>
      <c r="D287" s="331"/>
      <c r="E287" s="331"/>
      <c r="F287" s="354">
        <f>'5. Input GAW-waarde desinv.'!D246</f>
        <v>10852.493952417557</v>
      </c>
      <c r="G287" s="175">
        <f>'13. Desinvesteringen'!D570</f>
        <v>1988</v>
      </c>
      <c r="H287" s="175">
        <f>'13. Desinvesteringen'!G570</f>
        <v>2024</v>
      </c>
      <c r="I287" s="37" t="str">
        <f>'13. Desinvesteringen'!C570</f>
        <v>01 Regionale leidingen</v>
      </c>
      <c r="J287" s="165">
        <f>'13. Desinvesteringen'!F570</f>
        <v>0</v>
      </c>
      <c r="K287" s="38">
        <f>_xlfn.XLOOKUP(I287,'3. Input (des)investeringen '!$B$11:$B$89,'3. Input (des)investeringen '!$E$11:$E$89)</f>
        <v>1</v>
      </c>
      <c r="L287" s="331"/>
      <c r="M287" s="38">
        <f>_xlfn.XLOOKUP(I287,'3. Input (des)investeringen '!$B$11:$B$89,'3. Input (des)investeringen '!$D$11:$D$89,0)</f>
        <v>55</v>
      </c>
      <c r="N287" s="38">
        <f t="shared" si="113"/>
        <v>21.5</v>
      </c>
      <c r="P287" s="43">
        <f t="shared" si="130"/>
        <v>590.57757787574621</v>
      </c>
      <c r="Q287" s="43">
        <f t="shared" si="130"/>
        <v>554.86823595767783</v>
      </c>
      <c r="R287" s="43">
        <f t="shared" si="130"/>
        <v>521.31806355093443</v>
      </c>
      <c r="S287" s="43">
        <f t="shared" si="130"/>
        <v>489.79650621994773</v>
      </c>
      <c r="T287" s="43">
        <f t="shared" si="130"/>
        <v>460.18090351827647</v>
      </c>
      <c r="V287" s="43">
        <f t="shared" si="106"/>
        <v>50.476716057756079</v>
      </c>
      <c r="W287" s="43">
        <f t="shared" si="107"/>
        <v>50.476716057756079</v>
      </c>
      <c r="X287" s="43">
        <f t="shared" si="108"/>
        <v>50.476716057756079</v>
      </c>
      <c r="Y287" s="43">
        <f t="shared" si="109"/>
        <v>50.476716057756079</v>
      </c>
      <c r="Z287" s="43">
        <f t="shared" si="110"/>
        <v>50.476716057756079</v>
      </c>
      <c r="AB287" s="43">
        <f t="shared" si="114"/>
        <v>641.05429393350232</v>
      </c>
      <c r="AC287" s="43">
        <f t="shared" si="115"/>
        <v>605.34495201543393</v>
      </c>
      <c r="AD287" s="43">
        <f t="shared" si="116"/>
        <v>571.79477960869053</v>
      </c>
      <c r="AE287" s="43">
        <f t="shared" si="117"/>
        <v>540.27322227770378</v>
      </c>
      <c r="AF287" s="43">
        <f t="shared" si="118"/>
        <v>510.65761957603252</v>
      </c>
      <c r="AH287" s="43">
        <f t="shared" si="119"/>
        <v>10211.439658484054</v>
      </c>
      <c r="AI287" s="43">
        <f t="shared" si="120"/>
        <v>9606.0947064686206</v>
      </c>
      <c r="AJ287" s="43">
        <f t="shared" si="121"/>
        <v>9034.2999268599306</v>
      </c>
      <c r="AK287" s="43">
        <f t="shared" si="122"/>
        <v>8494.0267045822275</v>
      </c>
      <c r="AL287" s="43">
        <f t="shared" si="123"/>
        <v>7983.3690850061948</v>
      </c>
      <c r="AN287" s="47">
        <f t="shared" si="124"/>
        <v>1059.7233199313487</v>
      </c>
      <c r="AO287" s="47">
        <f t="shared" si="125"/>
        <v>1095.2557820453335</v>
      </c>
      <c r="AP287" s="47">
        <f t="shared" si="126"/>
        <v>1032.5440758785469</v>
      </c>
      <c r="AQ287" s="47">
        <f t="shared" si="127"/>
        <v>1007.4446910297263</v>
      </c>
      <c r="AR287" s="43">
        <f t="shared" si="128"/>
        <v>814.02564480626791</v>
      </c>
      <c r="AS287" s="121"/>
      <c r="AT287" s="121"/>
      <c r="AU287" s="121"/>
      <c r="AV287" s="121"/>
      <c r="AW287" s="121"/>
      <c r="AX287" s="121"/>
    </row>
    <row r="288" spans="1:50" s="89" customFormat="1">
      <c r="A288" s="226"/>
      <c r="B288" s="37">
        <f>'13. Desinvesteringen'!B571</f>
        <v>552</v>
      </c>
      <c r="C288" s="331"/>
      <c r="D288" s="331"/>
      <c r="E288" s="331"/>
      <c r="F288" s="354">
        <f>'5. Input GAW-waarde desinv.'!D247</f>
        <v>8422.2344911531891</v>
      </c>
      <c r="G288" s="175">
        <f>'13. Desinvesteringen'!D571</f>
        <v>1990</v>
      </c>
      <c r="H288" s="175">
        <f>'13. Desinvesteringen'!G571</f>
        <v>2024</v>
      </c>
      <c r="I288" s="37" t="str">
        <f>'13. Desinvesteringen'!C571</f>
        <v>01 Regionale leidingen</v>
      </c>
      <c r="J288" s="165">
        <f>'13. Desinvesteringen'!F571</f>
        <v>0</v>
      </c>
      <c r="K288" s="38">
        <f>_xlfn.XLOOKUP(I288,'3. Input (des)investeringen '!$B$11:$B$89,'3. Input (des)investeringen '!$E$11:$E$89)</f>
        <v>1</v>
      </c>
      <c r="L288" s="331"/>
      <c r="M288" s="38">
        <f>_xlfn.XLOOKUP(I288,'3. Input (des)investeringen '!$B$11:$B$89,'3. Input (des)investeringen '!$D$11:$D$89,0)</f>
        <v>55</v>
      </c>
      <c r="N288" s="38">
        <f t="shared" si="113"/>
        <v>23.5</v>
      </c>
      <c r="P288" s="43">
        <f t="shared" si="130"/>
        <v>419.31975977230775</v>
      </c>
      <c r="Q288" s="43">
        <f t="shared" si="130"/>
        <v>396.12334752958435</v>
      </c>
      <c r="R288" s="43">
        <f t="shared" si="130"/>
        <v>374.21014107050098</v>
      </c>
      <c r="S288" s="43">
        <f t="shared" si="130"/>
        <v>353.50915454319664</v>
      </c>
      <c r="T288" s="43">
        <f t="shared" si="130"/>
        <v>333.95332897272192</v>
      </c>
      <c r="V288" s="43">
        <f t="shared" si="106"/>
        <v>35.83929570703485</v>
      </c>
      <c r="W288" s="43">
        <f t="shared" si="107"/>
        <v>35.83929570703485</v>
      </c>
      <c r="X288" s="43">
        <f t="shared" si="108"/>
        <v>35.83929570703485</v>
      </c>
      <c r="Y288" s="43">
        <f t="shared" si="109"/>
        <v>35.83929570703485</v>
      </c>
      <c r="Z288" s="43">
        <f t="shared" si="110"/>
        <v>35.83929570703485</v>
      </c>
      <c r="AB288" s="43">
        <f t="shared" si="114"/>
        <v>455.15905547934261</v>
      </c>
      <c r="AC288" s="43">
        <f t="shared" si="115"/>
        <v>431.96264323661921</v>
      </c>
      <c r="AD288" s="43">
        <f t="shared" si="116"/>
        <v>410.04943677753585</v>
      </c>
      <c r="AE288" s="43">
        <f t="shared" si="117"/>
        <v>389.34845025023151</v>
      </c>
      <c r="AF288" s="43">
        <f t="shared" si="118"/>
        <v>369.79262467975678</v>
      </c>
      <c r="AH288" s="43">
        <f t="shared" si="119"/>
        <v>7967.0754356738462</v>
      </c>
      <c r="AI288" s="43">
        <f t="shared" si="120"/>
        <v>7535.1127924372267</v>
      </c>
      <c r="AJ288" s="43">
        <f t="shared" si="121"/>
        <v>7125.0633556596913</v>
      </c>
      <c r="AK288" s="43">
        <f t="shared" si="122"/>
        <v>6735.7149054094598</v>
      </c>
      <c r="AL288" s="43">
        <f t="shared" si="123"/>
        <v>6365.9222807297028</v>
      </c>
      <c r="AN288" s="47">
        <f t="shared" si="124"/>
        <v>781.80914834197029</v>
      </c>
      <c r="AO288" s="47">
        <f t="shared" si="125"/>
        <v>816.25339565091781</v>
      </c>
      <c r="AP288" s="47">
        <f t="shared" si="126"/>
        <v>773.4276679161801</v>
      </c>
      <c r="AQ288" s="47">
        <f t="shared" si="127"/>
        <v>759.81277004775188</v>
      </c>
      <c r="AR288" s="43">
        <f t="shared" si="128"/>
        <v>611.69767134748554</v>
      </c>
      <c r="AS288" s="121"/>
      <c r="AT288" s="121"/>
      <c r="AU288" s="121"/>
      <c r="AV288" s="121"/>
      <c r="AW288" s="121"/>
      <c r="AX288" s="121"/>
    </row>
    <row r="289" spans="1:50" s="89" customFormat="1">
      <c r="A289" s="226"/>
      <c r="B289" s="37">
        <f>'13. Desinvesteringen'!B572</f>
        <v>553</v>
      </c>
      <c r="C289" s="331"/>
      <c r="D289" s="331"/>
      <c r="E289" s="331"/>
      <c r="F289" s="354">
        <f>'5. Input GAW-waarde desinv.'!D248</f>
        <v>104614.15808228625</v>
      </c>
      <c r="G289" s="175">
        <f>'13. Desinvesteringen'!D572</f>
        <v>1992</v>
      </c>
      <c r="H289" s="175">
        <f>'13. Desinvesteringen'!G572</f>
        <v>2024</v>
      </c>
      <c r="I289" s="37" t="str">
        <f>'13. Desinvesteringen'!C572</f>
        <v>01 Regionale leidingen</v>
      </c>
      <c r="J289" s="165">
        <f>'13. Desinvesteringen'!F572</f>
        <v>0</v>
      </c>
      <c r="K289" s="38">
        <f>_xlfn.XLOOKUP(I289,'3. Input (des)investeringen '!$B$11:$B$89,'3. Input (des)investeringen '!$E$11:$E$89)</f>
        <v>1</v>
      </c>
      <c r="L289" s="331"/>
      <c r="M289" s="38">
        <f>_xlfn.XLOOKUP(I289,'3. Input (des)investeringen '!$B$11:$B$89,'3. Input (des)investeringen '!$D$11:$D$89,0)</f>
        <v>55</v>
      </c>
      <c r="N289" s="38">
        <f t="shared" si="113"/>
        <v>25.5</v>
      </c>
      <c r="P289" s="43">
        <f t="shared" si="130"/>
        <v>4799.9437237754864</v>
      </c>
      <c r="Q289" s="43">
        <f t="shared" si="130"/>
        <v>4555.2407104065405</v>
      </c>
      <c r="R289" s="43">
        <f t="shared" si="130"/>
        <v>4323.0127526211099</v>
      </c>
      <c r="S289" s="43">
        <f t="shared" si="130"/>
        <v>4102.6238671933661</v>
      </c>
      <c r="T289" s="43">
        <f t="shared" si="130"/>
        <v>3893.4704935717436</v>
      </c>
      <c r="V289" s="43">
        <f t="shared" si="106"/>
        <v>410.25160032269116</v>
      </c>
      <c r="W289" s="43">
        <f t="shared" si="107"/>
        <v>410.25160032269127</v>
      </c>
      <c r="X289" s="43">
        <f t="shared" si="108"/>
        <v>410.25160032269127</v>
      </c>
      <c r="Y289" s="43">
        <f t="shared" si="109"/>
        <v>410.25160032269127</v>
      </c>
      <c r="Z289" s="43">
        <f t="shared" si="110"/>
        <v>410.25160032269127</v>
      </c>
      <c r="AB289" s="43">
        <f t="shared" si="114"/>
        <v>5210.1953240981775</v>
      </c>
      <c r="AC289" s="43">
        <f t="shared" si="115"/>
        <v>4965.4923107292316</v>
      </c>
      <c r="AD289" s="43">
        <f t="shared" si="116"/>
        <v>4733.264352943801</v>
      </c>
      <c r="AE289" s="43">
        <f t="shared" si="117"/>
        <v>4512.8754675160571</v>
      </c>
      <c r="AF289" s="43">
        <f t="shared" si="118"/>
        <v>4303.7220938944347</v>
      </c>
      <c r="AH289" s="43">
        <f t="shared" si="119"/>
        <v>99403.962758188063</v>
      </c>
      <c r="AI289" s="43">
        <f t="shared" si="120"/>
        <v>94438.470447458836</v>
      </c>
      <c r="AJ289" s="43">
        <f t="shared" si="121"/>
        <v>89705.20609451503</v>
      </c>
      <c r="AK289" s="43">
        <f t="shared" si="122"/>
        <v>85192.33062699897</v>
      </c>
      <c r="AL289" s="43">
        <f t="shared" si="123"/>
        <v>80888.608533104532</v>
      </c>
      <c r="AN289" s="47">
        <f t="shared" si="124"/>
        <v>9285.7577971838873</v>
      </c>
      <c r="AO289" s="47">
        <f t="shared" si="125"/>
        <v>9781.8543035496332</v>
      </c>
      <c r="AP289" s="47">
        <f t="shared" si="126"/>
        <v>9308.229863764067</v>
      </c>
      <c r="AQ289" s="47">
        <f t="shared" si="127"/>
        <v>9198.4536520010006</v>
      </c>
      <c r="AR289" s="43">
        <f t="shared" si="128"/>
        <v>7377.4892181524065</v>
      </c>
      <c r="AS289" s="121"/>
      <c r="AT289" s="121"/>
      <c r="AU289" s="121"/>
      <c r="AV289" s="121"/>
      <c r="AW289" s="121"/>
      <c r="AX289" s="121"/>
    </row>
    <row r="290" spans="1:50" s="89" customFormat="1">
      <c r="A290" s="226"/>
      <c r="B290" s="37">
        <f>'13. Desinvesteringen'!B573</f>
        <v>554</v>
      </c>
      <c r="C290" s="331"/>
      <c r="D290" s="331"/>
      <c r="E290" s="331"/>
      <c r="F290" s="354">
        <f>'5. Input GAW-waarde desinv.'!D249</f>
        <v>49487.380757693187</v>
      </c>
      <c r="G290" s="175">
        <f>'13. Desinvesteringen'!D573</f>
        <v>1993</v>
      </c>
      <c r="H290" s="175">
        <f>'13. Desinvesteringen'!G573</f>
        <v>2024</v>
      </c>
      <c r="I290" s="37" t="str">
        <f>'13. Desinvesteringen'!C573</f>
        <v>01 Regionale leidingen</v>
      </c>
      <c r="J290" s="165">
        <f>'13. Desinvesteringen'!F573</f>
        <v>0</v>
      </c>
      <c r="K290" s="38">
        <f>_xlfn.XLOOKUP(I290,'3. Input (des)investeringen '!$B$11:$B$89,'3. Input (des)investeringen '!$E$11:$E$89)</f>
        <v>1</v>
      </c>
      <c r="L290" s="331"/>
      <c r="M290" s="38">
        <f>_xlfn.XLOOKUP(I290,'3. Input (des)investeringen '!$B$11:$B$89,'3. Input (des)investeringen '!$D$11:$D$89,0)</f>
        <v>55</v>
      </c>
      <c r="N290" s="38">
        <f t="shared" si="113"/>
        <v>26.5</v>
      </c>
      <c r="P290" s="43">
        <f t="shared" si="130"/>
        <v>2184.9145466604164</v>
      </c>
      <c r="Q290" s="43">
        <f t="shared" si="130"/>
        <v>2077.7300594657545</v>
      </c>
      <c r="R290" s="43">
        <f t="shared" si="130"/>
        <v>1975.8036791900759</v>
      </c>
      <c r="S290" s="43">
        <f t="shared" si="130"/>
        <v>1878.8774609656568</v>
      </c>
      <c r="T290" s="43">
        <f t="shared" si="130"/>
        <v>1786.7061138239455</v>
      </c>
      <c r="V290" s="43">
        <f t="shared" si="106"/>
        <v>186.74483304789885</v>
      </c>
      <c r="W290" s="43">
        <f t="shared" si="107"/>
        <v>186.74483304789885</v>
      </c>
      <c r="X290" s="43">
        <f t="shared" si="108"/>
        <v>186.74483304789885</v>
      </c>
      <c r="Y290" s="43">
        <f t="shared" si="109"/>
        <v>186.74483304789885</v>
      </c>
      <c r="Z290" s="43">
        <f t="shared" si="110"/>
        <v>186.74483304789885</v>
      </c>
      <c r="AB290" s="43">
        <f t="shared" si="114"/>
        <v>2371.6593797083151</v>
      </c>
      <c r="AC290" s="43">
        <f t="shared" si="115"/>
        <v>2264.4748925136532</v>
      </c>
      <c r="AD290" s="43">
        <f t="shared" si="116"/>
        <v>2162.5485122379746</v>
      </c>
      <c r="AE290" s="43">
        <f t="shared" si="117"/>
        <v>2065.6222940135558</v>
      </c>
      <c r="AF290" s="43">
        <f t="shared" si="118"/>
        <v>1973.4509468718443</v>
      </c>
      <c r="AH290" s="43">
        <f t="shared" si="119"/>
        <v>47115.721377984868</v>
      </c>
      <c r="AI290" s="43">
        <f t="shared" si="120"/>
        <v>44851.246485471216</v>
      </c>
      <c r="AJ290" s="43">
        <f t="shared" si="121"/>
        <v>42688.69797323324</v>
      </c>
      <c r="AK290" s="43">
        <f t="shared" si="122"/>
        <v>40623.075679219684</v>
      </c>
      <c r="AL290" s="43">
        <f t="shared" si="123"/>
        <v>38649.624732347838</v>
      </c>
      <c r="AN290" s="47">
        <f t="shared" si="124"/>
        <v>4303.4039562056951</v>
      </c>
      <c r="AO290" s="47">
        <f t="shared" si="125"/>
        <v>4551.8884632726849</v>
      </c>
      <c r="AP290" s="47">
        <f t="shared" si="126"/>
        <v>4339.67210887287</v>
      </c>
      <c r="AQ290" s="47">
        <f t="shared" si="127"/>
        <v>4299.8914563706385</v>
      </c>
      <c r="AR290" s="43">
        <f t="shared" si="128"/>
        <v>3442.136686701062</v>
      </c>
      <c r="AS290" s="121"/>
      <c r="AT290" s="121"/>
      <c r="AU290" s="121"/>
      <c r="AV290" s="121"/>
      <c r="AW290" s="121"/>
      <c r="AX290" s="121"/>
    </row>
    <row r="291" spans="1:50" s="89" customFormat="1">
      <c r="A291" s="226"/>
      <c r="B291" s="37">
        <f>'13. Desinvesteringen'!B574</f>
        <v>555</v>
      </c>
      <c r="C291" s="331"/>
      <c r="D291" s="331"/>
      <c r="E291" s="331"/>
      <c r="F291" s="354">
        <f>'5. Input GAW-waarde desinv.'!D250</f>
        <v>6751.8169181566982</v>
      </c>
      <c r="G291" s="175">
        <f>'13. Desinvesteringen'!D574</f>
        <v>1998</v>
      </c>
      <c r="H291" s="175">
        <f>'13. Desinvesteringen'!G574</f>
        <v>2024</v>
      </c>
      <c r="I291" s="37" t="str">
        <f>'13. Desinvesteringen'!C574</f>
        <v>01 Regionale leidingen</v>
      </c>
      <c r="J291" s="165">
        <f>'13. Desinvesteringen'!F574</f>
        <v>0</v>
      </c>
      <c r="K291" s="38">
        <f>_xlfn.XLOOKUP(I291,'3. Input (des)investeringen '!$B$11:$B$89,'3. Input (des)investeringen '!$E$11:$E$89)</f>
        <v>1</v>
      </c>
      <c r="L291" s="331"/>
      <c r="M291" s="38">
        <f>_xlfn.XLOOKUP(I291,'3. Input (des)investeringen '!$B$11:$B$89,'3. Input (des)investeringen '!$D$11:$D$89,0)</f>
        <v>55</v>
      </c>
      <c r="N291" s="38">
        <f t="shared" si="113"/>
        <v>31.5</v>
      </c>
      <c r="P291" s="43">
        <f t="shared" si="130"/>
        <v>250.78177124582021</v>
      </c>
      <c r="Q291" s="43">
        <f t="shared" si="130"/>
        <v>240.4320473531356</v>
      </c>
      <c r="R291" s="43">
        <f t="shared" si="130"/>
        <v>230.50945492268872</v>
      </c>
      <c r="S291" s="43">
        <f t="shared" si="130"/>
        <v>220.99636630683173</v>
      </c>
      <c r="T291" s="43">
        <f t="shared" si="130"/>
        <v>211.87588134813709</v>
      </c>
      <c r="V291" s="43">
        <f t="shared" si="106"/>
        <v>21.434339422719678</v>
      </c>
      <c r="W291" s="43">
        <f t="shared" si="107"/>
        <v>21.434339422719678</v>
      </c>
      <c r="X291" s="43">
        <f t="shared" si="108"/>
        <v>21.434339422719678</v>
      </c>
      <c r="Y291" s="43">
        <f t="shared" si="109"/>
        <v>21.434339422719678</v>
      </c>
      <c r="Z291" s="43">
        <f t="shared" si="110"/>
        <v>21.434339422719678</v>
      </c>
      <c r="AB291" s="43">
        <f t="shared" si="114"/>
        <v>272.2161106685399</v>
      </c>
      <c r="AC291" s="43">
        <f t="shared" si="115"/>
        <v>261.86638677585529</v>
      </c>
      <c r="AD291" s="43">
        <f t="shared" si="116"/>
        <v>251.94379434540841</v>
      </c>
      <c r="AE291" s="43">
        <f t="shared" si="117"/>
        <v>242.43070572955142</v>
      </c>
      <c r="AF291" s="43">
        <f t="shared" si="118"/>
        <v>233.31022077085677</v>
      </c>
      <c r="AH291" s="43">
        <f t="shared" si="119"/>
        <v>6479.6008074881584</v>
      </c>
      <c r="AI291" s="43">
        <f t="shared" si="120"/>
        <v>6217.7344207123033</v>
      </c>
      <c r="AJ291" s="43">
        <f t="shared" si="121"/>
        <v>5965.7906263668947</v>
      </c>
      <c r="AK291" s="43">
        <f t="shared" si="122"/>
        <v>5723.3599206373428</v>
      </c>
      <c r="AL291" s="43">
        <f t="shared" si="123"/>
        <v>5490.0496998664858</v>
      </c>
      <c r="AN291" s="47">
        <f t="shared" si="124"/>
        <v>537.8797437755544</v>
      </c>
      <c r="AO291" s="47">
        <f t="shared" si="125"/>
        <v>578.9708422321828</v>
      </c>
      <c r="AP291" s="47">
        <f t="shared" si="126"/>
        <v>556.19911629012006</v>
      </c>
      <c r="AQ291" s="47">
        <f t="shared" si="127"/>
        <v>557.2155013646053</v>
      </c>
      <c r="AR291" s="43">
        <f t="shared" si="128"/>
        <v>441.93210936578322</v>
      </c>
      <c r="AS291" s="121"/>
      <c r="AT291" s="121"/>
      <c r="AU291" s="121"/>
      <c r="AV291" s="121"/>
      <c r="AW291" s="121"/>
      <c r="AX291" s="121"/>
    </row>
    <row r="292" spans="1:50" s="89" customFormat="1">
      <c r="A292" s="226"/>
      <c r="B292" s="37">
        <f>'13. Desinvesteringen'!B575</f>
        <v>556</v>
      </c>
      <c r="C292" s="331"/>
      <c r="D292" s="331"/>
      <c r="E292" s="331"/>
      <c r="F292" s="354">
        <f>'5. Input GAW-waarde desinv.'!D251</f>
        <v>69100.503781985579</v>
      </c>
      <c r="G292" s="175">
        <f>'13. Desinvesteringen'!D575</f>
        <v>2004</v>
      </c>
      <c r="H292" s="175">
        <f>'13. Desinvesteringen'!G575</f>
        <v>2024</v>
      </c>
      <c r="I292" s="37" t="str">
        <f>'13. Desinvesteringen'!C575</f>
        <v>01 Regionale leidingen</v>
      </c>
      <c r="J292" s="165">
        <f>'13. Desinvesteringen'!F575</f>
        <v>0</v>
      </c>
      <c r="K292" s="38">
        <f>_xlfn.XLOOKUP(I292,'3. Input (des)investeringen '!$B$11:$B$89,'3. Input (des)investeringen '!$E$11:$E$89)</f>
        <v>1</v>
      </c>
      <c r="L292" s="331"/>
      <c r="M292" s="38">
        <f>_xlfn.XLOOKUP(I292,'3. Input (des)investeringen '!$B$11:$B$89,'3. Input (des)investeringen '!$D$11:$D$89,0)</f>
        <v>55</v>
      </c>
      <c r="N292" s="38">
        <f t="shared" si="113"/>
        <v>37.5</v>
      </c>
      <c r="P292" s="43">
        <f t="shared" ref="P292:T301" si="131">IF($M292&gt;0, IF(OR($G292&gt;P$50,$G292+$M292&lt;P$50),0,
VDB($F292,0,$N292,MAX(0,P$50-2022),MIN($N292,P$50-2021),$F$23,FALSE))*(1-$F$26), 0)</f>
        <v>2155.9357179979502</v>
      </c>
      <c r="Q292" s="43">
        <f t="shared" si="131"/>
        <v>2081.1966131073546</v>
      </c>
      <c r="R292" s="43">
        <f t="shared" si="131"/>
        <v>2009.0484638529658</v>
      </c>
      <c r="S292" s="43">
        <f t="shared" si="131"/>
        <v>1939.4014504393967</v>
      </c>
      <c r="T292" s="43">
        <f t="shared" si="131"/>
        <v>1872.1688668241641</v>
      </c>
      <c r="V292" s="43">
        <f t="shared" si="106"/>
        <v>184.26801008529492</v>
      </c>
      <c r="W292" s="43">
        <f t="shared" si="107"/>
        <v>184.26801008529492</v>
      </c>
      <c r="X292" s="43">
        <f t="shared" si="108"/>
        <v>184.26801008529492</v>
      </c>
      <c r="Y292" s="43">
        <f t="shared" si="109"/>
        <v>184.26801008529492</v>
      </c>
      <c r="Z292" s="43">
        <f t="shared" si="110"/>
        <v>184.26801008529492</v>
      </c>
      <c r="AB292" s="43">
        <f t="shared" si="114"/>
        <v>2340.2037280832451</v>
      </c>
      <c r="AC292" s="43">
        <f t="shared" si="115"/>
        <v>2265.4646231926495</v>
      </c>
      <c r="AD292" s="43">
        <f t="shared" si="116"/>
        <v>2193.316473938261</v>
      </c>
      <c r="AE292" s="43">
        <f t="shared" si="117"/>
        <v>2123.6694605246917</v>
      </c>
      <c r="AF292" s="43">
        <f t="shared" si="118"/>
        <v>2056.436876909459</v>
      </c>
      <c r="AH292" s="43">
        <f t="shared" si="119"/>
        <v>66760.300053902334</v>
      </c>
      <c r="AI292" s="43">
        <f t="shared" si="120"/>
        <v>64494.835430709682</v>
      </c>
      <c r="AJ292" s="43">
        <f t="shared" si="121"/>
        <v>62301.518956771419</v>
      </c>
      <c r="AK292" s="43">
        <f t="shared" si="122"/>
        <v>60177.84949624673</v>
      </c>
      <c r="AL292" s="43">
        <f t="shared" si="123"/>
        <v>58121.412619337272</v>
      </c>
      <c r="AN292" s="47">
        <f t="shared" si="124"/>
        <v>5077.3760302932405</v>
      </c>
      <c r="AO292" s="47">
        <f t="shared" si="125"/>
        <v>5554.7012301588429</v>
      </c>
      <c r="AP292" s="47">
        <f t="shared" si="126"/>
        <v>5370.6939407336031</v>
      </c>
      <c r="AQ292" s="47">
        <f t="shared" si="127"/>
        <v>5433.4511828182622</v>
      </c>
      <c r="AR292" s="43">
        <f t="shared" si="128"/>
        <v>4265.0505564442756</v>
      </c>
      <c r="AS292" s="121"/>
      <c r="AT292" s="121"/>
      <c r="AU292" s="121"/>
      <c r="AV292" s="121"/>
      <c r="AW292" s="121"/>
      <c r="AX292" s="121"/>
    </row>
    <row r="293" spans="1:50" s="89" customFormat="1">
      <c r="A293" s="226"/>
      <c r="B293" s="37">
        <f>'13. Desinvesteringen'!B576</f>
        <v>557</v>
      </c>
      <c r="C293" s="331"/>
      <c r="D293" s="331"/>
      <c r="E293" s="331"/>
      <c r="F293" s="354">
        <f>'5. Input GAW-waarde desinv.'!D252</f>
        <v>5340.5922809351332</v>
      </c>
      <c r="G293" s="175">
        <f>'13. Desinvesteringen'!D576</f>
        <v>2006</v>
      </c>
      <c r="H293" s="175">
        <f>'13. Desinvesteringen'!G576</f>
        <v>2024</v>
      </c>
      <c r="I293" s="37" t="str">
        <f>'13. Desinvesteringen'!C576</f>
        <v>01 Regionale leidingen</v>
      </c>
      <c r="J293" s="165">
        <f>'13. Desinvesteringen'!F576</f>
        <v>0</v>
      </c>
      <c r="K293" s="38">
        <f>_xlfn.XLOOKUP(I293,'3. Input (des)investeringen '!$B$11:$B$89,'3. Input (des)investeringen '!$E$11:$E$89)</f>
        <v>1</v>
      </c>
      <c r="L293" s="331"/>
      <c r="M293" s="38">
        <f>_xlfn.XLOOKUP(I293,'3. Input (des)investeringen '!$B$11:$B$89,'3. Input (des)investeringen '!$D$11:$D$89,0)</f>
        <v>55</v>
      </c>
      <c r="N293" s="38">
        <f t="shared" si="113"/>
        <v>39.5</v>
      </c>
      <c r="P293" s="43">
        <f t="shared" si="131"/>
        <v>158.18969540997739</v>
      </c>
      <c r="Q293" s="43">
        <f t="shared" si="131"/>
        <v>152.98345226990219</v>
      </c>
      <c r="R293" s="43">
        <f t="shared" si="131"/>
        <v>147.94855384076615</v>
      </c>
      <c r="S293" s="43">
        <f t="shared" si="131"/>
        <v>143.07936092955106</v>
      </c>
      <c r="T293" s="43">
        <f t="shared" si="131"/>
        <v>138.37041993693293</v>
      </c>
      <c r="V293" s="43">
        <f t="shared" si="106"/>
        <v>13.520486787177553</v>
      </c>
      <c r="W293" s="43">
        <f t="shared" si="107"/>
        <v>13.520486787177553</v>
      </c>
      <c r="X293" s="43">
        <f t="shared" si="108"/>
        <v>13.520486787177553</v>
      </c>
      <c r="Y293" s="43">
        <f t="shared" si="109"/>
        <v>13.520486787177553</v>
      </c>
      <c r="Z293" s="43">
        <f t="shared" si="110"/>
        <v>13.520486787177553</v>
      </c>
      <c r="AB293" s="43">
        <f t="shared" si="114"/>
        <v>171.71018219715495</v>
      </c>
      <c r="AC293" s="43">
        <f t="shared" si="115"/>
        <v>166.50393905707975</v>
      </c>
      <c r="AD293" s="43">
        <f t="shared" si="116"/>
        <v>161.46904062794371</v>
      </c>
      <c r="AE293" s="43">
        <f t="shared" si="117"/>
        <v>156.59984771672862</v>
      </c>
      <c r="AF293" s="43">
        <f t="shared" si="118"/>
        <v>151.89090672411049</v>
      </c>
      <c r="AH293" s="43">
        <f t="shared" si="119"/>
        <v>5168.8820987379786</v>
      </c>
      <c r="AI293" s="43">
        <f t="shared" si="120"/>
        <v>5002.3781596808985</v>
      </c>
      <c r="AJ293" s="43">
        <f t="shared" si="121"/>
        <v>4840.9091190529552</v>
      </c>
      <c r="AK293" s="43">
        <f t="shared" si="122"/>
        <v>4684.3092713362266</v>
      </c>
      <c r="AL293" s="43">
        <f t="shared" si="123"/>
        <v>4532.4183646121164</v>
      </c>
      <c r="AN293" s="47">
        <f t="shared" si="124"/>
        <v>383.63434824541207</v>
      </c>
      <c r="AO293" s="47">
        <f t="shared" si="125"/>
        <v>421.62522520080552</v>
      </c>
      <c r="AP293" s="47">
        <f t="shared" si="126"/>
        <v>408.35540569964439</v>
      </c>
      <c r="AQ293" s="47">
        <f t="shared" si="127"/>
        <v>414.2368576402211</v>
      </c>
      <c r="AR293" s="43">
        <f t="shared" si="128"/>
        <v>324.12280457937095</v>
      </c>
      <c r="AS293" s="121"/>
      <c r="AT293" s="121"/>
      <c r="AU293" s="121"/>
      <c r="AV293" s="121"/>
      <c r="AW293" s="121"/>
      <c r="AX293" s="121"/>
    </row>
    <row r="294" spans="1:50" s="89" customFormat="1">
      <c r="A294" s="226"/>
      <c r="B294" s="37">
        <f>'13. Desinvesteringen'!B577</f>
        <v>558</v>
      </c>
      <c r="C294" s="331"/>
      <c r="D294" s="331"/>
      <c r="E294" s="331"/>
      <c r="F294" s="354">
        <f>'5. Input GAW-waarde desinv.'!D253</f>
        <v>6203.2247031267789</v>
      </c>
      <c r="G294" s="175">
        <f>'13. Desinvesteringen'!D577</f>
        <v>2007</v>
      </c>
      <c r="H294" s="175">
        <f>'13. Desinvesteringen'!G577</f>
        <v>2024</v>
      </c>
      <c r="I294" s="37" t="str">
        <f>'13. Desinvesteringen'!C577</f>
        <v>01 Regionale leidingen</v>
      </c>
      <c r="J294" s="165">
        <f>'13. Desinvesteringen'!F577</f>
        <v>0</v>
      </c>
      <c r="K294" s="38">
        <f>_xlfn.XLOOKUP(I294,'3. Input (des)investeringen '!$B$11:$B$89,'3. Input (des)investeringen '!$E$11:$E$89)</f>
        <v>1</v>
      </c>
      <c r="L294" s="331"/>
      <c r="M294" s="38">
        <f>_xlfn.XLOOKUP(I294,'3. Input (des)investeringen '!$B$11:$B$89,'3. Input (des)investeringen '!$D$11:$D$89,0)</f>
        <v>55</v>
      </c>
      <c r="N294" s="38">
        <f t="shared" si="113"/>
        <v>40.5</v>
      </c>
      <c r="P294" s="43">
        <f t="shared" si="131"/>
        <v>179.2042692014403</v>
      </c>
      <c r="Q294" s="43">
        <f t="shared" si="131"/>
        <v>173.45203339991258</v>
      </c>
      <c r="R294" s="43">
        <f t="shared" si="131"/>
        <v>167.88443726608821</v>
      </c>
      <c r="S294" s="43">
        <f t="shared" si="131"/>
        <v>162.49555409458415</v>
      </c>
      <c r="T294" s="43">
        <f t="shared" si="131"/>
        <v>157.27964741994319</v>
      </c>
      <c r="V294" s="43">
        <f t="shared" si="106"/>
        <v>15.316604205251307</v>
      </c>
      <c r="W294" s="43">
        <f t="shared" si="107"/>
        <v>15.316604205251307</v>
      </c>
      <c r="X294" s="43">
        <f t="shared" si="108"/>
        <v>15.316604205251307</v>
      </c>
      <c r="Y294" s="43">
        <f t="shared" si="109"/>
        <v>15.316604205251307</v>
      </c>
      <c r="Z294" s="43">
        <f t="shared" si="110"/>
        <v>15.316604205251307</v>
      </c>
      <c r="AB294" s="43">
        <f t="shared" si="114"/>
        <v>194.52087340669161</v>
      </c>
      <c r="AC294" s="43">
        <f t="shared" si="115"/>
        <v>188.76863760516389</v>
      </c>
      <c r="AD294" s="43">
        <f t="shared" si="116"/>
        <v>183.20104147133952</v>
      </c>
      <c r="AE294" s="43">
        <f t="shared" si="117"/>
        <v>177.81215829983546</v>
      </c>
      <c r="AF294" s="43">
        <f t="shared" si="118"/>
        <v>172.5962516251945</v>
      </c>
      <c r="AH294" s="43">
        <f t="shared" si="119"/>
        <v>6008.703829720087</v>
      </c>
      <c r="AI294" s="43">
        <f t="shared" si="120"/>
        <v>5819.9351921149228</v>
      </c>
      <c r="AJ294" s="43">
        <f t="shared" si="121"/>
        <v>5636.7341506435832</v>
      </c>
      <c r="AK294" s="43">
        <f t="shared" si="122"/>
        <v>5458.9219923437477</v>
      </c>
      <c r="AL294" s="43">
        <f t="shared" si="123"/>
        <v>5286.3257407185529</v>
      </c>
      <c r="AN294" s="47">
        <f t="shared" si="124"/>
        <v>440.87773042521519</v>
      </c>
      <c r="AO294" s="47">
        <f t="shared" si="125"/>
        <v>485.58533240302495</v>
      </c>
      <c r="AP294" s="47">
        <f t="shared" si="126"/>
        <v>470.67448315416226</v>
      </c>
      <c r="AQ294" s="47">
        <f t="shared" si="127"/>
        <v>478.05286787874161</v>
      </c>
      <c r="AR294" s="43">
        <f t="shared" si="128"/>
        <v>373.47662977249951</v>
      </c>
      <c r="AS294" s="121"/>
      <c r="AT294" s="121"/>
      <c r="AU294" s="121"/>
      <c r="AV294" s="121"/>
      <c r="AW294" s="121"/>
      <c r="AX294" s="121"/>
    </row>
    <row r="295" spans="1:50" s="89" customFormat="1">
      <c r="A295" s="226"/>
      <c r="B295" s="37">
        <f>'13. Desinvesteringen'!B578</f>
        <v>559</v>
      </c>
      <c r="C295" s="331"/>
      <c r="D295" s="331"/>
      <c r="E295" s="331"/>
      <c r="F295" s="354">
        <f>'5. Input GAW-waarde desinv.'!D254</f>
        <v>367448.10804205487</v>
      </c>
      <c r="G295" s="175">
        <f>'13. Desinvesteringen'!D578</f>
        <v>2009</v>
      </c>
      <c r="H295" s="175">
        <f>'13. Desinvesteringen'!G578</f>
        <v>2024</v>
      </c>
      <c r="I295" s="37" t="str">
        <f>'13. Desinvesteringen'!C578</f>
        <v>01 Regionale leidingen</v>
      </c>
      <c r="J295" s="165">
        <f>'13. Desinvesteringen'!F578</f>
        <v>0</v>
      </c>
      <c r="K295" s="38">
        <f>_xlfn.XLOOKUP(I295,'3. Input (des)investeringen '!$B$11:$B$89,'3. Input (des)investeringen '!$E$11:$E$89)</f>
        <v>1</v>
      </c>
      <c r="L295" s="331"/>
      <c r="M295" s="38">
        <f>_xlfn.XLOOKUP(I295,'3. Input (des)investeringen '!$B$11:$B$89,'3. Input (des)investeringen '!$D$11:$D$89,0)</f>
        <v>55</v>
      </c>
      <c r="N295" s="38">
        <f t="shared" si="113"/>
        <v>42.5</v>
      </c>
      <c r="P295" s="43">
        <f t="shared" si="131"/>
        <v>10115.630268451865</v>
      </c>
      <c r="Q295" s="43">
        <f t="shared" si="131"/>
        <v>9806.2109896521597</v>
      </c>
      <c r="R295" s="43">
        <f t="shared" si="131"/>
        <v>9506.2563005569173</v>
      </c>
      <c r="S295" s="43">
        <f t="shared" si="131"/>
        <v>9215.4766960692941</v>
      </c>
      <c r="T295" s="43">
        <f t="shared" si="131"/>
        <v>8933.5915265424701</v>
      </c>
      <c r="V295" s="43">
        <f t="shared" si="106"/>
        <v>864.58378362836447</v>
      </c>
      <c r="W295" s="43">
        <f t="shared" si="107"/>
        <v>864.58378362836436</v>
      </c>
      <c r="X295" s="43">
        <f t="shared" si="108"/>
        <v>864.58378362836436</v>
      </c>
      <c r="Y295" s="43">
        <f t="shared" si="109"/>
        <v>864.58378362836436</v>
      </c>
      <c r="Z295" s="43">
        <f t="shared" si="110"/>
        <v>864.58378362836436</v>
      </c>
      <c r="AB295" s="43">
        <f t="shared" si="114"/>
        <v>10980.21405208023</v>
      </c>
      <c r="AC295" s="43">
        <f t="shared" si="115"/>
        <v>10670.794773280524</v>
      </c>
      <c r="AD295" s="43">
        <f t="shared" si="116"/>
        <v>10370.840084185282</v>
      </c>
      <c r="AE295" s="43">
        <f t="shared" si="117"/>
        <v>10080.060479697659</v>
      </c>
      <c r="AF295" s="43">
        <f t="shared" si="118"/>
        <v>9798.1753101708346</v>
      </c>
      <c r="AH295" s="43">
        <f t="shared" si="119"/>
        <v>356467.89398997463</v>
      </c>
      <c r="AI295" s="43">
        <f t="shared" si="120"/>
        <v>345797.09921669413</v>
      </c>
      <c r="AJ295" s="43">
        <f t="shared" si="121"/>
        <v>335426.25913250883</v>
      </c>
      <c r="AK295" s="43">
        <f t="shared" si="122"/>
        <v>325346.19865281117</v>
      </c>
      <c r="AL295" s="43">
        <f t="shared" si="123"/>
        <v>315548.02334264031</v>
      </c>
      <c r="AN295" s="47">
        <f t="shared" si="124"/>
        <v>25595.397705669187</v>
      </c>
      <c r="AO295" s="47">
        <f t="shared" si="125"/>
        <v>28306.446833331924</v>
      </c>
      <c r="AP295" s="47">
        <f t="shared" si="126"/>
        <v>27477.579299943231</v>
      </c>
      <c r="AQ295" s="47">
        <f t="shared" si="127"/>
        <v>27974.101405602272</v>
      </c>
      <c r="AR295" s="43">
        <f t="shared" si="128"/>
        <v>21789.000197191166</v>
      </c>
      <c r="AS295" s="121"/>
      <c r="AT295" s="121"/>
      <c r="AU295" s="121"/>
      <c r="AV295" s="121"/>
      <c r="AW295" s="121"/>
      <c r="AX295" s="121"/>
    </row>
    <row r="296" spans="1:50" s="89" customFormat="1">
      <c r="A296" s="226"/>
      <c r="B296" s="37">
        <f>'13. Desinvesteringen'!B579</f>
        <v>560</v>
      </c>
      <c r="C296" s="331"/>
      <c r="D296" s="331"/>
      <c r="E296" s="331"/>
      <c r="F296" s="354">
        <f>'5. Input GAW-waarde desinv.'!D255</f>
        <v>493283.8055615066</v>
      </c>
      <c r="G296" s="175">
        <f>'13. Desinvesteringen'!D579</f>
        <v>2010</v>
      </c>
      <c r="H296" s="175">
        <f>'13. Desinvesteringen'!G579</f>
        <v>2024</v>
      </c>
      <c r="I296" s="37" t="str">
        <f>'13. Desinvesteringen'!C579</f>
        <v>01 Regionale leidingen</v>
      </c>
      <c r="J296" s="165">
        <f>'13. Desinvesteringen'!F579</f>
        <v>0</v>
      </c>
      <c r="K296" s="38">
        <f>_xlfn.XLOOKUP(I296,'3. Input (des)investeringen '!$B$11:$B$89,'3. Input (des)investeringen '!$E$11:$E$89)</f>
        <v>1</v>
      </c>
      <c r="L296" s="331"/>
      <c r="M296" s="38">
        <f>_xlfn.XLOOKUP(I296,'3. Input (des)investeringen '!$B$11:$B$89,'3. Input (des)investeringen '!$D$11:$D$89,0)</f>
        <v>55</v>
      </c>
      <c r="N296" s="38">
        <f t="shared" si="113"/>
        <v>43.5</v>
      </c>
      <c r="P296" s="43">
        <f t="shared" si="131"/>
        <v>13267.63339096466</v>
      </c>
      <c r="Q296" s="43">
        <f t="shared" si="131"/>
        <v>12871.129404568017</v>
      </c>
      <c r="R296" s="43">
        <f t="shared" si="131"/>
        <v>12486.47496259242</v>
      </c>
      <c r="S296" s="43">
        <f t="shared" si="131"/>
        <v>12113.315940721841</v>
      </c>
      <c r="T296" s="43">
        <f t="shared" si="131"/>
        <v>11751.308797665788</v>
      </c>
      <c r="V296" s="43">
        <f t="shared" si="106"/>
        <v>1133.9857599115094</v>
      </c>
      <c r="W296" s="43">
        <f t="shared" si="107"/>
        <v>1133.9857599115094</v>
      </c>
      <c r="X296" s="43">
        <f t="shared" si="108"/>
        <v>1133.9857599115094</v>
      </c>
      <c r="Y296" s="43">
        <f t="shared" si="109"/>
        <v>1133.9857599115094</v>
      </c>
      <c r="Z296" s="43">
        <f t="shared" si="110"/>
        <v>1133.9857599115094</v>
      </c>
      <c r="AB296" s="43">
        <f t="shared" si="114"/>
        <v>14401.619150876169</v>
      </c>
      <c r="AC296" s="43">
        <f t="shared" si="115"/>
        <v>14005.115164479526</v>
      </c>
      <c r="AD296" s="43">
        <f t="shared" si="116"/>
        <v>13620.460722503929</v>
      </c>
      <c r="AE296" s="43">
        <f t="shared" si="117"/>
        <v>13247.30170063335</v>
      </c>
      <c r="AF296" s="43">
        <f t="shared" si="118"/>
        <v>12885.294557577297</v>
      </c>
      <c r="AH296" s="43">
        <f t="shared" si="119"/>
        <v>478882.18641063041</v>
      </c>
      <c r="AI296" s="43">
        <f t="shared" si="120"/>
        <v>464877.07124615088</v>
      </c>
      <c r="AJ296" s="43">
        <f t="shared" si="121"/>
        <v>451256.61052364693</v>
      </c>
      <c r="AK296" s="43">
        <f t="shared" si="122"/>
        <v>438009.30882301356</v>
      </c>
      <c r="AL296" s="43">
        <f t="shared" si="123"/>
        <v>425124.01426543627</v>
      </c>
      <c r="AN296" s="47">
        <f t="shared" si="124"/>
        <v>34035.788793712018</v>
      </c>
      <c r="AO296" s="47">
        <f t="shared" si="125"/>
        <v>37713.845798033217</v>
      </c>
      <c r="AP296" s="47">
        <f t="shared" si="126"/>
        <v>36634.547859209924</v>
      </c>
      <c r="AQ296" s="47">
        <f t="shared" si="127"/>
        <v>37337.813685899091</v>
      </c>
      <c r="AR296" s="43">
        <f t="shared" si="128"/>
        <v>29040.007099663875</v>
      </c>
      <c r="AS296" s="121"/>
      <c r="AT296" s="121"/>
      <c r="AU296" s="121"/>
      <c r="AV296" s="121"/>
      <c r="AW296" s="121"/>
      <c r="AX296" s="121"/>
    </row>
    <row r="297" spans="1:50" s="89" customFormat="1">
      <c r="A297" s="226"/>
      <c r="B297" s="37">
        <f>'13. Desinvesteringen'!B580</f>
        <v>561</v>
      </c>
      <c r="C297" s="331"/>
      <c r="D297" s="331"/>
      <c r="E297" s="331"/>
      <c r="F297" s="354">
        <f>'5. Input GAW-waarde desinv.'!D256</f>
        <v>3398.0182232575817</v>
      </c>
      <c r="G297" s="175">
        <f>'13. Desinvesteringen'!D580</f>
        <v>2011</v>
      </c>
      <c r="H297" s="175">
        <f>'13. Desinvesteringen'!G580</f>
        <v>2024</v>
      </c>
      <c r="I297" s="37" t="str">
        <f>'13. Desinvesteringen'!C580</f>
        <v>01 Regionale leidingen</v>
      </c>
      <c r="J297" s="165">
        <f>'13. Desinvesteringen'!F580</f>
        <v>0</v>
      </c>
      <c r="K297" s="38">
        <f>_xlfn.XLOOKUP(I297,'3. Input (des)investeringen '!$B$11:$B$89,'3. Input (des)investeringen '!$E$11:$E$89)</f>
        <v>1</v>
      </c>
      <c r="L297" s="331"/>
      <c r="M297" s="38">
        <f>_xlfn.XLOOKUP(I297,'3. Input (des)investeringen '!$B$11:$B$89,'3. Input (des)investeringen '!$D$11:$D$89,0)</f>
        <v>55</v>
      </c>
      <c r="N297" s="38">
        <f t="shared" si="113"/>
        <v>44.5</v>
      </c>
      <c r="P297" s="43">
        <f t="shared" si="131"/>
        <v>89.341153285648787</v>
      </c>
      <c r="Q297" s="43">
        <f t="shared" si="131"/>
        <v>86.731187009888259</v>
      </c>
      <c r="R297" s="43">
        <f t="shared" si="131"/>
        <v>84.197466939936476</v>
      </c>
      <c r="S297" s="43">
        <f t="shared" si="131"/>
        <v>81.737765658545072</v>
      </c>
      <c r="T297" s="43">
        <f t="shared" si="131"/>
        <v>79.349920819081973</v>
      </c>
      <c r="V297" s="43">
        <f t="shared" si="106"/>
        <v>7.6359960073204078</v>
      </c>
      <c r="W297" s="43">
        <f t="shared" si="107"/>
        <v>7.6359960073204078</v>
      </c>
      <c r="X297" s="43">
        <f t="shared" si="108"/>
        <v>7.6359960073204078</v>
      </c>
      <c r="Y297" s="43">
        <f t="shared" si="109"/>
        <v>7.6359960073204078</v>
      </c>
      <c r="Z297" s="43">
        <f t="shared" si="110"/>
        <v>7.6359960073204078</v>
      </c>
      <c r="AB297" s="43">
        <f t="shared" si="114"/>
        <v>96.977149292969187</v>
      </c>
      <c r="AC297" s="43">
        <f t="shared" si="115"/>
        <v>94.367183017208674</v>
      </c>
      <c r="AD297" s="43">
        <f t="shared" si="116"/>
        <v>91.833462947256891</v>
      </c>
      <c r="AE297" s="43">
        <f t="shared" si="117"/>
        <v>89.373761665865487</v>
      </c>
      <c r="AF297" s="43">
        <f t="shared" si="118"/>
        <v>86.985916826402388</v>
      </c>
      <c r="AH297" s="43">
        <f t="shared" si="119"/>
        <v>3301.0410739646127</v>
      </c>
      <c r="AI297" s="43">
        <f t="shared" si="120"/>
        <v>3206.6738909474038</v>
      </c>
      <c r="AJ297" s="43">
        <f t="shared" si="121"/>
        <v>3114.8404280001469</v>
      </c>
      <c r="AK297" s="43">
        <f t="shared" si="122"/>
        <v>3025.4666663342814</v>
      </c>
      <c r="AL297" s="43">
        <f t="shared" si="123"/>
        <v>2938.480749507879</v>
      </c>
      <c r="AN297" s="47">
        <f t="shared" si="124"/>
        <v>232.31983332551832</v>
      </c>
      <c r="AO297" s="47">
        <f t="shared" si="125"/>
        <v>257.90755145552623</v>
      </c>
      <c r="AP297" s="47">
        <f t="shared" si="126"/>
        <v>250.69032477526437</v>
      </c>
      <c r="AQ297" s="47">
        <f t="shared" si="127"/>
        <v>255.77442831425097</v>
      </c>
      <c r="AR297" s="43">
        <f t="shared" si="128"/>
        <v>198.64818530770179</v>
      </c>
      <c r="AS297" s="121"/>
      <c r="AT297" s="121"/>
      <c r="AU297" s="121"/>
      <c r="AV297" s="121"/>
      <c r="AW297" s="121"/>
      <c r="AX297" s="121"/>
    </row>
    <row r="298" spans="1:50" s="89" customFormat="1">
      <c r="A298" s="226"/>
      <c r="B298" s="37">
        <f>'13. Desinvesteringen'!B581</f>
        <v>562</v>
      </c>
      <c r="C298" s="331"/>
      <c r="D298" s="331"/>
      <c r="E298" s="331"/>
      <c r="F298" s="354">
        <f>'5. Input GAW-waarde desinv.'!D257</f>
        <v>415690.8352187156</v>
      </c>
      <c r="G298" s="175">
        <f>'13. Desinvesteringen'!D581</f>
        <v>2016</v>
      </c>
      <c r="H298" s="175">
        <f>'13. Desinvesteringen'!G581</f>
        <v>2024</v>
      </c>
      <c r="I298" s="37" t="str">
        <f>'13. Desinvesteringen'!C581</f>
        <v>01 Regionale leidingen</v>
      </c>
      <c r="J298" s="165">
        <f>'13. Desinvesteringen'!F581</f>
        <v>0</v>
      </c>
      <c r="K298" s="38">
        <f>_xlfn.XLOOKUP(I298,'3. Input (des)investeringen '!$B$11:$B$89,'3. Input (des)investeringen '!$E$11:$E$89)</f>
        <v>1</v>
      </c>
      <c r="L298" s="331"/>
      <c r="M298" s="38">
        <f>_xlfn.XLOOKUP(I298,'3. Input (des)investeringen '!$B$11:$B$89,'3. Input (des)investeringen '!$D$11:$D$89,0)</f>
        <v>55</v>
      </c>
      <c r="N298" s="38">
        <f t="shared" si="113"/>
        <v>49.5</v>
      </c>
      <c r="P298" s="43">
        <f t="shared" si="131"/>
        <v>9825.4197415332783</v>
      </c>
      <c r="Q298" s="43">
        <f t="shared" si="131"/>
        <v>9567.3784149879593</v>
      </c>
      <c r="R298" s="43">
        <f t="shared" si="131"/>
        <v>9316.1139313620133</v>
      </c>
      <c r="S298" s="43">
        <f t="shared" si="131"/>
        <v>9071.4483129626078</v>
      </c>
      <c r="T298" s="43">
        <f t="shared" si="131"/>
        <v>8833.2082562585401</v>
      </c>
      <c r="V298" s="43">
        <f t="shared" si="106"/>
        <v>839.77946508831451</v>
      </c>
      <c r="W298" s="43">
        <f t="shared" si="107"/>
        <v>839.77946508831451</v>
      </c>
      <c r="X298" s="43">
        <f t="shared" si="108"/>
        <v>839.77946508831451</v>
      </c>
      <c r="Y298" s="43">
        <f t="shared" si="109"/>
        <v>839.77946508831451</v>
      </c>
      <c r="Z298" s="43">
        <f t="shared" si="110"/>
        <v>839.77946508831451</v>
      </c>
      <c r="AB298" s="43">
        <f t="shared" si="114"/>
        <v>10665.199206621593</v>
      </c>
      <c r="AC298" s="43">
        <f t="shared" si="115"/>
        <v>10407.157880076275</v>
      </c>
      <c r="AD298" s="43">
        <f t="shared" si="116"/>
        <v>10155.893396450329</v>
      </c>
      <c r="AE298" s="43">
        <f t="shared" si="117"/>
        <v>9911.227778050923</v>
      </c>
      <c r="AF298" s="43">
        <f t="shared" si="118"/>
        <v>9672.9877213468553</v>
      </c>
      <c r="AH298" s="43">
        <f t="shared" si="119"/>
        <v>405025.63601209398</v>
      </c>
      <c r="AI298" s="43">
        <f t="shared" si="120"/>
        <v>394618.47813201771</v>
      </c>
      <c r="AJ298" s="43">
        <f t="shared" si="121"/>
        <v>384462.58473556739</v>
      </c>
      <c r="AK298" s="43">
        <f t="shared" si="122"/>
        <v>374551.35695751646</v>
      </c>
      <c r="AL298" s="43">
        <f t="shared" si="123"/>
        <v>364878.36923616962</v>
      </c>
      <c r="AN298" s="47">
        <f t="shared" si="124"/>
        <v>27271.250283117446</v>
      </c>
      <c r="AO298" s="47">
        <f t="shared" si="125"/>
        <v>30532.70026480918</v>
      </c>
      <c r="AP298" s="47">
        <f t="shared" si="126"/>
        <v>29763.485217964262</v>
      </c>
      <c r="AQ298" s="47">
        <f t="shared" si="127"/>
        <v>30511.552410714328</v>
      </c>
      <c r="AR298" s="43">
        <f t="shared" si="128"/>
        <v>23538.365752321301</v>
      </c>
      <c r="AS298" s="121"/>
      <c r="AT298" s="121"/>
      <c r="AU298" s="121"/>
      <c r="AV298" s="121"/>
      <c r="AW298" s="121"/>
      <c r="AX298" s="121"/>
    </row>
    <row r="299" spans="1:50" s="89" customFormat="1">
      <c r="A299" s="226"/>
      <c r="B299" s="37">
        <f>'13. Desinvesteringen'!B582</f>
        <v>563</v>
      </c>
      <c r="C299" s="331"/>
      <c r="D299" s="331"/>
      <c r="E299" s="331"/>
      <c r="F299" s="354">
        <f>'5. Input GAW-waarde desinv.'!D258</f>
        <v>0</v>
      </c>
      <c r="G299" s="175">
        <f>'13. Desinvesteringen'!D582</f>
        <v>1967</v>
      </c>
      <c r="H299" s="175">
        <f>'13. Desinvesteringen'!G582</f>
        <v>2024</v>
      </c>
      <c r="I299" s="37" t="str">
        <f>'13. Desinvesteringen'!C582</f>
        <v>02 Gasontvangststations</v>
      </c>
      <c r="J299" s="165">
        <f>'13. Desinvesteringen'!F582</f>
        <v>0</v>
      </c>
      <c r="K299" s="38">
        <f>_xlfn.XLOOKUP(I299,'3. Input (des)investeringen '!$B$11:$B$89,'3. Input (des)investeringen '!$E$11:$E$89)</f>
        <v>0</v>
      </c>
      <c r="L299" s="331"/>
      <c r="M299" s="38">
        <f>_xlfn.XLOOKUP(I299,'3. Input (des)investeringen '!$B$11:$B$89,'3. Input (des)investeringen '!$D$11:$D$89,0)</f>
        <v>30</v>
      </c>
      <c r="N299" s="38">
        <f t="shared" si="113"/>
        <v>0</v>
      </c>
      <c r="P299" s="43">
        <f t="shared" si="131"/>
        <v>0</v>
      </c>
      <c r="Q299" s="43">
        <f t="shared" si="131"/>
        <v>0</v>
      </c>
      <c r="R299" s="43">
        <f t="shared" si="131"/>
        <v>0</v>
      </c>
      <c r="S299" s="43">
        <f t="shared" si="131"/>
        <v>0</v>
      </c>
      <c r="T299" s="43">
        <f t="shared" si="131"/>
        <v>0</v>
      </c>
      <c r="V299" s="43">
        <f t="shared" si="106"/>
        <v>0</v>
      </c>
      <c r="W299" s="43">
        <f t="shared" si="107"/>
        <v>0</v>
      </c>
      <c r="X299" s="43">
        <f t="shared" si="108"/>
        <v>0</v>
      </c>
      <c r="Y299" s="43">
        <f t="shared" si="109"/>
        <v>0</v>
      </c>
      <c r="Z299" s="43">
        <f t="shared" si="110"/>
        <v>0</v>
      </c>
      <c r="AB299" s="43">
        <f t="shared" si="114"/>
        <v>0</v>
      </c>
      <c r="AC299" s="43">
        <f t="shared" si="115"/>
        <v>0</v>
      </c>
      <c r="AD299" s="43">
        <f t="shared" si="116"/>
        <v>0</v>
      </c>
      <c r="AE299" s="43">
        <f t="shared" si="117"/>
        <v>0</v>
      </c>
      <c r="AF299" s="43">
        <f t="shared" si="118"/>
        <v>0</v>
      </c>
      <c r="AH299" s="43">
        <f t="shared" si="119"/>
        <v>0</v>
      </c>
      <c r="AI299" s="43">
        <f t="shared" si="120"/>
        <v>0</v>
      </c>
      <c r="AJ299" s="43">
        <f t="shared" si="121"/>
        <v>0</v>
      </c>
      <c r="AK299" s="43">
        <f t="shared" si="122"/>
        <v>0</v>
      </c>
      <c r="AL299" s="43">
        <f t="shared" si="123"/>
        <v>0</v>
      </c>
      <c r="AN299" s="47">
        <f t="shared" si="124"/>
        <v>0</v>
      </c>
      <c r="AO299" s="47">
        <f t="shared" si="125"/>
        <v>0</v>
      </c>
      <c r="AP299" s="47">
        <f t="shared" si="126"/>
        <v>0</v>
      </c>
      <c r="AQ299" s="47">
        <f t="shared" si="127"/>
        <v>0</v>
      </c>
      <c r="AR299" s="43">
        <f t="shared" si="128"/>
        <v>0</v>
      </c>
      <c r="AS299" s="121"/>
      <c r="AT299" s="121"/>
      <c r="AU299" s="121"/>
      <c r="AV299" s="121"/>
      <c r="AW299" s="121"/>
      <c r="AX299" s="121"/>
    </row>
    <row r="300" spans="1:50" s="89" customFormat="1">
      <c r="A300" s="226"/>
      <c r="B300" s="37">
        <f>'13. Desinvesteringen'!B583</f>
        <v>564</v>
      </c>
      <c r="C300" s="331"/>
      <c r="D300" s="331"/>
      <c r="E300" s="331"/>
      <c r="F300" s="354">
        <f>'5. Input GAW-waarde desinv.'!D259</f>
        <v>0</v>
      </c>
      <c r="G300" s="175">
        <f>'13. Desinvesteringen'!D583</f>
        <v>1968</v>
      </c>
      <c r="H300" s="175">
        <f>'13. Desinvesteringen'!G583</f>
        <v>2024</v>
      </c>
      <c r="I300" s="37" t="str">
        <f>'13. Desinvesteringen'!C583</f>
        <v>02 Gasontvangststations</v>
      </c>
      <c r="J300" s="165">
        <f>'13. Desinvesteringen'!F583</f>
        <v>0</v>
      </c>
      <c r="K300" s="38">
        <f>_xlfn.XLOOKUP(I300,'3. Input (des)investeringen '!$B$11:$B$89,'3. Input (des)investeringen '!$E$11:$E$89)</f>
        <v>0</v>
      </c>
      <c r="L300" s="331"/>
      <c r="M300" s="38">
        <f>_xlfn.XLOOKUP(I300,'3. Input (des)investeringen '!$B$11:$B$89,'3. Input (des)investeringen '!$D$11:$D$89,0)</f>
        <v>30</v>
      </c>
      <c r="N300" s="38">
        <f t="shared" si="113"/>
        <v>0</v>
      </c>
      <c r="P300" s="43">
        <f t="shared" si="131"/>
        <v>0</v>
      </c>
      <c r="Q300" s="43">
        <f t="shared" si="131"/>
        <v>0</v>
      </c>
      <c r="R300" s="43">
        <f t="shared" si="131"/>
        <v>0</v>
      </c>
      <c r="S300" s="43">
        <f t="shared" si="131"/>
        <v>0</v>
      </c>
      <c r="T300" s="43">
        <f t="shared" si="131"/>
        <v>0</v>
      </c>
      <c r="V300" s="43">
        <f t="shared" si="106"/>
        <v>0</v>
      </c>
      <c r="W300" s="43">
        <f t="shared" si="107"/>
        <v>0</v>
      </c>
      <c r="X300" s="43">
        <f t="shared" si="108"/>
        <v>0</v>
      </c>
      <c r="Y300" s="43">
        <f t="shared" si="109"/>
        <v>0</v>
      </c>
      <c r="Z300" s="43">
        <f t="shared" si="110"/>
        <v>0</v>
      </c>
      <c r="AB300" s="43">
        <f t="shared" si="114"/>
        <v>0</v>
      </c>
      <c r="AC300" s="43">
        <f t="shared" si="115"/>
        <v>0</v>
      </c>
      <c r="AD300" s="43">
        <f t="shared" si="116"/>
        <v>0</v>
      </c>
      <c r="AE300" s="43">
        <f t="shared" si="117"/>
        <v>0</v>
      </c>
      <c r="AF300" s="43">
        <f t="shared" si="118"/>
        <v>0</v>
      </c>
      <c r="AH300" s="43">
        <f t="shared" si="119"/>
        <v>0</v>
      </c>
      <c r="AI300" s="43">
        <f t="shared" si="120"/>
        <v>0</v>
      </c>
      <c r="AJ300" s="43">
        <f t="shared" si="121"/>
        <v>0</v>
      </c>
      <c r="AK300" s="43">
        <f t="shared" si="122"/>
        <v>0</v>
      </c>
      <c r="AL300" s="43">
        <f t="shared" si="123"/>
        <v>0</v>
      </c>
      <c r="AN300" s="47">
        <f t="shared" si="124"/>
        <v>0</v>
      </c>
      <c r="AO300" s="47">
        <f t="shared" si="125"/>
        <v>0</v>
      </c>
      <c r="AP300" s="47">
        <f t="shared" si="126"/>
        <v>0</v>
      </c>
      <c r="AQ300" s="47">
        <f t="shared" si="127"/>
        <v>0</v>
      </c>
      <c r="AR300" s="43">
        <f t="shared" si="128"/>
        <v>0</v>
      </c>
      <c r="AS300" s="121"/>
      <c r="AT300" s="121"/>
      <c r="AU300" s="121"/>
      <c r="AV300" s="121"/>
      <c r="AW300" s="121"/>
      <c r="AX300" s="121"/>
    </row>
    <row r="301" spans="1:50" s="89" customFormat="1">
      <c r="A301" s="226"/>
      <c r="B301" s="37">
        <f>'13. Desinvesteringen'!B584</f>
        <v>565</v>
      </c>
      <c r="C301" s="331"/>
      <c r="D301" s="331"/>
      <c r="E301" s="331"/>
      <c r="F301" s="354">
        <f>'5. Input GAW-waarde desinv.'!D260</f>
        <v>0</v>
      </c>
      <c r="G301" s="175">
        <f>'13. Desinvesteringen'!D584</f>
        <v>1969</v>
      </c>
      <c r="H301" s="175">
        <f>'13. Desinvesteringen'!G584</f>
        <v>2024</v>
      </c>
      <c r="I301" s="37" t="str">
        <f>'13. Desinvesteringen'!C584</f>
        <v>02 Gasontvangststations</v>
      </c>
      <c r="J301" s="165">
        <f>'13. Desinvesteringen'!F584</f>
        <v>0</v>
      </c>
      <c r="K301" s="38">
        <f>_xlfn.XLOOKUP(I301,'3. Input (des)investeringen '!$B$11:$B$89,'3. Input (des)investeringen '!$E$11:$E$89)</f>
        <v>0</v>
      </c>
      <c r="L301" s="331"/>
      <c r="M301" s="38">
        <f>_xlfn.XLOOKUP(I301,'3. Input (des)investeringen '!$B$11:$B$89,'3. Input (des)investeringen '!$D$11:$D$89,0)</f>
        <v>30</v>
      </c>
      <c r="N301" s="38">
        <f t="shared" si="113"/>
        <v>0</v>
      </c>
      <c r="P301" s="43">
        <f t="shared" si="131"/>
        <v>0</v>
      </c>
      <c r="Q301" s="43">
        <f t="shared" si="131"/>
        <v>0</v>
      </c>
      <c r="R301" s="43">
        <f t="shared" si="131"/>
        <v>0</v>
      </c>
      <c r="S301" s="43">
        <f t="shared" si="131"/>
        <v>0</v>
      </c>
      <c r="T301" s="43">
        <f t="shared" si="131"/>
        <v>0</v>
      </c>
      <c r="V301" s="43">
        <f t="shared" si="106"/>
        <v>0</v>
      </c>
      <c r="W301" s="43">
        <f t="shared" si="107"/>
        <v>0</v>
      </c>
      <c r="X301" s="43">
        <f t="shared" si="108"/>
        <v>0</v>
      </c>
      <c r="Y301" s="43">
        <f t="shared" si="109"/>
        <v>0</v>
      </c>
      <c r="Z301" s="43">
        <f t="shared" si="110"/>
        <v>0</v>
      </c>
      <c r="AB301" s="43">
        <f t="shared" si="114"/>
        <v>0</v>
      </c>
      <c r="AC301" s="43">
        <f t="shared" si="115"/>
        <v>0</v>
      </c>
      <c r="AD301" s="43">
        <f t="shared" si="116"/>
        <v>0</v>
      </c>
      <c r="AE301" s="43">
        <f t="shared" si="117"/>
        <v>0</v>
      </c>
      <c r="AF301" s="43">
        <f t="shared" si="118"/>
        <v>0</v>
      </c>
      <c r="AH301" s="43">
        <f t="shared" si="119"/>
        <v>0</v>
      </c>
      <c r="AI301" s="43">
        <f t="shared" si="120"/>
        <v>0</v>
      </c>
      <c r="AJ301" s="43">
        <f t="shared" si="121"/>
        <v>0</v>
      </c>
      <c r="AK301" s="43">
        <f t="shared" si="122"/>
        <v>0</v>
      </c>
      <c r="AL301" s="43">
        <f t="shared" si="123"/>
        <v>0</v>
      </c>
      <c r="AN301" s="47">
        <f t="shared" si="124"/>
        <v>0</v>
      </c>
      <c r="AO301" s="47">
        <f t="shared" si="125"/>
        <v>0</v>
      </c>
      <c r="AP301" s="47">
        <f t="shared" si="126"/>
        <v>0</v>
      </c>
      <c r="AQ301" s="47">
        <f t="shared" si="127"/>
        <v>0</v>
      </c>
      <c r="AR301" s="43">
        <f t="shared" si="128"/>
        <v>0</v>
      </c>
      <c r="AS301" s="121"/>
      <c r="AT301" s="121"/>
      <c r="AU301" s="121"/>
      <c r="AV301" s="121"/>
      <c r="AW301" s="121"/>
      <c r="AX301" s="121"/>
    </row>
    <row r="302" spans="1:50" s="89" customFormat="1">
      <c r="A302" s="226"/>
      <c r="B302" s="37">
        <f>'13. Desinvesteringen'!B585</f>
        <v>566</v>
      </c>
      <c r="C302" s="331"/>
      <c r="D302" s="331"/>
      <c r="E302" s="331"/>
      <c r="F302" s="354">
        <f>'5. Input GAW-waarde desinv.'!D261</f>
        <v>0</v>
      </c>
      <c r="G302" s="175">
        <f>'13. Desinvesteringen'!D585</f>
        <v>1970</v>
      </c>
      <c r="H302" s="175">
        <f>'13. Desinvesteringen'!G585</f>
        <v>2024</v>
      </c>
      <c r="I302" s="37" t="str">
        <f>'13. Desinvesteringen'!C585</f>
        <v>02 Gasontvangststations</v>
      </c>
      <c r="J302" s="165">
        <f>'13. Desinvesteringen'!F585</f>
        <v>0</v>
      </c>
      <c r="K302" s="38">
        <f>_xlfn.XLOOKUP(I302,'3. Input (des)investeringen '!$B$11:$B$89,'3. Input (des)investeringen '!$E$11:$E$89)</f>
        <v>0</v>
      </c>
      <c r="L302" s="331"/>
      <c r="M302" s="38">
        <f>_xlfn.XLOOKUP(I302,'3. Input (des)investeringen '!$B$11:$B$89,'3. Input (des)investeringen '!$D$11:$D$89,0)</f>
        <v>30</v>
      </c>
      <c r="N302" s="38">
        <f t="shared" si="113"/>
        <v>0</v>
      </c>
      <c r="P302" s="43">
        <f t="shared" ref="P302:T311" si="132">IF($M302&gt;0, IF(OR($G302&gt;P$50,$G302+$M302&lt;P$50),0,
VDB($F302,0,$N302,MAX(0,P$50-2022),MIN($N302,P$50-2021),$F$23,FALSE))*(1-$F$26), 0)</f>
        <v>0</v>
      </c>
      <c r="Q302" s="43">
        <f t="shared" si="132"/>
        <v>0</v>
      </c>
      <c r="R302" s="43">
        <f t="shared" si="132"/>
        <v>0</v>
      </c>
      <c r="S302" s="43">
        <f t="shared" si="132"/>
        <v>0</v>
      </c>
      <c r="T302" s="43">
        <f t="shared" si="132"/>
        <v>0</v>
      </c>
      <c r="V302" s="43">
        <f t="shared" si="106"/>
        <v>0</v>
      </c>
      <c r="W302" s="43">
        <f t="shared" si="107"/>
        <v>0</v>
      </c>
      <c r="X302" s="43">
        <f t="shared" si="108"/>
        <v>0</v>
      </c>
      <c r="Y302" s="43">
        <f t="shared" si="109"/>
        <v>0</v>
      </c>
      <c r="Z302" s="43">
        <f t="shared" si="110"/>
        <v>0</v>
      </c>
      <c r="AB302" s="43">
        <f t="shared" si="114"/>
        <v>0</v>
      </c>
      <c r="AC302" s="43">
        <f t="shared" si="115"/>
        <v>0</v>
      </c>
      <c r="AD302" s="43">
        <f t="shared" si="116"/>
        <v>0</v>
      </c>
      <c r="AE302" s="43">
        <f t="shared" si="117"/>
        <v>0</v>
      </c>
      <c r="AF302" s="43">
        <f t="shared" si="118"/>
        <v>0</v>
      </c>
      <c r="AH302" s="43">
        <f t="shared" si="119"/>
        <v>0</v>
      </c>
      <c r="AI302" s="43">
        <f t="shared" si="120"/>
        <v>0</v>
      </c>
      <c r="AJ302" s="43">
        <f t="shared" si="121"/>
        <v>0</v>
      </c>
      <c r="AK302" s="43">
        <f t="shared" si="122"/>
        <v>0</v>
      </c>
      <c r="AL302" s="43">
        <f t="shared" si="123"/>
        <v>0</v>
      </c>
      <c r="AN302" s="47">
        <f t="shared" si="124"/>
        <v>0</v>
      </c>
      <c r="AO302" s="47">
        <f t="shared" si="125"/>
        <v>0</v>
      </c>
      <c r="AP302" s="47">
        <f t="shared" si="126"/>
        <v>0</v>
      </c>
      <c r="AQ302" s="47">
        <f t="shared" si="127"/>
        <v>0</v>
      </c>
      <c r="AR302" s="43">
        <f t="shared" si="128"/>
        <v>0</v>
      </c>
      <c r="AS302" s="121"/>
      <c r="AT302" s="121"/>
      <c r="AU302" s="121"/>
      <c r="AV302" s="121"/>
      <c r="AW302" s="121"/>
      <c r="AX302" s="121"/>
    </row>
    <row r="303" spans="1:50" s="89" customFormat="1">
      <c r="A303" s="226"/>
      <c r="B303" s="37">
        <f>'13. Desinvesteringen'!B586</f>
        <v>567</v>
      </c>
      <c r="C303" s="331"/>
      <c r="D303" s="331"/>
      <c r="E303" s="331"/>
      <c r="F303" s="354">
        <f>'5. Input GAW-waarde desinv.'!D262</f>
        <v>0</v>
      </c>
      <c r="G303" s="175">
        <f>'13. Desinvesteringen'!D586</f>
        <v>1971</v>
      </c>
      <c r="H303" s="175">
        <f>'13. Desinvesteringen'!G586</f>
        <v>2024</v>
      </c>
      <c r="I303" s="37" t="str">
        <f>'13. Desinvesteringen'!C586</f>
        <v>02 Gasontvangststations</v>
      </c>
      <c r="J303" s="165">
        <f>'13. Desinvesteringen'!F586</f>
        <v>0</v>
      </c>
      <c r="K303" s="38">
        <f>_xlfn.XLOOKUP(I303,'3. Input (des)investeringen '!$B$11:$B$89,'3. Input (des)investeringen '!$E$11:$E$89)</f>
        <v>0</v>
      </c>
      <c r="L303" s="331"/>
      <c r="M303" s="38">
        <f>_xlfn.XLOOKUP(I303,'3. Input (des)investeringen '!$B$11:$B$89,'3. Input (des)investeringen '!$D$11:$D$89,0)</f>
        <v>30</v>
      </c>
      <c r="N303" s="38">
        <f t="shared" si="113"/>
        <v>0</v>
      </c>
      <c r="P303" s="43">
        <f t="shared" si="132"/>
        <v>0</v>
      </c>
      <c r="Q303" s="43">
        <f t="shared" si="132"/>
        <v>0</v>
      </c>
      <c r="R303" s="43">
        <f t="shared" si="132"/>
        <v>0</v>
      </c>
      <c r="S303" s="43">
        <f t="shared" si="132"/>
        <v>0</v>
      </c>
      <c r="T303" s="43">
        <f t="shared" si="132"/>
        <v>0</v>
      </c>
      <c r="V303" s="43">
        <f t="shared" si="106"/>
        <v>0</v>
      </c>
      <c r="W303" s="43">
        <f t="shared" si="107"/>
        <v>0</v>
      </c>
      <c r="X303" s="43">
        <f t="shared" si="108"/>
        <v>0</v>
      </c>
      <c r="Y303" s="43">
        <f t="shared" si="109"/>
        <v>0</v>
      </c>
      <c r="Z303" s="43">
        <f t="shared" si="110"/>
        <v>0</v>
      </c>
      <c r="AB303" s="43">
        <f t="shared" si="114"/>
        <v>0</v>
      </c>
      <c r="AC303" s="43">
        <f t="shared" si="115"/>
        <v>0</v>
      </c>
      <c r="AD303" s="43">
        <f t="shared" si="116"/>
        <v>0</v>
      </c>
      <c r="AE303" s="43">
        <f t="shared" si="117"/>
        <v>0</v>
      </c>
      <c r="AF303" s="43">
        <f t="shared" si="118"/>
        <v>0</v>
      </c>
      <c r="AH303" s="43">
        <f t="shared" si="119"/>
        <v>0</v>
      </c>
      <c r="AI303" s="43">
        <f t="shared" si="120"/>
        <v>0</v>
      </c>
      <c r="AJ303" s="43">
        <f t="shared" si="121"/>
        <v>0</v>
      </c>
      <c r="AK303" s="43">
        <f t="shared" si="122"/>
        <v>0</v>
      </c>
      <c r="AL303" s="43">
        <f t="shared" si="123"/>
        <v>0</v>
      </c>
      <c r="AN303" s="47">
        <f t="shared" si="124"/>
        <v>0</v>
      </c>
      <c r="AO303" s="47">
        <f t="shared" si="125"/>
        <v>0</v>
      </c>
      <c r="AP303" s="47">
        <f t="shared" si="126"/>
        <v>0</v>
      </c>
      <c r="AQ303" s="47">
        <f t="shared" si="127"/>
        <v>0</v>
      </c>
      <c r="AR303" s="43">
        <f t="shared" si="128"/>
        <v>0</v>
      </c>
      <c r="AS303" s="121"/>
      <c r="AT303" s="121"/>
      <c r="AU303" s="121"/>
      <c r="AV303" s="121"/>
      <c r="AW303" s="121"/>
      <c r="AX303" s="121"/>
    </row>
    <row r="304" spans="1:50" s="89" customFormat="1">
      <c r="A304" s="226"/>
      <c r="B304" s="37">
        <f>'13. Desinvesteringen'!B587</f>
        <v>568</v>
      </c>
      <c r="C304" s="331"/>
      <c r="D304" s="331"/>
      <c r="E304" s="331"/>
      <c r="F304" s="354">
        <f>'5. Input GAW-waarde desinv.'!D263</f>
        <v>0</v>
      </c>
      <c r="G304" s="175">
        <f>'13. Desinvesteringen'!D587</f>
        <v>1972</v>
      </c>
      <c r="H304" s="175">
        <f>'13. Desinvesteringen'!G587</f>
        <v>2024</v>
      </c>
      <c r="I304" s="37" t="str">
        <f>'13. Desinvesteringen'!C587</f>
        <v>02 Gasontvangststations</v>
      </c>
      <c r="J304" s="165">
        <f>'13. Desinvesteringen'!F587</f>
        <v>0</v>
      </c>
      <c r="K304" s="38">
        <f>_xlfn.XLOOKUP(I304,'3. Input (des)investeringen '!$B$11:$B$89,'3. Input (des)investeringen '!$E$11:$E$89)</f>
        <v>0</v>
      </c>
      <c r="L304" s="331"/>
      <c r="M304" s="38">
        <f>_xlfn.XLOOKUP(I304,'3. Input (des)investeringen '!$B$11:$B$89,'3. Input (des)investeringen '!$D$11:$D$89,0)</f>
        <v>30</v>
      </c>
      <c r="N304" s="38">
        <f t="shared" si="113"/>
        <v>0</v>
      </c>
      <c r="P304" s="43">
        <f t="shared" si="132"/>
        <v>0</v>
      </c>
      <c r="Q304" s="43">
        <f t="shared" si="132"/>
        <v>0</v>
      </c>
      <c r="R304" s="43">
        <f t="shared" si="132"/>
        <v>0</v>
      </c>
      <c r="S304" s="43">
        <f t="shared" si="132"/>
        <v>0</v>
      </c>
      <c r="T304" s="43">
        <f t="shared" si="132"/>
        <v>0</v>
      </c>
      <c r="V304" s="43">
        <f t="shared" si="106"/>
        <v>0</v>
      </c>
      <c r="W304" s="43">
        <f t="shared" si="107"/>
        <v>0</v>
      </c>
      <c r="X304" s="43">
        <f t="shared" si="108"/>
        <v>0</v>
      </c>
      <c r="Y304" s="43">
        <f t="shared" si="109"/>
        <v>0</v>
      </c>
      <c r="Z304" s="43">
        <f t="shared" si="110"/>
        <v>0</v>
      </c>
      <c r="AB304" s="43">
        <f t="shared" si="114"/>
        <v>0</v>
      </c>
      <c r="AC304" s="43">
        <f t="shared" si="115"/>
        <v>0</v>
      </c>
      <c r="AD304" s="43">
        <f t="shared" si="116"/>
        <v>0</v>
      </c>
      <c r="AE304" s="43">
        <f t="shared" si="117"/>
        <v>0</v>
      </c>
      <c r="AF304" s="43">
        <f t="shared" si="118"/>
        <v>0</v>
      </c>
      <c r="AH304" s="43">
        <f t="shared" si="119"/>
        <v>0</v>
      </c>
      <c r="AI304" s="43">
        <f t="shared" si="120"/>
        <v>0</v>
      </c>
      <c r="AJ304" s="43">
        <f t="shared" si="121"/>
        <v>0</v>
      </c>
      <c r="AK304" s="43">
        <f t="shared" si="122"/>
        <v>0</v>
      </c>
      <c r="AL304" s="43">
        <f t="shared" si="123"/>
        <v>0</v>
      </c>
      <c r="AN304" s="47">
        <f t="shared" si="124"/>
        <v>0</v>
      </c>
      <c r="AO304" s="47">
        <f t="shared" si="125"/>
        <v>0</v>
      </c>
      <c r="AP304" s="47">
        <f t="shared" si="126"/>
        <v>0</v>
      </c>
      <c r="AQ304" s="47">
        <f t="shared" si="127"/>
        <v>0</v>
      </c>
      <c r="AR304" s="43">
        <f t="shared" si="128"/>
        <v>0</v>
      </c>
      <c r="AS304" s="121"/>
      <c r="AT304" s="121"/>
      <c r="AU304" s="121"/>
      <c r="AV304" s="121"/>
      <c r="AW304" s="121"/>
      <c r="AX304" s="121"/>
    </row>
    <row r="305" spans="1:50" s="89" customFormat="1">
      <c r="A305" s="226"/>
      <c r="B305" s="37">
        <f>'13. Desinvesteringen'!B588</f>
        <v>569</v>
      </c>
      <c r="C305" s="331"/>
      <c r="D305" s="331"/>
      <c r="E305" s="331"/>
      <c r="F305" s="354">
        <f>'5. Input GAW-waarde desinv.'!D264</f>
        <v>0</v>
      </c>
      <c r="G305" s="175">
        <f>'13. Desinvesteringen'!D588</f>
        <v>1975</v>
      </c>
      <c r="H305" s="175">
        <f>'13. Desinvesteringen'!G588</f>
        <v>2024</v>
      </c>
      <c r="I305" s="37" t="str">
        <f>'13. Desinvesteringen'!C588</f>
        <v>02 Gasontvangststations</v>
      </c>
      <c r="J305" s="165">
        <f>'13. Desinvesteringen'!F588</f>
        <v>0</v>
      </c>
      <c r="K305" s="38">
        <f>_xlfn.XLOOKUP(I305,'3. Input (des)investeringen '!$B$11:$B$89,'3. Input (des)investeringen '!$E$11:$E$89)</f>
        <v>0</v>
      </c>
      <c r="L305" s="331"/>
      <c r="M305" s="38">
        <f>_xlfn.XLOOKUP(I305,'3. Input (des)investeringen '!$B$11:$B$89,'3. Input (des)investeringen '!$D$11:$D$89,0)</f>
        <v>30</v>
      </c>
      <c r="N305" s="38">
        <f t="shared" si="113"/>
        <v>0</v>
      </c>
      <c r="P305" s="43">
        <f t="shared" si="132"/>
        <v>0</v>
      </c>
      <c r="Q305" s="43">
        <f t="shared" si="132"/>
        <v>0</v>
      </c>
      <c r="R305" s="43">
        <f t="shared" si="132"/>
        <v>0</v>
      </c>
      <c r="S305" s="43">
        <f t="shared" si="132"/>
        <v>0</v>
      </c>
      <c r="T305" s="43">
        <f t="shared" si="132"/>
        <v>0</v>
      </c>
      <c r="V305" s="43">
        <f t="shared" si="106"/>
        <v>0</v>
      </c>
      <c r="W305" s="43">
        <f t="shared" si="107"/>
        <v>0</v>
      </c>
      <c r="X305" s="43">
        <f t="shared" si="108"/>
        <v>0</v>
      </c>
      <c r="Y305" s="43">
        <f t="shared" si="109"/>
        <v>0</v>
      </c>
      <c r="Z305" s="43">
        <f t="shared" si="110"/>
        <v>0</v>
      </c>
      <c r="AB305" s="43">
        <f t="shared" si="114"/>
        <v>0</v>
      </c>
      <c r="AC305" s="43">
        <f t="shared" si="115"/>
        <v>0</v>
      </c>
      <c r="AD305" s="43">
        <f t="shared" si="116"/>
        <v>0</v>
      </c>
      <c r="AE305" s="43">
        <f t="shared" si="117"/>
        <v>0</v>
      </c>
      <c r="AF305" s="43">
        <f t="shared" si="118"/>
        <v>0</v>
      </c>
      <c r="AH305" s="43">
        <f t="shared" si="119"/>
        <v>0</v>
      </c>
      <c r="AI305" s="43">
        <f t="shared" si="120"/>
        <v>0</v>
      </c>
      <c r="AJ305" s="43">
        <f t="shared" si="121"/>
        <v>0</v>
      </c>
      <c r="AK305" s="43">
        <f t="shared" si="122"/>
        <v>0</v>
      </c>
      <c r="AL305" s="43">
        <f t="shared" si="123"/>
        <v>0</v>
      </c>
      <c r="AN305" s="47">
        <f t="shared" si="124"/>
        <v>0</v>
      </c>
      <c r="AO305" s="47">
        <f t="shared" si="125"/>
        <v>0</v>
      </c>
      <c r="AP305" s="47">
        <f t="shared" si="126"/>
        <v>0</v>
      </c>
      <c r="AQ305" s="47">
        <f t="shared" si="127"/>
        <v>0</v>
      </c>
      <c r="AR305" s="43">
        <f t="shared" si="128"/>
        <v>0</v>
      </c>
      <c r="AS305" s="121"/>
      <c r="AT305" s="121"/>
      <c r="AU305" s="121"/>
      <c r="AV305" s="121"/>
      <c r="AW305" s="121"/>
      <c r="AX305" s="121"/>
    </row>
    <row r="306" spans="1:50" s="89" customFormat="1">
      <c r="A306" s="226"/>
      <c r="B306" s="37">
        <f>'13. Desinvesteringen'!B589</f>
        <v>570</v>
      </c>
      <c r="C306" s="331"/>
      <c r="D306" s="331"/>
      <c r="E306" s="331"/>
      <c r="F306" s="354">
        <f>'5. Input GAW-waarde desinv.'!D265</f>
        <v>0</v>
      </c>
      <c r="G306" s="175">
        <f>'13. Desinvesteringen'!D589</f>
        <v>1976</v>
      </c>
      <c r="H306" s="175">
        <f>'13. Desinvesteringen'!G589</f>
        <v>2024</v>
      </c>
      <c r="I306" s="37" t="str">
        <f>'13. Desinvesteringen'!C589</f>
        <v>02 Gasontvangststations</v>
      </c>
      <c r="J306" s="165">
        <f>'13. Desinvesteringen'!F589</f>
        <v>0</v>
      </c>
      <c r="K306" s="38">
        <f>_xlfn.XLOOKUP(I306,'3. Input (des)investeringen '!$B$11:$B$89,'3. Input (des)investeringen '!$E$11:$E$89)</f>
        <v>0</v>
      </c>
      <c r="L306" s="331"/>
      <c r="M306" s="38">
        <f>_xlfn.XLOOKUP(I306,'3. Input (des)investeringen '!$B$11:$B$89,'3. Input (des)investeringen '!$D$11:$D$89,0)</f>
        <v>30</v>
      </c>
      <c r="N306" s="38">
        <f t="shared" si="113"/>
        <v>0</v>
      </c>
      <c r="P306" s="43">
        <f t="shared" si="132"/>
        <v>0</v>
      </c>
      <c r="Q306" s="43">
        <f t="shared" si="132"/>
        <v>0</v>
      </c>
      <c r="R306" s="43">
        <f t="shared" si="132"/>
        <v>0</v>
      </c>
      <c r="S306" s="43">
        <f t="shared" si="132"/>
        <v>0</v>
      </c>
      <c r="T306" s="43">
        <f t="shared" si="132"/>
        <v>0</v>
      </c>
      <c r="V306" s="43">
        <f t="shared" si="106"/>
        <v>0</v>
      </c>
      <c r="W306" s="43">
        <f t="shared" si="107"/>
        <v>0</v>
      </c>
      <c r="X306" s="43">
        <f t="shared" si="108"/>
        <v>0</v>
      </c>
      <c r="Y306" s="43">
        <f t="shared" si="109"/>
        <v>0</v>
      </c>
      <c r="Z306" s="43">
        <f t="shared" si="110"/>
        <v>0</v>
      </c>
      <c r="AB306" s="43">
        <f t="shared" si="114"/>
        <v>0</v>
      </c>
      <c r="AC306" s="43">
        <f t="shared" si="115"/>
        <v>0</v>
      </c>
      <c r="AD306" s="43">
        <f t="shared" si="116"/>
        <v>0</v>
      </c>
      <c r="AE306" s="43">
        <f t="shared" si="117"/>
        <v>0</v>
      </c>
      <c r="AF306" s="43">
        <f t="shared" si="118"/>
        <v>0</v>
      </c>
      <c r="AH306" s="43">
        <f t="shared" si="119"/>
        <v>0</v>
      </c>
      <c r="AI306" s="43">
        <f t="shared" si="120"/>
        <v>0</v>
      </c>
      <c r="AJ306" s="43">
        <f t="shared" si="121"/>
        <v>0</v>
      </c>
      <c r="AK306" s="43">
        <f t="shared" si="122"/>
        <v>0</v>
      </c>
      <c r="AL306" s="43">
        <f t="shared" si="123"/>
        <v>0</v>
      </c>
      <c r="AN306" s="47">
        <f t="shared" si="124"/>
        <v>0</v>
      </c>
      <c r="AO306" s="47">
        <f t="shared" si="125"/>
        <v>0</v>
      </c>
      <c r="AP306" s="47">
        <f t="shared" si="126"/>
        <v>0</v>
      </c>
      <c r="AQ306" s="47">
        <f t="shared" si="127"/>
        <v>0</v>
      </c>
      <c r="AR306" s="43">
        <f t="shared" si="128"/>
        <v>0</v>
      </c>
      <c r="AS306" s="121"/>
      <c r="AT306" s="121"/>
      <c r="AU306" s="121"/>
      <c r="AV306" s="121"/>
      <c r="AW306" s="121"/>
      <c r="AX306" s="121"/>
    </row>
    <row r="307" spans="1:50" s="89" customFormat="1">
      <c r="A307" s="226"/>
      <c r="B307" s="37">
        <f>'13. Desinvesteringen'!B590</f>
        <v>571</v>
      </c>
      <c r="C307" s="331"/>
      <c r="D307" s="331"/>
      <c r="E307" s="331"/>
      <c r="F307" s="354">
        <f>'5. Input GAW-waarde desinv.'!D266</f>
        <v>0</v>
      </c>
      <c r="G307" s="175">
        <f>'13. Desinvesteringen'!D590</f>
        <v>1981</v>
      </c>
      <c r="H307" s="175">
        <f>'13. Desinvesteringen'!G590</f>
        <v>2024</v>
      </c>
      <c r="I307" s="37" t="str">
        <f>'13. Desinvesteringen'!C590</f>
        <v>02 Gasontvangststations</v>
      </c>
      <c r="J307" s="165">
        <f>'13. Desinvesteringen'!F590</f>
        <v>0</v>
      </c>
      <c r="K307" s="38">
        <f>_xlfn.XLOOKUP(I307,'3. Input (des)investeringen '!$B$11:$B$89,'3. Input (des)investeringen '!$E$11:$E$89)</f>
        <v>0</v>
      </c>
      <c r="L307" s="331"/>
      <c r="M307" s="38">
        <f>_xlfn.XLOOKUP(I307,'3. Input (des)investeringen '!$B$11:$B$89,'3. Input (des)investeringen '!$D$11:$D$89,0)</f>
        <v>30</v>
      </c>
      <c r="N307" s="38">
        <f t="shared" si="113"/>
        <v>0</v>
      </c>
      <c r="P307" s="43">
        <f t="shared" si="132"/>
        <v>0</v>
      </c>
      <c r="Q307" s="43">
        <f t="shared" si="132"/>
        <v>0</v>
      </c>
      <c r="R307" s="43">
        <f t="shared" si="132"/>
        <v>0</v>
      </c>
      <c r="S307" s="43">
        <f t="shared" si="132"/>
        <v>0</v>
      </c>
      <c r="T307" s="43">
        <f t="shared" si="132"/>
        <v>0</v>
      </c>
      <c r="V307" s="43">
        <f t="shared" si="106"/>
        <v>0</v>
      </c>
      <c r="W307" s="43">
        <f t="shared" si="107"/>
        <v>0</v>
      </c>
      <c r="X307" s="43">
        <f t="shared" si="108"/>
        <v>0</v>
      </c>
      <c r="Y307" s="43">
        <f t="shared" si="109"/>
        <v>0</v>
      </c>
      <c r="Z307" s="43">
        <f t="shared" si="110"/>
        <v>0</v>
      </c>
      <c r="AB307" s="43">
        <f t="shared" si="114"/>
        <v>0</v>
      </c>
      <c r="AC307" s="43">
        <f t="shared" si="115"/>
        <v>0</v>
      </c>
      <c r="AD307" s="43">
        <f t="shared" si="116"/>
        <v>0</v>
      </c>
      <c r="AE307" s="43">
        <f t="shared" si="117"/>
        <v>0</v>
      </c>
      <c r="AF307" s="43">
        <f t="shared" si="118"/>
        <v>0</v>
      </c>
      <c r="AH307" s="43">
        <f t="shared" si="119"/>
        <v>0</v>
      </c>
      <c r="AI307" s="43">
        <f t="shared" si="120"/>
        <v>0</v>
      </c>
      <c r="AJ307" s="43">
        <f t="shared" si="121"/>
        <v>0</v>
      </c>
      <c r="AK307" s="43">
        <f t="shared" si="122"/>
        <v>0</v>
      </c>
      <c r="AL307" s="43">
        <f t="shared" si="123"/>
        <v>0</v>
      </c>
      <c r="AN307" s="47">
        <f t="shared" si="124"/>
        <v>0</v>
      </c>
      <c r="AO307" s="47">
        <f t="shared" si="125"/>
        <v>0</v>
      </c>
      <c r="AP307" s="47">
        <f t="shared" si="126"/>
        <v>0</v>
      </c>
      <c r="AQ307" s="47">
        <f t="shared" si="127"/>
        <v>0</v>
      </c>
      <c r="AR307" s="43">
        <f t="shared" si="128"/>
        <v>0</v>
      </c>
      <c r="AS307" s="121"/>
      <c r="AT307" s="121"/>
      <c r="AU307" s="121"/>
      <c r="AV307" s="121"/>
      <c r="AW307" s="121"/>
      <c r="AX307" s="121"/>
    </row>
    <row r="308" spans="1:50" s="89" customFormat="1">
      <c r="A308" s="226"/>
      <c r="B308" s="37">
        <f>'13. Desinvesteringen'!B591</f>
        <v>572</v>
      </c>
      <c r="C308" s="331"/>
      <c r="D308" s="331"/>
      <c r="E308" s="331"/>
      <c r="F308" s="354">
        <f>'5. Input GAW-waarde desinv.'!D267</f>
        <v>0</v>
      </c>
      <c r="G308" s="175">
        <f>'13. Desinvesteringen'!D591</f>
        <v>1986</v>
      </c>
      <c r="H308" s="175">
        <f>'13. Desinvesteringen'!G591</f>
        <v>2024</v>
      </c>
      <c r="I308" s="37" t="str">
        <f>'13. Desinvesteringen'!C591</f>
        <v>02 Gasontvangststations</v>
      </c>
      <c r="J308" s="165">
        <f>'13. Desinvesteringen'!F591</f>
        <v>0</v>
      </c>
      <c r="K308" s="38">
        <f>_xlfn.XLOOKUP(I308,'3. Input (des)investeringen '!$B$11:$B$89,'3. Input (des)investeringen '!$E$11:$E$89)</f>
        <v>0</v>
      </c>
      <c r="L308" s="331"/>
      <c r="M308" s="38">
        <f>_xlfn.XLOOKUP(I308,'3. Input (des)investeringen '!$B$11:$B$89,'3. Input (des)investeringen '!$D$11:$D$89,0)</f>
        <v>30</v>
      </c>
      <c r="N308" s="38">
        <f t="shared" si="113"/>
        <v>0</v>
      </c>
      <c r="P308" s="43">
        <f t="shared" si="132"/>
        <v>0</v>
      </c>
      <c r="Q308" s="43">
        <f t="shared" si="132"/>
        <v>0</v>
      </c>
      <c r="R308" s="43">
        <f t="shared" si="132"/>
        <v>0</v>
      </c>
      <c r="S308" s="43">
        <f t="shared" si="132"/>
        <v>0</v>
      </c>
      <c r="T308" s="43">
        <f t="shared" si="132"/>
        <v>0</v>
      </c>
      <c r="V308" s="43">
        <f t="shared" ref="V308:V371" si="133">IF($M308&gt;0, IF(OR($G308&gt;V$50,$G308+$M308&lt;V$50),0,
VDB($F308,0,$N308,MAX(0,P$50-2022),MIN($N308,P$50-2021),1,FALSE))*$F$26, 0)</f>
        <v>0</v>
      </c>
      <c r="W308" s="43">
        <f t="shared" ref="W308:W371" si="134">IF($M308&gt;0, IF(OR($G308&gt;W$50,$G308+$M308&lt;W$50),0,
VDB($F308,0,$N308,MAX(0,Q$50-2022),MIN($N308,Q$50-2021),1,FALSE))*$F$26, 0)</f>
        <v>0</v>
      </c>
      <c r="X308" s="43">
        <f t="shared" ref="X308:X371" si="135">IF($M308&gt;0, IF(OR($G308&gt;X$50,$G308+$M308&lt;X$50),0,
VDB($F308,0,$N308,MAX(0,R$50-2022),MIN($N308,R$50-2021),1,FALSE))*$F$26, 0)</f>
        <v>0</v>
      </c>
      <c r="Y308" s="43">
        <f t="shared" ref="Y308:Y371" si="136">IF($M308&gt;0, IF(OR($G308&gt;Y$50,$G308+$M308&lt;Y$50),0,
VDB($F308,0,$N308,MAX(0,S$50-2022),MIN($N308,S$50-2021),1,FALSE))*$F$26, 0)</f>
        <v>0</v>
      </c>
      <c r="Z308" s="43">
        <f t="shared" ref="Z308:Z371" si="137">IF($M308&gt;0, IF(OR($G308&gt;Z$50,$G308+$M308&lt;Z$50),0,
VDB($F308,0,$N308,MAX(0,T$50-2022),MIN($N308,T$50-2021),1,FALSE))*$F$26, 0)</f>
        <v>0</v>
      </c>
      <c r="AB308" s="43">
        <f t="shared" si="114"/>
        <v>0</v>
      </c>
      <c r="AC308" s="43">
        <f t="shared" si="115"/>
        <v>0</v>
      </c>
      <c r="AD308" s="43">
        <f t="shared" si="116"/>
        <v>0</v>
      </c>
      <c r="AE308" s="43">
        <f t="shared" si="117"/>
        <v>0</v>
      </c>
      <c r="AF308" s="43">
        <f t="shared" si="118"/>
        <v>0</v>
      </c>
      <c r="AH308" s="43">
        <f t="shared" si="119"/>
        <v>0</v>
      </c>
      <c r="AI308" s="43">
        <f t="shared" si="120"/>
        <v>0</v>
      </c>
      <c r="AJ308" s="43">
        <f t="shared" si="121"/>
        <v>0</v>
      </c>
      <c r="AK308" s="43">
        <f t="shared" si="122"/>
        <v>0</v>
      </c>
      <c r="AL308" s="43">
        <f t="shared" si="123"/>
        <v>0</v>
      </c>
      <c r="AN308" s="47">
        <f t="shared" si="124"/>
        <v>0</v>
      </c>
      <c r="AO308" s="47">
        <f t="shared" si="125"/>
        <v>0</v>
      </c>
      <c r="AP308" s="47">
        <f t="shared" si="126"/>
        <v>0</v>
      </c>
      <c r="AQ308" s="47">
        <f t="shared" si="127"/>
        <v>0</v>
      </c>
      <c r="AR308" s="43">
        <f t="shared" si="128"/>
        <v>0</v>
      </c>
      <c r="AS308" s="121"/>
      <c r="AT308" s="121"/>
      <c r="AU308" s="121"/>
      <c r="AV308" s="121"/>
      <c r="AW308" s="121"/>
      <c r="AX308" s="121"/>
    </row>
    <row r="309" spans="1:50" s="89" customFormat="1">
      <c r="A309" s="226"/>
      <c r="B309" s="37">
        <f>'13. Desinvesteringen'!B592</f>
        <v>573</v>
      </c>
      <c r="C309" s="331"/>
      <c r="D309" s="331"/>
      <c r="E309" s="331"/>
      <c r="F309" s="354">
        <f>'5. Input GAW-waarde desinv.'!D268</f>
        <v>53427.92963177264</v>
      </c>
      <c r="G309" s="175">
        <f>'13. Desinvesteringen'!D592</f>
        <v>1997</v>
      </c>
      <c r="H309" s="175">
        <f>'13. Desinvesteringen'!G592</f>
        <v>2024</v>
      </c>
      <c r="I309" s="37" t="str">
        <f>'13. Desinvesteringen'!C592</f>
        <v>02 Gasontvangststations</v>
      </c>
      <c r="J309" s="165">
        <f>'13. Desinvesteringen'!F592</f>
        <v>0</v>
      </c>
      <c r="K309" s="38">
        <f>_xlfn.XLOOKUP(I309,'3. Input (des)investeringen '!$B$11:$B$89,'3. Input (des)investeringen '!$E$11:$E$89)</f>
        <v>0</v>
      </c>
      <c r="L309" s="331"/>
      <c r="M309" s="38">
        <f>_xlfn.XLOOKUP(I309,'3. Input (des)investeringen '!$B$11:$B$89,'3. Input (des)investeringen '!$D$11:$D$89,0)</f>
        <v>30</v>
      </c>
      <c r="N309" s="38">
        <f t="shared" si="113"/>
        <v>5.5</v>
      </c>
      <c r="P309" s="43">
        <f t="shared" si="132"/>
        <v>11365.577758031633</v>
      </c>
      <c r="Q309" s="43">
        <f t="shared" si="132"/>
        <v>8679.168469769611</v>
      </c>
      <c r="R309" s="43">
        <f t="shared" si="132"/>
        <v>8011.5401259411801</v>
      </c>
      <c r="S309" s="43">
        <f t="shared" si="132"/>
        <v>8011.5401259411801</v>
      </c>
      <c r="T309" s="43">
        <f t="shared" si="132"/>
        <v>8011.5401259411801</v>
      </c>
      <c r="V309" s="43">
        <f t="shared" si="133"/>
        <v>971.41690239586626</v>
      </c>
      <c r="W309" s="43">
        <f t="shared" si="134"/>
        <v>971.41690239586626</v>
      </c>
      <c r="X309" s="43">
        <f t="shared" si="135"/>
        <v>971.41690239586626</v>
      </c>
      <c r="Y309" s="43">
        <f t="shared" si="136"/>
        <v>971.41690239586626</v>
      </c>
      <c r="Z309" s="43">
        <f t="shared" si="137"/>
        <v>971.41690239586626</v>
      </c>
      <c r="AB309" s="43">
        <f t="shared" si="114"/>
        <v>12336.994660427499</v>
      </c>
      <c r="AC309" s="43">
        <f t="shared" si="115"/>
        <v>9650.5853721654767</v>
      </c>
      <c r="AD309" s="43">
        <f t="shared" si="116"/>
        <v>8982.9570283370467</v>
      </c>
      <c r="AE309" s="43">
        <f t="shared" si="117"/>
        <v>8982.9570283370467</v>
      </c>
      <c r="AF309" s="43">
        <f t="shared" si="118"/>
        <v>8982.9570283370467</v>
      </c>
      <c r="AH309" s="43">
        <f t="shared" si="119"/>
        <v>41090.934971345137</v>
      </c>
      <c r="AI309" s="43">
        <f t="shared" si="120"/>
        <v>31440.349599179659</v>
      </c>
      <c r="AJ309" s="43">
        <f t="shared" si="121"/>
        <v>22457.39257084261</v>
      </c>
      <c r="AK309" s="43">
        <f t="shared" si="122"/>
        <v>13474.435542505564</v>
      </c>
      <c r="AL309" s="43">
        <f t="shared" si="123"/>
        <v>4491.478514168517</v>
      </c>
      <c r="AN309" s="47">
        <f t="shared" si="124"/>
        <v>14021.72299425265</v>
      </c>
      <c r="AO309" s="47">
        <f t="shared" si="125"/>
        <v>11254.04320172364</v>
      </c>
      <c r="AP309" s="47">
        <f t="shared" si="126"/>
        <v>10128.28404945002</v>
      </c>
      <c r="AQ309" s="47">
        <f t="shared" si="127"/>
        <v>9724.0509831748532</v>
      </c>
      <c r="AR309" s="43">
        <f t="shared" si="128"/>
        <v>9153.6332118754508</v>
      </c>
      <c r="AS309" s="121"/>
      <c r="AT309" s="121"/>
      <c r="AU309" s="121"/>
      <c r="AV309" s="121"/>
      <c r="AW309" s="121"/>
      <c r="AX309" s="121"/>
    </row>
    <row r="310" spans="1:50" s="89" customFormat="1">
      <c r="A310" s="226"/>
      <c r="B310" s="37">
        <f>'13. Desinvesteringen'!B593</f>
        <v>574</v>
      </c>
      <c r="C310" s="331"/>
      <c r="D310" s="331"/>
      <c r="E310" s="331"/>
      <c r="F310" s="354">
        <f>'5. Input GAW-waarde desinv.'!D269</f>
        <v>6869.2461574103609</v>
      </c>
      <c r="G310" s="175">
        <f>'13. Desinvesteringen'!D593</f>
        <v>1998</v>
      </c>
      <c r="H310" s="175">
        <f>'13. Desinvesteringen'!G593</f>
        <v>2024</v>
      </c>
      <c r="I310" s="37" t="str">
        <f>'13. Desinvesteringen'!C593</f>
        <v>02 Gasontvangststations</v>
      </c>
      <c r="J310" s="165">
        <f>'13. Desinvesteringen'!F593</f>
        <v>0</v>
      </c>
      <c r="K310" s="38">
        <f>_xlfn.XLOOKUP(I310,'3. Input (des)investeringen '!$B$11:$B$89,'3. Input (des)investeringen '!$E$11:$E$89)</f>
        <v>0</v>
      </c>
      <c r="L310" s="331"/>
      <c r="M310" s="38">
        <f>_xlfn.XLOOKUP(I310,'3. Input (des)investeringen '!$B$11:$B$89,'3. Input (des)investeringen '!$D$11:$D$89,0)</f>
        <v>30</v>
      </c>
      <c r="N310" s="38">
        <f t="shared" si="113"/>
        <v>6.5</v>
      </c>
      <c r="P310" s="43">
        <f t="shared" si="132"/>
        <v>1236.4643083338651</v>
      </c>
      <c r="Q310" s="43">
        <f t="shared" si="132"/>
        <v>989.17144666709191</v>
      </c>
      <c r="R310" s="43">
        <f t="shared" si="132"/>
        <v>879.26350814852617</v>
      </c>
      <c r="S310" s="43">
        <f t="shared" si="132"/>
        <v>879.26350814852617</v>
      </c>
      <c r="T310" s="43">
        <f t="shared" si="132"/>
        <v>879.26350814852617</v>
      </c>
      <c r="V310" s="43">
        <f t="shared" si="133"/>
        <v>105.68071011400555</v>
      </c>
      <c r="W310" s="43">
        <f t="shared" si="134"/>
        <v>105.68071011400555</v>
      </c>
      <c r="X310" s="43">
        <f t="shared" si="135"/>
        <v>105.68071011400555</v>
      </c>
      <c r="Y310" s="43">
        <f t="shared" si="136"/>
        <v>105.68071011400555</v>
      </c>
      <c r="Z310" s="43">
        <f t="shared" si="137"/>
        <v>105.68071011400555</v>
      </c>
      <c r="AB310" s="43">
        <f t="shared" si="114"/>
        <v>1342.1450184478706</v>
      </c>
      <c r="AC310" s="43">
        <f t="shared" si="115"/>
        <v>1094.8521567810974</v>
      </c>
      <c r="AD310" s="43">
        <f t="shared" si="116"/>
        <v>984.94421826253176</v>
      </c>
      <c r="AE310" s="43">
        <f t="shared" si="117"/>
        <v>984.94421826253176</v>
      </c>
      <c r="AF310" s="43">
        <f t="shared" si="118"/>
        <v>984.94421826253176</v>
      </c>
      <c r="AH310" s="43">
        <f t="shared" si="119"/>
        <v>5527.10113896249</v>
      </c>
      <c r="AI310" s="43">
        <f t="shared" si="120"/>
        <v>4432.2489821813924</v>
      </c>
      <c r="AJ310" s="43">
        <f t="shared" si="121"/>
        <v>3447.3047639188608</v>
      </c>
      <c r="AK310" s="43">
        <f t="shared" si="122"/>
        <v>2462.3605456563291</v>
      </c>
      <c r="AL310" s="43">
        <f t="shared" si="123"/>
        <v>1477.4163273937975</v>
      </c>
      <c r="AN310" s="47">
        <f t="shared" si="124"/>
        <v>1568.7561651453327</v>
      </c>
      <c r="AO310" s="47">
        <f t="shared" si="125"/>
        <v>1320.8968548723483</v>
      </c>
      <c r="AP310" s="47">
        <f t="shared" si="126"/>
        <v>1160.7567612223936</v>
      </c>
      <c r="AQ310" s="47">
        <f t="shared" si="127"/>
        <v>1120.3740482736298</v>
      </c>
      <c r="AR310" s="43">
        <f t="shared" si="128"/>
        <v>1041.0860387034961</v>
      </c>
      <c r="AS310" s="121"/>
      <c r="AT310" s="121"/>
      <c r="AU310" s="121"/>
      <c r="AV310" s="121"/>
      <c r="AW310" s="121"/>
      <c r="AX310" s="121"/>
    </row>
    <row r="311" spans="1:50" s="89" customFormat="1">
      <c r="A311" s="226"/>
      <c r="B311" s="37">
        <f>'13. Desinvesteringen'!B594</f>
        <v>575</v>
      </c>
      <c r="C311" s="331"/>
      <c r="D311" s="331"/>
      <c r="E311" s="331"/>
      <c r="F311" s="354">
        <f>'5. Input GAW-waarde desinv.'!D270</f>
        <v>4716.7151587022527</v>
      </c>
      <c r="G311" s="175">
        <f>'13. Desinvesteringen'!D594</f>
        <v>2000</v>
      </c>
      <c r="H311" s="175">
        <f>'13. Desinvesteringen'!G594</f>
        <v>2024</v>
      </c>
      <c r="I311" s="37" t="str">
        <f>'13. Desinvesteringen'!C594</f>
        <v>02 Gasontvangststations</v>
      </c>
      <c r="J311" s="165">
        <f>'13. Desinvesteringen'!F594</f>
        <v>0</v>
      </c>
      <c r="K311" s="38">
        <f>_xlfn.XLOOKUP(I311,'3. Input (des)investeringen '!$B$11:$B$89,'3. Input (des)investeringen '!$E$11:$E$89)</f>
        <v>0</v>
      </c>
      <c r="L311" s="331"/>
      <c r="M311" s="38">
        <f>_xlfn.XLOOKUP(I311,'3. Input (des)investeringen '!$B$11:$B$89,'3. Input (des)investeringen '!$D$11:$D$89,0)</f>
        <v>30</v>
      </c>
      <c r="N311" s="38">
        <f t="shared" si="113"/>
        <v>8.5</v>
      </c>
      <c r="P311" s="43">
        <f t="shared" si="132"/>
        <v>649.24196890372195</v>
      </c>
      <c r="Q311" s="43">
        <f t="shared" si="132"/>
        <v>549.94613836550559</v>
      </c>
      <c r="R311" s="43">
        <f t="shared" si="132"/>
        <v>468.59315931735381</v>
      </c>
      <c r="S311" s="43">
        <f t="shared" si="132"/>
        <v>468.59315931735381</v>
      </c>
      <c r="T311" s="43">
        <f t="shared" si="132"/>
        <v>468.59315931735381</v>
      </c>
      <c r="V311" s="43">
        <f t="shared" si="133"/>
        <v>55.490766572967679</v>
      </c>
      <c r="W311" s="43">
        <f t="shared" si="134"/>
        <v>55.490766572967686</v>
      </c>
      <c r="X311" s="43">
        <f t="shared" si="135"/>
        <v>55.490766572967686</v>
      </c>
      <c r="Y311" s="43">
        <f t="shared" si="136"/>
        <v>55.490766572967686</v>
      </c>
      <c r="Z311" s="43">
        <f t="shared" si="137"/>
        <v>55.490766572967686</v>
      </c>
      <c r="AB311" s="43">
        <f t="shared" si="114"/>
        <v>704.73273547668964</v>
      </c>
      <c r="AC311" s="43">
        <f t="shared" si="115"/>
        <v>605.43690493847328</v>
      </c>
      <c r="AD311" s="43">
        <f t="shared" si="116"/>
        <v>524.08392589032155</v>
      </c>
      <c r="AE311" s="43">
        <f t="shared" si="117"/>
        <v>524.08392589032155</v>
      </c>
      <c r="AF311" s="43">
        <f t="shared" si="118"/>
        <v>524.08392589032155</v>
      </c>
      <c r="AH311" s="43">
        <f t="shared" si="119"/>
        <v>4011.9824232255633</v>
      </c>
      <c r="AI311" s="43">
        <f t="shared" si="120"/>
        <v>3406.5455182870901</v>
      </c>
      <c r="AJ311" s="43">
        <f t="shared" si="121"/>
        <v>2882.4615923967685</v>
      </c>
      <c r="AK311" s="43">
        <f t="shared" si="122"/>
        <v>2358.377666506447</v>
      </c>
      <c r="AL311" s="43">
        <f t="shared" si="123"/>
        <v>1834.2937406161254</v>
      </c>
      <c r="AN311" s="47">
        <f t="shared" si="124"/>
        <v>869.2240148289377</v>
      </c>
      <c r="AO311" s="47">
        <f t="shared" si="125"/>
        <v>779.17072637111482</v>
      </c>
      <c r="AP311" s="47">
        <f t="shared" si="126"/>
        <v>671.08946710255668</v>
      </c>
      <c r="AQ311" s="47">
        <f t="shared" si="127"/>
        <v>653.79469754817615</v>
      </c>
      <c r="AR311" s="43">
        <f t="shared" si="128"/>
        <v>593.78708803373434</v>
      </c>
      <c r="AS311" s="121"/>
      <c r="AT311" s="121"/>
      <c r="AU311" s="121"/>
      <c r="AV311" s="121"/>
      <c r="AW311" s="121"/>
      <c r="AX311" s="121"/>
    </row>
    <row r="312" spans="1:50" s="89" customFormat="1">
      <c r="A312" s="226"/>
      <c r="B312" s="37">
        <f>'13. Desinvesteringen'!B595</f>
        <v>576</v>
      </c>
      <c r="C312" s="331"/>
      <c r="D312" s="331"/>
      <c r="E312" s="331"/>
      <c r="F312" s="354">
        <f>'5. Input GAW-waarde desinv.'!D271</f>
        <v>65931.311505200705</v>
      </c>
      <c r="G312" s="175">
        <f>'13. Desinvesteringen'!D595</f>
        <v>2001</v>
      </c>
      <c r="H312" s="175">
        <f>'13. Desinvesteringen'!G595</f>
        <v>2024</v>
      </c>
      <c r="I312" s="37" t="str">
        <f>'13. Desinvesteringen'!C595</f>
        <v>02 Gasontvangststations</v>
      </c>
      <c r="J312" s="165">
        <f>'13. Desinvesteringen'!F595</f>
        <v>0</v>
      </c>
      <c r="K312" s="38">
        <f>_xlfn.XLOOKUP(I312,'3. Input (des)investeringen '!$B$11:$B$89,'3. Input (des)investeringen '!$E$11:$E$89)</f>
        <v>0</v>
      </c>
      <c r="L312" s="331"/>
      <c r="M312" s="38">
        <f>_xlfn.XLOOKUP(I312,'3. Input (des)investeringen '!$B$11:$B$89,'3. Input (des)investeringen '!$D$11:$D$89,0)</f>
        <v>30</v>
      </c>
      <c r="N312" s="38">
        <f t="shared" si="113"/>
        <v>9.5</v>
      </c>
      <c r="P312" s="43">
        <f t="shared" ref="P312:T321" si="138">IF($M312&gt;0, IF(OR($G312&gt;P$50,$G312+$M312&lt;P$50),0,
VDB($F312,0,$N312,MAX(0,P$50-2022),MIN($N312,P$50-2021),$F$23,FALSE))*(1-$F$26), 0)</f>
        <v>8119.9615222194561</v>
      </c>
      <c r="Q312" s="43">
        <f t="shared" si="138"/>
        <v>7008.8088928631096</v>
      </c>
      <c r="R312" s="43">
        <f t="shared" si="138"/>
        <v>6049.7087285765783</v>
      </c>
      <c r="S312" s="43">
        <f t="shared" si="138"/>
        <v>5870.7232632340747</v>
      </c>
      <c r="T312" s="43">
        <f t="shared" si="138"/>
        <v>5870.7232632340747</v>
      </c>
      <c r="V312" s="43">
        <f t="shared" si="133"/>
        <v>694.01380531790221</v>
      </c>
      <c r="W312" s="43">
        <f t="shared" si="134"/>
        <v>694.01380531790221</v>
      </c>
      <c r="X312" s="43">
        <f t="shared" si="135"/>
        <v>694.01380531790221</v>
      </c>
      <c r="Y312" s="43">
        <f t="shared" si="136"/>
        <v>694.01380531790221</v>
      </c>
      <c r="Z312" s="43">
        <f t="shared" si="137"/>
        <v>694.01380531790221</v>
      </c>
      <c r="AB312" s="43">
        <f t="shared" si="114"/>
        <v>8813.9753275373587</v>
      </c>
      <c r="AC312" s="43">
        <f t="shared" si="115"/>
        <v>7702.8226981810121</v>
      </c>
      <c r="AD312" s="43">
        <f t="shared" si="116"/>
        <v>6743.7225338944809</v>
      </c>
      <c r="AE312" s="43">
        <f t="shared" si="117"/>
        <v>6564.7370685519772</v>
      </c>
      <c r="AF312" s="43">
        <f t="shared" si="118"/>
        <v>6564.7370685519772</v>
      </c>
      <c r="AH312" s="43">
        <f t="shared" si="119"/>
        <v>57117.336177663346</v>
      </c>
      <c r="AI312" s="43">
        <f t="shared" si="120"/>
        <v>49414.513479482332</v>
      </c>
      <c r="AJ312" s="43">
        <f t="shared" si="121"/>
        <v>42670.790945587854</v>
      </c>
      <c r="AK312" s="43">
        <f t="shared" si="122"/>
        <v>36106.053877035876</v>
      </c>
      <c r="AL312" s="43">
        <f t="shared" si="123"/>
        <v>29541.316808483898</v>
      </c>
      <c r="AN312" s="47">
        <f t="shared" si="124"/>
        <v>11155.786110821557</v>
      </c>
      <c r="AO312" s="47">
        <f t="shared" si="125"/>
        <v>10222.96288563461</v>
      </c>
      <c r="AP312" s="47">
        <f t="shared" si="126"/>
        <v>8919.9328721194615</v>
      </c>
      <c r="AQ312" s="47">
        <f t="shared" si="127"/>
        <v>8550.5700317889496</v>
      </c>
      <c r="AR312" s="43">
        <f t="shared" si="128"/>
        <v>7687.3071072743651</v>
      </c>
      <c r="AS312" s="121"/>
      <c r="AT312" s="121"/>
      <c r="AU312" s="121"/>
      <c r="AV312" s="121"/>
      <c r="AW312" s="121"/>
      <c r="AX312" s="121"/>
    </row>
    <row r="313" spans="1:50" s="89" customFormat="1">
      <c r="A313" s="226"/>
      <c r="B313" s="37">
        <f>'13. Desinvesteringen'!B596</f>
        <v>577</v>
      </c>
      <c r="C313" s="331"/>
      <c r="D313" s="331"/>
      <c r="E313" s="331"/>
      <c r="F313" s="354">
        <f>'5. Input GAW-waarde desinv.'!D272</f>
        <v>24863.217055860056</v>
      </c>
      <c r="G313" s="175">
        <f>'13. Desinvesteringen'!D596</f>
        <v>2007</v>
      </c>
      <c r="H313" s="175">
        <f>'13. Desinvesteringen'!G596</f>
        <v>2024</v>
      </c>
      <c r="I313" s="37" t="str">
        <f>'13. Desinvesteringen'!C596</f>
        <v>02 Gasontvangststations</v>
      </c>
      <c r="J313" s="165">
        <f>'13. Desinvesteringen'!F596</f>
        <v>0</v>
      </c>
      <c r="K313" s="38">
        <f>_xlfn.XLOOKUP(I313,'3. Input (des)investeringen '!$B$11:$B$89,'3. Input (des)investeringen '!$E$11:$E$89)</f>
        <v>0</v>
      </c>
      <c r="L313" s="331"/>
      <c r="M313" s="38">
        <f>_xlfn.XLOOKUP(I313,'3. Input (des)investeringen '!$B$11:$B$89,'3. Input (des)investeringen '!$D$11:$D$89,0)</f>
        <v>30</v>
      </c>
      <c r="N313" s="38">
        <f t="shared" si="113"/>
        <v>15.5</v>
      </c>
      <c r="P313" s="43">
        <f t="shared" si="138"/>
        <v>1876.7718680875012</v>
      </c>
      <c r="Q313" s="43">
        <f t="shared" si="138"/>
        <v>1719.3651952801622</v>
      </c>
      <c r="R313" s="43">
        <f t="shared" si="138"/>
        <v>1575.1603724502131</v>
      </c>
      <c r="S313" s="43">
        <f t="shared" si="138"/>
        <v>1443.0501476640661</v>
      </c>
      <c r="T313" s="43">
        <f t="shared" si="138"/>
        <v>1370.6563275471397</v>
      </c>
      <c r="V313" s="43">
        <f t="shared" si="133"/>
        <v>160.40785197329069</v>
      </c>
      <c r="W313" s="43">
        <f t="shared" si="134"/>
        <v>160.40785197329069</v>
      </c>
      <c r="X313" s="43">
        <f t="shared" si="135"/>
        <v>160.40785197329069</v>
      </c>
      <c r="Y313" s="43">
        <f t="shared" si="136"/>
        <v>160.40785197329069</v>
      </c>
      <c r="Z313" s="43">
        <f t="shared" si="137"/>
        <v>160.40785197329069</v>
      </c>
      <c r="AB313" s="43">
        <f t="shared" si="114"/>
        <v>2037.1797200607919</v>
      </c>
      <c r="AC313" s="43">
        <f t="shared" si="115"/>
        <v>1879.7730472534529</v>
      </c>
      <c r="AD313" s="43">
        <f t="shared" si="116"/>
        <v>1735.5682244235038</v>
      </c>
      <c r="AE313" s="43">
        <f t="shared" si="117"/>
        <v>1603.4579996373568</v>
      </c>
      <c r="AF313" s="43">
        <f t="shared" si="118"/>
        <v>1531.0641795204303</v>
      </c>
      <c r="AH313" s="43">
        <f t="shared" si="119"/>
        <v>22826.037335799265</v>
      </c>
      <c r="AI313" s="43">
        <f t="shared" si="120"/>
        <v>20946.264288545812</v>
      </c>
      <c r="AJ313" s="43">
        <f t="shared" si="121"/>
        <v>19210.696064122309</v>
      </c>
      <c r="AK313" s="43">
        <f t="shared" si="122"/>
        <v>17607.238064484951</v>
      </c>
      <c r="AL313" s="43">
        <f t="shared" si="123"/>
        <v>16076.173884964521</v>
      </c>
      <c r="AN313" s="47">
        <f t="shared" si="124"/>
        <v>2973.047250828562</v>
      </c>
      <c r="AO313" s="47">
        <f t="shared" si="125"/>
        <v>2948.0325259692891</v>
      </c>
      <c r="AP313" s="47">
        <f t="shared" si="126"/>
        <v>2715.3137236937414</v>
      </c>
      <c r="AQ313" s="47">
        <f t="shared" si="127"/>
        <v>2571.8560931840293</v>
      </c>
      <c r="AR313" s="43">
        <f t="shared" si="128"/>
        <v>2141.9587871490821</v>
      </c>
      <c r="AS313" s="121"/>
      <c r="AT313" s="121"/>
      <c r="AU313" s="121"/>
      <c r="AV313" s="121"/>
      <c r="AW313" s="121"/>
      <c r="AX313" s="121"/>
    </row>
    <row r="314" spans="1:50" s="89" customFormat="1">
      <c r="A314" s="226"/>
      <c r="B314" s="37">
        <f>'13. Desinvesteringen'!B597</f>
        <v>578</v>
      </c>
      <c r="C314" s="331"/>
      <c r="D314" s="331"/>
      <c r="E314" s="331"/>
      <c r="F314" s="354">
        <f>'5. Input GAW-waarde desinv.'!D273</f>
        <v>21467.5396328608</v>
      </c>
      <c r="G314" s="175">
        <f>'13. Desinvesteringen'!D597</f>
        <v>2010</v>
      </c>
      <c r="H314" s="175">
        <f>'13. Desinvesteringen'!G597</f>
        <v>2024</v>
      </c>
      <c r="I314" s="37" t="str">
        <f>'13. Desinvesteringen'!C597</f>
        <v>02 Gasontvangststations</v>
      </c>
      <c r="J314" s="165">
        <f>'13. Desinvesteringen'!F597</f>
        <v>0</v>
      </c>
      <c r="K314" s="38">
        <f>_xlfn.XLOOKUP(I314,'3. Input (des)investeringen '!$B$11:$B$89,'3. Input (des)investeringen '!$E$11:$E$89)</f>
        <v>0</v>
      </c>
      <c r="L314" s="331"/>
      <c r="M314" s="38">
        <f>_xlfn.XLOOKUP(I314,'3. Input (des)investeringen '!$B$11:$B$89,'3. Input (des)investeringen '!$D$11:$D$89,0)</f>
        <v>30</v>
      </c>
      <c r="N314" s="38">
        <f t="shared" si="113"/>
        <v>18.5</v>
      </c>
      <c r="P314" s="43">
        <f t="shared" si="138"/>
        <v>1357.6768308349804</v>
      </c>
      <c r="Q314" s="43">
        <f t="shared" si="138"/>
        <v>1262.2725129925225</v>
      </c>
      <c r="R314" s="43">
        <f t="shared" si="138"/>
        <v>1173.5722823498047</v>
      </c>
      <c r="S314" s="43">
        <f t="shared" si="138"/>
        <v>1091.1050408873859</v>
      </c>
      <c r="T314" s="43">
        <f t="shared" si="138"/>
        <v>1014.4327947709753</v>
      </c>
      <c r="V314" s="43">
        <f t="shared" si="133"/>
        <v>116.04075477222055</v>
      </c>
      <c r="W314" s="43">
        <f t="shared" si="134"/>
        <v>116.04075477222055</v>
      </c>
      <c r="X314" s="43">
        <f t="shared" si="135"/>
        <v>116.04075477222055</v>
      </c>
      <c r="Y314" s="43">
        <f t="shared" si="136"/>
        <v>116.04075477222055</v>
      </c>
      <c r="Z314" s="43">
        <f t="shared" si="137"/>
        <v>116.04075477222055</v>
      </c>
      <c r="AB314" s="43">
        <f t="shared" si="114"/>
        <v>1473.7175856072008</v>
      </c>
      <c r="AC314" s="43">
        <f t="shared" si="115"/>
        <v>1378.3132677647429</v>
      </c>
      <c r="AD314" s="43">
        <f t="shared" si="116"/>
        <v>1289.6130371220252</v>
      </c>
      <c r="AE314" s="43">
        <f t="shared" si="117"/>
        <v>1207.1457956596064</v>
      </c>
      <c r="AF314" s="43">
        <f t="shared" si="118"/>
        <v>1130.4735495431958</v>
      </c>
      <c r="AH314" s="43">
        <f t="shared" si="119"/>
        <v>19993.822047253598</v>
      </c>
      <c r="AI314" s="43">
        <f t="shared" si="120"/>
        <v>18615.508779488853</v>
      </c>
      <c r="AJ314" s="43">
        <f t="shared" si="121"/>
        <v>17325.895742366829</v>
      </c>
      <c r="AK314" s="43">
        <f t="shared" si="122"/>
        <v>16118.749946707223</v>
      </c>
      <c r="AL314" s="43">
        <f t="shared" si="123"/>
        <v>14988.276397164027</v>
      </c>
      <c r="AN314" s="47">
        <f t="shared" si="124"/>
        <v>2293.4642895445986</v>
      </c>
      <c r="AO314" s="47">
        <f t="shared" si="125"/>
        <v>2327.7042155186746</v>
      </c>
      <c r="AP314" s="47">
        <f t="shared" si="126"/>
        <v>2173.2337199827334</v>
      </c>
      <c r="AQ314" s="47">
        <f t="shared" si="127"/>
        <v>2093.6770427285037</v>
      </c>
      <c r="AR314" s="43">
        <f t="shared" si="128"/>
        <v>1700.0280526354288</v>
      </c>
      <c r="AS314" s="121"/>
      <c r="AT314" s="121"/>
      <c r="AU314" s="121"/>
      <c r="AV314" s="121"/>
      <c r="AW314" s="121"/>
      <c r="AX314" s="121"/>
    </row>
    <row r="315" spans="1:50" s="89" customFormat="1">
      <c r="A315" s="226"/>
      <c r="B315" s="37">
        <f>'13. Desinvesteringen'!B598</f>
        <v>579</v>
      </c>
      <c r="C315" s="331"/>
      <c r="D315" s="331"/>
      <c r="E315" s="331"/>
      <c r="F315" s="354">
        <f>'5. Input GAW-waarde desinv.'!D274</f>
        <v>83136.628234360018</v>
      </c>
      <c r="G315" s="175">
        <f>'13. Desinvesteringen'!D598</f>
        <v>2011</v>
      </c>
      <c r="H315" s="175">
        <f>'13. Desinvesteringen'!G598</f>
        <v>2024</v>
      </c>
      <c r="I315" s="37" t="str">
        <f>'13. Desinvesteringen'!C598</f>
        <v>02 Gasontvangststations</v>
      </c>
      <c r="J315" s="165">
        <f>'13. Desinvesteringen'!F598</f>
        <v>0</v>
      </c>
      <c r="K315" s="38">
        <f>_xlfn.XLOOKUP(I315,'3. Input (des)investeringen '!$B$11:$B$89,'3. Input (des)investeringen '!$E$11:$E$89)</f>
        <v>0</v>
      </c>
      <c r="L315" s="331"/>
      <c r="M315" s="38">
        <f>_xlfn.XLOOKUP(I315,'3. Input (des)investeringen '!$B$11:$B$89,'3. Input (des)investeringen '!$D$11:$D$89,0)</f>
        <v>30</v>
      </c>
      <c r="N315" s="38">
        <f t="shared" si="113"/>
        <v>19.5</v>
      </c>
      <c r="P315" s="43">
        <f t="shared" si="138"/>
        <v>4988.1976940616014</v>
      </c>
      <c r="Q315" s="43">
        <f t="shared" si="138"/>
        <v>4655.6511811241608</v>
      </c>
      <c r="R315" s="43">
        <f t="shared" si="138"/>
        <v>4345.2744357158836</v>
      </c>
      <c r="S315" s="43">
        <f t="shared" si="138"/>
        <v>4055.589473334825</v>
      </c>
      <c r="T315" s="43">
        <f t="shared" si="138"/>
        <v>3785.21684177917</v>
      </c>
      <c r="V315" s="43">
        <f t="shared" si="133"/>
        <v>426.34168325312834</v>
      </c>
      <c r="W315" s="43">
        <f t="shared" si="134"/>
        <v>426.34168325312834</v>
      </c>
      <c r="X315" s="43">
        <f t="shared" si="135"/>
        <v>426.34168325312834</v>
      </c>
      <c r="Y315" s="43">
        <f t="shared" si="136"/>
        <v>426.34168325312834</v>
      </c>
      <c r="Z315" s="43">
        <f t="shared" si="137"/>
        <v>426.34168325312834</v>
      </c>
      <c r="AB315" s="43">
        <f t="shared" si="114"/>
        <v>5414.5393773147298</v>
      </c>
      <c r="AC315" s="43">
        <f t="shared" si="115"/>
        <v>5081.9928643772892</v>
      </c>
      <c r="AD315" s="43">
        <f t="shared" si="116"/>
        <v>4771.6161189690119</v>
      </c>
      <c r="AE315" s="43">
        <f t="shared" si="117"/>
        <v>4481.9311565879534</v>
      </c>
      <c r="AF315" s="43">
        <f t="shared" si="118"/>
        <v>4211.5585250322983</v>
      </c>
      <c r="AH315" s="43">
        <f t="shared" si="119"/>
        <v>77722.088857045281</v>
      </c>
      <c r="AI315" s="43">
        <f t="shared" si="120"/>
        <v>72640.095992667993</v>
      </c>
      <c r="AJ315" s="43">
        <f t="shared" si="121"/>
        <v>67868.479873698976</v>
      </c>
      <c r="AK315" s="43">
        <f t="shared" si="122"/>
        <v>63386.548717111022</v>
      </c>
      <c r="AL315" s="43">
        <f t="shared" si="123"/>
        <v>59174.990192078723</v>
      </c>
      <c r="AN315" s="47">
        <f t="shared" si="124"/>
        <v>8601.1450204535868</v>
      </c>
      <c r="AO315" s="47">
        <f t="shared" si="125"/>
        <v>8786.6377600033557</v>
      </c>
      <c r="AP315" s="47">
        <f t="shared" si="126"/>
        <v>8232.9085925276595</v>
      </c>
      <c r="AQ315" s="47">
        <f t="shared" si="127"/>
        <v>7968.19133602906</v>
      </c>
      <c r="AR315" s="43">
        <f t="shared" si="128"/>
        <v>6460.20815233129</v>
      </c>
      <c r="AS315" s="121"/>
      <c r="AT315" s="121"/>
      <c r="AU315" s="121"/>
      <c r="AV315" s="121"/>
      <c r="AW315" s="121"/>
      <c r="AX315" s="121"/>
    </row>
    <row r="316" spans="1:50" s="89" customFormat="1">
      <c r="A316" s="226"/>
      <c r="B316" s="37">
        <f>'13. Desinvesteringen'!B599</f>
        <v>580</v>
      </c>
      <c r="C316" s="331"/>
      <c r="D316" s="331"/>
      <c r="E316" s="331"/>
      <c r="F316" s="354">
        <f>'5. Input GAW-waarde desinv.'!D275</f>
        <v>41879.587518857079</v>
      </c>
      <c r="G316" s="175">
        <f>'13. Desinvesteringen'!D599</f>
        <v>2017</v>
      </c>
      <c r="H316" s="175">
        <f>'13. Desinvesteringen'!G599</f>
        <v>2024</v>
      </c>
      <c r="I316" s="37" t="str">
        <f>'13. Desinvesteringen'!C599</f>
        <v>02 Gasontvangststations</v>
      </c>
      <c r="J316" s="165">
        <f>'13. Desinvesteringen'!F599</f>
        <v>0</v>
      </c>
      <c r="K316" s="38">
        <f>_xlfn.XLOOKUP(I316,'3. Input (des)investeringen '!$B$11:$B$89,'3. Input (des)investeringen '!$E$11:$E$89)</f>
        <v>0</v>
      </c>
      <c r="L316" s="331"/>
      <c r="M316" s="38">
        <f>_xlfn.XLOOKUP(I316,'3. Input (des)investeringen '!$B$11:$B$89,'3. Input (des)investeringen '!$D$11:$D$89,0)</f>
        <v>30</v>
      </c>
      <c r="N316" s="38">
        <f t="shared" si="113"/>
        <v>25.5</v>
      </c>
      <c r="P316" s="43">
        <f t="shared" si="138"/>
        <v>1921.5340155710896</v>
      </c>
      <c r="Q316" s="43">
        <f t="shared" si="138"/>
        <v>1823.5734579145239</v>
      </c>
      <c r="R316" s="43">
        <f t="shared" si="138"/>
        <v>1730.6069679031953</v>
      </c>
      <c r="S316" s="43">
        <f t="shared" si="138"/>
        <v>1642.3799460100909</v>
      </c>
      <c r="T316" s="43">
        <f t="shared" si="138"/>
        <v>1558.6507722919293</v>
      </c>
      <c r="V316" s="43">
        <f t="shared" si="133"/>
        <v>164.23367654453759</v>
      </c>
      <c r="W316" s="43">
        <f t="shared" si="134"/>
        <v>164.23367654453759</v>
      </c>
      <c r="X316" s="43">
        <f t="shared" si="135"/>
        <v>164.23367654453759</v>
      </c>
      <c r="Y316" s="43">
        <f t="shared" si="136"/>
        <v>164.23367654453759</v>
      </c>
      <c r="Z316" s="43">
        <f t="shared" si="137"/>
        <v>164.23367654453759</v>
      </c>
      <c r="AB316" s="43">
        <f t="shared" si="114"/>
        <v>2085.7676921156271</v>
      </c>
      <c r="AC316" s="43">
        <f t="shared" si="115"/>
        <v>1987.8071344590614</v>
      </c>
      <c r="AD316" s="43">
        <f t="shared" si="116"/>
        <v>1894.8406444477328</v>
      </c>
      <c r="AE316" s="43">
        <f t="shared" si="117"/>
        <v>1806.6136225546284</v>
      </c>
      <c r="AF316" s="43">
        <f t="shared" si="118"/>
        <v>1722.8844488364668</v>
      </c>
      <c r="AH316" s="43">
        <f t="shared" si="119"/>
        <v>39793.819826741455</v>
      </c>
      <c r="AI316" s="43">
        <f t="shared" si="120"/>
        <v>37806.012692282391</v>
      </c>
      <c r="AJ316" s="43">
        <f t="shared" si="121"/>
        <v>35911.172047834661</v>
      </c>
      <c r="AK316" s="43">
        <f t="shared" si="122"/>
        <v>34104.558425280033</v>
      </c>
      <c r="AL316" s="43">
        <f t="shared" si="123"/>
        <v>32381.673976443566</v>
      </c>
      <c r="AN316" s="47">
        <f t="shared" si="124"/>
        <v>3717.314305012027</v>
      </c>
      <c r="AO316" s="47">
        <f t="shared" si="125"/>
        <v>3915.9137817654632</v>
      </c>
      <c r="AP316" s="47">
        <f t="shared" si="126"/>
        <v>3726.3104188873003</v>
      </c>
      <c r="AQ316" s="47">
        <f t="shared" si="127"/>
        <v>3682.3643359450302</v>
      </c>
      <c r="AR316" s="43">
        <f t="shared" si="128"/>
        <v>2953.3880599413224</v>
      </c>
      <c r="AS316" s="121"/>
      <c r="AT316" s="121"/>
      <c r="AU316" s="121"/>
      <c r="AV316" s="121"/>
      <c r="AW316" s="121"/>
      <c r="AX316" s="121"/>
    </row>
    <row r="317" spans="1:50" s="89" customFormat="1">
      <c r="A317" s="226"/>
      <c r="B317" s="37">
        <f>'13. Desinvesteringen'!B600</f>
        <v>581</v>
      </c>
      <c r="C317" s="331"/>
      <c r="D317" s="331"/>
      <c r="E317" s="331"/>
      <c r="F317" s="354">
        <f>'5. Input GAW-waarde desinv.'!D276</f>
        <v>16441.216799999998</v>
      </c>
      <c r="G317" s="175">
        <f>'13. Desinvesteringen'!D600</f>
        <v>2020</v>
      </c>
      <c r="H317" s="175">
        <f>'13. Desinvesteringen'!G600</f>
        <v>2024</v>
      </c>
      <c r="I317" s="37" t="str">
        <f>'13. Desinvesteringen'!C600</f>
        <v>02 Gasontvangststations</v>
      </c>
      <c r="J317" s="165">
        <f>'13. Desinvesteringen'!F600</f>
        <v>0</v>
      </c>
      <c r="K317" s="38">
        <f>_xlfn.XLOOKUP(I317,'3. Input (des)investeringen '!$B$11:$B$89,'3. Input (des)investeringen '!$E$11:$E$89)</f>
        <v>0</v>
      </c>
      <c r="L317" s="331"/>
      <c r="M317" s="38">
        <f>_xlfn.XLOOKUP(I317,'3. Input (des)investeringen '!$B$11:$B$89,'3. Input (des)investeringen '!$D$11:$D$89,0)</f>
        <v>30</v>
      </c>
      <c r="N317" s="38">
        <f t="shared" si="113"/>
        <v>28.5</v>
      </c>
      <c r="P317" s="43">
        <f t="shared" si="138"/>
        <v>674.95521600000006</v>
      </c>
      <c r="Q317" s="43">
        <f t="shared" si="138"/>
        <v>644.16778509473681</v>
      </c>
      <c r="R317" s="43">
        <f t="shared" si="138"/>
        <v>614.78469314304709</v>
      </c>
      <c r="S317" s="43">
        <f t="shared" si="138"/>
        <v>586.74188257862738</v>
      </c>
      <c r="T317" s="43">
        <f t="shared" si="138"/>
        <v>559.97821775925138</v>
      </c>
      <c r="V317" s="43">
        <f t="shared" si="133"/>
        <v>57.688479999999998</v>
      </c>
      <c r="W317" s="43">
        <f t="shared" si="134"/>
        <v>57.688479999999998</v>
      </c>
      <c r="X317" s="43">
        <f t="shared" si="135"/>
        <v>57.688479999999998</v>
      </c>
      <c r="Y317" s="43">
        <f t="shared" si="136"/>
        <v>57.688479999999998</v>
      </c>
      <c r="Z317" s="43">
        <f t="shared" si="137"/>
        <v>57.688479999999998</v>
      </c>
      <c r="AB317" s="43">
        <f t="shared" si="114"/>
        <v>732.64369600000009</v>
      </c>
      <c r="AC317" s="43">
        <f t="shared" si="115"/>
        <v>701.85626509473684</v>
      </c>
      <c r="AD317" s="43">
        <f t="shared" si="116"/>
        <v>672.47317314304712</v>
      </c>
      <c r="AE317" s="43">
        <f t="shared" si="117"/>
        <v>644.43036257862741</v>
      </c>
      <c r="AF317" s="43">
        <f t="shared" si="118"/>
        <v>617.66669775925141</v>
      </c>
      <c r="AH317" s="43">
        <f t="shared" si="119"/>
        <v>15708.573103999999</v>
      </c>
      <c r="AI317" s="43">
        <f t="shared" si="120"/>
        <v>15006.716838905262</v>
      </c>
      <c r="AJ317" s="43">
        <f t="shared" si="121"/>
        <v>14334.243665762215</v>
      </c>
      <c r="AK317" s="43">
        <f t="shared" si="122"/>
        <v>13689.813303183588</v>
      </c>
      <c r="AL317" s="43">
        <f t="shared" si="123"/>
        <v>13072.146605424336</v>
      </c>
      <c r="AN317" s="47">
        <f t="shared" si="124"/>
        <v>1376.695193264</v>
      </c>
      <c r="AO317" s="47">
        <f t="shared" si="125"/>
        <v>1467.1988238789052</v>
      </c>
      <c r="AP317" s="47">
        <f t="shared" si="126"/>
        <v>1403.5196000969199</v>
      </c>
      <c r="AQ317" s="47">
        <f t="shared" si="127"/>
        <v>1397.3700942537248</v>
      </c>
      <c r="AR317" s="43">
        <f t="shared" si="128"/>
        <v>1114.4082687653761</v>
      </c>
      <c r="AS317" s="121"/>
      <c r="AT317" s="121"/>
      <c r="AU317" s="121"/>
      <c r="AV317" s="121"/>
      <c r="AW317" s="121"/>
      <c r="AX317" s="121"/>
    </row>
    <row r="318" spans="1:50" s="89" customFormat="1">
      <c r="A318" s="226"/>
      <c r="B318" s="37">
        <f>'13. Desinvesteringen'!B601</f>
        <v>582</v>
      </c>
      <c r="C318" s="331"/>
      <c r="D318" s="331"/>
      <c r="E318" s="331"/>
      <c r="F318" s="354">
        <f>'5. Input GAW-waarde desinv.'!D277</f>
        <v>0</v>
      </c>
      <c r="G318" s="175">
        <f>'13. Desinvesteringen'!D601</f>
        <v>1998</v>
      </c>
      <c r="H318" s="175">
        <f>'13. Desinvesteringen'!G601</f>
        <v>2024</v>
      </c>
      <c r="I318" s="37" t="str">
        <f>'13. Desinvesteringen'!C601</f>
        <v>03 Verremeting</v>
      </c>
      <c r="J318" s="165">
        <f>'13. Desinvesteringen'!F601</f>
        <v>0</v>
      </c>
      <c r="K318" s="38">
        <f>_xlfn.XLOOKUP(I318,'3. Input (des)investeringen '!$B$11:$B$89,'3. Input (des)investeringen '!$E$11:$E$89)</f>
        <v>1</v>
      </c>
      <c r="L318" s="331"/>
      <c r="M318" s="38">
        <f>_xlfn.XLOOKUP(I318,'3. Input (des)investeringen '!$B$11:$B$89,'3. Input (des)investeringen '!$D$11:$D$89,0)</f>
        <v>5</v>
      </c>
      <c r="N318" s="38">
        <f t="shared" si="113"/>
        <v>0</v>
      </c>
      <c r="P318" s="43">
        <f t="shared" si="138"/>
        <v>0</v>
      </c>
      <c r="Q318" s="43">
        <f t="shared" si="138"/>
        <v>0</v>
      </c>
      <c r="R318" s="43">
        <f t="shared" si="138"/>
        <v>0</v>
      </c>
      <c r="S318" s="43">
        <f t="shared" si="138"/>
        <v>0</v>
      </c>
      <c r="T318" s="43">
        <f t="shared" si="138"/>
        <v>0</v>
      </c>
      <c r="V318" s="43">
        <f t="shared" si="133"/>
        <v>0</v>
      </c>
      <c r="W318" s="43">
        <f t="shared" si="134"/>
        <v>0</v>
      </c>
      <c r="X318" s="43">
        <f t="shared" si="135"/>
        <v>0</v>
      </c>
      <c r="Y318" s="43">
        <f t="shared" si="136"/>
        <v>0</v>
      </c>
      <c r="Z318" s="43">
        <f t="shared" si="137"/>
        <v>0</v>
      </c>
      <c r="AB318" s="43">
        <f t="shared" si="114"/>
        <v>0</v>
      </c>
      <c r="AC318" s="43">
        <f t="shared" si="115"/>
        <v>0</v>
      </c>
      <c r="AD318" s="43">
        <f t="shared" si="116"/>
        <v>0</v>
      </c>
      <c r="AE318" s="43">
        <f t="shared" si="117"/>
        <v>0</v>
      </c>
      <c r="AF318" s="43">
        <f t="shared" si="118"/>
        <v>0</v>
      </c>
      <c r="AH318" s="43">
        <f t="shared" si="119"/>
        <v>0</v>
      </c>
      <c r="AI318" s="43">
        <f t="shared" si="120"/>
        <v>0</v>
      </c>
      <c r="AJ318" s="43">
        <f t="shared" si="121"/>
        <v>0</v>
      </c>
      <c r="AK318" s="43">
        <f t="shared" si="122"/>
        <v>0</v>
      </c>
      <c r="AL318" s="43">
        <f t="shared" si="123"/>
        <v>0</v>
      </c>
      <c r="AN318" s="47">
        <f t="shared" si="124"/>
        <v>0</v>
      </c>
      <c r="AO318" s="47">
        <f t="shared" si="125"/>
        <v>0</v>
      </c>
      <c r="AP318" s="47">
        <f t="shared" si="126"/>
        <v>0</v>
      </c>
      <c r="AQ318" s="47">
        <f t="shared" si="127"/>
        <v>0</v>
      </c>
      <c r="AR318" s="43">
        <f t="shared" si="128"/>
        <v>0</v>
      </c>
      <c r="AS318" s="121"/>
      <c r="AT318" s="121"/>
      <c r="AU318" s="121"/>
      <c r="AV318" s="121"/>
      <c r="AW318" s="121"/>
      <c r="AX318" s="121"/>
    </row>
    <row r="319" spans="1:50" s="89" customFormat="1">
      <c r="A319" s="226"/>
      <c r="B319" s="37">
        <f>'13. Desinvesteringen'!B602</f>
        <v>583</v>
      </c>
      <c r="C319" s="331"/>
      <c r="D319" s="331"/>
      <c r="E319" s="331"/>
      <c r="F319" s="354">
        <f>'5. Input GAW-waarde desinv.'!D278</f>
        <v>156251.04854529988</v>
      </c>
      <c r="G319" s="175">
        <f>'13. Desinvesteringen'!D602</f>
        <v>1996</v>
      </c>
      <c r="H319" s="175">
        <f>'13. Desinvesteringen'!G602</f>
        <v>2024</v>
      </c>
      <c r="I319" s="37" t="str">
        <f>'13. Desinvesteringen'!C602</f>
        <v>06 Utiliteitsgebouwen</v>
      </c>
      <c r="J319" s="165">
        <f>'13. Desinvesteringen'!F602</f>
        <v>0</v>
      </c>
      <c r="K319" s="38">
        <f>_xlfn.XLOOKUP(I319,'3. Input (des)investeringen '!$B$11:$B$89,'3. Input (des)investeringen '!$E$11:$E$89)</f>
        <v>0</v>
      </c>
      <c r="L319" s="331"/>
      <c r="M319" s="38">
        <f>_xlfn.XLOOKUP(I319,'3. Input (des)investeringen '!$B$11:$B$89,'3. Input (des)investeringen '!$D$11:$D$89,0)</f>
        <v>30</v>
      </c>
      <c r="N319" s="38">
        <f t="shared" si="113"/>
        <v>4.5</v>
      </c>
      <c r="P319" s="43">
        <f t="shared" si="138"/>
        <v>40625.272621777971</v>
      </c>
      <c r="Q319" s="43">
        <f t="shared" si="138"/>
        <v>28889.082753264338</v>
      </c>
      <c r="R319" s="43">
        <f t="shared" si="138"/>
        <v>28444.635326291038</v>
      </c>
      <c r="S319" s="43">
        <f t="shared" si="138"/>
        <v>28444.635326291038</v>
      </c>
      <c r="T319" s="43">
        <f t="shared" si="138"/>
        <v>14222.317663145519</v>
      </c>
      <c r="V319" s="43">
        <f t="shared" si="133"/>
        <v>3472.2455232288867</v>
      </c>
      <c r="W319" s="43">
        <f t="shared" si="134"/>
        <v>3472.2455232288867</v>
      </c>
      <c r="X319" s="43">
        <f t="shared" si="135"/>
        <v>3472.2455232288867</v>
      </c>
      <c r="Y319" s="43">
        <f t="shared" si="136"/>
        <v>3472.2455232288867</v>
      </c>
      <c r="Z319" s="43">
        <f t="shared" si="137"/>
        <v>1736.1227616144433</v>
      </c>
      <c r="AB319" s="43">
        <f t="shared" si="114"/>
        <v>44097.518145006856</v>
      </c>
      <c r="AC319" s="43">
        <f t="shared" si="115"/>
        <v>32361.328276493223</v>
      </c>
      <c r="AD319" s="43">
        <f t="shared" si="116"/>
        <v>31916.880849519926</v>
      </c>
      <c r="AE319" s="43">
        <f t="shared" si="117"/>
        <v>31916.880849519926</v>
      </c>
      <c r="AF319" s="43">
        <f t="shared" si="118"/>
        <v>15958.440424759963</v>
      </c>
      <c r="AH319" s="43">
        <f t="shared" si="119"/>
        <v>112153.53040029304</v>
      </c>
      <c r="AI319" s="43">
        <f t="shared" si="120"/>
        <v>79792.202123799812</v>
      </c>
      <c r="AJ319" s="43">
        <f t="shared" si="121"/>
        <v>47875.321274279886</v>
      </c>
      <c r="AK319" s="43">
        <f t="shared" si="122"/>
        <v>15958.44042475996</v>
      </c>
      <c r="AL319" s="43">
        <f t="shared" si="123"/>
        <v>0</v>
      </c>
      <c r="AN319" s="47">
        <f t="shared" si="124"/>
        <v>48695.812891418871</v>
      </c>
      <c r="AO319" s="47">
        <f t="shared" si="125"/>
        <v>36430.73058480701</v>
      </c>
      <c r="AP319" s="47">
        <f t="shared" si="126"/>
        <v>34358.5222345082</v>
      </c>
      <c r="AQ319" s="47">
        <f t="shared" si="127"/>
        <v>32794.595072881726</v>
      </c>
      <c r="AR319" s="43">
        <f t="shared" si="128"/>
        <v>15958.440424759963</v>
      </c>
      <c r="AS319" s="121"/>
      <c r="AT319" s="121"/>
      <c r="AU319" s="121"/>
      <c r="AV319" s="121"/>
      <c r="AW319" s="121"/>
      <c r="AX319" s="121"/>
    </row>
    <row r="320" spans="1:50" s="89" customFormat="1">
      <c r="A320" s="226"/>
      <c r="B320" s="37">
        <f>'13. Desinvesteringen'!B603</f>
        <v>584</v>
      </c>
      <c r="C320" s="331"/>
      <c r="D320" s="331"/>
      <c r="E320" s="331"/>
      <c r="F320" s="354">
        <f>'5. Input GAW-waarde desinv.'!D279</f>
        <v>571344.07191404735</v>
      </c>
      <c r="G320" s="175">
        <f>'13. Desinvesteringen'!D603</f>
        <v>1998</v>
      </c>
      <c r="H320" s="175">
        <f>'13. Desinvesteringen'!G603</f>
        <v>2024</v>
      </c>
      <c r="I320" s="37" t="str">
        <f>'13. Desinvesteringen'!C603</f>
        <v>06 Utiliteitsgebouwen</v>
      </c>
      <c r="J320" s="165">
        <f>'13. Desinvesteringen'!F603</f>
        <v>0</v>
      </c>
      <c r="K320" s="38">
        <f>_xlfn.XLOOKUP(I320,'3. Input (des)investeringen '!$B$11:$B$89,'3. Input (des)investeringen '!$E$11:$E$89)</f>
        <v>0</v>
      </c>
      <c r="L320" s="331"/>
      <c r="M320" s="38">
        <f>_xlfn.XLOOKUP(I320,'3. Input (des)investeringen '!$B$11:$B$89,'3. Input (des)investeringen '!$D$11:$D$89,0)</f>
        <v>30</v>
      </c>
      <c r="N320" s="38">
        <f t="shared" si="113"/>
        <v>6.5</v>
      </c>
      <c r="P320" s="43">
        <f t="shared" si="138"/>
        <v>102841.93294452853</v>
      </c>
      <c r="Q320" s="43">
        <f t="shared" si="138"/>
        <v>82273.546355622835</v>
      </c>
      <c r="R320" s="43">
        <f t="shared" si="138"/>
        <v>73132.041204998066</v>
      </c>
      <c r="S320" s="43">
        <f t="shared" si="138"/>
        <v>73132.041204998066</v>
      </c>
      <c r="T320" s="43">
        <f t="shared" si="138"/>
        <v>73132.041204998066</v>
      </c>
      <c r="V320" s="43">
        <f t="shared" si="133"/>
        <v>8789.9087986776522</v>
      </c>
      <c r="W320" s="43">
        <f t="shared" si="134"/>
        <v>8789.9087986776522</v>
      </c>
      <c r="X320" s="43">
        <f t="shared" si="135"/>
        <v>8789.9087986776522</v>
      </c>
      <c r="Y320" s="43">
        <f t="shared" si="136"/>
        <v>8789.9087986776522</v>
      </c>
      <c r="Z320" s="43">
        <f t="shared" si="137"/>
        <v>8789.9087986776522</v>
      </c>
      <c r="AB320" s="43">
        <f t="shared" si="114"/>
        <v>111631.84174320618</v>
      </c>
      <c r="AC320" s="43">
        <f t="shared" si="115"/>
        <v>91063.455154300493</v>
      </c>
      <c r="AD320" s="43">
        <f t="shared" si="116"/>
        <v>81921.950003675724</v>
      </c>
      <c r="AE320" s="43">
        <f t="shared" si="117"/>
        <v>81921.950003675724</v>
      </c>
      <c r="AF320" s="43">
        <f t="shared" si="118"/>
        <v>81921.950003675724</v>
      </c>
      <c r="AH320" s="43">
        <f t="shared" si="119"/>
        <v>459712.23017084115</v>
      </c>
      <c r="AI320" s="43">
        <f t="shared" si="120"/>
        <v>368648.77501654066</v>
      </c>
      <c r="AJ320" s="43">
        <f t="shared" si="121"/>
        <v>286726.82501286495</v>
      </c>
      <c r="AK320" s="43">
        <f t="shared" si="122"/>
        <v>204804.87500918924</v>
      </c>
      <c r="AL320" s="43">
        <f t="shared" si="123"/>
        <v>122882.92500551352</v>
      </c>
      <c r="AN320" s="47">
        <f t="shared" si="124"/>
        <v>130480.04318021068</v>
      </c>
      <c r="AO320" s="47">
        <f t="shared" si="125"/>
        <v>109864.54268014406</v>
      </c>
      <c r="AP320" s="47">
        <f t="shared" si="126"/>
        <v>96545.018079331843</v>
      </c>
      <c r="AQ320" s="47">
        <f t="shared" si="127"/>
        <v>93186.218129181128</v>
      </c>
      <c r="AR320" s="43">
        <f t="shared" si="128"/>
        <v>86591.501153885241</v>
      </c>
      <c r="AS320" s="121"/>
      <c r="AT320" s="121"/>
      <c r="AU320" s="121"/>
      <c r="AV320" s="121"/>
      <c r="AW320" s="121"/>
      <c r="AX320" s="121"/>
    </row>
    <row r="321" spans="1:50" s="89" customFormat="1">
      <c r="A321" s="226"/>
      <c r="B321" s="37">
        <f>'13. Desinvesteringen'!B604</f>
        <v>585</v>
      </c>
      <c r="C321" s="331"/>
      <c r="D321" s="331"/>
      <c r="E321" s="331"/>
      <c r="F321" s="354">
        <f>'5. Input GAW-waarde desinv.'!D280</f>
        <v>16920.652386594666</v>
      </c>
      <c r="G321" s="175">
        <f>'13. Desinvesteringen'!D604</f>
        <v>2005</v>
      </c>
      <c r="H321" s="175">
        <f>'13. Desinvesteringen'!G604</f>
        <v>2024</v>
      </c>
      <c r="I321" s="37" t="str">
        <f>'13. Desinvesteringen'!C604</f>
        <v>06 Utiliteitsgebouwen</v>
      </c>
      <c r="J321" s="165">
        <f>'13. Desinvesteringen'!F604</f>
        <v>0</v>
      </c>
      <c r="K321" s="38">
        <f>_xlfn.XLOOKUP(I321,'3. Input (des)investeringen '!$B$11:$B$89,'3. Input (des)investeringen '!$E$11:$E$89)</f>
        <v>0</v>
      </c>
      <c r="L321" s="331"/>
      <c r="M321" s="38">
        <f>_xlfn.XLOOKUP(I321,'3. Input (des)investeringen '!$B$11:$B$89,'3. Input (des)investeringen '!$D$11:$D$89,0)</f>
        <v>30</v>
      </c>
      <c r="N321" s="38">
        <f t="shared" si="113"/>
        <v>13.5</v>
      </c>
      <c r="P321" s="43">
        <f t="shared" si="138"/>
        <v>1466.4565401715377</v>
      </c>
      <c r="Q321" s="43">
        <f t="shared" si="138"/>
        <v>1325.2422066735378</v>
      </c>
      <c r="R321" s="43">
        <f t="shared" si="138"/>
        <v>1197.6262904753453</v>
      </c>
      <c r="S321" s="43">
        <f t="shared" si="138"/>
        <v>1082.2993143554972</v>
      </c>
      <c r="T321" s="43">
        <f t="shared" si="138"/>
        <v>1069.1539785536086</v>
      </c>
      <c r="V321" s="43">
        <f t="shared" si="133"/>
        <v>125.33816582662715</v>
      </c>
      <c r="W321" s="43">
        <f t="shared" si="134"/>
        <v>125.33816582662718</v>
      </c>
      <c r="X321" s="43">
        <f t="shared" si="135"/>
        <v>125.33816582662718</v>
      </c>
      <c r="Y321" s="43">
        <f t="shared" si="136"/>
        <v>125.33816582662718</v>
      </c>
      <c r="Z321" s="43">
        <f t="shared" si="137"/>
        <v>125.33816582662718</v>
      </c>
      <c r="AB321" s="43">
        <f t="shared" si="114"/>
        <v>1591.7947059981648</v>
      </c>
      <c r="AC321" s="43">
        <f t="shared" si="115"/>
        <v>1450.5803725001649</v>
      </c>
      <c r="AD321" s="43">
        <f t="shared" si="116"/>
        <v>1322.9644563019724</v>
      </c>
      <c r="AE321" s="43">
        <f t="shared" si="117"/>
        <v>1207.6374801821244</v>
      </c>
      <c r="AF321" s="43">
        <f t="shared" si="118"/>
        <v>1194.4921443802357</v>
      </c>
      <c r="AH321" s="43">
        <f t="shared" si="119"/>
        <v>15328.8576805965</v>
      </c>
      <c r="AI321" s="43">
        <f t="shared" si="120"/>
        <v>13878.277308096336</v>
      </c>
      <c r="AJ321" s="43">
        <f t="shared" si="121"/>
        <v>12555.312851794364</v>
      </c>
      <c r="AK321" s="43">
        <f t="shared" si="122"/>
        <v>11347.67537161224</v>
      </c>
      <c r="AL321" s="43">
        <f t="shared" si="123"/>
        <v>10153.183227232004</v>
      </c>
      <c r="AN321" s="47">
        <f t="shared" si="124"/>
        <v>2220.2778709026215</v>
      </c>
      <c r="AO321" s="47">
        <f t="shared" si="125"/>
        <v>2158.3725152130783</v>
      </c>
      <c r="AP321" s="47">
        <f t="shared" si="126"/>
        <v>1963.2854117434849</v>
      </c>
      <c r="AQ321" s="47">
        <f t="shared" si="127"/>
        <v>1831.7596256207976</v>
      </c>
      <c r="AR321" s="43">
        <f t="shared" si="128"/>
        <v>1580.3131070150519</v>
      </c>
      <c r="AS321" s="121"/>
      <c r="AT321" s="121"/>
      <c r="AU321" s="121"/>
      <c r="AV321" s="121"/>
      <c r="AW321" s="121"/>
      <c r="AX321" s="121"/>
    </row>
    <row r="322" spans="1:50" s="89" customFormat="1">
      <c r="A322" s="226"/>
      <c r="B322" s="37">
        <f>'13. Desinvesteringen'!B605</f>
        <v>586</v>
      </c>
      <c r="C322" s="331"/>
      <c r="D322" s="331"/>
      <c r="E322" s="331"/>
      <c r="F322" s="354">
        <f>'5. Input GAW-waarde desinv.'!D281</f>
        <v>161395.41974096847</v>
      </c>
      <c r="G322" s="175">
        <f>'13. Desinvesteringen'!D605</f>
        <v>2007</v>
      </c>
      <c r="H322" s="175">
        <f>'13. Desinvesteringen'!G605</f>
        <v>2024</v>
      </c>
      <c r="I322" s="37" t="str">
        <f>'13. Desinvesteringen'!C605</f>
        <v>06 Utiliteitsgebouwen</v>
      </c>
      <c r="J322" s="165">
        <f>'13. Desinvesteringen'!F605</f>
        <v>0</v>
      </c>
      <c r="K322" s="38">
        <f>_xlfn.XLOOKUP(I322,'3. Input (des)investeringen '!$B$11:$B$89,'3. Input (des)investeringen '!$E$11:$E$89)</f>
        <v>0</v>
      </c>
      <c r="L322" s="331"/>
      <c r="M322" s="38">
        <f>_xlfn.XLOOKUP(I322,'3. Input (des)investeringen '!$B$11:$B$89,'3. Input (des)investeringen '!$D$11:$D$89,0)</f>
        <v>30</v>
      </c>
      <c r="N322" s="38">
        <f t="shared" si="113"/>
        <v>15.5</v>
      </c>
      <c r="P322" s="43">
        <f t="shared" ref="P322:T331" si="139">IF($M322&gt;0, IF(OR($G322&gt;P$50,$G322+$M322&lt;P$50),0,
VDB($F322,0,$N322,MAX(0,P$50-2022),MIN($N322,P$50-2021),$F$23,FALSE))*(1-$F$26), 0)</f>
        <v>12182.751038511815</v>
      </c>
      <c r="Q322" s="43">
        <f t="shared" si="139"/>
        <v>11160.971919152758</v>
      </c>
      <c r="R322" s="43">
        <f t="shared" si="139"/>
        <v>10224.890403352849</v>
      </c>
      <c r="S322" s="43">
        <f t="shared" si="139"/>
        <v>9367.3189501684174</v>
      </c>
      <c r="T322" s="43">
        <f t="shared" si="139"/>
        <v>8897.3865613639809</v>
      </c>
      <c r="V322" s="43">
        <f t="shared" si="133"/>
        <v>1041.2607725223772</v>
      </c>
      <c r="W322" s="43">
        <f t="shared" si="134"/>
        <v>1041.2607725223775</v>
      </c>
      <c r="X322" s="43">
        <f t="shared" si="135"/>
        <v>1041.2607725223775</v>
      </c>
      <c r="Y322" s="43">
        <f t="shared" si="136"/>
        <v>1041.2607725223775</v>
      </c>
      <c r="Z322" s="43">
        <f t="shared" si="137"/>
        <v>1041.2607725223775</v>
      </c>
      <c r="AB322" s="43">
        <f t="shared" si="114"/>
        <v>13224.011811034192</v>
      </c>
      <c r="AC322" s="43">
        <f t="shared" si="115"/>
        <v>12202.232691675135</v>
      </c>
      <c r="AD322" s="43">
        <f t="shared" si="116"/>
        <v>11266.151175875226</v>
      </c>
      <c r="AE322" s="43">
        <f t="shared" si="117"/>
        <v>10408.579722690794</v>
      </c>
      <c r="AF322" s="43">
        <f t="shared" si="118"/>
        <v>9938.647333886358</v>
      </c>
      <c r="AH322" s="43">
        <f t="shared" si="119"/>
        <v>148171.40792993427</v>
      </c>
      <c r="AI322" s="43">
        <f t="shared" si="120"/>
        <v>135969.17523825914</v>
      </c>
      <c r="AJ322" s="43">
        <f t="shared" si="121"/>
        <v>124703.02406238391</v>
      </c>
      <c r="AK322" s="43">
        <f t="shared" si="122"/>
        <v>114294.44433969312</v>
      </c>
      <c r="AL322" s="43">
        <f t="shared" si="123"/>
        <v>104355.79700580676</v>
      </c>
      <c r="AN322" s="47">
        <f t="shared" si="124"/>
        <v>19299.039536161497</v>
      </c>
      <c r="AO322" s="47">
        <f t="shared" si="125"/>
        <v>19136.66062882635</v>
      </c>
      <c r="AP322" s="47">
        <f t="shared" si="126"/>
        <v>17626.005403056806</v>
      </c>
      <c r="AQ322" s="47">
        <f t="shared" si="127"/>
        <v>16694.774161373916</v>
      </c>
      <c r="AR322" s="43">
        <f t="shared" si="128"/>
        <v>13904.167620107015</v>
      </c>
      <c r="AS322" s="121"/>
      <c r="AT322" s="121"/>
      <c r="AU322" s="121"/>
      <c r="AV322" s="121"/>
      <c r="AW322" s="121"/>
      <c r="AX322" s="121"/>
    </row>
    <row r="323" spans="1:50" s="89" customFormat="1">
      <c r="A323" s="226"/>
      <c r="B323" s="37">
        <f>'13. Desinvesteringen'!B606</f>
        <v>587</v>
      </c>
      <c r="C323" s="331"/>
      <c r="D323" s="331"/>
      <c r="E323" s="331"/>
      <c r="F323" s="354">
        <f>'5. Input GAW-waarde desinv.'!D282</f>
        <v>107094.4472815734</v>
      </c>
      <c r="G323" s="175">
        <f>'13. Desinvesteringen'!D606</f>
        <v>2008</v>
      </c>
      <c r="H323" s="175">
        <f>'13. Desinvesteringen'!G606</f>
        <v>2024</v>
      </c>
      <c r="I323" s="37" t="str">
        <f>'13. Desinvesteringen'!C606</f>
        <v>06 Utiliteitsgebouwen</v>
      </c>
      <c r="J323" s="165">
        <f>'13. Desinvesteringen'!F606</f>
        <v>0</v>
      </c>
      <c r="K323" s="38">
        <f>_xlfn.XLOOKUP(I323,'3. Input (des)investeringen '!$B$11:$B$89,'3. Input (des)investeringen '!$E$11:$E$89)</f>
        <v>0</v>
      </c>
      <c r="L323" s="331"/>
      <c r="M323" s="38">
        <f>_xlfn.XLOOKUP(I323,'3. Input (des)investeringen '!$B$11:$B$89,'3. Input (des)investeringen '!$D$11:$D$89,0)</f>
        <v>30</v>
      </c>
      <c r="N323" s="38">
        <f t="shared" si="113"/>
        <v>16.5</v>
      </c>
      <c r="P323" s="43">
        <f t="shared" si="139"/>
        <v>7593.9698981479323</v>
      </c>
      <c r="Q323" s="43">
        <f t="shared" si="139"/>
        <v>6995.6571182938533</v>
      </c>
      <c r="R323" s="43">
        <f t="shared" si="139"/>
        <v>6444.4841332161559</v>
      </c>
      <c r="S323" s="43">
        <f t="shared" si="139"/>
        <v>5936.7368984779132</v>
      </c>
      <c r="T323" s="43">
        <f t="shared" si="139"/>
        <v>5553.1323604224172</v>
      </c>
      <c r="V323" s="43">
        <f t="shared" si="133"/>
        <v>649.0572562519601</v>
      </c>
      <c r="W323" s="43">
        <f t="shared" si="134"/>
        <v>649.0572562519601</v>
      </c>
      <c r="X323" s="43">
        <f t="shared" si="135"/>
        <v>649.0572562519601</v>
      </c>
      <c r="Y323" s="43">
        <f t="shared" si="136"/>
        <v>649.0572562519601</v>
      </c>
      <c r="Z323" s="43">
        <f t="shared" si="137"/>
        <v>649.0572562519601</v>
      </c>
      <c r="AB323" s="43">
        <f t="shared" si="114"/>
        <v>8243.0271543998933</v>
      </c>
      <c r="AC323" s="43">
        <f t="shared" si="115"/>
        <v>7644.7143745458134</v>
      </c>
      <c r="AD323" s="43">
        <f t="shared" si="116"/>
        <v>7093.541389468116</v>
      </c>
      <c r="AE323" s="43">
        <f t="shared" si="117"/>
        <v>6585.7941547298733</v>
      </c>
      <c r="AF323" s="43">
        <f t="shared" si="118"/>
        <v>6202.1896166743772</v>
      </c>
      <c r="AH323" s="43">
        <f t="shared" si="119"/>
        <v>98851.420127173507</v>
      </c>
      <c r="AI323" s="43">
        <f t="shared" si="120"/>
        <v>91206.705752627691</v>
      </c>
      <c r="AJ323" s="43">
        <f t="shared" si="121"/>
        <v>84113.16436315958</v>
      </c>
      <c r="AK323" s="43">
        <f t="shared" si="122"/>
        <v>77527.370208429711</v>
      </c>
      <c r="AL323" s="43">
        <f t="shared" si="123"/>
        <v>71325.180591755328</v>
      </c>
      <c r="AN323" s="47">
        <f t="shared" si="124"/>
        <v>12295.935379614008</v>
      </c>
      <c r="AO323" s="47">
        <f t="shared" si="125"/>
        <v>12296.256367929826</v>
      </c>
      <c r="AP323" s="47">
        <f t="shared" si="126"/>
        <v>11383.312771989255</v>
      </c>
      <c r="AQ323" s="47">
        <f t="shared" si="127"/>
        <v>10849.799516193507</v>
      </c>
      <c r="AR323" s="43">
        <f t="shared" si="128"/>
        <v>8912.5464791610793</v>
      </c>
      <c r="AS323" s="121"/>
      <c r="AT323" s="121"/>
      <c r="AU323" s="121"/>
      <c r="AV323" s="121"/>
      <c r="AW323" s="121"/>
      <c r="AX323" s="121"/>
    </row>
    <row r="324" spans="1:50" s="89" customFormat="1">
      <c r="A324" s="226"/>
      <c r="B324" s="37">
        <f>'13. Desinvesteringen'!B607</f>
        <v>588</v>
      </c>
      <c r="C324" s="331"/>
      <c r="D324" s="331"/>
      <c r="E324" s="331"/>
      <c r="F324" s="354">
        <f>'5. Input GAW-waarde desinv.'!D283</f>
        <v>67773.247093874292</v>
      </c>
      <c r="G324" s="175">
        <f>'13. Desinvesteringen'!D607</f>
        <v>2009</v>
      </c>
      <c r="H324" s="175">
        <f>'13. Desinvesteringen'!G607</f>
        <v>2024</v>
      </c>
      <c r="I324" s="37" t="str">
        <f>'13. Desinvesteringen'!C607</f>
        <v>06 Utiliteitsgebouwen</v>
      </c>
      <c r="J324" s="165">
        <f>'13. Desinvesteringen'!F607</f>
        <v>0</v>
      </c>
      <c r="K324" s="38">
        <f>_xlfn.XLOOKUP(I324,'3. Input (des)investeringen '!$B$11:$B$89,'3. Input (des)investeringen '!$E$11:$E$89)</f>
        <v>0</v>
      </c>
      <c r="L324" s="331"/>
      <c r="M324" s="38">
        <f>_xlfn.XLOOKUP(I324,'3. Input (des)investeringen '!$B$11:$B$89,'3. Input (des)investeringen '!$D$11:$D$89,0)</f>
        <v>30</v>
      </c>
      <c r="N324" s="38">
        <f t="shared" si="113"/>
        <v>17.5</v>
      </c>
      <c r="P324" s="43">
        <f t="shared" si="139"/>
        <v>4531.1256628475958</v>
      </c>
      <c r="Q324" s="43">
        <f t="shared" si="139"/>
        <v>4194.5277564646312</v>
      </c>
      <c r="R324" s="43">
        <f t="shared" si="139"/>
        <v>3882.9342659844015</v>
      </c>
      <c r="S324" s="43">
        <f t="shared" si="139"/>
        <v>3594.4877205112748</v>
      </c>
      <c r="T324" s="43">
        <f t="shared" si="139"/>
        <v>3327.4686327018658</v>
      </c>
      <c r="V324" s="43">
        <f t="shared" si="133"/>
        <v>387.27569767928168</v>
      </c>
      <c r="W324" s="43">
        <f t="shared" si="134"/>
        <v>387.27569767928168</v>
      </c>
      <c r="X324" s="43">
        <f t="shared" si="135"/>
        <v>387.27569767928168</v>
      </c>
      <c r="Y324" s="43">
        <f t="shared" si="136"/>
        <v>387.27569767928168</v>
      </c>
      <c r="Z324" s="43">
        <f t="shared" si="137"/>
        <v>387.27569767928168</v>
      </c>
      <c r="AB324" s="43">
        <f t="shared" si="114"/>
        <v>4918.4013605268774</v>
      </c>
      <c r="AC324" s="43">
        <f t="shared" si="115"/>
        <v>4581.8034541439129</v>
      </c>
      <c r="AD324" s="43">
        <f t="shared" si="116"/>
        <v>4270.2099636636831</v>
      </c>
      <c r="AE324" s="43">
        <f t="shared" si="117"/>
        <v>3981.7634181905564</v>
      </c>
      <c r="AF324" s="43">
        <f t="shared" si="118"/>
        <v>3714.7443303811474</v>
      </c>
      <c r="AH324" s="43">
        <f t="shared" si="119"/>
        <v>62854.845733347414</v>
      </c>
      <c r="AI324" s="43">
        <f t="shared" si="120"/>
        <v>58273.042279203502</v>
      </c>
      <c r="AJ324" s="43">
        <f t="shared" si="121"/>
        <v>54002.832315539818</v>
      </c>
      <c r="AK324" s="43">
        <f t="shared" si="122"/>
        <v>50021.068897349258</v>
      </c>
      <c r="AL324" s="43">
        <f t="shared" si="123"/>
        <v>46306.324566968113</v>
      </c>
      <c r="AN324" s="47">
        <f t="shared" si="124"/>
        <v>7495.4500355941218</v>
      </c>
      <c r="AO324" s="47">
        <f t="shared" si="125"/>
        <v>7553.7286103832912</v>
      </c>
      <c r="AP324" s="47">
        <f t="shared" si="126"/>
        <v>7024.3544117562142</v>
      </c>
      <c r="AQ324" s="47">
        <f t="shared" si="127"/>
        <v>6732.9222075447651</v>
      </c>
      <c r="AR324" s="43">
        <f t="shared" si="128"/>
        <v>5474.3846639259355</v>
      </c>
      <c r="AS324" s="121"/>
      <c r="AT324" s="121"/>
      <c r="AU324" s="121"/>
      <c r="AV324" s="121"/>
      <c r="AW324" s="121"/>
      <c r="AX324" s="121"/>
    </row>
    <row r="325" spans="1:50" s="89" customFormat="1">
      <c r="A325" s="226"/>
      <c r="B325" s="37">
        <f>'13. Desinvesteringen'!B608</f>
        <v>589</v>
      </c>
      <c r="C325" s="331"/>
      <c r="D325" s="331"/>
      <c r="E325" s="331"/>
      <c r="F325" s="354">
        <f>'5. Input GAW-waarde desinv.'!D284</f>
        <v>520303.7394086328</v>
      </c>
      <c r="G325" s="175">
        <f>'13. Desinvesteringen'!D608</f>
        <v>2010</v>
      </c>
      <c r="H325" s="175">
        <f>'13. Desinvesteringen'!G608</f>
        <v>2024</v>
      </c>
      <c r="I325" s="37" t="str">
        <f>'13. Desinvesteringen'!C608</f>
        <v>06 Utiliteitsgebouwen</v>
      </c>
      <c r="J325" s="165">
        <f>'13. Desinvesteringen'!F608</f>
        <v>0</v>
      </c>
      <c r="K325" s="38">
        <f>_xlfn.XLOOKUP(I325,'3. Input (des)investeringen '!$B$11:$B$89,'3. Input (des)investeringen '!$E$11:$E$89)</f>
        <v>0</v>
      </c>
      <c r="L325" s="331"/>
      <c r="M325" s="38">
        <f>_xlfn.XLOOKUP(I325,'3. Input (des)investeringen '!$B$11:$B$89,'3. Input (des)investeringen '!$D$11:$D$89,0)</f>
        <v>30</v>
      </c>
      <c r="N325" s="38">
        <f t="shared" si="113"/>
        <v>18.5</v>
      </c>
      <c r="P325" s="43">
        <f t="shared" si="139"/>
        <v>32905.695951789217</v>
      </c>
      <c r="Q325" s="43">
        <f t="shared" si="139"/>
        <v>30593.403803825648</v>
      </c>
      <c r="R325" s="43">
        <f t="shared" si="139"/>
        <v>28443.597050043303</v>
      </c>
      <c r="S325" s="43">
        <f t="shared" si="139"/>
        <v>26444.857797878096</v>
      </c>
      <c r="T325" s="43">
        <f t="shared" si="139"/>
        <v>24586.57049316234</v>
      </c>
      <c r="V325" s="43">
        <f t="shared" si="133"/>
        <v>2812.4526454520692</v>
      </c>
      <c r="W325" s="43">
        <f t="shared" si="134"/>
        <v>2812.4526454520692</v>
      </c>
      <c r="X325" s="43">
        <f t="shared" si="135"/>
        <v>2812.4526454520692</v>
      </c>
      <c r="Y325" s="43">
        <f t="shared" si="136"/>
        <v>2812.4526454520692</v>
      </c>
      <c r="Z325" s="43">
        <f t="shared" si="137"/>
        <v>2812.4526454520692</v>
      </c>
      <c r="AB325" s="43">
        <f t="shared" si="114"/>
        <v>35718.148597241285</v>
      </c>
      <c r="AC325" s="43">
        <f t="shared" si="115"/>
        <v>33405.856449277715</v>
      </c>
      <c r="AD325" s="43">
        <f t="shared" si="116"/>
        <v>31256.049695495371</v>
      </c>
      <c r="AE325" s="43">
        <f t="shared" si="117"/>
        <v>29257.310443330163</v>
      </c>
      <c r="AF325" s="43">
        <f t="shared" si="118"/>
        <v>27399.023138614408</v>
      </c>
      <c r="AH325" s="43">
        <f t="shared" si="119"/>
        <v>484585.59081139154</v>
      </c>
      <c r="AI325" s="43">
        <f t="shared" si="120"/>
        <v>451179.73436211381</v>
      </c>
      <c r="AJ325" s="43">
        <f t="shared" si="121"/>
        <v>419923.68466661847</v>
      </c>
      <c r="AK325" s="43">
        <f t="shared" si="122"/>
        <v>390666.37422328832</v>
      </c>
      <c r="AL325" s="43">
        <f t="shared" si="123"/>
        <v>363267.35108467389</v>
      </c>
      <c r="AN325" s="47">
        <f t="shared" si="124"/>
        <v>55586.157820508335</v>
      </c>
      <c r="AO325" s="47">
        <f t="shared" si="125"/>
        <v>56416.022901745513</v>
      </c>
      <c r="AP325" s="47">
        <f t="shared" si="126"/>
        <v>52672.157613492913</v>
      </c>
      <c r="AQ325" s="47">
        <f t="shared" si="127"/>
        <v>50743.961025611017</v>
      </c>
      <c r="AR325" s="43">
        <f t="shared" si="128"/>
        <v>41203.182479832016</v>
      </c>
      <c r="AS325" s="121"/>
      <c r="AT325" s="121"/>
      <c r="AU325" s="121"/>
      <c r="AV325" s="121"/>
      <c r="AW325" s="121"/>
      <c r="AX325" s="121"/>
    </row>
    <row r="326" spans="1:50" s="89" customFormat="1">
      <c r="A326" s="226"/>
      <c r="B326" s="37">
        <f>'13. Desinvesteringen'!B609</f>
        <v>590</v>
      </c>
      <c r="C326" s="331"/>
      <c r="D326" s="331"/>
      <c r="E326" s="331"/>
      <c r="F326" s="354">
        <f>'5. Input GAW-waarde desinv.'!D285</f>
        <v>0</v>
      </c>
      <c r="G326" s="175">
        <f>'13. Desinvesteringen'!D609</f>
        <v>1998</v>
      </c>
      <c r="H326" s="175">
        <f>'13. Desinvesteringen'!G609</f>
        <v>2024</v>
      </c>
      <c r="I326" s="37" t="str">
        <f>'13. Desinvesteringen'!C609</f>
        <v>08 Inrichting gebouwen</v>
      </c>
      <c r="J326" s="165">
        <f>'13. Desinvesteringen'!F609</f>
        <v>0</v>
      </c>
      <c r="K326" s="38">
        <f>_xlfn.XLOOKUP(I326,'3. Input (des)investeringen '!$B$11:$B$89,'3. Input (des)investeringen '!$E$11:$E$89)</f>
        <v>0</v>
      </c>
      <c r="L326" s="331"/>
      <c r="M326" s="38">
        <f>_xlfn.XLOOKUP(I326,'3. Input (des)investeringen '!$B$11:$B$89,'3. Input (des)investeringen '!$D$11:$D$89,0)</f>
        <v>10</v>
      </c>
      <c r="N326" s="38">
        <f t="shared" si="113"/>
        <v>0</v>
      </c>
      <c r="P326" s="43">
        <f t="shared" si="139"/>
        <v>0</v>
      </c>
      <c r="Q326" s="43">
        <f t="shared" si="139"/>
        <v>0</v>
      </c>
      <c r="R326" s="43">
        <f t="shared" si="139"/>
        <v>0</v>
      </c>
      <c r="S326" s="43">
        <f t="shared" si="139"/>
        <v>0</v>
      </c>
      <c r="T326" s="43">
        <f t="shared" si="139"/>
        <v>0</v>
      </c>
      <c r="V326" s="43">
        <f t="shared" si="133"/>
        <v>0</v>
      </c>
      <c r="W326" s="43">
        <f t="shared" si="134"/>
        <v>0</v>
      </c>
      <c r="X326" s="43">
        <f t="shared" si="135"/>
        <v>0</v>
      </c>
      <c r="Y326" s="43">
        <f t="shared" si="136"/>
        <v>0</v>
      </c>
      <c r="Z326" s="43">
        <f t="shared" si="137"/>
        <v>0</v>
      </c>
      <c r="AB326" s="43">
        <f t="shared" si="114"/>
        <v>0</v>
      </c>
      <c r="AC326" s="43">
        <f t="shared" si="115"/>
        <v>0</v>
      </c>
      <c r="AD326" s="43">
        <f t="shared" si="116"/>
        <v>0</v>
      </c>
      <c r="AE326" s="43">
        <f t="shared" si="117"/>
        <v>0</v>
      </c>
      <c r="AF326" s="43">
        <f t="shared" si="118"/>
        <v>0</v>
      </c>
      <c r="AH326" s="43">
        <f t="shared" si="119"/>
        <v>0</v>
      </c>
      <c r="AI326" s="43">
        <f t="shared" si="120"/>
        <v>0</v>
      </c>
      <c r="AJ326" s="43">
        <f t="shared" si="121"/>
        <v>0</v>
      </c>
      <c r="AK326" s="43">
        <f t="shared" si="122"/>
        <v>0</v>
      </c>
      <c r="AL326" s="43">
        <f t="shared" si="123"/>
        <v>0</v>
      </c>
      <c r="AN326" s="47">
        <f t="shared" si="124"/>
        <v>0</v>
      </c>
      <c r="AO326" s="47">
        <f t="shared" si="125"/>
        <v>0</v>
      </c>
      <c r="AP326" s="47">
        <f t="shared" si="126"/>
        <v>0</v>
      </c>
      <c r="AQ326" s="47">
        <f t="shared" si="127"/>
        <v>0</v>
      </c>
      <c r="AR326" s="43">
        <f t="shared" si="128"/>
        <v>0</v>
      </c>
      <c r="AS326" s="121"/>
      <c r="AT326" s="121"/>
      <c r="AU326" s="121"/>
      <c r="AV326" s="121"/>
      <c r="AW326" s="121"/>
      <c r="AX326" s="121"/>
    </row>
    <row r="327" spans="1:50" s="89" customFormat="1">
      <c r="A327" s="226"/>
      <c r="B327" s="37">
        <f>'13. Desinvesteringen'!B610</f>
        <v>591</v>
      </c>
      <c r="C327" s="331"/>
      <c r="D327" s="331"/>
      <c r="E327" s="331"/>
      <c r="F327" s="354">
        <f>'5. Input GAW-waarde desinv.'!D286</f>
        <v>0</v>
      </c>
      <c r="G327" s="175">
        <f>'13. Desinvesteringen'!D610</f>
        <v>2001</v>
      </c>
      <c r="H327" s="175">
        <f>'13. Desinvesteringen'!G610</f>
        <v>2024</v>
      </c>
      <c r="I327" s="37" t="str">
        <f>'13. Desinvesteringen'!C610</f>
        <v>08 Inrichting gebouwen</v>
      </c>
      <c r="J327" s="165">
        <f>'13. Desinvesteringen'!F610</f>
        <v>0</v>
      </c>
      <c r="K327" s="38">
        <f>_xlfn.XLOOKUP(I327,'3. Input (des)investeringen '!$B$11:$B$89,'3. Input (des)investeringen '!$E$11:$E$89)</f>
        <v>0</v>
      </c>
      <c r="L327" s="331"/>
      <c r="M327" s="38">
        <f>_xlfn.XLOOKUP(I327,'3. Input (des)investeringen '!$B$11:$B$89,'3. Input (des)investeringen '!$D$11:$D$89,0)</f>
        <v>10</v>
      </c>
      <c r="N327" s="38">
        <f t="shared" si="113"/>
        <v>0</v>
      </c>
      <c r="P327" s="43">
        <f t="shared" si="139"/>
        <v>0</v>
      </c>
      <c r="Q327" s="43">
        <f t="shared" si="139"/>
        <v>0</v>
      </c>
      <c r="R327" s="43">
        <f t="shared" si="139"/>
        <v>0</v>
      </c>
      <c r="S327" s="43">
        <f t="shared" si="139"/>
        <v>0</v>
      </c>
      <c r="T327" s="43">
        <f t="shared" si="139"/>
        <v>0</v>
      </c>
      <c r="V327" s="43">
        <f t="shared" si="133"/>
        <v>0</v>
      </c>
      <c r="W327" s="43">
        <f t="shared" si="134"/>
        <v>0</v>
      </c>
      <c r="X327" s="43">
        <f t="shared" si="135"/>
        <v>0</v>
      </c>
      <c r="Y327" s="43">
        <f t="shared" si="136"/>
        <v>0</v>
      </c>
      <c r="Z327" s="43">
        <f t="shared" si="137"/>
        <v>0</v>
      </c>
      <c r="AB327" s="43">
        <f t="shared" si="114"/>
        <v>0</v>
      </c>
      <c r="AC327" s="43">
        <f t="shared" si="115"/>
        <v>0</v>
      </c>
      <c r="AD327" s="43">
        <f t="shared" si="116"/>
        <v>0</v>
      </c>
      <c r="AE327" s="43">
        <f t="shared" si="117"/>
        <v>0</v>
      </c>
      <c r="AF327" s="43">
        <f t="shared" si="118"/>
        <v>0</v>
      </c>
      <c r="AH327" s="43">
        <f t="shared" si="119"/>
        <v>0</v>
      </c>
      <c r="AI327" s="43">
        <f t="shared" si="120"/>
        <v>0</v>
      </c>
      <c r="AJ327" s="43">
        <f t="shared" si="121"/>
        <v>0</v>
      </c>
      <c r="AK327" s="43">
        <f t="shared" si="122"/>
        <v>0</v>
      </c>
      <c r="AL327" s="43">
        <f t="shared" si="123"/>
        <v>0</v>
      </c>
      <c r="AN327" s="47">
        <f t="shared" si="124"/>
        <v>0</v>
      </c>
      <c r="AO327" s="47">
        <f t="shared" si="125"/>
        <v>0</v>
      </c>
      <c r="AP327" s="47">
        <f t="shared" si="126"/>
        <v>0</v>
      </c>
      <c r="AQ327" s="47">
        <f t="shared" si="127"/>
        <v>0</v>
      </c>
      <c r="AR327" s="43">
        <f t="shared" si="128"/>
        <v>0</v>
      </c>
      <c r="AS327" s="121"/>
      <c r="AT327" s="121"/>
      <c r="AU327" s="121"/>
      <c r="AV327" s="121"/>
      <c r="AW327" s="121"/>
      <c r="AX327" s="121"/>
    </row>
    <row r="328" spans="1:50" s="89" customFormat="1">
      <c r="A328" s="226"/>
      <c r="B328" s="37">
        <f>'13. Desinvesteringen'!B611</f>
        <v>592</v>
      </c>
      <c r="C328" s="331"/>
      <c r="D328" s="331"/>
      <c r="E328" s="331"/>
      <c r="F328" s="354">
        <f>'5. Input GAW-waarde desinv.'!D287</f>
        <v>0</v>
      </c>
      <c r="G328" s="175">
        <f>'13. Desinvesteringen'!D611</f>
        <v>2003</v>
      </c>
      <c r="H328" s="175">
        <f>'13. Desinvesteringen'!G611</f>
        <v>2024</v>
      </c>
      <c r="I328" s="37" t="str">
        <f>'13. Desinvesteringen'!C611</f>
        <v>08 Inrichting gebouwen</v>
      </c>
      <c r="J328" s="165">
        <f>'13. Desinvesteringen'!F611</f>
        <v>0</v>
      </c>
      <c r="K328" s="38">
        <f>_xlfn.XLOOKUP(I328,'3. Input (des)investeringen '!$B$11:$B$89,'3. Input (des)investeringen '!$E$11:$E$89)</f>
        <v>0</v>
      </c>
      <c r="L328" s="331"/>
      <c r="M328" s="38">
        <f>_xlfn.XLOOKUP(I328,'3. Input (des)investeringen '!$B$11:$B$89,'3. Input (des)investeringen '!$D$11:$D$89,0)</f>
        <v>10</v>
      </c>
      <c r="N328" s="38">
        <f t="shared" si="113"/>
        <v>0</v>
      </c>
      <c r="P328" s="43">
        <f t="shared" si="139"/>
        <v>0</v>
      </c>
      <c r="Q328" s="43">
        <f t="shared" si="139"/>
        <v>0</v>
      </c>
      <c r="R328" s="43">
        <f t="shared" si="139"/>
        <v>0</v>
      </c>
      <c r="S328" s="43">
        <f t="shared" si="139"/>
        <v>0</v>
      </c>
      <c r="T328" s="43">
        <f t="shared" si="139"/>
        <v>0</v>
      </c>
      <c r="V328" s="43">
        <f t="shared" si="133"/>
        <v>0</v>
      </c>
      <c r="W328" s="43">
        <f t="shared" si="134"/>
        <v>0</v>
      </c>
      <c r="X328" s="43">
        <f t="shared" si="135"/>
        <v>0</v>
      </c>
      <c r="Y328" s="43">
        <f t="shared" si="136"/>
        <v>0</v>
      </c>
      <c r="Z328" s="43">
        <f t="shared" si="137"/>
        <v>0</v>
      </c>
      <c r="AB328" s="43">
        <f t="shared" si="114"/>
        <v>0</v>
      </c>
      <c r="AC328" s="43">
        <f t="shared" si="115"/>
        <v>0</v>
      </c>
      <c r="AD328" s="43">
        <f t="shared" si="116"/>
        <v>0</v>
      </c>
      <c r="AE328" s="43">
        <f t="shared" si="117"/>
        <v>0</v>
      </c>
      <c r="AF328" s="43">
        <f t="shared" si="118"/>
        <v>0</v>
      </c>
      <c r="AH328" s="43">
        <f t="shared" si="119"/>
        <v>0</v>
      </c>
      <c r="AI328" s="43">
        <f t="shared" si="120"/>
        <v>0</v>
      </c>
      <c r="AJ328" s="43">
        <f t="shared" si="121"/>
        <v>0</v>
      </c>
      <c r="AK328" s="43">
        <f t="shared" si="122"/>
        <v>0</v>
      </c>
      <c r="AL328" s="43">
        <f t="shared" si="123"/>
        <v>0</v>
      </c>
      <c r="AN328" s="47">
        <f t="shared" si="124"/>
        <v>0</v>
      </c>
      <c r="AO328" s="47">
        <f t="shared" si="125"/>
        <v>0</v>
      </c>
      <c r="AP328" s="47">
        <f t="shared" si="126"/>
        <v>0</v>
      </c>
      <c r="AQ328" s="47">
        <f t="shared" si="127"/>
        <v>0</v>
      </c>
      <c r="AR328" s="43">
        <f t="shared" si="128"/>
        <v>0</v>
      </c>
      <c r="AS328" s="121"/>
      <c r="AT328" s="121"/>
      <c r="AU328" s="121"/>
      <c r="AV328" s="121"/>
      <c r="AW328" s="121"/>
      <c r="AX328" s="121"/>
    </row>
    <row r="329" spans="1:50" s="89" customFormat="1">
      <c r="A329" s="226"/>
      <c r="B329" s="37">
        <f>'13. Desinvesteringen'!B612</f>
        <v>593</v>
      </c>
      <c r="C329" s="331"/>
      <c r="D329" s="331"/>
      <c r="E329" s="331"/>
      <c r="F329" s="354">
        <f>'5. Input GAW-waarde desinv.'!D288</f>
        <v>0</v>
      </c>
      <c r="G329" s="175">
        <f>'13. Desinvesteringen'!D612</f>
        <v>1970</v>
      </c>
      <c r="H329" s="175">
        <f>'13. Desinvesteringen'!G612</f>
        <v>2024</v>
      </c>
      <c r="I329" s="37" t="str">
        <f>'13. Desinvesteringen'!C612</f>
        <v>15 Compressorstations (TT-BT-AT)</v>
      </c>
      <c r="J329" s="165">
        <f>'13. Desinvesteringen'!F612</f>
        <v>0</v>
      </c>
      <c r="K329" s="38">
        <f>_xlfn.XLOOKUP(I329,'3. Input (des)investeringen '!$B$11:$B$89,'3. Input (des)investeringen '!$E$11:$E$89)</f>
        <v>1</v>
      </c>
      <c r="L329" s="331"/>
      <c r="M329" s="38">
        <f>_xlfn.XLOOKUP(I329,'3. Input (des)investeringen '!$B$11:$B$89,'3. Input (des)investeringen '!$D$11:$D$89,0)</f>
        <v>30</v>
      </c>
      <c r="N329" s="38">
        <f t="shared" si="113"/>
        <v>0</v>
      </c>
      <c r="P329" s="43">
        <f t="shared" si="139"/>
        <v>0</v>
      </c>
      <c r="Q329" s="43">
        <f t="shared" si="139"/>
        <v>0</v>
      </c>
      <c r="R329" s="43">
        <f t="shared" si="139"/>
        <v>0</v>
      </c>
      <c r="S329" s="43">
        <f t="shared" si="139"/>
        <v>0</v>
      </c>
      <c r="T329" s="43">
        <f t="shared" si="139"/>
        <v>0</v>
      </c>
      <c r="V329" s="43">
        <f t="shared" si="133"/>
        <v>0</v>
      </c>
      <c r="W329" s="43">
        <f t="shared" si="134"/>
        <v>0</v>
      </c>
      <c r="X329" s="43">
        <f t="shared" si="135"/>
        <v>0</v>
      </c>
      <c r="Y329" s="43">
        <f t="shared" si="136"/>
        <v>0</v>
      </c>
      <c r="Z329" s="43">
        <f t="shared" si="137"/>
        <v>0</v>
      </c>
      <c r="AB329" s="43">
        <f t="shared" si="114"/>
        <v>0</v>
      </c>
      <c r="AC329" s="43">
        <f t="shared" si="115"/>
        <v>0</v>
      </c>
      <c r="AD329" s="43">
        <f t="shared" si="116"/>
        <v>0</v>
      </c>
      <c r="AE329" s="43">
        <f t="shared" si="117"/>
        <v>0</v>
      </c>
      <c r="AF329" s="43">
        <f t="shared" si="118"/>
        <v>0</v>
      </c>
      <c r="AH329" s="43">
        <f t="shared" si="119"/>
        <v>0</v>
      </c>
      <c r="AI329" s="43">
        <f t="shared" si="120"/>
        <v>0</v>
      </c>
      <c r="AJ329" s="43">
        <f t="shared" si="121"/>
        <v>0</v>
      </c>
      <c r="AK329" s="43">
        <f t="shared" si="122"/>
        <v>0</v>
      </c>
      <c r="AL329" s="43">
        <f t="shared" si="123"/>
        <v>0</v>
      </c>
      <c r="AN329" s="47">
        <f t="shared" si="124"/>
        <v>0</v>
      </c>
      <c r="AO329" s="47">
        <f t="shared" si="125"/>
        <v>0</v>
      </c>
      <c r="AP329" s="47">
        <f t="shared" si="126"/>
        <v>0</v>
      </c>
      <c r="AQ329" s="47">
        <f t="shared" si="127"/>
        <v>0</v>
      </c>
      <c r="AR329" s="43">
        <f t="shared" si="128"/>
        <v>0</v>
      </c>
      <c r="AS329" s="121"/>
      <c r="AT329" s="121"/>
      <c r="AU329" s="121"/>
      <c r="AV329" s="121"/>
      <c r="AW329" s="121"/>
      <c r="AX329" s="121"/>
    </row>
    <row r="330" spans="1:50" s="89" customFormat="1">
      <c r="A330" s="226"/>
      <c r="B330" s="37">
        <f>'13. Desinvesteringen'!B613</f>
        <v>594</v>
      </c>
      <c r="C330" s="331"/>
      <c r="D330" s="331"/>
      <c r="E330" s="331"/>
      <c r="F330" s="354">
        <f>'5. Input GAW-waarde desinv.'!D289</f>
        <v>0</v>
      </c>
      <c r="G330" s="175">
        <f>'13. Desinvesteringen'!D613</f>
        <v>1971</v>
      </c>
      <c r="H330" s="175">
        <f>'13. Desinvesteringen'!G613</f>
        <v>2024</v>
      </c>
      <c r="I330" s="37" t="str">
        <f>'13. Desinvesteringen'!C613</f>
        <v>15 Compressorstations (TT-BT-AT)</v>
      </c>
      <c r="J330" s="165">
        <f>'13. Desinvesteringen'!F613</f>
        <v>0</v>
      </c>
      <c r="K330" s="38">
        <f>_xlfn.XLOOKUP(I330,'3. Input (des)investeringen '!$B$11:$B$89,'3. Input (des)investeringen '!$E$11:$E$89)</f>
        <v>1</v>
      </c>
      <c r="L330" s="331"/>
      <c r="M330" s="38">
        <f>_xlfn.XLOOKUP(I330,'3. Input (des)investeringen '!$B$11:$B$89,'3. Input (des)investeringen '!$D$11:$D$89,0)</f>
        <v>30</v>
      </c>
      <c r="N330" s="38">
        <f t="shared" si="113"/>
        <v>0</v>
      </c>
      <c r="P330" s="43">
        <f t="shared" si="139"/>
        <v>0</v>
      </c>
      <c r="Q330" s="43">
        <f t="shared" si="139"/>
        <v>0</v>
      </c>
      <c r="R330" s="43">
        <f t="shared" si="139"/>
        <v>0</v>
      </c>
      <c r="S330" s="43">
        <f t="shared" si="139"/>
        <v>0</v>
      </c>
      <c r="T330" s="43">
        <f t="shared" si="139"/>
        <v>0</v>
      </c>
      <c r="V330" s="43">
        <f t="shared" si="133"/>
        <v>0</v>
      </c>
      <c r="W330" s="43">
        <f t="shared" si="134"/>
        <v>0</v>
      </c>
      <c r="X330" s="43">
        <f t="shared" si="135"/>
        <v>0</v>
      </c>
      <c r="Y330" s="43">
        <f t="shared" si="136"/>
        <v>0</v>
      </c>
      <c r="Z330" s="43">
        <f t="shared" si="137"/>
        <v>0</v>
      </c>
      <c r="AB330" s="43">
        <f t="shared" si="114"/>
        <v>0</v>
      </c>
      <c r="AC330" s="43">
        <f t="shared" si="115"/>
        <v>0</v>
      </c>
      <c r="AD330" s="43">
        <f t="shared" si="116"/>
        <v>0</v>
      </c>
      <c r="AE330" s="43">
        <f t="shared" si="117"/>
        <v>0</v>
      </c>
      <c r="AF330" s="43">
        <f t="shared" si="118"/>
        <v>0</v>
      </c>
      <c r="AH330" s="43">
        <f t="shared" si="119"/>
        <v>0</v>
      </c>
      <c r="AI330" s="43">
        <f t="shared" si="120"/>
        <v>0</v>
      </c>
      <c r="AJ330" s="43">
        <f t="shared" si="121"/>
        <v>0</v>
      </c>
      <c r="AK330" s="43">
        <f t="shared" si="122"/>
        <v>0</v>
      </c>
      <c r="AL330" s="43">
        <f t="shared" si="123"/>
        <v>0</v>
      </c>
      <c r="AN330" s="47">
        <f t="shared" si="124"/>
        <v>0</v>
      </c>
      <c r="AO330" s="47">
        <f t="shared" si="125"/>
        <v>0</v>
      </c>
      <c r="AP330" s="47">
        <f t="shared" si="126"/>
        <v>0</v>
      </c>
      <c r="AQ330" s="47">
        <f t="shared" si="127"/>
        <v>0</v>
      </c>
      <c r="AR330" s="43">
        <f t="shared" si="128"/>
        <v>0</v>
      </c>
      <c r="AS330" s="121"/>
      <c r="AT330" s="121"/>
      <c r="AU330" s="121"/>
      <c r="AV330" s="121"/>
      <c r="AW330" s="121"/>
      <c r="AX330" s="121"/>
    </row>
    <row r="331" spans="1:50" s="89" customFormat="1">
      <c r="A331" s="226"/>
      <c r="B331" s="37">
        <f>'13. Desinvesteringen'!B614</f>
        <v>595</v>
      </c>
      <c r="C331" s="331"/>
      <c r="D331" s="331"/>
      <c r="E331" s="331"/>
      <c r="F331" s="354">
        <f>'5. Input GAW-waarde desinv.'!D290</f>
        <v>0</v>
      </c>
      <c r="G331" s="175">
        <f>'13. Desinvesteringen'!D614</f>
        <v>1972</v>
      </c>
      <c r="H331" s="175">
        <f>'13. Desinvesteringen'!G614</f>
        <v>2024</v>
      </c>
      <c r="I331" s="37" t="str">
        <f>'13. Desinvesteringen'!C614</f>
        <v>15 Compressorstations (TT-BT-AT)</v>
      </c>
      <c r="J331" s="165">
        <f>'13. Desinvesteringen'!F614</f>
        <v>0</v>
      </c>
      <c r="K331" s="38">
        <f>_xlfn.XLOOKUP(I331,'3. Input (des)investeringen '!$B$11:$B$89,'3. Input (des)investeringen '!$E$11:$E$89)</f>
        <v>1</v>
      </c>
      <c r="L331" s="331"/>
      <c r="M331" s="38">
        <f>_xlfn.XLOOKUP(I331,'3. Input (des)investeringen '!$B$11:$B$89,'3. Input (des)investeringen '!$D$11:$D$89,0)</f>
        <v>30</v>
      </c>
      <c r="N331" s="38">
        <f t="shared" si="113"/>
        <v>0</v>
      </c>
      <c r="P331" s="43">
        <f t="shared" si="139"/>
        <v>0</v>
      </c>
      <c r="Q331" s="43">
        <f t="shared" si="139"/>
        <v>0</v>
      </c>
      <c r="R331" s="43">
        <f t="shared" si="139"/>
        <v>0</v>
      </c>
      <c r="S331" s="43">
        <f t="shared" si="139"/>
        <v>0</v>
      </c>
      <c r="T331" s="43">
        <f t="shared" si="139"/>
        <v>0</v>
      </c>
      <c r="V331" s="43">
        <f t="shared" si="133"/>
        <v>0</v>
      </c>
      <c r="W331" s="43">
        <f t="shared" si="134"/>
        <v>0</v>
      </c>
      <c r="X331" s="43">
        <f t="shared" si="135"/>
        <v>0</v>
      </c>
      <c r="Y331" s="43">
        <f t="shared" si="136"/>
        <v>0</v>
      </c>
      <c r="Z331" s="43">
        <f t="shared" si="137"/>
        <v>0</v>
      </c>
      <c r="AB331" s="43">
        <f t="shared" si="114"/>
        <v>0</v>
      </c>
      <c r="AC331" s="43">
        <f t="shared" si="115"/>
        <v>0</v>
      </c>
      <c r="AD331" s="43">
        <f t="shared" si="116"/>
        <v>0</v>
      </c>
      <c r="AE331" s="43">
        <f t="shared" si="117"/>
        <v>0</v>
      </c>
      <c r="AF331" s="43">
        <f t="shared" si="118"/>
        <v>0</v>
      </c>
      <c r="AH331" s="43">
        <f t="shared" si="119"/>
        <v>0</v>
      </c>
      <c r="AI331" s="43">
        <f t="shared" si="120"/>
        <v>0</v>
      </c>
      <c r="AJ331" s="43">
        <f t="shared" si="121"/>
        <v>0</v>
      </c>
      <c r="AK331" s="43">
        <f t="shared" si="122"/>
        <v>0</v>
      </c>
      <c r="AL331" s="43">
        <f t="shared" si="123"/>
        <v>0</v>
      </c>
      <c r="AN331" s="47">
        <f t="shared" si="124"/>
        <v>0</v>
      </c>
      <c r="AO331" s="47">
        <f t="shared" si="125"/>
        <v>0</v>
      </c>
      <c r="AP331" s="47">
        <f t="shared" si="126"/>
        <v>0</v>
      </c>
      <c r="AQ331" s="47">
        <f t="shared" si="127"/>
        <v>0</v>
      </c>
      <c r="AR331" s="43">
        <f t="shared" si="128"/>
        <v>0</v>
      </c>
      <c r="AS331" s="121"/>
      <c r="AT331" s="121"/>
      <c r="AU331" s="121"/>
      <c r="AV331" s="121"/>
      <c r="AW331" s="121"/>
      <c r="AX331" s="121"/>
    </row>
    <row r="332" spans="1:50" s="89" customFormat="1">
      <c r="A332" s="226"/>
      <c r="B332" s="37">
        <f>'13. Desinvesteringen'!B615</f>
        <v>596</v>
      </c>
      <c r="C332" s="331"/>
      <c r="D332" s="331"/>
      <c r="E332" s="331"/>
      <c r="F332" s="354">
        <f>'5. Input GAW-waarde desinv.'!D291</f>
        <v>0</v>
      </c>
      <c r="G332" s="175">
        <f>'13. Desinvesteringen'!D615</f>
        <v>1973</v>
      </c>
      <c r="H332" s="175">
        <f>'13. Desinvesteringen'!G615</f>
        <v>2024</v>
      </c>
      <c r="I332" s="37" t="str">
        <f>'13. Desinvesteringen'!C615</f>
        <v>15 Compressorstations (TT-BT-AT)</v>
      </c>
      <c r="J332" s="165">
        <f>'13. Desinvesteringen'!F615</f>
        <v>0</v>
      </c>
      <c r="K332" s="38">
        <f>_xlfn.XLOOKUP(I332,'3. Input (des)investeringen '!$B$11:$B$89,'3. Input (des)investeringen '!$E$11:$E$89)</f>
        <v>1</v>
      </c>
      <c r="L332" s="331"/>
      <c r="M332" s="38">
        <f>_xlfn.XLOOKUP(I332,'3. Input (des)investeringen '!$B$11:$B$89,'3. Input (des)investeringen '!$D$11:$D$89,0)</f>
        <v>30</v>
      </c>
      <c r="N332" s="38">
        <f t="shared" ref="N332:N384" si="140">IF($M332&gt;0, MAX(0,IF(G332&lt;2022,M332-2021+G332-0.5,M332)), 0)</f>
        <v>0</v>
      </c>
      <c r="P332" s="43">
        <f t="shared" ref="P332:T341" si="141">IF($M332&gt;0, IF(OR($G332&gt;P$50,$G332+$M332&lt;P$50),0,
VDB($F332,0,$N332,MAX(0,P$50-2022),MIN($N332,P$50-2021),$F$23,FALSE))*(1-$F$26), 0)</f>
        <v>0</v>
      </c>
      <c r="Q332" s="43">
        <f t="shared" si="141"/>
        <v>0</v>
      </c>
      <c r="R332" s="43">
        <f t="shared" si="141"/>
        <v>0</v>
      </c>
      <c r="S332" s="43">
        <f t="shared" si="141"/>
        <v>0</v>
      </c>
      <c r="T332" s="43">
        <f t="shared" si="141"/>
        <v>0</v>
      </c>
      <c r="V332" s="43">
        <f t="shared" si="133"/>
        <v>0</v>
      </c>
      <c r="W332" s="43">
        <f t="shared" si="134"/>
        <v>0</v>
      </c>
      <c r="X332" s="43">
        <f t="shared" si="135"/>
        <v>0</v>
      </c>
      <c r="Y332" s="43">
        <f t="shared" si="136"/>
        <v>0</v>
      </c>
      <c r="Z332" s="43">
        <f t="shared" si="137"/>
        <v>0</v>
      </c>
      <c r="AB332" s="43">
        <f t="shared" ref="AB332:AB384" si="142">P332+V332</f>
        <v>0</v>
      </c>
      <c r="AC332" s="43">
        <f t="shared" ref="AC332:AC384" si="143">Q332+W332</f>
        <v>0</v>
      </c>
      <c r="AD332" s="43">
        <f t="shared" ref="AD332:AD384" si="144">R332+X332</f>
        <v>0</v>
      </c>
      <c r="AE332" s="43">
        <f t="shared" ref="AE332:AE384" si="145">S332+Y332</f>
        <v>0</v>
      </c>
      <c r="AF332" s="43">
        <f t="shared" ref="AF332:AF384" si="146">T332+Z332</f>
        <v>0</v>
      </c>
      <c r="AH332" s="43">
        <f t="shared" ref="AH332:AH384" si="147">IF($M332&gt;0, IF($M332&gt;0,IF(OR($G332&gt;AH$50,$G332+$M332&lt;=AH$50),0,IF(AH$50=2022,$F332-AB332,AG332-AB332))), $F332)</f>
        <v>0</v>
      </c>
      <c r="AI332" s="43">
        <f t="shared" ref="AI332:AI384" si="148">IF($M332&gt;0, IF(OR($G332&gt;AI$50,$G332+$M332&lt;=AI$50),0,IF(AI$50=2022,$F332-AC332,AH332-AC332)), AH332)</f>
        <v>0</v>
      </c>
      <c r="AJ332" s="43">
        <f t="shared" ref="AJ332:AJ384" si="149">IF($M332&gt;0, IF(OR($G332&gt;AJ$50,$G332+$M332&lt;=AJ$50),0,IF(AJ$50=2022,$F332-AD332,AI332-AD332)), AI332)</f>
        <v>0</v>
      </c>
      <c r="AK332" s="43">
        <f t="shared" ref="AK332:AK384" si="150">IF($M332&gt;0, IF(OR($G332&gt;AK$50,$G332+$M332&lt;=AK$50),0,IF(AK$50=2022,$F332-AE332,AJ332-AE332)), AJ332)</f>
        <v>0</v>
      </c>
      <c r="AL332" s="43">
        <f t="shared" ref="AL332:AL384" si="151">IF($M332&gt;0, IF(OR($G332&gt;AL$50,$G332+$M332&lt;=AL$50),0,IF(AL$50=2022,$F332-AF332,AK332-AF332)), AK332)</f>
        <v>0</v>
      </c>
      <c r="AN332" s="47">
        <f t="shared" ref="AN332:AN384" si="152">(AB332+AH332*H$17)*IF($K332=1,$F$32,1)</f>
        <v>0</v>
      </c>
      <c r="AO332" s="47">
        <f t="shared" ref="AO332:AO384" si="153">(AC332+AI332*I$17)*IF($K332=1,$F$32,1)</f>
        <v>0</v>
      </c>
      <c r="AP332" s="47">
        <f t="shared" ref="AP332:AP384" si="154">(AD332+AJ332*J$17)*IF($K332=1,$F$32,1)</f>
        <v>0</v>
      </c>
      <c r="AQ332" s="47">
        <f t="shared" ref="AQ332:AQ384" si="155">(AE332+AK332*K$17)*IF($K332=1,$F$32,1)</f>
        <v>0</v>
      </c>
      <c r="AR332" s="43">
        <f t="shared" ref="AR332:AR384" si="156">(AF332+AL332*L$17)*IF($K332=1,$F$32,1)</f>
        <v>0</v>
      </c>
      <c r="AS332" s="121"/>
      <c r="AT332" s="121"/>
      <c r="AU332" s="121"/>
      <c r="AV332" s="121"/>
      <c r="AW332" s="121"/>
      <c r="AX332" s="121"/>
    </row>
    <row r="333" spans="1:50" s="89" customFormat="1">
      <c r="A333" s="226"/>
      <c r="B333" s="37">
        <f>'13. Desinvesteringen'!B616</f>
        <v>597</v>
      </c>
      <c r="C333" s="331"/>
      <c r="D333" s="331"/>
      <c r="E333" s="331"/>
      <c r="F333" s="354">
        <f>'5. Input GAW-waarde desinv.'!D292</f>
        <v>0</v>
      </c>
      <c r="G333" s="175">
        <f>'13. Desinvesteringen'!D616</f>
        <v>1977</v>
      </c>
      <c r="H333" s="175">
        <f>'13. Desinvesteringen'!G616</f>
        <v>2024</v>
      </c>
      <c r="I333" s="37" t="str">
        <f>'13. Desinvesteringen'!C616</f>
        <v>15 Compressorstations (TT-BT-AT)</v>
      </c>
      <c r="J333" s="165">
        <f>'13. Desinvesteringen'!F616</f>
        <v>0</v>
      </c>
      <c r="K333" s="38">
        <f>_xlfn.XLOOKUP(I333,'3. Input (des)investeringen '!$B$11:$B$89,'3. Input (des)investeringen '!$E$11:$E$89)</f>
        <v>1</v>
      </c>
      <c r="L333" s="331"/>
      <c r="M333" s="38">
        <f>_xlfn.XLOOKUP(I333,'3. Input (des)investeringen '!$B$11:$B$89,'3. Input (des)investeringen '!$D$11:$D$89,0)</f>
        <v>30</v>
      </c>
      <c r="N333" s="38">
        <f t="shared" si="140"/>
        <v>0</v>
      </c>
      <c r="P333" s="43">
        <f t="shared" si="141"/>
        <v>0</v>
      </c>
      <c r="Q333" s="43">
        <f t="shared" si="141"/>
        <v>0</v>
      </c>
      <c r="R333" s="43">
        <f t="shared" si="141"/>
        <v>0</v>
      </c>
      <c r="S333" s="43">
        <f t="shared" si="141"/>
        <v>0</v>
      </c>
      <c r="T333" s="43">
        <f t="shared" si="141"/>
        <v>0</v>
      </c>
      <c r="V333" s="43">
        <f t="shared" si="133"/>
        <v>0</v>
      </c>
      <c r="W333" s="43">
        <f t="shared" si="134"/>
        <v>0</v>
      </c>
      <c r="X333" s="43">
        <f t="shared" si="135"/>
        <v>0</v>
      </c>
      <c r="Y333" s="43">
        <f t="shared" si="136"/>
        <v>0</v>
      </c>
      <c r="Z333" s="43">
        <f t="shared" si="137"/>
        <v>0</v>
      </c>
      <c r="AB333" s="43">
        <f t="shared" si="142"/>
        <v>0</v>
      </c>
      <c r="AC333" s="43">
        <f t="shared" si="143"/>
        <v>0</v>
      </c>
      <c r="AD333" s="43">
        <f t="shared" si="144"/>
        <v>0</v>
      </c>
      <c r="AE333" s="43">
        <f t="shared" si="145"/>
        <v>0</v>
      </c>
      <c r="AF333" s="43">
        <f t="shared" si="146"/>
        <v>0</v>
      </c>
      <c r="AH333" s="43">
        <f t="shared" si="147"/>
        <v>0</v>
      </c>
      <c r="AI333" s="43">
        <f t="shared" si="148"/>
        <v>0</v>
      </c>
      <c r="AJ333" s="43">
        <f t="shared" si="149"/>
        <v>0</v>
      </c>
      <c r="AK333" s="43">
        <f t="shared" si="150"/>
        <v>0</v>
      </c>
      <c r="AL333" s="43">
        <f t="shared" si="151"/>
        <v>0</v>
      </c>
      <c r="AN333" s="47">
        <f t="shared" si="152"/>
        <v>0</v>
      </c>
      <c r="AO333" s="47">
        <f t="shared" si="153"/>
        <v>0</v>
      </c>
      <c r="AP333" s="47">
        <f t="shared" si="154"/>
        <v>0</v>
      </c>
      <c r="AQ333" s="47">
        <f t="shared" si="155"/>
        <v>0</v>
      </c>
      <c r="AR333" s="43">
        <f t="shared" si="156"/>
        <v>0</v>
      </c>
      <c r="AS333" s="121"/>
      <c r="AT333" s="121"/>
      <c r="AU333" s="121"/>
      <c r="AV333" s="121"/>
      <c r="AW333" s="121"/>
      <c r="AX333" s="121"/>
    </row>
    <row r="334" spans="1:50" s="89" customFormat="1">
      <c r="A334" s="226"/>
      <c r="B334" s="37">
        <f>'13. Desinvesteringen'!B617</f>
        <v>598</v>
      </c>
      <c r="C334" s="331"/>
      <c r="D334" s="331"/>
      <c r="E334" s="331"/>
      <c r="F334" s="354">
        <f>'5. Input GAW-waarde desinv.'!D293</f>
        <v>0</v>
      </c>
      <c r="G334" s="175">
        <f>'13. Desinvesteringen'!D617</f>
        <v>1978</v>
      </c>
      <c r="H334" s="175">
        <f>'13. Desinvesteringen'!G617</f>
        <v>2024</v>
      </c>
      <c r="I334" s="37" t="str">
        <f>'13. Desinvesteringen'!C617</f>
        <v>15 Compressorstations (TT-BT-AT)</v>
      </c>
      <c r="J334" s="165">
        <f>'13. Desinvesteringen'!F617</f>
        <v>0</v>
      </c>
      <c r="K334" s="38">
        <f>_xlfn.XLOOKUP(I334,'3. Input (des)investeringen '!$B$11:$B$89,'3. Input (des)investeringen '!$E$11:$E$89)</f>
        <v>1</v>
      </c>
      <c r="L334" s="331"/>
      <c r="M334" s="38">
        <f>_xlfn.XLOOKUP(I334,'3. Input (des)investeringen '!$B$11:$B$89,'3. Input (des)investeringen '!$D$11:$D$89,0)</f>
        <v>30</v>
      </c>
      <c r="N334" s="38">
        <f t="shared" si="140"/>
        <v>0</v>
      </c>
      <c r="P334" s="43">
        <f t="shared" si="141"/>
        <v>0</v>
      </c>
      <c r="Q334" s="43">
        <f t="shared" si="141"/>
        <v>0</v>
      </c>
      <c r="R334" s="43">
        <f t="shared" si="141"/>
        <v>0</v>
      </c>
      <c r="S334" s="43">
        <f t="shared" si="141"/>
        <v>0</v>
      </c>
      <c r="T334" s="43">
        <f t="shared" si="141"/>
        <v>0</v>
      </c>
      <c r="V334" s="43">
        <f t="shared" si="133"/>
        <v>0</v>
      </c>
      <c r="W334" s="43">
        <f t="shared" si="134"/>
        <v>0</v>
      </c>
      <c r="X334" s="43">
        <f t="shared" si="135"/>
        <v>0</v>
      </c>
      <c r="Y334" s="43">
        <f t="shared" si="136"/>
        <v>0</v>
      </c>
      <c r="Z334" s="43">
        <f t="shared" si="137"/>
        <v>0</v>
      </c>
      <c r="AB334" s="43">
        <f t="shared" si="142"/>
        <v>0</v>
      </c>
      <c r="AC334" s="43">
        <f t="shared" si="143"/>
        <v>0</v>
      </c>
      <c r="AD334" s="43">
        <f t="shared" si="144"/>
        <v>0</v>
      </c>
      <c r="AE334" s="43">
        <f t="shared" si="145"/>
        <v>0</v>
      </c>
      <c r="AF334" s="43">
        <f t="shared" si="146"/>
        <v>0</v>
      </c>
      <c r="AH334" s="43">
        <f t="shared" si="147"/>
        <v>0</v>
      </c>
      <c r="AI334" s="43">
        <f t="shared" si="148"/>
        <v>0</v>
      </c>
      <c r="AJ334" s="43">
        <f t="shared" si="149"/>
        <v>0</v>
      </c>
      <c r="AK334" s="43">
        <f t="shared" si="150"/>
        <v>0</v>
      </c>
      <c r="AL334" s="43">
        <f t="shared" si="151"/>
        <v>0</v>
      </c>
      <c r="AN334" s="47">
        <f t="shared" si="152"/>
        <v>0</v>
      </c>
      <c r="AO334" s="47">
        <f t="shared" si="153"/>
        <v>0</v>
      </c>
      <c r="AP334" s="47">
        <f t="shared" si="154"/>
        <v>0</v>
      </c>
      <c r="AQ334" s="47">
        <f t="shared" si="155"/>
        <v>0</v>
      </c>
      <c r="AR334" s="43">
        <f t="shared" si="156"/>
        <v>0</v>
      </c>
      <c r="AS334" s="121"/>
      <c r="AT334" s="121"/>
      <c r="AU334" s="121"/>
      <c r="AV334" s="121"/>
      <c r="AW334" s="121"/>
      <c r="AX334" s="121"/>
    </row>
    <row r="335" spans="1:50" s="89" customFormat="1">
      <c r="A335" s="226"/>
      <c r="B335" s="37">
        <f>'13. Desinvesteringen'!B618</f>
        <v>599</v>
      </c>
      <c r="C335" s="331"/>
      <c r="D335" s="331"/>
      <c r="E335" s="331"/>
      <c r="F335" s="354">
        <f>'5. Input GAW-waarde desinv.'!D294</f>
        <v>0</v>
      </c>
      <c r="G335" s="175">
        <f>'13. Desinvesteringen'!D618</f>
        <v>1980</v>
      </c>
      <c r="H335" s="175">
        <f>'13. Desinvesteringen'!G618</f>
        <v>2024</v>
      </c>
      <c r="I335" s="37" t="str">
        <f>'13. Desinvesteringen'!C618</f>
        <v>15 Compressorstations (TT-BT-AT)</v>
      </c>
      <c r="J335" s="165">
        <f>'13. Desinvesteringen'!F618</f>
        <v>0</v>
      </c>
      <c r="K335" s="38">
        <f>_xlfn.XLOOKUP(I335,'3. Input (des)investeringen '!$B$11:$B$89,'3. Input (des)investeringen '!$E$11:$E$89)</f>
        <v>1</v>
      </c>
      <c r="L335" s="331"/>
      <c r="M335" s="38">
        <f>_xlfn.XLOOKUP(I335,'3. Input (des)investeringen '!$B$11:$B$89,'3. Input (des)investeringen '!$D$11:$D$89,0)</f>
        <v>30</v>
      </c>
      <c r="N335" s="38">
        <f t="shared" si="140"/>
        <v>0</v>
      </c>
      <c r="P335" s="43">
        <f t="shared" si="141"/>
        <v>0</v>
      </c>
      <c r="Q335" s="43">
        <f t="shared" si="141"/>
        <v>0</v>
      </c>
      <c r="R335" s="43">
        <f t="shared" si="141"/>
        <v>0</v>
      </c>
      <c r="S335" s="43">
        <f t="shared" si="141"/>
        <v>0</v>
      </c>
      <c r="T335" s="43">
        <f t="shared" si="141"/>
        <v>0</v>
      </c>
      <c r="V335" s="43">
        <f t="shared" si="133"/>
        <v>0</v>
      </c>
      <c r="W335" s="43">
        <f t="shared" si="134"/>
        <v>0</v>
      </c>
      <c r="X335" s="43">
        <f t="shared" si="135"/>
        <v>0</v>
      </c>
      <c r="Y335" s="43">
        <f t="shared" si="136"/>
        <v>0</v>
      </c>
      <c r="Z335" s="43">
        <f t="shared" si="137"/>
        <v>0</v>
      </c>
      <c r="AB335" s="43">
        <f t="shared" si="142"/>
        <v>0</v>
      </c>
      <c r="AC335" s="43">
        <f t="shared" si="143"/>
        <v>0</v>
      </c>
      <c r="AD335" s="43">
        <f t="shared" si="144"/>
        <v>0</v>
      </c>
      <c r="AE335" s="43">
        <f t="shared" si="145"/>
        <v>0</v>
      </c>
      <c r="AF335" s="43">
        <f t="shared" si="146"/>
        <v>0</v>
      </c>
      <c r="AH335" s="43">
        <f t="shared" si="147"/>
        <v>0</v>
      </c>
      <c r="AI335" s="43">
        <f t="shared" si="148"/>
        <v>0</v>
      </c>
      <c r="AJ335" s="43">
        <f t="shared" si="149"/>
        <v>0</v>
      </c>
      <c r="AK335" s="43">
        <f t="shared" si="150"/>
        <v>0</v>
      </c>
      <c r="AL335" s="43">
        <f t="shared" si="151"/>
        <v>0</v>
      </c>
      <c r="AN335" s="47">
        <f t="shared" si="152"/>
        <v>0</v>
      </c>
      <c r="AO335" s="47">
        <f t="shared" si="153"/>
        <v>0</v>
      </c>
      <c r="AP335" s="47">
        <f t="shared" si="154"/>
        <v>0</v>
      </c>
      <c r="AQ335" s="47">
        <f t="shared" si="155"/>
        <v>0</v>
      </c>
      <c r="AR335" s="43">
        <f t="shared" si="156"/>
        <v>0</v>
      </c>
      <c r="AS335" s="121"/>
      <c r="AT335" s="121"/>
      <c r="AU335" s="121"/>
      <c r="AV335" s="121"/>
      <c r="AW335" s="121"/>
      <c r="AX335" s="121"/>
    </row>
    <row r="336" spans="1:50" s="89" customFormat="1">
      <c r="A336" s="226"/>
      <c r="B336" s="37">
        <f>'13. Desinvesteringen'!B619</f>
        <v>600</v>
      </c>
      <c r="C336" s="331"/>
      <c r="D336" s="331"/>
      <c r="E336" s="331"/>
      <c r="F336" s="354">
        <f>'5. Input GAW-waarde desinv.'!D295</f>
        <v>0</v>
      </c>
      <c r="G336" s="175">
        <f>'13. Desinvesteringen'!D619</f>
        <v>1982</v>
      </c>
      <c r="H336" s="175">
        <f>'13. Desinvesteringen'!G619</f>
        <v>2024</v>
      </c>
      <c r="I336" s="37" t="str">
        <f>'13. Desinvesteringen'!C619</f>
        <v>15 Compressorstations (TT-BT-AT)</v>
      </c>
      <c r="J336" s="165">
        <f>'13. Desinvesteringen'!F619</f>
        <v>0</v>
      </c>
      <c r="K336" s="38">
        <f>_xlfn.XLOOKUP(I336,'3. Input (des)investeringen '!$B$11:$B$89,'3. Input (des)investeringen '!$E$11:$E$89)</f>
        <v>1</v>
      </c>
      <c r="L336" s="331"/>
      <c r="M336" s="38">
        <f>_xlfn.XLOOKUP(I336,'3. Input (des)investeringen '!$B$11:$B$89,'3. Input (des)investeringen '!$D$11:$D$89,0)</f>
        <v>30</v>
      </c>
      <c r="N336" s="38">
        <f t="shared" si="140"/>
        <v>0</v>
      </c>
      <c r="P336" s="43">
        <f t="shared" si="141"/>
        <v>0</v>
      </c>
      <c r="Q336" s="43">
        <f t="shared" si="141"/>
        <v>0</v>
      </c>
      <c r="R336" s="43">
        <f t="shared" si="141"/>
        <v>0</v>
      </c>
      <c r="S336" s="43">
        <f t="shared" si="141"/>
        <v>0</v>
      </c>
      <c r="T336" s="43">
        <f t="shared" si="141"/>
        <v>0</v>
      </c>
      <c r="V336" s="43">
        <f t="shared" si="133"/>
        <v>0</v>
      </c>
      <c r="W336" s="43">
        <f t="shared" si="134"/>
        <v>0</v>
      </c>
      <c r="X336" s="43">
        <f t="shared" si="135"/>
        <v>0</v>
      </c>
      <c r="Y336" s="43">
        <f t="shared" si="136"/>
        <v>0</v>
      </c>
      <c r="Z336" s="43">
        <f t="shared" si="137"/>
        <v>0</v>
      </c>
      <c r="AB336" s="43">
        <f t="shared" si="142"/>
        <v>0</v>
      </c>
      <c r="AC336" s="43">
        <f t="shared" si="143"/>
        <v>0</v>
      </c>
      <c r="AD336" s="43">
        <f t="shared" si="144"/>
        <v>0</v>
      </c>
      <c r="AE336" s="43">
        <f t="shared" si="145"/>
        <v>0</v>
      </c>
      <c r="AF336" s="43">
        <f t="shared" si="146"/>
        <v>0</v>
      </c>
      <c r="AH336" s="43">
        <f t="shared" si="147"/>
        <v>0</v>
      </c>
      <c r="AI336" s="43">
        <f t="shared" si="148"/>
        <v>0</v>
      </c>
      <c r="AJ336" s="43">
        <f t="shared" si="149"/>
        <v>0</v>
      </c>
      <c r="AK336" s="43">
        <f t="shared" si="150"/>
        <v>0</v>
      </c>
      <c r="AL336" s="43">
        <f t="shared" si="151"/>
        <v>0</v>
      </c>
      <c r="AN336" s="47">
        <f t="shared" si="152"/>
        <v>0</v>
      </c>
      <c r="AO336" s="47">
        <f t="shared" si="153"/>
        <v>0</v>
      </c>
      <c r="AP336" s="47">
        <f t="shared" si="154"/>
        <v>0</v>
      </c>
      <c r="AQ336" s="47">
        <f t="shared" si="155"/>
        <v>0</v>
      </c>
      <c r="AR336" s="43">
        <f t="shared" si="156"/>
        <v>0</v>
      </c>
      <c r="AS336" s="121"/>
      <c r="AT336" s="121"/>
      <c r="AU336" s="121"/>
      <c r="AV336" s="121"/>
      <c r="AW336" s="121"/>
      <c r="AX336" s="121"/>
    </row>
    <row r="337" spans="1:50" s="89" customFormat="1">
      <c r="A337" s="226"/>
      <c r="B337" s="37">
        <f>'13. Desinvesteringen'!B620</f>
        <v>601</v>
      </c>
      <c r="C337" s="331"/>
      <c r="D337" s="331"/>
      <c r="E337" s="331"/>
      <c r="F337" s="354">
        <f>'5. Input GAW-waarde desinv.'!D296</f>
        <v>0</v>
      </c>
      <c r="G337" s="175">
        <f>'13. Desinvesteringen'!D620</f>
        <v>1984</v>
      </c>
      <c r="H337" s="175">
        <f>'13. Desinvesteringen'!G620</f>
        <v>2024</v>
      </c>
      <c r="I337" s="37" t="str">
        <f>'13. Desinvesteringen'!C620</f>
        <v>15 Compressorstations (TT-BT-AT)</v>
      </c>
      <c r="J337" s="165">
        <f>'13. Desinvesteringen'!F620</f>
        <v>0</v>
      </c>
      <c r="K337" s="38">
        <f>_xlfn.XLOOKUP(I337,'3. Input (des)investeringen '!$B$11:$B$89,'3. Input (des)investeringen '!$E$11:$E$89)</f>
        <v>1</v>
      </c>
      <c r="L337" s="331"/>
      <c r="M337" s="38">
        <f>_xlfn.XLOOKUP(I337,'3. Input (des)investeringen '!$B$11:$B$89,'3. Input (des)investeringen '!$D$11:$D$89,0)</f>
        <v>30</v>
      </c>
      <c r="N337" s="38">
        <f t="shared" si="140"/>
        <v>0</v>
      </c>
      <c r="P337" s="43">
        <f t="shared" si="141"/>
        <v>0</v>
      </c>
      <c r="Q337" s="43">
        <f t="shared" si="141"/>
        <v>0</v>
      </c>
      <c r="R337" s="43">
        <f t="shared" si="141"/>
        <v>0</v>
      </c>
      <c r="S337" s="43">
        <f t="shared" si="141"/>
        <v>0</v>
      </c>
      <c r="T337" s="43">
        <f t="shared" si="141"/>
        <v>0</v>
      </c>
      <c r="V337" s="43">
        <f t="shared" si="133"/>
        <v>0</v>
      </c>
      <c r="W337" s="43">
        <f t="shared" si="134"/>
        <v>0</v>
      </c>
      <c r="X337" s="43">
        <f t="shared" si="135"/>
        <v>0</v>
      </c>
      <c r="Y337" s="43">
        <f t="shared" si="136"/>
        <v>0</v>
      </c>
      <c r="Z337" s="43">
        <f t="shared" si="137"/>
        <v>0</v>
      </c>
      <c r="AB337" s="43">
        <f t="shared" si="142"/>
        <v>0</v>
      </c>
      <c r="AC337" s="43">
        <f t="shared" si="143"/>
        <v>0</v>
      </c>
      <c r="AD337" s="43">
        <f t="shared" si="144"/>
        <v>0</v>
      </c>
      <c r="AE337" s="43">
        <f t="shared" si="145"/>
        <v>0</v>
      </c>
      <c r="AF337" s="43">
        <f t="shared" si="146"/>
        <v>0</v>
      </c>
      <c r="AH337" s="43">
        <f t="shared" si="147"/>
        <v>0</v>
      </c>
      <c r="AI337" s="43">
        <f t="shared" si="148"/>
        <v>0</v>
      </c>
      <c r="AJ337" s="43">
        <f t="shared" si="149"/>
        <v>0</v>
      </c>
      <c r="AK337" s="43">
        <f t="shared" si="150"/>
        <v>0</v>
      </c>
      <c r="AL337" s="43">
        <f t="shared" si="151"/>
        <v>0</v>
      </c>
      <c r="AN337" s="47">
        <f t="shared" si="152"/>
        <v>0</v>
      </c>
      <c r="AO337" s="47">
        <f t="shared" si="153"/>
        <v>0</v>
      </c>
      <c r="AP337" s="47">
        <f t="shared" si="154"/>
        <v>0</v>
      </c>
      <c r="AQ337" s="47">
        <f t="shared" si="155"/>
        <v>0</v>
      </c>
      <c r="AR337" s="43">
        <f t="shared" si="156"/>
        <v>0</v>
      </c>
      <c r="AS337" s="121"/>
      <c r="AT337" s="121"/>
      <c r="AU337" s="121"/>
      <c r="AV337" s="121"/>
      <c r="AW337" s="121"/>
      <c r="AX337" s="121"/>
    </row>
    <row r="338" spans="1:50" s="89" customFormat="1">
      <c r="A338" s="226"/>
      <c r="B338" s="37">
        <f>'13. Desinvesteringen'!B621</f>
        <v>602</v>
      </c>
      <c r="C338" s="331"/>
      <c r="D338" s="331"/>
      <c r="E338" s="331"/>
      <c r="F338" s="354">
        <f>'5. Input GAW-waarde desinv.'!D297</f>
        <v>0</v>
      </c>
      <c r="G338" s="175">
        <f>'13. Desinvesteringen'!D621</f>
        <v>1990</v>
      </c>
      <c r="H338" s="175">
        <f>'13. Desinvesteringen'!G621</f>
        <v>2024</v>
      </c>
      <c r="I338" s="37" t="str">
        <f>'13. Desinvesteringen'!C621</f>
        <v>15 Compressorstations (TT-BT-AT)</v>
      </c>
      <c r="J338" s="165">
        <f>'13. Desinvesteringen'!F621</f>
        <v>0</v>
      </c>
      <c r="K338" s="38">
        <f>_xlfn.XLOOKUP(I338,'3. Input (des)investeringen '!$B$11:$B$89,'3. Input (des)investeringen '!$E$11:$E$89)</f>
        <v>1</v>
      </c>
      <c r="L338" s="331"/>
      <c r="M338" s="38">
        <f>_xlfn.XLOOKUP(I338,'3. Input (des)investeringen '!$B$11:$B$89,'3. Input (des)investeringen '!$D$11:$D$89,0)</f>
        <v>30</v>
      </c>
      <c r="N338" s="38">
        <f t="shared" si="140"/>
        <v>0</v>
      </c>
      <c r="P338" s="43">
        <f t="shared" si="141"/>
        <v>0</v>
      </c>
      <c r="Q338" s="43">
        <f t="shared" si="141"/>
        <v>0</v>
      </c>
      <c r="R338" s="43">
        <f t="shared" si="141"/>
        <v>0</v>
      </c>
      <c r="S338" s="43">
        <f t="shared" si="141"/>
        <v>0</v>
      </c>
      <c r="T338" s="43">
        <f t="shared" si="141"/>
        <v>0</v>
      </c>
      <c r="V338" s="43">
        <f t="shared" si="133"/>
        <v>0</v>
      </c>
      <c r="W338" s="43">
        <f t="shared" si="134"/>
        <v>0</v>
      </c>
      <c r="X338" s="43">
        <f t="shared" si="135"/>
        <v>0</v>
      </c>
      <c r="Y338" s="43">
        <f t="shared" si="136"/>
        <v>0</v>
      </c>
      <c r="Z338" s="43">
        <f t="shared" si="137"/>
        <v>0</v>
      </c>
      <c r="AB338" s="43">
        <f t="shared" si="142"/>
        <v>0</v>
      </c>
      <c r="AC338" s="43">
        <f t="shared" si="143"/>
        <v>0</v>
      </c>
      <c r="AD338" s="43">
        <f t="shared" si="144"/>
        <v>0</v>
      </c>
      <c r="AE338" s="43">
        <f t="shared" si="145"/>
        <v>0</v>
      </c>
      <c r="AF338" s="43">
        <f t="shared" si="146"/>
        <v>0</v>
      </c>
      <c r="AH338" s="43">
        <f t="shared" si="147"/>
        <v>0</v>
      </c>
      <c r="AI338" s="43">
        <f t="shared" si="148"/>
        <v>0</v>
      </c>
      <c r="AJ338" s="43">
        <f t="shared" si="149"/>
        <v>0</v>
      </c>
      <c r="AK338" s="43">
        <f t="shared" si="150"/>
        <v>0</v>
      </c>
      <c r="AL338" s="43">
        <f t="shared" si="151"/>
        <v>0</v>
      </c>
      <c r="AN338" s="47">
        <f t="shared" si="152"/>
        <v>0</v>
      </c>
      <c r="AO338" s="47">
        <f t="shared" si="153"/>
        <v>0</v>
      </c>
      <c r="AP338" s="47">
        <f t="shared" si="154"/>
        <v>0</v>
      </c>
      <c r="AQ338" s="47">
        <f t="shared" si="155"/>
        <v>0</v>
      </c>
      <c r="AR338" s="43">
        <f t="shared" si="156"/>
        <v>0</v>
      </c>
      <c r="AS338" s="121"/>
      <c r="AT338" s="121"/>
      <c r="AU338" s="121"/>
      <c r="AV338" s="121"/>
      <c r="AW338" s="121"/>
      <c r="AX338" s="121"/>
    </row>
    <row r="339" spans="1:50" s="89" customFormat="1">
      <c r="A339" s="226"/>
      <c r="B339" s="37">
        <f>'13. Desinvesteringen'!B622</f>
        <v>603</v>
      </c>
      <c r="C339" s="331"/>
      <c r="D339" s="331"/>
      <c r="E339" s="331"/>
      <c r="F339" s="354">
        <f>'5. Input GAW-waarde desinv.'!D298</f>
        <v>5866.8839006931503</v>
      </c>
      <c r="G339" s="175">
        <f>'13. Desinvesteringen'!D622</f>
        <v>1996</v>
      </c>
      <c r="H339" s="175">
        <f>'13. Desinvesteringen'!G622</f>
        <v>2024</v>
      </c>
      <c r="I339" s="37" t="str">
        <f>'13. Desinvesteringen'!C622</f>
        <v>15 Compressorstations (TT-BT-AT)</v>
      </c>
      <c r="J339" s="165">
        <f>'13. Desinvesteringen'!F622</f>
        <v>0</v>
      </c>
      <c r="K339" s="38">
        <f>_xlfn.XLOOKUP(I339,'3. Input (des)investeringen '!$B$11:$B$89,'3. Input (des)investeringen '!$E$11:$E$89)</f>
        <v>1</v>
      </c>
      <c r="L339" s="331"/>
      <c r="M339" s="38">
        <f>_xlfn.XLOOKUP(I339,'3. Input (des)investeringen '!$B$11:$B$89,'3. Input (des)investeringen '!$D$11:$D$89,0)</f>
        <v>30</v>
      </c>
      <c r="N339" s="38">
        <f t="shared" si="140"/>
        <v>4.5</v>
      </c>
      <c r="P339" s="43">
        <f t="shared" si="141"/>
        <v>1525.3898141802192</v>
      </c>
      <c r="Q339" s="43">
        <f t="shared" si="141"/>
        <v>1084.7216456392671</v>
      </c>
      <c r="R339" s="43">
        <f t="shared" si="141"/>
        <v>1068.0336203217396</v>
      </c>
      <c r="S339" s="43">
        <f t="shared" si="141"/>
        <v>1068.0336203217396</v>
      </c>
      <c r="T339" s="43">
        <f t="shared" si="141"/>
        <v>534.0168101608698</v>
      </c>
      <c r="V339" s="43">
        <f t="shared" si="133"/>
        <v>130.37519779318112</v>
      </c>
      <c r="W339" s="43">
        <f t="shared" si="134"/>
        <v>130.37519779318114</v>
      </c>
      <c r="X339" s="43">
        <f t="shared" si="135"/>
        <v>130.37519779318114</v>
      </c>
      <c r="Y339" s="43">
        <f t="shared" si="136"/>
        <v>130.37519779318114</v>
      </c>
      <c r="Z339" s="43">
        <f t="shared" si="137"/>
        <v>65.187598896590572</v>
      </c>
      <c r="AB339" s="43">
        <f t="shared" si="142"/>
        <v>1655.7650119734003</v>
      </c>
      <c r="AC339" s="43">
        <f t="shared" si="143"/>
        <v>1215.0968434324482</v>
      </c>
      <c r="AD339" s="43">
        <f t="shared" si="144"/>
        <v>1198.4088181149207</v>
      </c>
      <c r="AE339" s="43">
        <f t="shared" si="145"/>
        <v>1198.4088181149207</v>
      </c>
      <c r="AF339" s="43">
        <f t="shared" si="146"/>
        <v>599.20440905746034</v>
      </c>
      <c r="AH339" s="43">
        <f t="shared" si="147"/>
        <v>4211.1188887197495</v>
      </c>
      <c r="AI339" s="43">
        <f t="shared" si="148"/>
        <v>2996.0220452873014</v>
      </c>
      <c r="AJ339" s="43">
        <f t="shared" si="149"/>
        <v>1797.6132271723807</v>
      </c>
      <c r="AK339" s="43">
        <f t="shared" si="150"/>
        <v>599.20440905746</v>
      </c>
      <c r="AL339" s="43">
        <f t="shared" si="151"/>
        <v>0</v>
      </c>
      <c r="AN339" s="47">
        <f t="shared" si="152"/>
        <v>1828.42088641091</v>
      </c>
      <c r="AO339" s="47">
        <f t="shared" si="153"/>
        <v>1367.8939677421006</v>
      </c>
      <c r="AP339" s="47">
        <f t="shared" si="154"/>
        <v>1290.087092700712</v>
      </c>
      <c r="AQ339" s="47">
        <f t="shared" si="155"/>
        <v>1231.3650606130809</v>
      </c>
      <c r="AR339" s="43">
        <f t="shared" si="156"/>
        <v>599.20440905746034</v>
      </c>
      <c r="AS339" s="121"/>
      <c r="AT339" s="121"/>
      <c r="AU339" s="121"/>
      <c r="AV339" s="121"/>
      <c r="AW339" s="121"/>
      <c r="AX339" s="121"/>
    </row>
    <row r="340" spans="1:50" s="89" customFormat="1">
      <c r="A340" s="226"/>
      <c r="B340" s="37">
        <f>'13. Desinvesteringen'!B623</f>
        <v>604</v>
      </c>
      <c r="C340" s="331"/>
      <c r="D340" s="331"/>
      <c r="E340" s="331"/>
      <c r="F340" s="354">
        <f>'5. Input GAW-waarde desinv.'!D299</f>
        <v>9075542.9359124992</v>
      </c>
      <c r="G340" s="175">
        <f>'13. Desinvesteringen'!D623</f>
        <v>1997</v>
      </c>
      <c r="H340" s="175">
        <f>'13. Desinvesteringen'!G623</f>
        <v>2024</v>
      </c>
      <c r="I340" s="37" t="str">
        <f>'13. Desinvesteringen'!C623</f>
        <v>15 Compressorstations (TT-BT-AT)</v>
      </c>
      <c r="J340" s="165">
        <f>'13. Desinvesteringen'!F623</f>
        <v>0</v>
      </c>
      <c r="K340" s="38">
        <f>_xlfn.XLOOKUP(I340,'3. Input (des)investeringen '!$B$11:$B$89,'3. Input (des)investeringen '!$E$11:$E$89)</f>
        <v>1</v>
      </c>
      <c r="L340" s="331"/>
      <c r="M340" s="38">
        <f>_xlfn.XLOOKUP(I340,'3. Input (des)investeringen '!$B$11:$B$89,'3. Input (des)investeringen '!$D$11:$D$89,0)</f>
        <v>30</v>
      </c>
      <c r="N340" s="38">
        <f t="shared" si="140"/>
        <v>5.5</v>
      </c>
      <c r="P340" s="43">
        <f t="shared" si="141"/>
        <v>1930615.4972759315</v>
      </c>
      <c r="Q340" s="43">
        <f t="shared" si="141"/>
        <v>1474288.1979198023</v>
      </c>
      <c r="R340" s="43">
        <f t="shared" si="141"/>
        <v>1360881.413464433</v>
      </c>
      <c r="S340" s="43">
        <f t="shared" si="141"/>
        <v>1360881.413464433</v>
      </c>
      <c r="T340" s="43">
        <f t="shared" si="141"/>
        <v>1360881.413464433</v>
      </c>
      <c r="V340" s="43">
        <f t="shared" si="133"/>
        <v>165009.87156204545</v>
      </c>
      <c r="W340" s="43">
        <f t="shared" si="134"/>
        <v>165009.87156204545</v>
      </c>
      <c r="X340" s="43">
        <f t="shared" si="135"/>
        <v>165009.87156204545</v>
      </c>
      <c r="Y340" s="43">
        <f t="shared" si="136"/>
        <v>165009.87156204545</v>
      </c>
      <c r="Z340" s="43">
        <f t="shared" si="137"/>
        <v>165009.87156204545</v>
      </c>
      <c r="AB340" s="43">
        <f t="shared" si="142"/>
        <v>2095625.3688379771</v>
      </c>
      <c r="AC340" s="43">
        <f t="shared" si="143"/>
        <v>1639298.0694818478</v>
      </c>
      <c r="AD340" s="43">
        <f t="shared" si="144"/>
        <v>1525891.2850264786</v>
      </c>
      <c r="AE340" s="43">
        <f t="shared" si="145"/>
        <v>1525891.2850264786</v>
      </c>
      <c r="AF340" s="43">
        <f t="shared" si="146"/>
        <v>1525891.2850264786</v>
      </c>
      <c r="AH340" s="43">
        <f t="shared" si="147"/>
        <v>6979917.5670745224</v>
      </c>
      <c r="AI340" s="43">
        <f t="shared" si="148"/>
        <v>5340619.4975926746</v>
      </c>
      <c r="AJ340" s="43">
        <f t="shared" si="149"/>
        <v>3814728.212566196</v>
      </c>
      <c r="AK340" s="43">
        <f t="shared" si="150"/>
        <v>2288836.9275397174</v>
      </c>
      <c r="AL340" s="43">
        <f t="shared" si="151"/>
        <v>762945.64251323882</v>
      </c>
      <c r="AN340" s="47">
        <f t="shared" si="152"/>
        <v>2381801.9890880324</v>
      </c>
      <c r="AO340" s="47">
        <f t="shared" si="153"/>
        <v>1911669.6638590742</v>
      </c>
      <c r="AP340" s="47">
        <f t="shared" si="154"/>
        <v>1720442.4238673546</v>
      </c>
      <c r="AQ340" s="47">
        <f t="shared" si="155"/>
        <v>1651777.3160411629</v>
      </c>
      <c r="AR340" s="43">
        <f t="shared" si="156"/>
        <v>1554883.2194419818</v>
      </c>
      <c r="AS340" s="121"/>
      <c r="AT340" s="121"/>
      <c r="AU340" s="121"/>
      <c r="AV340" s="121"/>
      <c r="AW340" s="121"/>
      <c r="AX340" s="121"/>
    </row>
    <row r="341" spans="1:50" s="89" customFormat="1">
      <c r="A341" s="226"/>
      <c r="B341" s="37">
        <f>'13. Desinvesteringen'!B624</f>
        <v>605</v>
      </c>
      <c r="C341" s="331"/>
      <c r="D341" s="331"/>
      <c r="E341" s="331"/>
      <c r="F341" s="354">
        <f>'5. Input GAW-waarde desinv.'!D300</f>
        <v>87331.73753895532</v>
      </c>
      <c r="G341" s="175">
        <f>'13. Desinvesteringen'!D624</f>
        <v>1998</v>
      </c>
      <c r="H341" s="175">
        <f>'13. Desinvesteringen'!G624</f>
        <v>2024</v>
      </c>
      <c r="I341" s="37" t="str">
        <f>'13. Desinvesteringen'!C624</f>
        <v>15 Compressorstations (TT-BT-AT)</v>
      </c>
      <c r="J341" s="165">
        <f>'13. Desinvesteringen'!F624</f>
        <v>0</v>
      </c>
      <c r="K341" s="38">
        <f>_xlfn.XLOOKUP(I341,'3. Input (des)investeringen '!$B$11:$B$89,'3. Input (des)investeringen '!$E$11:$E$89)</f>
        <v>1</v>
      </c>
      <c r="L341" s="331"/>
      <c r="M341" s="38">
        <f>_xlfn.XLOOKUP(I341,'3. Input (des)investeringen '!$B$11:$B$89,'3. Input (des)investeringen '!$D$11:$D$89,0)</f>
        <v>30</v>
      </c>
      <c r="N341" s="38">
        <f t="shared" si="140"/>
        <v>6.5</v>
      </c>
      <c r="P341" s="43">
        <f t="shared" si="141"/>
        <v>15719.712757011959</v>
      </c>
      <c r="Q341" s="43">
        <f t="shared" si="141"/>
        <v>12575.770205609566</v>
      </c>
      <c r="R341" s="43">
        <f t="shared" si="141"/>
        <v>11178.46240498628</v>
      </c>
      <c r="S341" s="43">
        <f t="shared" si="141"/>
        <v>11178.46240498628</v>
      </c>
      <c r="T341" s="43">
        <f t="shared" si="141"/>
        <v>11178.46240498628</v>
      </c>
      <c r="V341" s="43">
        <f t="shared" si="133"/>
        <v>1343.5651929070052</v>
      </c>
      <c r="W341" s="43">
        <f t="shared" si="134"/>
        <v>1343.565192907005</v>
      </c>
      <c r="X341" s="43">
        <f t="shared" si="135"/>
        <v>1343.565192907005</v>
      </c>
      <c r="Y341" s="43">
        <f t="shared" si="136"/>
        <v>1343.565192907005</v>
      </c>
      <c r="Z341" s="43">
        <f t="shared" si="137"/>
        <v>1343.565192907005</v>
      </c>
      <c r="AB341" s="43">
        <f t="shared" si="142"/>
        <v>17063.277949918964</v>
      </c>
      <c r="AC341" s="43">
        <f t="shared" si="143"/>
        <v>13919.33539851657</v>
      </c>
      <c r="AD341" s="43">
        <f t="shared" si="144"/>
        <v>12522.027597893284</v>
      </c>
      <c r="AE341" s="43">
        <f t="shared" si="145"/>
        <v>12522.027597893284</v>
      </c>
      <c r="AF341" s="43">
        <f t="shared" si="146"/>
        <v>12522.027597893284</v>
      </c>
      <c r="AH341" s="43">
        <f t="shared" si="147"/>
        <v>70268.459589036356</v>
      </c>
      <c r="AI341" s="43">
        <f t="shared" si="148"/>
        <v>56349.124190519782</v>
      </c>
      <c r="AJ341" s="43">
        <f t="shared" si="149"/>
        <v>43827.096592626498</v>
      </c>
      <c r="AK341" s="43">
        <f t="shared" si="150"/>
        <v>31305.068994733214</v>
      </c>
      <c r="AL341" s="43">
        <f t="shared" si="151"/>
        <v>18783.04139683993</v>
      </c>
      <c r="AN341" s="47">
        <f t="shared" si="152"/>
        <v>19944.284793069455</v>
      </c>
      <c r="AO341" s="47">
        <f t="shared" si="153"/>
        <v>16793.140732233078</v>
      </c>
      <c r="AP341" s="47">
        <f t="shared" si="154"/>
        <v>14757.209524117236</v>
      </c>
      <c r="AQ341" s="47">
        <f t="shared" si="155"/>
        <v>14243.80639260361</v>
      </c>
      <c r="AR341" s="43">
        <f t="shared" si="156"/>
        <v>13235.783170973202</v>
      </c>
      <c r="AS341" s="121"/>
      <c r="AT341" s="121"/>
      <c r="AU341" s="121"/>
      <c r="AV341" s="121"/>
      <c r="AW341" s="121"/>
      <c r="AX341" s="121"/>
    </row>
    <row r="342" spans="1:50" s="89" customFormat="1">
      <c r="A342" s="226"/>
      <c r="B342" s="37">
        <f>'13. Desinvesteringen'!B625</f>
        <v>606</v>
      </c>
      <c r="C342" s="331"/>
      <c r="D342" s="331"/>
      <c r="E342" s="331"/>
      <c r="F342" s="354">
        <f>'5. Input GAW-waarde desinv.'!D301</f>
        <v>20500.533572624918</v>
      </c>
      <c r="G342" s="175">
        <f>'13. Desinvesteringen'!D625</f>
        <v>2001</v>
      </c>
      <c r="H342" s="175">
        <f>'13. Desinvesteringen'!G625</f>
        <v>2024</v>
      </c>
      <c r="I342" s="37" t="str">
        <f>'13. Desinvesteringen'!C625</f>
        <v>15 Compressorstations (TT-BT-AT)</v>
      </c>
      <c r="J342" s="165">
        <f>'13. Desinvesteringen'!F625</f>
        <v>0</v>
      </c>
      <c r="K342" s="38">
        <f>_xlfn.XLOOKUP(I342,'3. Input (des)investeringen '!$B$11:$B$89,'3. Input (des)investeringen '!$E$11:$E$89)</f>
        <v>1</v>
      </c>
      <c r="L342" s="331"/>
      <c r="M342" s="38">
        <f>_xlfn.XLOOKUP(I342,'3. Input (des)investeringen '!$B$11:$B$89,'3. Input (des)investeringen '!$D$11:$D$89,0)</f>
        <v>30</v>
      </c>
      <c r="N342" s="38">
        <f t="shared" si="140"/>
        <v>9.5</v>
      </c>
      <c r="P342" s="43">
        <f t="shared" ref="P342:T351" si="157">IF($M342&gt;0, IF(OR($G342&gt;P$50,$G342+$M342&lt;P$50),0,
VDB($F342,0,$N342,MAX(0,P$50-2022),MIN($N342,P$50-2021),$F$23,FALSE))*(1-$F$26), 0)</f>
        <v>2524.8025557864376</v>
      </c>
      <c r="Q342" s="43">
        <f t="shared" si="157"/>
        <v>2179.3032586788195</v>
      </c>
      <c r="R342" s="43">
        <f t="shared" si="157"/>
        <v>1881.0828127543493</v>
      </c>
      <c r="S342" s="43">
        <f t="shared" si="157"/>
        <v>1825.4294750988952</v>
      </c>
      <c r="T342" s="43">
        <f t="shared" si="157"/>
        <v>1825.4294750988952</v>
      </c>
      <c r="V342" s="43">
        <f t="shared" si="133"/>
        <v>215.79509023815706</v>
      </c>
      <c r="W342" s="43">
        <f t="shared" si="134"/>
        <v>215.79509023815706</v>
      </c>
      <c r="X342" s="43">
        <f t="shared" si="135"/>
        <v>215.79509023815706</v>
      </c>
      <c r="Y342" s="43">
        <f t="shared" si="136"/>
        <v>215.79509023815706</v>
      </c>
      <c r="Z342" s="43">
        <f t="shared" si="137"/>
        <v>215.79509023815706</v>
      </c>
      <c r="AB342" s="43">
        <f t="shared" si="142"/>
        <v>2740.5976460245947</v>
      </c>
      <c r="AC342" s="43">
        <f t="shared" si="143"/>
        <v>2395.0983489169766</v>
      </c>
      <c r="AD342" s="43">
        <f t="shared" si="144"/>
        <v>2096.8779029925063</v>
      </c>
      <c r="AE342" s="43">
        <f t="shared" si="145"/>
        <v>2041.2245653370524</v>
      </c>
      <c r="AF342" s="43">
        <f t="shared" si="146"/>
        <v>2041.2245653370524</v>
      </c>
      <c r="AH342" s="43">
        <f t="shared" si="147"/>
        <v>17759.935926600323</v>
      </c>
      <c r="AI342" s="43">
        <f t="shared" si="148"/>
        <v>15364.837577683345</v>
      </c>
      <c r="AJ342" s="43">
        <f t="shared" si="149"/>
        <v>13267.959674690839</v>
      </c>
      <c r="AK342" s="43">
        <f t="shared" si="150"/>
        <v>11226.735109353787</v>
      </c>
      <c r="AL342" s="43">
        <f t="shared" si="151"/>
        <v>9185.5105440167354</v>
      </c>
      <c r="AN342" s="47">
        <f t="shared" si="152"/>
        <v>3468.7550190152078</v>
      </c>
      <c r="AO342" s="47">
        <f t="shared" si="153"/>
        <v>3178.7050653788274</v>
      </c>
      <c r="AP342" s="47">
        <f t="shared" si="154"/>
        <v>2773.5438464017388</v>
      </c>
      <c r="AQ342" s="47">
        <f t="shared" si="155"/>
        <v>2658.6949963515108</v>
      </c>
      <c r="AR342" s="43">
        <f t="shared" si="156"/>
        <v>2390.2739660096881</v>
      </c>
      <c r="AS342" s="121"/>
      <c r="AT342" s="121"/>
      <c r="AU342" s="121"/>
      <c r="AV342" s="121"/>
      <c r="AW342" s="121"/>
      <c r="AX342" s="121"/>
    </row>
    <row r="343" spans="1:50" s="89" customFormat="1">
      <c r="A343" s="226"/>
      <c r="B343" s="37">
        <f>'13. Desinvesteringen'!B626</f>
        <v>607</v>
      </c>
      <c r="C343" s="331"/>
      <c r="D343" s="331"/>
      <c r="E343" s="331"/>
      <c r="F343" s="354">
        <f>'5. Input GAW-waarde desinv.'!D302</f>
        <v>228572.72715228627</v>
      </c>
      <c r="G343" s="175">
        <f>'13. Desinvesteringen'!D626</f>
        <v>2002</v>
      </c>
      <c r="H343" s="175">
        <f>'13. Desinvesteringen'!G626</f>
        <v>2024</v>
      </c>
      <c r="I343" s="37" t="str">
        <f>'13. Desinvesteringen'!C626</f>
        <v>15 Compressorstations (TT-BT-AT)</v>
      </c>
      <c r="J343" s="165">
        <f>'13. Desinvesteringen'!F626</f>
        <v>0</v>
      </c>
      <c r="K343" s="38">
        <f>_xlfn.XLOOKUP(I343,'3. Input (des)investeringen '!$B$11:$B$89,'3. Input (des)investeringen '!$E$11:$E$89)</f>
        <v>1</v>
      </c>
      <c r="L343" s="331"/>
      <c r="M343" s="38">
        <f>_xlfn.XLOOKUP(I343,'3. Input (des)investeringen '!$B$11:$B$89,'3. Input (des)investeringen '!$D$11:$D$89,0)</f>
        <v>30</v>
      </c>
      <c r="N343" s="38">
        <f t="shared" si="140"/>
        <v>10.5</v>
      </c>
      <c r="P343" s="43">
        <f t="shared" si="157"/>
        <v>25469.532454111901</v>
      </c>
      <c r="Q343" s="43">
        <f t="shared" si="157"/>
        <v>22316.161769317092</v>
      </c>
      <c r="R343" s="43">
        <f t="shared" si="157"/>
        <v>19553.208407401646</v>
      </c>
      <c r="S343" s="43">
        <f t="shared" si="157"/>
        <v>18450.206907496937</v>
      </c>
      <c r="T343" s="43">
        <f t="shared" si="157"/>
        <v>18450.206907496937</v>
      </c>
      <c r="V343" s="43">
        <f t="shared" si="133"/>
        <v>2176.8831157360596</v>
      </c>
      <c r="W343" s="43">
        <f t="shared" si="134"/>
        <v>2176.8831157360596</v>
      </c>
      <c r="X343" s="43">
        <f t="shared" si="135"/>
        <v>2176.8831157360596</v>
      </c>
      <c r="Y343" s="43">
        <f t="shared" si="136"/>
        <v>2176.8831157360596</v>
      </c>
      <c r="Z343" s="43">
        <f t="shared" si="137"/>
        <v>2176.8831157360596</v>
      </c>
      <c r="AB343" s="43">
        <f t="shared" si="142"/>
        <v>27646.415569847959</v>
      </c>
      <c r="AC343" s="43">
        <f t="shared" si="143"/>
        <v>24493.04488505315</v>
      </c>
      <c r="AD343" s="43">
        <f t="shared" si="144"/>
        <v>21730.091523137704</v>
      </c>
      <c r="AE343" s="43">
        <f t="shared" si="145"/>
        <v>20627.090023232995</v>
      </c>
      <c r="AF343" s="43">
        <f t="shared" si="146"/>
        <v>20627.090023232995</v>
      </c>
      <c r="AH343" s="43">
        <f t="shared" si="147"/>
        <v>200926.3115824383</v>
      </c>
      <c r="AI343" s="43">
        <f t="shared" si="148"/>
        <v>176433.26669738514</v>
      </c>
      <c r="AJ343" s="43">
        <f t="shared" si="149"/>
        <v>154703.17517424744</v>
      </c>
      <c r="AK343" s="43">
        <f t="shared" si="150"/>
        <v>134076.08515101444</v>
      </c>
      <c r="AL343" s="43">
        <f t="shared" si="151"/>
        <v>113448.99512778144</v>
      </c>
      <c r="AN343" s="47">
        <f t="shared" si="152"/>
        <v>35884.394344727931</v>
      </c>
      <c r="AO343" s="47">
        <f t="shared" si="153"/>
        <v>33491.141486619788</v>
      </c>
      <c r="AP343" s="47">
        <f t="shared" si="154"/>
        <v>29619.953457024323</v>
      </c>
      <c r="AQ343" s="47">
        <f t="shared" si="155"/>
        <v>28001.274706538788</v>
      </c>
      <c r="AR343" s="43">
        <f t="shared" si="156"/>
        <v>24938.151838088692</v>
      </c>
      <c r="AS343" s="121"/>
      <c r="AT343" s="121"/>
      <c r="AU343" s="121"/>
      <c r="AV343" s="121"/>
      <c r="AW343" s="121"/>
      <c r="AX343" s="121"/>
    </row>
    <row r="344" spans="1:50" s="89" customFormat="1">
      <c r="A344" s="226"/>
      <c r="B344" s="37">
        <f>'13. Desinvesteringen'!B627</f>
        <v>608</v>
      </c>
      <c r="C344" s="331"/>
      <c r="D344" s="331"/>
      <c r="E344" s="331"/>
      <c r="F344" s="354">
        <f>'5. Input GAW-waarde desinv.'!D303</f>
        <v>287131.81151071272</v>
      </c>
      <c r="G344" s="175">
        <f>'13. Desinvesteringen'!D627</f>
        <v>2003</v>
      </c>
      <c r="H344" s="175">
        <f>'13. Desinvesteringen'!G627</f>
        <v>2024</v>
      </c>
      <c r="I344" s="37" t="str">
        <f>'13. Desinvesteringen'!C627</f>
        <v>15 Compressorstations (TT-BT-AT)</v>
      </c>
      <c r="J344" s="165">
        <f>'13. Desinvesteringen'!F627</f>
        <v>0</v>
      </c>
      <c r="K344" s="38">
        <f>_xlfn.XLOOKUP(I344,'3. Input (des)investeringen '!$B$11:$B$89,'3. Input (des)investeringen '!$E$11:$E$89)</f>
        <v>1</v>
      </c>
      <c r="L344" s="331"/>
      <c r="M344" s="38">
        <f>_xlfn.XLOOKUP(I344,'3. Input (des)investeringen '!$B$11:$B$89,'3. Input (des)investeringen '!$D$11:$D$89,0)</f>
        <v>30</v>
      </c>
      <c r="N344" s="38">
        <f t="shared" si="140"/>
        <v>11.5</v>
      </c>
      <c r="P344" s="43">
        <f t="shared" si="157"/>
        <v>29212.540823263815</v>
      </c>
      <c r="Q344" s="43">
        <f t="shared" si="157"/>
        <v>25910.25359976443</v>
      </c>
      <c r="R344" s="43">
        <f t="shared" si="157"/>
        <v>22981.268410225843</v>
      </c>
      <c r="S344" s="43">
        <f t="shared" si="157"/>
        <v>21213.478532516161</v>
      </c>
      <c r="T344" s="43">
        <f t="shared" si="157"/>
        <v>21213.478532516161</v>
      </c>
      <c r="V344" s="43">
        <f t="shared" si="133"/>
        <v>2496.7983609627195</v>
      </c>
      <c r="W344" s="43">
        <f t="shared" si="134"/>
        <v>2496.7983609627195</v>
      </c>
      <c r="X344" s="43">
        <f t="shared" si="135"/>
        <v>2496.7983609627195</v>
      </c>
      <c r="Y344" s="43">
        <f t="shared" si="136"/>
        <v>2496.7983609627195</v>
      </c>
      <c r="Z344" s="43">
        <f t="shared" si="137"/>
        <v>2496.7983609627195</v>
      </c>
      <c r="AB344" s="43">
        <f t="shared" si="142"/>
        <v>31709.339184226534</v>
      </c>
      <c r="AC344" s="43">
        <f t="shared" si="143"/>
        <v>28407.051960727149</v>
      </c>
      <c r="AD344" s="43">
        <f t="shared" si="144"/>
        <v>25478.066771188562</v>
      </c>
      <c r="AE344" s="43">
        <f t="shared" si="145"/>
        <v>23710.27689347888</v>
      </c>
      <c r="AF344" s="43">
        <f t="shared" si="146"/>
        <v>23710.27689347888</v>
      </c>
      <c r="AH344" s="43">
        <f t="shared" si="147"/>
        <v>255422.4723264862</v>
      </c>
      <c r="AI344" s="43">
        <f t="shared" si="148"/>
        <v>227015.42036575906</v>
      </c>
      <c r="AJ344" s="43">
        <f t="shared" si="149"/>
        <v>201537.35359457048</v>
      </c>
      <c r="AK344" s="43">
        <f t="shared" si="150"/>
        <v>177827.0767010916</v>
      </c>
      <c r="AL344" s="43">
        <f t="shared" si="151"/>
        <v>154116.79980761273</v>
      </c>
      <c r="AN344" s="47">
        <f t="shared" si="152"/>
        <v>42181.660549612468</v>
      </c>
      <c r="AO344" s="47">
        <f t="shared" si="153"/>
        <v>39984.83839938086</v>
      </c>
      <c r="AP344" s="47">
        <f t="shared" si="154"/>
        <v>35756.471804511653</v>
      </c>
      <c r="AQ344" s="47">
        <f t="shared" si="155"/>
        <v>33490.766112038917</v>
      </c>
      <c r="AR344" s="43">
        <f t="shared" si="156"/>
        <v>29566.715286168164</v>
      </c>
      <c r="AS344" s="121"/>
      <c r="AT344" s="121"/>
      <c r="AU344" s="121"/>
      <c r="AV344" s="121"/>
      <c r="AW344" s="121"/>
      <c r="AX344" s="121"/>
    </row>
    <row r="345" spans="1:50" s="89" customFormat="1">
      <c r="A345" s="226"/>
      <c r="B345" s="37">
        <f>'13. Desinvesteringen'!B628</f>
        <v>609</v>
      </c>
      <c r="C345" s="331"/>
      <c r="D345" s="331"/>
      <c r="E345" s="331"/>
      <c r="F345" s="354">
        <f>'5. Input GAW-waarde desinv.'!D304</f>
        <v>193601.40516849293</v>
      </c>
      <c r="G345" s="175">
        <f>'13. Desinvesteringen'!D628</f>
        <v>2004</v>
      </c>
      <c r="H345" s="175">
        <f>'13. Desinvesteringen'!G628</f>
        <v>2024</v>
      </c>
      <c r="I345" s="37" t="str">
        <f>'13. Desinvesteringen'!C628</f>
        <v>15 Compressorstations (TT-BT-AT)</v>
      </c>
      <c r="J345" s="165">
        <f>'13. Desinvesteringen'!F628</f>
        <v>0</v>
      </c>
      <c r="K345" s="38">
        <f>_xlfn.XLOOKUP(I345,'3. Input (des)investeringen '!$B$11:$B$89,'3. Input (des)investeringen '!$E$11:$E$89)</f>
        <v>1</v>
      </c>
      <c r="L345" s="331"/>
      <c r="M345" s="38">
        <f>_xlfn.XLOOKUP(I345,'3. Input (des)investeringen '!$B$11:$B$89,'3. Input (des)investeringen '!$D$11:$D$89,0)</f>
        <v>30</v>
      </c>
      <c r="N345" s="38">
        <f t="shared" si="140"/>
        <v>12.5</v>
      </c>
      <c r="P345" s="43">
        <f t="shared" si="157"/>
        <v>18121.091523770941</v>
      </c>
      <c r="Q345" s="43">
        <f t="shared" si="157"/>
        <v>16236.498005298765</v>
      </c>
      <c r="R345" s="43">
        <f t="shared" si="157"/>
        <v>14547.902212747691</v>
      </c>
      <c r="S345" s="43">
        <f t="shared" si="157"/>
        <v>13193.239253665921</v>
      </c>
      <c r="T345" s="43">
        <f t="shared" si="157"/>
        <v>13193.239253665921</v>
      </c>
      <c r="V345" s="43">
        <f t="shared" si="133"/>
        <v>1548.8112413479437</v>
      </c>
      <c r="W345" s="43">
        <f t="shared" si="134"/>
        <v>1548.8112413479437</v>
      </c>
      <c r="X345" s="43">
        <f t="shared" si="135"/>
        <v>1548.8112413479437</v>
      </c>
      <c r="Y345" s="43">
        <f t="shared" si="136"/>
        <v>1548.8112413479437</v>
      </c>
      <c r="Z345" s="43">
        <f t="shared" si="137"/>
        <v>1548.8112413479437</v>
      </c>
      <c r="AB345" s="43">
        <f t="shared" si="142"/>
        <v>19669.902765118884</v>
      </c>
      <c r="AC345" s="43">
        <f t="shared" si="143"/>
        <v>17785.30924664671</v>
      </c>
      <c r="AD345" s="43">
        <f t="shared" si="144"/>
        <v>16096.713454095634</v>
      </c>
      <c r="AE345" s="43">
        <f t="shared" si="145"/>
        <v>14742.050495013864</v>
      </c>
      <c r="AF345" s="43">
        <f t="shared" si="146"/>
        <v>14742.050495013864</v>
      </c>
      <c r="AH345" s="43">
        <f t="shared" si="147"/>
        <v>173931.50240337403</v>
      </c>
      <c r="AI345" s="43">
        <f t="shared" si="148"/>
        <v>156146.19315672733</v>
      </c>
      <c r="AJ345" s="43">
        <f t="shared" si="149"/>
        <v>140049.47970263168</v>
      </c>
      <c r="AK345" s="43">
        <f t="shared" si="150"/>
        <v>125307.42920761782</v>
      </c>
      <c r="AL345" s="43">
        <f t="shared" si="151"/>
        <v>110565.37871260397</v>
      </c>
      <c r="AN345" s="47">
        <f t="shared" si="152"/>
        <v>26801.094363657219</v>
      </c>
      <c r="AO345" s="47">
        <f t="shared" si="153"/>
        <v>25748.765097639804</v>
      </c>
      <c r="AP345" s="47">
        <f t="shared" si="154"/>
        <v>23239.236918929848</v>
      </c>
      <c r="AQ345" s="47">
        <f t="shared" si="155"/>
        <v>21633.959101432843</v>
      </c>
      <c r="AR345" s="43">
        <f t="shared" si="156"/>
        <v>18943.534886092813</v>
      </c>
      <c r="AS345" s="121"/>
      <c r="AT345" s="121"/>
      <c r="AU345" s="121"/>
      <c r="AV345" s="121"/>
      <c r="AW345" s="121"/>
      <c r="AX345" s="121"/>
    </row>
    <row r="346" spans="1:50" s="89" customFormat="1">
      <c r="A346" s="226"/>
      <c r="B346" s="37">
        <f>'13. Desinvesteringen'!B629</f>
        <v>610</v>
      </c>
      <c r="C346" s="331"/>
      <c r="D346" s="331"/>
      <c r="E346" s="331"/>
      <c r="F346" s="354">
        <f>'5. Input GAW-waarde desinv.'!D305</f>
        <v>800920.7553862785</v>
      </c>
      <c r="G346" s="175">
        <f>'13. Desinvesteringen'!D629</f>
        <v>2005</v>
      </c>
      <c r="H346" s="175">
        <f>'13. Desinvesteringen'!G629</f>
        <v>2024</v>
      </c>
      <c r="I346" s="37" t="str">
        <f>'13. Desinvesteringen'!C629</f>
        <v>15 Compressorstations (TT-BT-AT)</v>
      </c>
      <c r="J346" s="165">
        <f>'13. Desinvesteringen'!F629</f>
        <v>0</v>
      </c>
      <c r="K346" s="38">
        <f>_xlfn.XLOOKUP(I346,'3. Input (des)investeringen '!$B$11:$B$89,'3. Input (des)investeringen '!$E$11:$E$89)</f>
        <v>1</v>
      </c>
      <c r="L346" s="331"/>
      <c r="M346" s="38">
        <f>_xlfn.XLOOKUP(I346,'3. Input (des)investeringen '!$B$11:$B$89,'3. Input (des)investeringen '!$D$11:$D$89,0)</f>
        <v>30</v>
      </c>
      <c r="N346" s="38">
        <f t="shared" si="140"/>
        <v>13.5</v>
      </c>
      <c r="P346" s="43">
        <f t="shared" si="157"/>
        <v>69413.132133477469</v>
      </c>
      <c r="Q346" s="43">
        <f t="shared" si="157"/>
        <v>62728.904594698164</v>
      </c>
      <c r="R346" s="43">
        <f t="shared" si="157"/>
        <v>56688.343411505004</v>
      </c>
      <c r="S346" s="43">
        <f t="shared" si="157"/>
        <v>51229.465897804526</v>
      </c>
      <c r="T346" s="43">
        <f t="shared" si="157"/>
        <v>50607.245664227943</v>
      </c>
      <c r="V346" s="43">
        <f t="shared" si="133"/>
        <v>5932.7463361946557</v>
      </c>
      <c r="W346" s="43">
        <f t="shared" si="134"/>
        <v>5932.7463361946566</v>
      </c>
      <c r="X346" s="43">
        <f t="shared" si="135"/>
        <v>5932.7463361946566</v>
      </c>
      <c r="Y346" s="43">
        <f t="shared" si="136"/>
        <v>5932.7463361946566</v>
      </c>
      <c r="Z346" s="43">
        <f t="shared" si="137"/>
        <v>5932.7463361946566</v>
      </c>
      <c r="AB346" s="43">
        <f t="shared" si="142"/>
        <v>75345.878469672127</v>
      </c>
      <c r="AC346" s="43">
        <f t="shared" si="143"/>
        <v>68661.650930892822</v>
      </c>
      <c r="AD346" s="43">
        <f t="shared" si="144"/>
        <v>62621.089747699662</v>
      </c>
      <c r="AE346" s="43">
        <f t="shared" si="145"/>
        <v>57162.212233999184</v>
      </c>
      <c r="AF346" s="43">
        <f t="shared" si="146"/>
        <v>56539.992000422601</v>
      </c>
      <c r="AH346" s="43">
        <f t="shared" si="147"/>
        <v>725574.87691660633</v>
      </c>
      <c r="AI346" s="43">
        <f t="shared" si="148"/>
        <v>656913.22598571354</v>
      </c>
      <c r="AJ346" s="43">
        <f t="shared" si="149"/>
        <v>594292.13623801386</v>
      </c>
      <c r="AK346" s="43">
        <f t="shared" si="150"/>
        <v>537129.9240040147</v>
      </c>
      <c r="AL346" s="43">
        <f t="shared" si="151"/>
        <v>480589.93200359208</v>
      </c>
      <c r="AN346" s="47">
        <f t="shared" si="152"/>
        <v>105094.44842325299</v>
      </c>
      <c r="AO346" s="47">
        <f t="shared" si="153"/>
        <v>102164.22545616422</v>
      </c>
      <c r="AP346" s="47">
        <f t="shared" si="154"/>
        <v>92929.988695838372</v>
      </c>
      <c r="AQ346" s="47">
        <f t="shared" si="155"/>
        <v>86704.358054219992</v>
      </c>
      <c r="AR346" s="43">
        <f t="shared" si="156"/>
        <v>74802.409416559094</v>
      </c>
      <c r="AS346" s="121"/>
      <c r="AT346" s="121"/>
      <c r="AU346" s="121"/>
      <c r="AV346" s="121"/>
      <c r="AW346" s="121"/>
      <c r="AX346" s="121"/>
    </row>
    <row r="347" spans="1:50" s="89" customFormat="1">
      <c r="A347" s="226"/>
      <c r="B347" s="37">
        <f>'13. Desinvesteringen'!B630</f>
        <v>611</v>
      </c>
      <c r="C347" s="331"/>
      <c r="D347" s="331"/>
      <c r="E347" s="331"/>
      <c r="F347" s="354">
        <f>'5. Input GAW-waarde desinv.'!D306</f>
        <v>668161.29475516581</v>
      </c>
      <c r="G347" s="175">
        <f>'13. Desinvesteringen'!D630</f>
        <v>2006</v>
      </c>
      <c r="H347" s="175">
        <f>'13. Desinvesteringen'!G630</f>
        <v>2024</v>
      </c>
      <c r="I347" s="37" t="str">
        <f>'13. Desinvesteringen'!C630</f>
        <v>15 Compressorstations (TT-BT-AT)</v>
      </c>
      <c r="J347" s="165">
        <f>'13. Desinvesteringen'!F630</f>
        <v>0</v>
      </c>
      <c r="K347" s="38">
        <f>_xlfn.XLOOKUP(I347,'3. Input (des)investeringen '!$B$11:$B$89,'3. Input (des)investeringen '!$E$11:$E$89)</f>
        <v>1</v>
      </c>
      <c r="L347" s="331"/>
      <c r="M347" s="38">
        <f>_xlfn.XLOOKUP(I347,'3. Input (des)investeringen '!$B$11:$B$89,'3. Input (des)investeringen '!$D$11:$D$89,0)</f>
        <v>30</v>
      </c>
      <c r="N347" s="38">
        <f t="shared" si="140"/>
        <v>14.5</v>
      </c>
      <c r="P347" s="43">
        <f t="shared" si="157"/>
        <v>53913.704473347861</v>
      </c>
      <c r="Q347" s="43">
        <f t="shared" si="157"/>
        <v>49080.062003323575</v>
      </c>
      <c r="R347" s="43">
        <f t="shared" si="157"/>
        <v>44679.780582335938</v>
      </c>
      <c r="S347" s="43">
        <f t="shared" si="157"/>
        <v>40674.007150816164</v>
      </c>
      <c r="T347" s="43">
        <f t="shared" si="157"/>
        <v>39333.105816173877</v>
      </c>
      <c r="V347" s="43">
        <f t="shared" si="133"/>
        <v>4608.0089293459714</v>
      </c>
      <c r="W347" s="43">
        <f t="shared" si="134"/>
        <v>4608.0089293459714</v>
      </c>
      <c r="X347" s="43">
        <f t="shared" si="135"/>
        <v>4608.0089293459714</v>
      </c>
      <c r="Y347" s="43">
        <f t="shared" si="136"/>
        <v>4608.0089293459714</v>
      </c>
      <c r="Z347" s="43">
        <f t="shared" si="137"/>
        <v>4608.0089293459714</v>
      </c>
      <c r="AB347" s="43">
        <f t="shared" si="142"/>
        <v>58521.713402693829</v>
      </c>
      <c r="AC347" s="43">
        <f t="shared" si="143"/>
        <v>53688.070932669551</v>
      </c>
      <c r="AD347" s="43">
        <f t="shared" si="144"/>
        <v>49287.789511681913</v>
      </c>
      <c r="AE347" s="43">
        <f t="shared" si="145"/>
        <v>45282.016080162139</v>
      </c>
      <c r="AF347" s="43">
        <f t="shared" si="146"/>
        <v>43941.114745519852</v>
      </c>
      <c r="AH347" s="43">
        <f t="shared" si="147"/>
        <v>609639.58135247196</v>
      </c>
      <c r="AI347" s="43">
        <f t="shared" si="148"/>
        <v>555951.51041980239</v>
      </c>
      <c r="AJ347" s="43">
        <f t="shared" si="149"/>
        <v>506663.72090812051</v>
      </c>
      <c r="AK347" s="43">
        <f t="shared" si="150"/>
        <v>461381.70482795837</v>
      </c>
      <c r="AL347" s="43">
        <f t="shared" si="151"/>
        <v>417440.59008243855</v>
      </c>
      <c r="AN347" s="47">
        <f t="shared" si="152"/>
        <v>83516.936238145179</v>
      </c>
      <c r="AO347" s="47">
        <f t="shared" si="153"/>
        <v>82041.597964079469</v>
      </c>
      <c r="AP347" s="47">
        <f t="shared" si="154"/>
        <v>75127.639277996059</v>
      </c>
      <c r="AQ347" s="47">
        <f t="shared" si="155"/>
        <v>70658.009845699853</v>
      </c>
      <c r="AR347" s="43">
        <f t="shared" si="156"/>
        <v>59803.857168652517</v>
      </c>
      <c r="AS347" s="121"/>
      <c r="AT347" s="121"/>
      <c r="AU347" s="121"/>
      <c r="AV347" s="121"/>
      <c r="AW347" s="121"/>
      <c r="AX347" s="121"/>
    </row>
    <row r="348" spans="1:50" s="89" customFormat="1">
      <c r="A348" s="226"/>
      <c r="B348" s="37">
        <f>'13. Desinvesteringen'!B631</f>
        <v>612</v>
      </c>
      <c r="C348" s="331"/>
      <c r="D348" s="331"/>
      <c r="E348" s="331"/>
      <c r="F348" s="354">
        <f>'5. Input GAW-waarde desinv.'!D307</f>
        <v>1872522.2209963768</v>
      </c>
      <c r="G348" s="175">
        <f>'13. Desinvesteringen'!D631</f>
        <v>2007</v>
      </c>
      <c r="H348" s="175">
        <f>'13. Desinvesteringen'!G631</f>
        <v>2024</v>
      </c>
      <c r="I348" s="37" t="str">
        <f>'13. Desinvesteringen'!C631</f>
        <v>15 Compressorstations (TT-BT-AT)</v>
      </c>
      <c r="J348" s="165">
        <f>'13. Desinvesteringen'!F631</f>
        <v>0</v>
      </c>
      <c r="K348" s="38">
        <f>_xlfn.XLOOKUP(I348,'3. Input (des)investeringen '!$B$11:$B$89,'3. Input (des)investeringen '!$E$11:$E$89)</f>
        <v>1</v>
      </c>
      <c r="L348" s="331"/>
      <c r="M348" s="38">
        <f>_xlfn.XLOOKUP(I348,'3. Input (des)investeringen '!$B$11:$B$89,'3. Input (des)investeringen '!$D$11:$D$89,0)</f>
        <v>30</v>
      </c>
      <c r="N348" s="38">
        <f t="shared" si="140"/>
        <v>15.5</v>
      </c>
      <c r="P348" s="43">
        <f t="shared" si="157"/>
        <v>141345.22571392008</v>
      </c>
      <c r="Q348" s="43">
        <f t="shared" si="157"/>
        <v>129490.46484759131</v>
      </c>
      <c r="R348" s="43">
        <f t="shared" si="157"/>
        <v>118629.97424747073</v>
      </c>
      <c r="S348" s="43">
        <f t="shared" si="157"/>
        <v>108680.36350413447</v>
      </c>
      <c r="T348" s="43">
        <f t="shared" si="157"/>
        <v>103228.17135509761</v>
      </c>
      <c r="V348" s="43">
        <f t="shared" si="133"/>
        <v>12080.78852255727</v>
      </c>
      <c r="W348" s="43">
        <f t="shared" si="134"/>
        <v>12080.788522557272</v>
      </c>
      <c r="X348" s="43">
        <f t="shared" si="135"/>
        <v>12080.788522557272</v>
      </c>
      <c r="Y348" s="43">
        <f t="shared" si="136"/>
        <v>12080.788522557272</v>
      </c>
      <c r="Z348" s="43">
        <f t="shared" si="137"/>
        <v>12080.788522557272</v>
      </c>
      <c r="AB348" s="43">
        <f t="shared" si="142"/>
        <v>153426.01423647735</v>
      </c>
      <c r="AC348" s="43">
        <f t="shared" si="143"/>
        <v>141571.2533701486</v>
      </c>
      <c r="AD348" s="43">
        <f t="shared" si="144"/>
        <v>130710.762770028</v>
      </c>
      <c r="AE348" s="43">
        <f t="shared" si="145"/>
        <v>120761.15202669174</v>
      </c>
      <c r="AF348" s="43">
        <f t="shared" si="146"/>
        <v>115308.95987765488</v>
      </c>
      <c r="AH348" s="43">
        <f t="shared" si="147"/>
        <v>1719096.2067598994</v>
      </c>
      <c r="AI348" s="43">
        <f t="shared" si="148"/>
        <v>1577524.9533897508</v>
      </c>
      <c r="AJ348" s="43">
        <f t="shared" si="149"/>
        <v>1446814.1906197227</v>
      </c>
      <c r="AK348" s="43">
        <f t="shared" si="150"/>
        <v>1326053.038593031</v>
      </c>
      <c r="AL348" s="43">
        <f t="shared" si="151"/>
        <v>1210744.0787153761</v>
      </c>
      <c r="AN348" s="47">
        <f t="shared" si="152"/>
        <v>223908.95871363324</v>
      </c>
      <c r="AO348" s="47">
        <f t="shared" si="153"/>
        <v>222025.02599302586</v>
      </c>
      <c r="AP348" s="47">
        <f t="shared" si="154"/>
        <v>204498.28649163386</v>
      </c>
      <c r="AQ348" s="47">
        <f t="shared" si="155"/>
        <v>193694.06914930843</v>
      </c>
      <c r="AR348" s="43">
        <f t="shared" si="156"/>
        <v>161317.23486883918</v>
      </c>
      <c r="AS348" s="121"/>
      <c r="AT348" s="121"/>
      <c r="AU348" s="121"/>
      <c r="AV348" s="121"/>
      <c r="AW348" s="121"/>
      <c r="AX348" s="121"/>
    </row>
    <row r="349" spans="1:50" s="89" customFormat="1">
      <c r="A349" s="226"/>
      <c r="B349" s="37">
        <f>'13. Desinvesteringen'!B632</f>
        <v>613</v>
      </c>
      <c r="C349" s="331"/>
      <c r="D349" s="331"/>
      <c r="E349" s="331"/>
      <c r="F349" s="354">
        <f>'5. Input GAW-waarde desinv.'!D308</f>
        <v>2079569.9240820273</v>
      </c>
      <c r="G349" s="175">
        <f>'13. Desinvesteringen'!D632</f>
        <v>2008</v>
      </c>
      <c r="H349" s="175">
        <f>'13. Desinvesteringen'!G632</f>
        <v>2024</v>
      </c>
      <c r="I349" s="37" t="str">
        <f>'13. Desinvesteringen'!C632</f>
        <v>15 Compressorstations (TT-BT-AT)</v>
      </c>
      <c r="J349" s="165">
        <f>'13. Desinvesteringen'!F632</f>
        <v>0</v>
      </c>
      <c r="K349" s="38">
        <f>_xlfn.XLOOKUP(I349,'3. Input (des)investeringen '!$B$11:$B$89,'3. Input (des)investeringen '!$E$11:$E$89)</f>
        <v>1</v>
      </c>
      <c r="L349" s="331"/>
      <c r="M349" s="38">
        <f>_xlfn.XLOOKUP(I349,'3. Input (des)investeringen '!$B$11:$B$89,'3. Input (des)investeringen '!$D$11:$D$89,0)</f>
        <v>30</v>
      </c>
      <c r="N349" s="38">
        <f t="shared" si="140"/>
        <v>16.5</v>
      </c>
      <c r="P349" s="43">
        <f t="shared" si="157"/>
        <v>147460.41279854378</v>
      </c>
      <c r="Q349" s="43">
        <f t="shared" si="157"/>
        <v>135842.31966896154</v>
      </c>
      <c r="R349" s="43">
        <f t="shared" si="157"/>
        <v>125139.5914526191</v>
      </c>
      <c r="S349" s="43">
        <f t="shared" si="157"/>
        <v>115280.10848968546</v>
      </c>
      <c r="T349" s="43">
        <f t="shared" si="157"/>
        <v>107831.23994112117</v>
      </c>
      <c r="V349" s="43">
        <f t="shared" si="133"/>
        <v>12603.45408534562</v>
      </c>
      <c r="W349" s="43">
        <f t="shared" si="134"/>
        <v>12603.45408534562</v>
      </c>
      <c r="X349" s="43">
        <f t="shared" si="135"/>
        <v>12603.45408534562</v>
      </c>
      <c r="Y349" s="43">
        <f t="shared" si="136"/>
        <v>12603.45408534562</v>
      </c>
      <c r="Z349" s="43">
        <f t="shared" si="137"/>
        <v>12603.45408534562</v>
      </c>
      <c r="AB349" s="43">
        <f t="shared" si="142"/>
        <v>160063.86688388939</v>
      </c>
      <c r="AC349" s="43">
        <f t="shared" si="143"/>
        <v>148445.77375430716</v>
      </c>
      <c r="AD349" s="43">
        <f t="shared" si="144"/>
        <v>137743.04553796473</v>
      </c>
      <c r="AE349" s="43">
        <f t="shared" si="145"/>
        <v>127883.56257503107</v>
      </c>
      <c r="AF349" s="43">
        <f t="shared" si="146"/>
        <v>120434.69402646678</v>
      </c>
      <c r="AH349" s="43">
        <f t="shared" si="147"/>
        <v>1919506.057198138</v>
      </c>
      <c r="AI349" s="43">
        <f t="shared" si="148"/>
        <v>1771060.2834438309</v>
      </c>
      <c r="AJ349" s="43">
        <f t="shared" si="149"/>
        <v>1633317.2379058662</v>
      </c>
      <c r="AK349" s="43">
        <f t="shared" si="150"/>
        <v>1505433.6753308352</v>
      </c>
      <c r="AL349" s="43">
        <f t="shared" si="151"/>
        <v>1384998.9813043685</v>
      </c>
      <c r="AN349" s="47">
        <f t="shared" si="152"/>
        <v>238763.61522901306</v>
      </c>
      <c r="AO349" s="47">
        <f t="shared" si="153"/>
        <v>238769.84820994252</v>
      </c>
      <c r="AP349" s="47">
        <f t="shared" si="154"/>
        <v>221042.22467116389</v>
      </c>
      <c r="AQ349" s="47">
        <f t="shared" si="155"/>
        <v>210682.414718227</v>
      </c>
      <c r="AR349" s="43">
        <f t="shared" si="156"/>
        <v>173064.65531603279</v>
      </c>
      <c r="AS349" s="121"/>
      <c r="AT349" s="121"/>
      <c r="AU349" s="121"/>
      <c r="AV349" s="121"/>
      <c r="AW349" s="121"/>
      <c r="AX349" s="121"/>
    </row>
    <row r="350" spans="1:50" s="89" customFormat="1">
      <c r="A350" s="226"/>
      <c r="B350" s="37">
        <f>'13. Desinvesteringen'!B633</f>
        <v>614</v>
      </c>
      <c r="C350" s="331"/>
      <c r="D350" s="331"/>
      <c r="E350" s="331"/>
      <c r="F350" s="354">
        <f>'5. Input GAW-waarde desinv.'!D309</f>
        <v>206182.49436233655</v>
      </c>
      <c r="G350" s="175">
        <f>'13. Desinvesteringen'!D633</f>
        <v>2008</v>
      </c>
      <c r="H350" s="175">
        <f>'13. Desinvesteringen'!G633</f>
        <v>2024</v>
      </c>
      <c r="I350" s="37" t="str">
        <f>'13. Desinvesteringen'!C633</f>
        <v>15 Compressorstations (TT-BT-AT)</v>
      </c>
      <c r="J350" s="165">
        <f>'13. Desinvesteringen'!F633</f>
        <v>0</v>
      </c>
      <c r="K350" s="38">
        <f>_xlfn.XLOOKUP(I350,'3. Input (des)investeringen '!$B$11:$B$89,'3. Input (des)investeringen '!$E$11:$E$89)</f>
        <v>1</v>
      </c>
      <c r="L350" s="331"/>
      <c r="M350" s="38">
        <f>_xlfn.XLOOKUP(I350,'3. Input (des)investeringen '!$B$11:$B$89,'3. Input (des)investeringen '!$D$11:$D$89,0)</f>
        <v>30</v>
      </c>
      <c r="N350" s="38">
        <f t="shared" si="140"/>
        <v>16.5</v>
      </c>
      <c r="P350" s="43">
        <f t="shared" si="157"/>
        <v>14620.213236602049</v>
      </c>
      <c r="Q350" s="43">
        <f t="shared" si="157"/>
        <v>13468.317648263705</v>
      </c>
      <c r="R350" s="43">
        <f t="shared" si="157"/>
        <v>12407.177469915656</v>
      </c>
      <c r="S350" s="43">
        <f t="shared" si="157"/>
        <v>11429.642275316241</v>
      </c>
      <c r="T350" s="43">
        <f t="shared" si="157"/>
        <v>10691.111543680421</v>
      </c>
      <c r="V350" s="43">
        <f t="shared" si="133"/>
        <v>1249.5908749232519</v>
      </c>
      <c r="W350" s="43">
        <f t="shared" si="134"/>
        <v>1249.5908749232522</v>
      </c>
      <c r="X350" s="43">
        <f t="shared" si="135"/>
        <v>1249.5908749232522</v>
      </c>
      <c r="Y350" s="43">
        <f t="shared" si="136"/>
        <v>1249.5908749232522</v>
      </c>
      <c r="Z350" s="43">
        <f t="shared" si="137"/>
        <v>1249.5908749232522</v>
      </c>
      <c r="AB350" s="43">
        <f t="shared" si="142"/>
        <v>15869.8041115253</v>
      </c>
      <c r="AC350" s="43">
        <f t="shared" si="143"/>
        <v>14717.908523186958</v>
      </c>
      <c r="AD350" s="43">
        <f t="shared" si="144"/>
        <v>13656.768344838907</v>
      </c>
      <c r="AE350" s="43">
        <f t="shared" si="145"/>
        <v>12679.233150239492</v>
      </c>
      <c r="AF350" s="43">
        <f t="shared" si="146"/>
        <v>11940.702418603672</v>
      </c>
      <c r="AH350" s="43">
        <f t="shared" si="147"/>
        <v>190312.69025081125</v>
      </c>
      <c r="AI350" s="43">
        <f t="shared" si="148"/>
        <v>175594.7817276243</v>
      </c>
      <c r="AJ350" s="43">
        <f t="shared" si="149"/>
        <v>161938.0133827854</v>
      </c>
      <c r="AK350" s="43">
        <f t="shared" si="150"/>
        <v>149258.78023254592</v>
      </c>
      <c r="AL350" s="43">
        <f t="shared" si="151"/>
        <v>137318.07781394225</v>
      </c>
      <c r="AN350" s="47">
        <f t="shared" si="152"/>
        <v>23672.62441180856</v>
      </c>
      <c r="AO350" s="47">
        <f t="shared" si="153"/>
        <v>23673.242391295797</v>
      </c>
      <c r="AP350" s="47">
        <f t="shared" si="154"/>
        <v>21915.607027360962</v>
      </c>
      <c r="AQ350" s="47">
        <f t="shared" si="155"/>
        <v>20888.466063029518</v>
      </c>
      <c r="AR350" s="43">
        <f t="shared" si="156"/>
        <v>17158.789375533477</v>
      </c>
      <c r="AS350" s="121"/>
      <c r="AT350" s="121"/>
      <c r="AU350" s="121"/>
      <c r="AV350" s="121"/>
      <c r="AW350" s="121"/>
      <c r="AX350" s="121"/>
    </row>
    <row r="351" spans="1:50" s="89" customFormat="1">
      <c r="A351" s="226"/>
      <c r="B351" s="37">
        <f>'13. Desinvesteringen'!B634</f>
        <v>615</v>
      </c>
      <c r="C351" s="331"/>
      <c r="D351" s="331"/>
      <c r="E351" s="331"/>
      <c r="F351" s="354">
        <f>'5. Input GAW-waarde desinv.'!D310</f>
        <v>166559.3552970431</v>
      </c>
      <c r="G351" s="175">
        <f>'13. Desinvesteringen'!D634</f>
        <v>2009</v>
      </c>
      <c r="H351" s="175">
        <f>'13. Desinvesteringen'!G634</f>
        <v>2024</v>
      </c>
      <c r="I351" s="37" t="str">
        <f>'13. Desinvesteringen'!C634</f>
        <v>15 Compressorstations (TT-BT-AT)</v>
      </c>
      <c r="J351" s="165">
        <f>'13. Desinvesteringen'!F634</f>
        <v>0</v>
      </c>
      <c r="K351" s="38">
        <f>_xlfn.XLOOKUP(I351,'3. Input (des)investeringen '!$B$11:$B$89,'3. Input (des)investeringen '!$E$11:$E$89)</f>
        <v>1</v>
      </c>
      <c r="L351" s="331"/>
      <c r="M351" s="38">
        <f>_xlfn.XLOOKUP(I351,'3. Input (des)investeringen '!$B$11:$B$89,'3. Input (des)investeringen '!$D$11:$D$89,0)</f>
        <v>30</v>
      </c>
      <c r="N351" s="38">
        <f t="shared" si="140"/>
        <v>17.5</v>
      </c>
      <c r="P351" s="43">
        <f t="shared" si="157"/>
        <v>11135.682611288024</v>
      </c>
      <c r="Q351" s="43">
        <f t="shared" si="157"/>
        <v>10308.460474449486</v>
      </c>
      <c r="R351" s="43">
        <f t="shared" si="157"/>
        <v>9542.6891249189539</v>
      </c>
      <c r="S351" s="43">
        <f t="shared" si="157"/>
        <v>8833.8036470678308</v>
      </c>
      <c r="T351" s="43">
        <f t="shared" si="157"/>
        <v>8177.5782332856497</v>
      </c>
      <c r="V351" s="43">
        <f t="shared" si="133"/>
        <v>951.76774455453199</v>
      </c>
      <c r="W351" s="43">
        <f t="shared" si="134"/>
        <v>951.76774455453199</v>
      </c>
      <c r="X351" s="43">
        <f t="shared" si="135"/>
        <v>951.76774455453199</v>
      </c>
      <c r="Y351" s="43">
        <f t="shared" si="136"/>
        <v>951.76774455453199</v>
      </c>
      <c r="Z351" s="43">
        <f t="shared" si="137"/>
        <v>951.76774455453199</v>
      </c>
      <c r="AB351" s="43">
        <f t="shared" si="142"/>
        <v>12087.450355842557</v>
      </c>
      <c r="AC351" s="43">
        <f t="shared" si="143"/>
        <v>11260.228219004019</v>
      </c>
      <c r="AD351" s="43">
        <f t="shared" si="144"/>
        <v>10494.456869473486</v>
      </c>
      <c r="AE351" s="43">
        <f t="shared" si="145"/>
        <v>9785.5713916223631</v>
      </c>
      <c r="AF351" s="43">
        <f t="shared" si="146"/>
        <v>9129.3459778401811</v>
      </c>
      <c r="AH351" s="43">
        <f t="shared" si="147"/>
        <v>154471.90494120054</v>
      </c>
      <c r="AI351" s="43">
        <f t="shared" si="148"/>
        <v>143211.67672219651</v>
      </c>
      <c r="AJ351" s="43">
        <f t="shared" si="149"/>
        <v>132717.21985272304</v>
      </c>
      <c r="AK351" s="43">
        <f t="shared" si="150"/>
        <v>122931.64846110067</v>
      </c>
      <c r="AL351" s="43">
        <f t="shared" si="151"/>
        <v>113802.30248326049</v>
      </c>
      <c r="AN351" s="47">
        <f t="shared" si="152"/>
        <v>18420.798458431778</v>
      </c>
      <c r="AO351" s="47">
        <f t="shared" si="153"/>
        <v>18564.023731836041</v>
      </c>
      <c r="AP351" s="47">
        <f t="shared" si="154"/>
        <v>17263.03508196236</v>
      </c>
      <c r="AQ351" s="47">
        <f t="shared" si="155"/>
        <v>16546.812056982901</v>
      </c>
      <c r="AR351" s="43">
        <f t="shared" si="156"/>
        <v>13453.83347220408</v>
      </c>
      <c r="AS351" s="121"/>
      <c r="AT351" s="121"/>
      <c r="AU351" s="121"/>
      <c r="AV351" s="121"/>
      <c r="AW351" s="121"/>
      <c r="AX351" s="121"/>
    </row>
    <row r="352" spans="1:50" s="89" customFormat="1">
      <c r="A352" s="226"/>
      <c r="B352" s="37">
        <f>'13. Desinvesteringen'!B635</f>
        <v>616</v>
      </c>
      <c r="C352" s="331"/>
      <c r="D352" s="331"/>
      <c r="E352" s="331"/>
      <c r="F352" s="354">
        <f>'5. Input GAW-waarde desinv.'!D311</f>
        <v>1045405.8018708032</v>
      </c>
      <c r="G352" s="175">
        <f>'13. Desinvesteringen'!D635</f>
        <v>2010</v>
      </c>
      <c r="H352" s="175">
        <f>'13. Desinvesteringen'!G635</f>
        <v>2024</v>
      </c>
      <c r="I352" s="37" t="str">
        <f>'13. Desinvesteringen'!C635</f>
        <v>15 Compressorstations (TT-BT-AT)</v>
      </c>
      <c r="J352" s="165">
        <f>'13. Desinvesteringen'!F635</f>
        <v>0</v>
      </c>
      <c r="K352" s="38">
        <f>_xlfn.XLOOKUP(I352,'3. Input (des)investeringen '!$B$11:$B$89,'3. Input (des)investeringen '!$E$11:$E$89)</f>
        <v>1</v>
      </c>
      <c r="L352" s="331"/>
      <c r="M352" s="38">
        <f>_xlfn.XLOOKUP(I352,'3. Input (des)investeringen '!$B$11:$B$89,'3. Input (des)investeringen '!$D$11:$D$89,0)</f>
        <v>30</v>
      </c>
      <c r="N352" s="38">
        <f t="shared" si="140"/>
        <v>18.5</v>
      </c>
      <c r="P352" s="43">
        <f t="shared" ref="P352:T361" si="158">IF($M352&gt;0, IF(OR($G352&gt;P$50,$G352+$M352&lt;P$50),0,
VDB($F352,0,$N352,MAX(0,P$50-2022),MIN($N352,P$50-2021),$F$23,FALSE))*(1-$F$26), 0)</f>
        <v>66114.853415612961</v>
      </c>
      <c r="Q352" s="43">
        <f t="shared" si="158"/>
        <v>61468.944797218552</v>
      </c>
      <c r="R352" s="43">
        <f t="shared" si="158"/>
        <v>57149.505433089675</v>
      </c>
      <c r="S352" s="43">
        <f t="shared" si="158"/>
        <v>53133.594240494182</v>
      </c>
      <c r="T352" s="43">
        <f t="shared" si="158"/>
        <v>49399.882212783785</v>
      </c>
      <c r="V352" s="43">
        <f t="shared" si="133"/>
        <v>5650.8421722746134</v>
      </c>
      <c r="W352" s="43">
        <f t="shared" si="134"/>
        <v>5650.8421722746125</v>
      </c>
      <c r="X352" s="43">
        <f t="shared" si="135"/>
        <v>5650.8421722746125</v>
      </c>
      <c r="Y352" s="43">
        <f t="shared" si="136"/>
        <v>5650.8421722746125</v>
      </c>
      <c r="Z352" s="43">
        <f t="shared" si="137"/>
        <v>5650.8421722746125</v>
      </c>
      <c r="AB352" s="43">
        <f t="shared" si="142"/>
        <v>71765.695587887574</v>
      </c>
      <c r="AC352" s="43">
        <f t="shared" si="143"/>
        <v>67119.786969493158</v>
      </c>
      <c r="AD352" s="43">
        <f t="shared" si="144"/>
        <v>62800.347605364288</v>
      </c>
      <c r="AE352" s="43">
        <f t="shared" si="145"/>
        <v>58784.436412768795</v>
      </c>
      <c r="AF352" s="43">
        <f t="shared" si="146"/>
        <v>55050.724385058398</v>
      </c>
      <c r="AH352" s="43">
        <f t="shared" si="147"/>
        <v>973640.10628291569</v>
      </c>
      <c r="AI352" s="43">
        <f t="shared" si="148"/>
        <v>906520.31931342254</v>
      </c>
      <c r="AJ352" s="43">
        <f t="shared" si="149"/>
        <v>843719.97170805826</v>
      </c>
      <c r="AK352" s="43">
        <f t="shared" si="150"/>
        <v>784935.53529528948</v>
      </c>
      <c r="AL352" s="43">
        <f t="shared" si="151"/>
        <v>729884.81091023108</v>
      </c>
      <c r="AN352" s="47">
        <f t="shared" si="152"/>
        <v>111684.93994548712</v>
      </c>
      <c r="AO352" s="47">
        <f t="shared" si="153"/>
        <v>113352.3232544777</v>
      </c>
      <c r="AP352" s="47">
        <f t="shared" si="154"/>
        <v>105830.06616247525</v>
      </c>
      <c r="AQ352" s="47">
        <f t="shared" si="155"/>
        <v>101955.89085400972</v>
      </c>
      <c r="AR352" s="43">
        <f t="shared" si="156"/>
        <v>82786.347199647178</v>
      </c>
      <c r="AS352" s="121"/>
      <c r="AT352" s="121"/>
      <c r="AU352" s="121"/>
      <c r="AV352" s="121"/>
      <c r="AW352" s="121"/>
      <c r="AX352" s="121"/>
    </row>
    <row r="353" spans="1:50" s="89" customFormat="1">
      <c r="A353" s="226"/>
      <c r="B353" s="37">
        <f>'13. Desinvesteringen'!B636</f>
        <v>617</v>
      </c>
      <c r="C353" s="331"/>
      <c r="D353" s="331"/>
      <c r="E353" s="331"/>
      <c r="F353" s="354">
        <f>'5. Input GAW-waarde desinv.'!D312</f>
        <v>3985882.0977839921</v>
      </c>
      <c r="G353" s="175">
        <f>'13. Desinvesteringen'!D636</f>
        <v>2011</v>
      </c>
      <c r="H353" s="175">
        <f>'13. Desinvesteringen'!G636</f>
        <v>2024</v>
      </c>
      <c r="I353" s="37" t="str">
        <f>'13. Desinvesteringen'!C636</f>
        <v>15 Compressorstations (TT-BT-AT)</v>
      </c>
      <c r="J353" s="165">
        <f>'13. Desinvesteringen'!F636</f>
        <v>0</v>
      </c>
      <c r="K353" s="38">
        <f>_xlfn.XLOOKUP(I353,'3. Input (des)investeringen '!$B$11:$B$89,'3. Input (des)investeringen '!$E$11:$E$89)</f>
        <v>1</v>
      </c>
      <c r="L353" s="331"/>
      <c r="M353" s="38">
        <f>_xlfn.XLOOKUP(I353,'3. Input (des)investeringen '!$B$11:$B$89,'3. Input (des)investeringen '!$D$11:$D$89,0)</f>
        <v>30</v>
      </c>
      <c r="N353" s="38">
        <f t="shared" si="140"/>
        <v>19.5</v>
      </c>
      <c r="P353" s="43">
        <f t="shared" si="158"/>
        <v>239152.92586703954</v>
      </c>
      <c r="Q353" s="43">
        <f t="shared" si="158"/>
        <v>223209.39747590356</v>
      </c>
      <c r="R353" s="43">
        <f t="shared" si="158"/>
        <v>208328.77097750999</v>
      </c>
      <c r="S353" s="43">
        <f t="shared" si="158"/>
        <v>194440.18624567601</v>
      </c>
      <c r="T353" s="43">
        <f t="shared" si="158"/>
        <v>181477.50716263094</v>
      </c>
      <c r="V353" s="43">
        <f t="shared" si="133"/>
        <v>20440.421014276886</v>
      </c>
      <c r="W353" s="43">
        <f t="shared" si="134"/>
        <v>20440.421014276886</v>
      </c>
      <c r="X353" s="43">
        <f t="shared" si="135"/>
        <v>20440.421014276886</v>
      </c>
      <c r="Y353" s="43">
        <f t="shared" si="136"/>
        <v>20440.421014276886</v>
      </c>
      <c r="Z353" s="43">
        <f t="shared" si="137"/>
        <v>20440.421014276886</v>
      </c>
      <c r="AB353" s="43">
        <f t="shared" si="142"/>
        <v>259593.34688131642</v>
      </c>
      <c r="AC353" s="43">
        <f t="shared" si="143"/>
        <v>243649.81849018045</v>
      </c>
      <c r="AD353" s="43">
        <f t="shared" si="144"/>
        <v>228769.19199178688</v>
      </c>
      <c r="AE353" s="43">
        <f t="shared" si="145"/>
        <v>214880.6072599529</v>
      </c>
      <c r="AF353" s="43">
        <f t="shared" si="146"/>
        <v>201917.92817690782</v>
      </c>
      <c r="AH353" s="43">
        <f t="shared" si="147"/>
        <v>3726288.7509026756</v>
      </c>
      <c r="AI353" s="43">
        <f t="shared" si="148"/>
        <v>3482638.9324124949</v>
      </c>
      <c r="AJ353" s="43">
        <f t="shared" si="149"/>
        <v>3253869.740420708</v>
      </c>
      <c r="AK353" s="43">
        <f t="shared" si="150"/>
        <v>3038989.133160755</v>
      </c>
      <c r="AL353" s="43">
        <f t="shared" si="151"/>
        <v>2837071.2049838472</v>
      </c>
      <c r="AN353" s="47">
        <f t="shared" si="152"/>
        <v>412371.1856683261</v>
      </c>
      <c r="AO353" s="47">
        <f t="shared" si="153"/>
        <v>421264.40404321766</v>
      </c>
      <c r="AP353" s="47">
        <f t="shared" si="154"/>
        <v>394716.54875324294</v>
      </c>
      <c r="AQ353" s="47">
        <f t="shared" si="155"/>
        <v>382025.0095837944</v>
      </c>
      <c r="AR353" s="43">
        <f t="shared" si="156"/>
        <v>309726.633966294</v>
      </c>
      <c r="AS353" s="121"/>
      <c r="AT353" s="121"/>
      <c r="AU353" s="121"/>
      <c r="AV353" s="121"/>
      <c r="AW353" s="121"/>
      <c r="AX353" s="121"/>
    </row>
    <row r="354" spans="1:50" s="89" customFormat="1">
      <c r="A354" s="226"/>
      <c r="B354" s="37">
        <f>'13. Desinvesteringen'!B637</f>
        <v>618</v>
      </c>
      <c r="C354" s="331"/>
      <c r="D354" s="331"/>
      <c r="E354" s="331"/>
      <c r="F354" s="354">
        <f>'5. Input GAW-waarde desinv.'!D313</f>
        <v>41545.737407650391</v>
      </c>
      <c r="G354" s="175">
        <f>'13. Desinvesteringen'!D637</f>
        <v>2011</v>
      </c>
      <c r="H354" s="175">
        <f>'13. Desinvesteringen'!G637</f>
        <v>2024</v>
      </c>
      <c r="I354" s="37" t="str">
        <f>'13. Desinvesteringen'!C637</f>
        <v>15 Compressorstations (TT-BT-AT)</v>
      </c>
      <c r="J354" s="165">
        <f>'13. Desinvesteringen'!F637</f>
        <v>0</v>
      </c>
      <c r="K354" s="38">
        <f>_xlfn.XLOOKUP(I354,'3. Input (des)investeringen '!$B$11:$B$89,'3. Input (des)investeringen '!$E$11:$E$89)</f>
        <v>1</v>
      </c>
      <c r="L354" s="331"/>
      <c r="M354" s="38">
        <f>_xlfn.XLOOKUP(I354,'3. Input (des)investeringen '!$B$11:$B$89,'3. Input (des)investeringen '!$D$11:$D$89,0)</f>
        <v>30</v>
      </c>
      <c r="N354" s="38">
        <f t="shared" si="140"/>
        <v>19.5</v>
      </c>
      <c r="P354" s="43">
        <f t="shared" si="158"/>
        <v>2492.7442444590233</v>
      </c>
      <c r="Q354" s="43">
        <f t="shared" si="158"/>
        <v>2326.561294828422</v>
      </c>
      <c r="R354" s="43">
        <f t="shared" si="158"/>
        <v>2171.4572085065279</v>
      </c>
      <c r="S354" s="43">
        <f t="shared" si="158"/>
        <v>2026.6933946060924</v>
      </c>
      <c r="T354" s="43">
        <f t="shared" si="158"/>
        <v>1891.5805016323529</v>
      </c>
      <c r="V354" s="43">
        <f t="shared" si="133"/>
        <v>213.05506362897637</v>
      </c>
      <c r="W354" s="43">
        <f t="shared" si="134"/>
        <v>213.05506362897637</v>
      </c>
      <c r="X354" s="43">
        <f t="shared" si="135"/>
        <v>213.05506362897637</v>
      </c>
      <c r="Y354" s="43">
        <f t="shared" si="136"/>
        <v>213.05506362897637</v>
      </c>
      <c r="Z354" s="43">
        <f t="shared" si="137"/>
        <v>213.05506362897637</v>
      </c>
      <c r="AB354" s="43">
        <f t="shared" si="142"/>
        <v>2705.7993080879996</v>
      </c>
      <c r="AC354" s="43">
        <f t="shared" si="143"/>
        <v>2539.6163584573983</v>
      </c>
      <c r="AD354" s="43">
        <f t="shared" si="144"/>
        <v>2384.5122721355042</v>
      </c>
      <c r="AE354" s="43">
        <f t="shared" si="145"/>
        <v>2239.7484582350689</v>
      </c>
      <c r="AF354" s="43">
        <f t="shared" si="146"/>
        <v>2104.6355652613292</v>
      </c>
      <c r="AH354" s="43">
        <f t="shared" si="147"/>
        <v>38839.938099562394</v>
      </c>
      <c r="AI354" s="43">
        <f t="shared" si="148"/>
        <v>36300.321741104999</v>
      </c>
      <c r="AJ354" s="43">
        <f t="shared" si="149"/>
        <v>33915.809468969492</v>
      </c>
      <c r="AK354" s="43">
        <f t="shared" si="150"/>
        <v>31676.061010734422</v>
      </c>
      <c r="AL354" s="43">
        <f t="shared" si="151"/>
        <v>29571.425445473091</v>
      </c>
      <c r="AN354" s="47">
        <f t="shared" si="152"/>
        <v>4298.2367701700578</v>
      </c>
      <c r="AO354" s="47">
        <f t="shared" si="153"/>
        <v>4390.9327672537529</v>
      </c>
      <c r="AP354" s="47">
        <f t="shared" si="154"/>
        <v>4114.2185550529484</v>
      </c>
      <c r="AQ354" s="47">
        <f t="shared" si="155"/>
        <v>3981.9318138254621</v>
      </c>
      <c r="AR354" s="43">
        <f t="shared" si="156"/>
        <v>3228.3497321893065</v>
      </c>
      <c r="AS354" s="121"/>
      <c r="AT354" s="121"/>
      <c r="AU354" s="121"/>
      <c r="AV354" s="121"/>
      <c r="AW354" s="121"/>
      <c r="AX354" s="121"/>
    </row>
    <row r="355" spans="1:50" s="89" customFormat="1">
      <c r="A355" s="226"/>
      <c r="B355" s="37">
        <f>'13. Desinvesteringen'!B638</f>
        <v>619</v>
      </c>
      <c r="C355" s="331"/>
      <c r="D355" s="331"/>
      <c r="E355" s="331"/>
      <c r="F355" s="354">
        <f>'5. Input GAW-waarde desinv.'!D314</f>
        <v>4236969.0556051834</v>
      </c>
      <c r="G355" s="175">
        <f>'13. Desinvesteringen'!D638</f>
        <v>2012</v>
      </c>
      <c r="H355" s="175">
        <f>'13. Desinvesteringen'!G638</f>
        <v>2024</v>
      </c>
      <c r="I355" s="37" t="str">
        <f>'13. Desinvesteringen'!C638</f>
        <v>15 Compressorstations (TT-BT-AT)</v>
      </c>
      <c r="J355" s="165">
        <f>'13. Desinvesteringen'!F638</f>
        <v>0</v>
      </c>
      <c r="K355" s="38">
        <f>_xlfn.XLOOKUP(I355,'3. Input (des)investeringen '!$B$11:$B$89,'3. Input (des)investeringen '!$E$11:$E$89)</f>
        <v>1</v>
      </c>
      <c r="L355" s="331"/>
      <c r="M355" s="38">
        <f>_xlfn.XLOOKUP(I355,'3. Input (des)investeringen '!$B$11:$B$89,'3. Input (des)investeringen '!$D$11:$D$89,0)</f>
        <v>30</v>
      </c>
      <c r="N355" s="38">
        <f t="shared" si="140"/>
        <v>20.5</v>
      </c>
      <c r="P355" s="43">
        <f t="shared" si="158"/>
        <v>241817.25829551535</v>
      </c>
      <c r="Q355" s="43">
        <f t="shared" si="158"/>
        <v>226482.50533043389</v>
      </c>
      <c r="R355" s="43">
        <f t="shared" si="158"/>
        <v>212120.20011435761</v>
      </c>
      <c r="S355" s="43">
        <f t="shared" si="158"/>
        <v>198668.67522905688</v>
      </c>
      <c r="T355" s="43">
        <f t="shared" si="158"/>
        <v>186070.17387306792</v>
      </c>
      <c r="V355" s="43">
        <f t="shared" si="133"/>
        <v>20668.141734659435</v>
      </c>
      <c r="W355" s="43">
        <f t="shared" si="134"/>
        <v>20668.141734659432</v>
      </c>
      <c r="X355" s="43">
        <f t="shared" si="135"/>
        <v>20668.141734659432</v>
      </c>
      <c r="Y355" s="43">
        <f t="shared" si="136"/>
        <v>20668.141734659432</v>
      </c>
      <c r="Z355" s="43">
        <f t="shared" si="137"/>
        <v>20668.141734659432</v>
      </c>
      <c r="AB355" s="43">
        <f t="shared" si="142"/>
        <v>262485.40003017476</v>
      </c>
      <c r="AC355" s="43">
        <f t="shared" si="143"/>
        <v>247150.64706509333</v>
      </c>
      <c r="AD355" s="43">
        <f t="shared" si="144"/>
        <v>232788.34184901704</v>
      </c>
      <c r="AE355" s="43">
        <f t="shared" si="145"/>
        <v>219336.81696371632</v>
      </c>
      <c r="AF355" s="43">
        <f t="shared" si="146"/>
        <v>206738.31560772736</v>
      </c>
      <c r="AH355" s="43">
        <f t="shared" si="147"/>
        <v>3974483.6555750086</v>
      </c>
      <c r="AI355" s="43">
        <f t="shared" si="148"/>
        <v>3727333.0085099153</v>
      </c>
      <c r="AJ355" s="43">
        <f t="shared" si="149"/>
        <v>3494544.6666608984</v>
      </c>
      <c r="AK355" s="43">
        <f t="shared" si="150"/>
        <v>3275207.849697182</v>
      </c>
      <c r="AL355" s="43">
        <f t="shared" si="151"/>
        <v>3068469.5340894544</v>
      </c>
      <c r="AN355" s="47">
        <f t="shared" si="152"/>
        <v>425439.22990875016</v>
      </c>
      <c r="AO355" s="47">
        <f t="shared" si="153"/>
        <v>437244.63049909903</v>
      </c>
      <c r="AP355" s="47">
        <f t="shared" si="154"/>
        <v>411010.11984872282</v>
      </c>
      <c r="AQ355" s="47">
        <f t="shared" si="155"/>
        <v>399473.24869706132</v>
      </c>
      <c r="AR355" s="43">
        <f t="shared" si="156"/>
        <v>323340.15790312662</v>
      </c>
      <c r="AS355" s="121"/>
      <c r="AT355" s="121"/>
      <c r="AU355" s="121"/>
      <c r="AV355" s="121"/>
      <c r="AW355" s="121"/>
      <c r="AX355" s="121"/>
    </row>
    <row r="356" spans="1:50" s="89" customFormat="1">
      <c r="A356" s="3"/>
      <c r="B356" s="37">
        <f>'13. Desinvesteringen'!B639</f>
        <v>620</v>
      </c>
      <c r="C356" s="331"/>
      <c r="D356" s="331"/>
      <c r="E356" s="331"/>
      <c r="F356" s="354">
        <f>'5. Input GAW-waarde desinv.'!D315</f>
        <v>1309899.9728682514</v>
      </c>
      <c r="G356" s="175">
        <f>'13. Desinvesteringen'!D639</f>
        <v>2013</v>
      </c>
      <c r="H356" s="175">
        <f>'13. Desinvesteringen'!G639</f>
        <v>2024</v>
      </c>
      <c r="I356" s="37" t="str">
        <f>'13. Desinvesteringen'!C639</f>
        <v>15 Compressorstations (TT-BT-AT)</v>
      </c>
      <c r="J356" s="165">
        <f>'13. Desinvesteringen'!F639</f>
        <v>0</v>
      </c>
      <c r="K356" s="38">
        <f>_xlfn.XLOOKUP(I356,'3. Input (des)investeringen '!$B$11:$B$89,'3. Input (des)investeringen '!$E$11:$E$89)</f>
        <v>1</v>
      </c>
      <c r="L356" s="331"/>
      <c r="M356" s="38">
        <f>_xlfn.XLOOKUP(I356,'3. Input (des)investeringen '!$B$11:$B$89,'3. Input (des)investeringen '!$D$11:$D$89,0)</f>
        <v>30</v>
      </c>
      <c r="N356" s="38">
        <f t="shared" si="140"/>
        <v>21.5</v>
      </c>
      <c r="P356" s="43">
        <f t="shared" si="158"/>
        <v>71282.928756086243</v>
      </c>
      <c r="Q356" s="43">
        <f t="shared" si="158"/>
        <v>66972.79818013683</v>
      </c>
      <c r="R356" s="43">
        <f t="shared" si="158"/>
        <v>62923.280150640181</v>
      </c>
      <c r="S356" s="43">
        <f t="shared" si="158"/>
        <v>59118.616699671249</v>
      </c>
      <c r="T356" s="43">
        <f t="shared" si="158"/>
        <v>55544.002666667868</v>
      </c>
      <c r="V356" s="43">
        <f t="shared" si="133"/>
        <v>6092.5580133407047</v>
      </c>
      <c r="W356" s="43">
        <f t="shared" si="134"/>
        <v>6092.5580133407038</v>
      </c>
      <c r="X356" s="43">
        <f t="shared" si="135"/>
        <v>6092.5580133407038</v>
      </c>
      <c r="Y356" s="43">
        <f t="shared" si="136"/>
        <v>6092.5580133407038</v>
      </c>
      <c r="Z356" s="43">
        <f t="shared" si="137"/>
        <v>6092.5580133407038</v>
      </c>
      <c r="AB356" s="43">
        <f t="shared" si="142"/>
        <v>77375.486769426949</v>
      </c>
      <c r="AC356" s="43">
        <f t="shared" si="143"/>
        <v>73065.356193477535</v>
      </c>
      <c r="AD356" s="43">
        <f t="shared" si="144"/>
        <v>69015.838163980879</v>
      </c>
      <c r="AE356" s="43">
        <f t="shared" si="145"/>
        <v>65211.174713011955</v>
      </c>
      <c r="AF356" s="43">
        <f t="shared" si="146"/>
        <v>61636.560680008573</v>
      </c>
      <c r="AH356" s="43">
        <f t="shared" si="147"/>
        <v>1232524.4860988245</v>
      </c>
      <c r="AI356" s="43">
        <f t="shared" si="148"/>
        <v>1159459.129905347</v>
      </c>
      <c r="AJ356" s="43">
        <f t="shared" si="149"/>
        <v>1090443.291741366</v>
      </c>
      <c r="AK356" s="43">
        <f t="shared" si="150"/>
        <v>1025232.1170283541</v>
      </c>
      <c r="AL356" s="43">
        <f t="shared" si="151"/>
        <v>963595.55634834548</v>
      </c>
      <c r="AN356" s="47">
        <f t="shared" si="152"/>
        <v>127908.99069947876</v>
      </c>
      <c r="AO356" s="47">
        <f t="shared" si="153"/>
        <v>132197.77181865025</v>
      </c>
      <c r="AP356" s="47">
        <f t="shared" si="154"/>
        <v>124628.44604279054</v>
      </c>
      <c r="AQ356" s="47">
        <f t="shared" si="155"/>
        <v>121598.94114957143</v>
      </c>
      <c r="AR356" s="43">
        <f t="shared" si="156"/>
        <v>98253.191821245709</v>
      </c>
      <c r="AS356" s="121"/>
      <c r="AT356" s="121"/>
      <c r="AU356" s="121"/>
      <c r="AV356" s="121"/>
      <c r="AW356" s="121"/>
      <c r="AX356" s="121"/>
    </row>
    <row r="357" spans="1:50" s="89" customFormat="1">
      <c r="A357" s="3"/>
      <c r="B357" s="37">
        <f>'13. Desinvesteringen'!B640</f>
        <v>621</v>
      </c>
      <c r="C357" s="331"/>
      <c r="D357" s="331"/>
      <c r="E357" s="331"/>
      <c r="F357" s="354">
        <f>'5. Input GAW-waarde desinv.'!D316</f>
        <v>352279.26825206354</v>
      </c>
      <c r="G357" s="175">
        <f>'13. Desinvesteringen'!D640</f>
        <v>2014</v>
      </c>
      <c r="H357" s="175">
        <f>'13. Desinvesteringen'!G640</f>
        <v>2024</v>
      </c>
      <c r="I357" s="37" t="str">
        <f>'13. Desinvesteringen'!C640</f>
        <v>15 Compressorstations (TT-BT-AT)</v>
      </c>
      <c r="J357" s="165">
        <f>'13. Desinvesteringen'!F640</f>
        <v>0</v>
      </c>
      <c r="K357" s="38">
        <f>_xlfn.XLOOKUP(I357,'3. Input (des)investeringen '!$B$11:$B$89,'3. Input (des)investeringen '!$E$11:$E$89)</f>
        <v>1</v>
      </c>
      <c r="L357" s="331"/>
      <c r="M357" s="38">
        <f>_xlfn.XLOOKUP(I357,'3. Input (des)investeringen '!$B$11:$B$89,'3. Input (des)investeringen '!$D$11:$D$89,0)</f>
        <v>30</v>
      </c>
      <c r="N357" s="38">
        <f t="shared" si="140"/>
        <v>22.5</v>
      </c>
      <c r="P357" s="43">
        <f t="shared" si="158"/>
        <v>18318.521949107304</v>
      </c>
      <c r="Q357" s="43">
        <f t="shared" si="158"/>
        <v>17260.118458714438</v>
      </c>
      <c r="R357" s="43">
        <f t="shared" si="158"/>
        <v>16262.867169988718</v>
      </c>
      <c r="S357" s="43">
        <f t="shared" si="158"/>
        <v>15323.234844611594</v>
      </c>
      <c r="T357" s="43">
        <f t="shared" si="158"/>
        <v>14437.892386922922</v>
      </c>
      <c r="V357" s="43">
        <f t="shared" si="133"/>
        <v>1565.6856366758382</v>
      </c>
      <c r="W357" s="43">
        <f t="shared" si="134"/>
        <v>1565.6856366758382</v>
      </c>
      <c r="X357" s="43">
        <f t="shared" si="135"/>
        <v>1565.6856366758382</v>
      </c>
      <c r="Y357" s="43">
        <f t="shared" si="136"/>
        <v>1565.6856366758382</v>
      </c>
      <c r="Z357" s="43">
        <f t="shared" si="137"/>
        <v>1565.6856366758382</v>
      </c>
      <c r="AB357" s="43">
        <f t="shared" si="142"/>
        <v>19884.207585783141</v>
      </c>
      <c r="AC357" s="43">
        <f t="shared" si="143"/>
        <v>18825.804095390275</v>
      </c>
      <c r="AD357" s="43">
        <f t="shared" si="144"/>
        <v>17828.552806664557</v>
      </c>
      <c r="AE357" s="43">
        <f t="shared" si="145"/>
        <v>16888.92048128743</v>
      </c>
      <c r="AF357" s="43">
        <f t="shared" si="146"/>
        <v>16003.57802359876</v>
      </c>
      <c r="AH357" s="43">
        <f t="shared" si="147"/>
        <v>332395.06066628039</v>
      </c>
      <c r="AI357" s="43">
        <f t="shared" si="148"/>
        <v>313569.25657089014</v>
      </c>
      <c r="AJ357" s="43">
        <f t="shared" si="149"/>
        <v>295740.70376422559</v>
      </c>
      <c r="AK357" s="43">
        <f t="shared" si="150"/>
        <v>278851.78328293818</v>
      </c>
      <c r="AL357" s="43">
        <f t="shared" si="151"/>
        <v>262848.20525933942</v>
      </c>
      <c r="AN357" s="47">
        <f t="shared" si="152"/>
        <v>33512.405073100635</v>
      </c>
      <c r="AO357" s="47">
        <f t="shared" si="153"/>
        <v>34817.83618050567</v>
      </c>
      <c r="AP357" s="47">
        <f t="shared" si="154"/>
        <v>32911.328698640064</v>
      </c>
      <c r="AQ357" s="47">
        <f t="shared" si="155"/>
        <v>32225.768561849029</v>
      </c>
      <c r="AR357" s="43">
        <f t="shared" si="156"/>
        <v>25991.809823453659</v>
      </c>
      <c r="AS357" s="121"/>
      <c r="AT357" s="121"/>
      <c r="AU357" s="121"/>
      <c r="AV357" s="121"/>
      <c r="AW357" s="121"/>
      <c r="AX357" s="121"/>
    </row>
    <row r="358" spans="1:50" s="89" customFormat="1">
      <c r="A358" s="3"/>
      <c r="B358" s="37">
        <f>'13. Desinvesteringen'!B641</f>
        <v>622</v>
      </c>
      <c r="C358" s="331"/>
      <c r="D358" s="331"/>
      <c r="E358" s="331"/>
      <c r="F358" s="354">
        <f>'5. Input GAW-waarde desinv.'!D317</f>
        <v>8614670.2533826157</v>
      </c>
      <c r="G358" s="175">
        <f>'13. Desinvesteringen'!D641</f>
        <v>2015</v>
      </c>
      <c r="H358" s="175">
        <f>'13. Desinvesteringen'!G641</f>
        <v>2024</v>
      </c>
      <c r="I358" s="37" t="str">
        <f>'13. Desinvesteringen'!C641</f>
        <v>15 Compressorstations (TT-BT-AT)</v>
      </c>
      <c r="J358" s="165">
        <f>'13. Desinvesteringen'!F641</f>
        <v>0</v>
      </c>
      <c r="K358" s="38">
        <f>_xlfn.XLOOKUP(I358,'3. Input (des)investeringen '!$B$11:$B$89,'3. Input (des)investeringen '!$E$11:$E$89)</f>
        <v>1</v>
      </c>
      <c r="L358" s="331"/>
      <c r="M358" s="38">
        <f>_xlfn.XLOOKUP(I358,'3. Input (des)investeringen '!$B$11:$B$89,'3. Input (des)investeringen '!$D$11:$D$89,0)</f>
        <v>30</v>
      </c>
      <c r="N358" s="38">
        <f t="shared" si="140"/>
        <v>23.5</v>
      </c>
      <c r="P358" s="43">
        <f t="shared" si="158"/>
        <v>428900.60410458135</v>
      </c>
      <c r="Q358" s="43">
        <f t="shared" si="158"/>
        <v>405174.18770730664</v>
      </c>
      <c r="R358" s="43">
        <f t="shared" si="158"/>
        <v>382760.29647243436</v>
      </c>
      <c r="S358" s="43">
        <f t="shared" si="158"/>
        <v>361586.32262502308</v>
      </c>
      <c r="T358" s="43">
        <f t="shared" si="158"/>
        <v>341583.67499044735</v>
      </c>
      <c r="V358" s="43">
        <f t="shared" si="133"/>
        <v>36658.171290989856</v>
      </c>
      <c r="W358" s="43">
        <f t="shared" si="134"/>
        <v>36658.171290989856</v>
      </c>
      <c r="X358" s="43">
        <f t="shared" si="135"/>
        <v>36658.171290989856</v>
      </c>
      <c r="Y358" s="43">
        <f t="shared" si="136"/>
        <v>36658.171290989856</v>
      </c>
      <c r="Z358" s="43">
        <f t="shared" si="137"/>
        <v>36658.171290989856</v>
      </c>
      <c r="AB358" s="43">
        <f t="shared" si="142"/>
        <v>465558.7753955712</v>
      </c>
      <c r="AC358" s="43">
        <f t="shared" si="143"/>
        <v>441832.35899829649</v>
      </c>
      <c r="AD358" s="43">
        <f t="shared" si="144"/>
        <v>419418.46776342421</v>
      </c>
      <c r="AE358" s="43">
        <f t="shared" si="145"/>
        <v>398244.49391601293</v>
      </c>
      <c r="AF358" s="43">
        <f t="shared" si="146"/>
        <v>378241.8462814372</v>
      </c>
      <c r="AH358" s="43">
        <f t="shared" si="147"/>
        <v>8149111.4779870445</v>
      </c>
      <c r="AI358" s="43">
        <f t="shared" si="148"/>
        <v>7707279.1189887477</v>
      </c>
      <c r="AJ358" s="43">
        <f t="shared" si="149"/>
        <v>7287860.6512253238</v>
      </c>
      <c r="AK358" s="43">
        <f t="shared" si="150"/>
        <v>6889616.1573093105</v>
      </c>
      <c r="AL358" s="43">
        <f t="shared" si="151"/>
        <v>6511374.3110278733</v>
      </c>
      <c r="AN358" s="47">
        <f t="shared" si="152"/>
        <v>799672.34599304001</v>
      </c>
      <c r="AO358" s="47">
        <f t="shared" si="153"/>
        <v>834903.59406672255</v>
      </c>
      <c r="AP358" s="47">
        <f t="shared" si="154"/>
        <v>791099.36097591568</v>
      </c>
      <c r="AQ358" s="47">
        <f t="shared" si="155"/>
        <v>777173.38256802503</v>
      </c>
      <c r="AR358" s="43">
        <f t="shared" si="156"/>
        <v>625674.07010049641</v>
      </c>
      <c r="AS358" s="121"/>
      <c r="AT358" s="121"/>
      <c r="AU358" s="121"/>
      <c r="AV358" s="121"/>
      <c r="AW358" s="121"/>
      <c r="AX358" s="121"/>
    </row>
    <row r="359" spans="1:50" s="89" customFormat="1">
      <c r="A359" s="3"/>
      <c r="B359" s="37">
        <f>'13. Desinvesteringen'!B642</f>
        <v>623</v>
      </c>
      <c r="C359" s="331"/>
      <c r="D359" s="331"/>
      <c r="E359" s="331"/>
      <c r="F359" s="354">
        <f>'5. Input GAW-waarde desinv.'!D318</f>
        <v>205179.23220155045</v>
      </c>
      <c r="G359" s="175">
        <f>'13. Desinvesteringen'!D642</f>
        <v>2016</v>
      </c>
      <c r="H359" s="175">
        <f>'13. Desinvesteringen'!G642</f>
        <v>2024</v>
      </c>
      <c r="I359" s="37" t="str">
        <f>'13. Desinvesteringen'!C642</f>
        <v>15 Compressorstations (TT-BT-AT)</v>
      </c>
      <c r="J359" s="165">
        <f>'13. Desinvesteringen'!F642</f>
        <v>0</v>
      </c>
      <c r="K359" s="38">
        <f>_xlfn.XLOOKUP(I359,'3. Input (des)investeringen '!$B$11:$B$89,'3. Input (des)investeringen '!$E$11:$E$89)</f>
        <v>1</v>
      </c>
      <c r="L359" s="331"/>
      <c r="M359" s="38">
        <f>_xlfn.XLOOKUP(I359,'3. Input (des)investeringen '!$B$11:$B$89,'3. Input (des)investeringen '!$D$11:$D$89,0)</f>
        <v>30</v>
      </c>
      <c r="N359" s="38">
        <f t="shared" si="140"/>
        <v>24.5</v>
      </c>
      <c r="P359" s="43">
        <f t="shared" si="158"/>
        <v>9798.3551704413912</v>
      </c>
      <c r="Q359" s="43">
        <f t="shared" si="158"/>
        <v>9278.4424471118455</v>
      </c>
      <c r="R359" s="43">
        <f t="shared" si="158"/>
        <v>8786.1169295099935</v>
      </c>
      <c r="S359" s="43">
        <f t="shared" si="158"/>
        <v>8319.9148067196675</v>
      </c>
      <c r="T359" s="43">
        <f t="shared" si="158"/>
        <v>7878.4499394243367</v>
      </c>
      <c r="V359" s="43">
        <f t="shared" si="133"/>
        <v>837.46625388387929</v>
      </c>
      <c r="W359" s="43">
        <f t="shared" si="134"/>
        <v>837.46625388387929</v>
      </c>
      <c r="X359" s="43">
        <f t="shared" si="135"/>
        <v>837.46625388387929</v>
      </c>
      <c r="Y359" s="43">
        <f t="shared" si="136"/>
        <v>837.46625388387929</v>
      </c>
      <c r="Z359" s="43">
        <f t="shared" si="137"/>
        <v>837.46625388387929</v>
      </c>
      <c r="AB359" s="43">
        <f t="shared" si="142"/>
        <v>10635.82142432527</v>
      </c>
      <c r="AC359" s="43">
        <f t="shared" si="143"/>
        <v>10115.908700995726</v>
      </c>
      <c r="AD359" s="43">
        <f t="shared" si="144"/>
        <v>9623.5831833938719</v>
      </c>
      <c r="AE359" s="43">
        <f t="shared" si="145"/>
        <v>9157.3810606035477</v>
      </c>
      <c r="AF359" s="43">
        <f t="shared" si="146"/>
        <v>8715.916193308216</v>
      </c>
      <c r="AH359" s="43">
        <f t="shared" si="147"/>
        <v>194543.41077722519</v>
      </c>
      <c r="AI359" s="43">
        <f t="shared" si="148"/>
        <v>184427.50207622946</v>
      </c>
      <c r="AJ359" s="43">
        <f t="shared" si="149"/>
        <v>174803.91889283559</v>
      </c>
      <c r="AK359" s="43">
        <f t="shared" si="150"/>
        <v>165646.53783223205</v>
      </c>
      <c r="AL359" s="43">
        <f t="shared" si="151"/>
        <v>156930.62163892383</v>
      </c>
      <c r="AN359" s="47">
        <f t="shared" si="152"/>
        <v>18612.101266191501</v>
      </c>
      <c r="AO359" s="47">
        <f t="shared" si="153"/>
        <v>19521.71130688343</v>
      </c>
      <c r="AP359" s="47">
        <f t="shared" si="154"/>
        <v>18538.583046928485</v>
      </c>
      <c r="AQ359" s="47">
        <f t="shared" si="155"/>
        <v>18267.94064137631</v>
      </c>
      <c r="AR359" s="43">
        <f t="shared" si="156"/>
        <v>14679.279815587321</v>
      </c>
      <c r="AS359" s="121"/>
      <c r="AT359" s="121"/>
      <c r="AU359" s="121"/>
      <c r="AV359" s="121"/>
      <c r="AW359" s="121"/>
      <c r="AX359" s="121"/>
    </row>
    <row r="360" spans="1:50" s="89" customFormat="1">
      <c r="A360" s="3"/>
      <c r="B360" s="37">
        <f>'13. Desinvesteringen'!B643</f>
        <v>624</v>
      </c>
      <c r="C360" s="331"/>
      <c r="D360" s="331"/>
      <c r="E360" s="331"/>
      <c r="F360" s="354">
        <f>'5. Input GAW-waarde desinv.'!D319</f>
        <v>15286337.673415478</v>
      </c>
      <c r="G360" s="175">
        <f>'13. Desinvesteringen'!D643</f>
        <v>2017</v>
      </c>
      <c r="H360" s="175">
        <f>'13. Desinvesteringen'!G643</f>
        <v>2024</v>
      </c>
      <c r="I360" s="37" t="str">
        <f>'13. Desinvesteringen'!C643</f>
        <v>15 Compressorstations (TT-BT-AT)</v>
      </c>
      <c r="J360" s="165">
        <f>'13. Desinvesteringen'!F643</f>
        <v>0</v>
      </c>
      <c r="K360" s="38">
        <f>_xlfn.XLOOKUP(I360,'3. Input (des)investeringen '!$B$11:$B$89,'3. Input (des)investeringen '!$E$11:$E$89)</f>
        <v>1</v>
      </c>
      <c r="L360" s="331"/>
      <c r="M360" s="38">
        <f>_xlfn.XLOOKUP(I360,'3. Input (des)investeringen '!$B$11:$B$89,'3. Input (des)investeringen '!$D$11:$D$89,0)</f>
        <v>30</v>
      </c>
      <c r="N360" s="38">
        <f t="shared" si="140"/>
        <v>25.5</v>
      </c>
      <c r="P360" s="43">
        <f t="shared" si="158"/>
        <v>701373.14030965138</v>
      </c>
      <c r="Q360" s="43">
        <f t="shared" si="158"/>
        <v>665616.86256837507</v>
      </c>
      <c r="R360" s="43">
        <f t="shared" si="158"/>
        <v>631683.45388841862</v>
      </c>
      <c r="S360" s="43">
        <f t="shared" si="158"/>
        <v>599479.98369018547</v>
      </c>
      <c r="T360" s="43">
        <f t="shared" si="158"/>
        <v>568918.25903147017</v>
      </c>
      <c r="V360" s="43">
        <f t="shared" si="133"/>
        <v>59946.422248688155</v>
      </c>
      <c r="W360" s="43">
        <f t="shared" si="134"/>
        <v>59946.422248688155</v>
      </c>
      <c r="X360" s="43">
        <f t="shared" si="135"/>
        <v>59946.422248688155</v>
      </c>
      <c r="Y360" s="43">
        <f t="shared" si="136"/>
        <v>59946.422248688155</v>
      </c>
      <c r="Z360" s="43">
        <f t="shared" si="137"/>
        <v>59946.422248688155</v>
      </c>
      <c r="AB360" s="43">
        <f t="shared" si="142"/>
        <v>761319.56255833956</v>
      </c>
      <c r="AC360" s="43">
        <f t="shared" si="143"/>
        <v>725563.28481706325</v>
      </c>
      <c r="AD360" s="43">
        <f t="shared" si="144"/>
        <v>691629.8761371068</v>
      </c>
      <c r="AE360" s="43">
        <f t="shared" si="145"/>
        <v>659426.40593887365</v>
      </c>
      <c r="AF360" s="43">
        <f t="shared" si="146"/>
        <v>628864.68128015834</v>
      </c>
      <c r="AH360" s="43">
        <f t="shared" si="147"/>
        <v>14525018.110857138</v>
      </c>
      <c r="AI360" s="43">
        <f t="shared" si="148"/>
        <v>13799454.826040074</v>
      </c>
      <c r="AJ360" s="43">
        <f t="shared" si="149"/>
        <v>13107824.949902967</v>
      </c>
      <c r="AK360" s="43">
        <f t="shared" si="150"/>
        <v>12448398.543964094</v>
      </c>
      <c r="AL360" s="43">
        <f t="shared" si="151"/>
        <v>11819533.862683935</v>
      </c>
      <c r="AN360" s="47">
        <f t="shared" si="152"/>
        <v>1356845.3051034822</v>
      </c>
      <c r="AO360" s="47">
        <f t="shared" si="153"/>
        <v>1429335.4809451071</v>
      </c>
      <c r="AP360" s="47">
        <f t="shared" si="154"/>
        <v>1360128.948582158</v>
      </c>
      <c r="AQ360" s="47">
        <f t="shared" si="155"/>
        <v>1344088.3258568989</v>
      </c>
      <c r="AR360" s="43">
        <f t="shared" si="156"/>
        <v>1078006.968062148</v>
      </c>
      <c r="AS360" s="121"/>
      <c r="AT360" s="121"/>
      <c r="AU360" s="121"/>
      <c r="AV360" s="121"/>
      <c r="AW360" s="121"/>
      <c r="AX360" s="121"/>
    </row>
    <row r="361" spans="1:50" s="89" customFormat="1">
      <c r="A361" s="3"/>
      <c r="B361" s="37">
        <f>'13. Desinvesteringen'!B644</f>
        <v>625</v>
      </c>
      <c r="C361" s="331"/>
      <c r="D361" s="331"/>
      <c r="E361" s="331"/>
      <c r="F361" s="354">
        <f>'5. Input GAW-waarde desinv.'!D320</f>
        <v>132877.15359999999</v>
      </c>
      <c r="G361" s="175">
        <f>'13. Desinvesteringen'!D644</f>
        <v>2020</v>
      </c>
      <c r="H361" s="175">
        <f>'13. Desinvesteringen'!G644</f>
        <v>2024</v>
      </c>
      <c r="I361" s="37" t="str">
        <f>'13. Desinvesteringen'!C644</f>
        <v>15 Compressorstations (TT-BT-AT)</v>
      </c>
      <c r="J361" s="165">
        <f>'13. Desinvesteringen'!F644</f>
        <v>0</v>
      </c>
      <c r="K361" s="38">
        <f>_xlfn.XLOOKUP(I361,'3. Input (des)investeringen '!$B$11:$B$89,'3. Input (des)investeringen '!$E$11:$E$89)</f>
        <v>1</v>
      </c>
      <c r="L361" s="331"/>
      <c r="M361" s="38">
        <f>_xlfn.XLOOKUP(I361,'3. Input (des)investeringen '!$B$11:$B$89,'3. Input (des)investeringen '!$D$11:$D$89,0)</f>
        <v>30</v>
      </c>
      <c r="N361" s="38">
        <f t="shared" si="140"/>
        <v>28.5</v>
      </c>
      <c r="P361" s="43">
        <f t="shared" si="158"/>
        <v>5454.9568319999998</v>
      </c>
      <c r="Q361" s="43">
        <f t="shared" si="158"/>
        <v>5206.134239663158</v>
      </c>
      <c r="R361" s="43">
        <f t="shared" si="158"/>
        <v>4968.6614497837854</v>
      </c>
      <c r="S361" s="43">
        <f t="shared" si="158"/>
        <v>4742.0207520743497</v>
      </c>
      <c r="T361" s="43">
        <f t="shared" si="158"/>
        <v>4525.7180511025381</v>
      </c>
      <c r="V361" s="43">
        <f t="shared" si="133"/>
        <v>466.23562666666669</v>
      </c>
      <c r="W361" s="43">
        <f t="shared" si="134"/>
        <v>466.23562666666669</v>
      </c>
      <c r="X361" s="43">
        <f t="shared" si="135"/>
        <v>466.23562666666669</v>
      </c>
      <c r="Y361" s="43">
        <f t="shared" si="136"/>
        <v>466.23562666666669</v>
      </c>
      <c r="Z361" s="43">
        <f t="shared" si="137"/>
        <v>466.23562666666669</v>
      </c>
      <c r="AB361" s="43">
        <f t="shared" si="142"/>
        <v>5921.1924586666664</v>
      </c>
      <c r="AC361" s="43">
        <f t="shared" si="143"/>
        <v>5672.3698663298246</v>
      </c>
      <c r="AD361" s="43">
        <f t="shared" si="144"/>
        <v>5434.897076450452</v>
      </c>
      <c r="AE361" s="43">
        <f t="shared" si="145"/>
        <v>5208.2563787410163</v>
      </c>
      <c r="AF361" s="43">
        <f t="shared" si="146"/>
        <v>4991.9536777692047</v>
      </c>
      <c r="AH361" s="43">
        <f t="shared" si="147"/>
        <v>126955.96114133332</v>
      </c>
      <c r="AI361" s="43">
        <f t="shared" si="148"/>
        <v>121283.59127500349</v>
      </c>
      <c r="AJ361" s="43">
        <f t="shared" si="149"/>
        <v>115848.69419855304</v>
      </c>
      <c r="AK361" s="43">
        <f t="shared" si="150"/>
        <v>110640.43781981202</v>
      </c>
      <c r="AL361" s="43">
        <f t="shared" si="151"/>
        <v>105648.48414204281</v>
      </c>
      <c r="AN361" s="47">
        <f t="shared" si="152"/>
        <v>11126.386865461332</v>
      </c>
      <c r="AO361" s="47">
        <f t="shared" si="153"/>
        <v>11857.833021355003</v>
      </c>
      <c r="AP361" s="47">
        <f t="shared" si="154"/>
        <v>11343.180480576657</v>
      </c>
      <c r="AQ361" s="47">
        <f t="shared" si="155"/>
        <v>11293.480458830678</v>
      </c>
      <c r="AR361" s="43">
        <f t="shared" si="156"/>
        <v>9006.5960751668317</v>
      </c>
      <c r="AS361" s="121"/>
      <c r="AT361" s="121"/>
      <c r="AU361" s="121"/>
      <c r="AV361" s="121"/>
      <c r="AW361" s="121"/>
      <c r="AX361" s="121"/>
    </row>
    <row r="362" spans="1:50" s="89" customFormat="1">
      <c r="A362" s="3"/>
      <c r="B362" s="37">
        <f>'13. Desinvesteringen'!B645</f>
        <v>626</v>
      </c>
      <c r="C362" s="331"/>
      <c r="D362" s="331"/>
      <c r="E362" s="331"/>
      <c r="F362" s="354">
        <f>'5. Input GAW-waarde desinv.'!D321</f>
        <v>0</v>
      </c>
      <c r="G362" s="175">
        <f>'13. Desinvesteringen'!D645</f>
        <v>1972</v>
      </c>
      <c r="H362" s="175">
        <f>'13. Desinvesteringen'!G645</f>
        <v>2024</v>
      </c>
      <c r="I362" s="37" t="str">
        <f>'13. Desinvesteringen'!C645</f>
        <v>17 Mengstations</v>
      </c>
      <c r="J362" s="165">
        <f>'13. Desinvesteringen'!F645</f>
        <v>0</v>
      </c>
      <c r="K362" s="38">
        <f>_xlfn.XLOOKUP(I362,'3. Input (des)investeringen '!$B$11:$B$89,'3. Input (des)investeringen '!$E$11:$E$89)</f>
        <v>0</v>
      </c>
      <c r="L362" s="331"/>
      <c r="M362" s="38">
        <f>_xlfn.XLOOKUP(I362,'3. Input (des)investeringen '!$B$11:$B$89,'3. Input (des)investeringen '!$D$11:$D$89,0)</f>
        <v>30</v>
      </c>
      <c r="N362" s="38">
        <f t="shared" si="140"/>
        <v>0</v>
      </c>
      <c r="P362" s="43">
        <f t="shared" ref="P362:T371" si="159">IF($M362&gt;0, IF(OR($G362&gt;P$50,$G362+$M362&lt;P$50),0,
VDB($F362,0,$N362,MAX(0,P$50-2022),MIN($N362,P$50-2021),$F$23,FALSE))*(1-$F$26), 0)</f>
        <v>0</v>
      </c>
      <c r="Q362" s="43">
        <f t="shared" si="159"/>
        <v>0</v>
      </c>
      <c r="R362" s="43">
        <f t="shared" si="159"/>
        <v>0</v>
      </c>
      <c r="S362" s="43">
        <f t="shared" si="159"/>
        <v>0</v>
      </c>
      <c r="T362" s="43">
        <f t="shared" si="159"/>
        <v>0</v>
      </c>
      <c r="V362" s="43">
        <f t="shared" si="133"/>
        <v>0</v>
      </c>
      <c r="W362" s="43">
        <f t="shared" si="134"/>
        <v>0</v>
      </c>
      <c r="X362" s="43">
        <f t="shared" si="135"/>
        <v>0</v>
      </c>
      <c r="Y362" s="43">
        <f t="shared" si="136"/>
        <v>0</v>
      </c>
      <c r="Z362" s="43">
        <f t="shared" si="137"/>
        <v>0</v>
      </c>
      <c r="AB362" s="43">
        <f t="shared" si="142"/>
        <v>0</v>
      </c>
      <c r="AC362" s="43">
        <f t="shared" si="143"/>
        <v>0</v>
      </c>
      <c r="AD362" s="43">
        <f t="shared" si="144"/>
        <v>0</v>
      </c>
      <c r="AE362" s="43">
        <f t="shared" si="145"/>
        <v>0</v>
      </c>
      <c r="AF362" s="43">
        <f t="shared" si="146"/>
        <v>0</v>
      </c>
      <c r="AH362" s="43">
        <f t="shared" si="147"/>
        <v>0</v>
      </c>
      <c r="AI362" s="43">
        <f t="shared" si="148"/>
        <v>0</v>
      </c>
      <c r="AJ362" s="43">
        <f t="shared" si="149"/>
        <v>0</v>
      </c>
      <c r="AK362" s="43">
        <f t="shared" si="150"/>
        <v>0</v>
      </c>
      <c r="AL362" s="43">
        <f t="shared" si="151"/>
        <v>0</v>
      </c>
      <c r="AN362" s="47">
        <f t="shared" si="152"/>
        <v>0</v>
      </c>
      <c r="AO362" s="47">
        <f t="shared" si="153"/>
        <v>0</v>
      </c>
      <c r="AP362" s="47">
        <f t="shared" si="154"/>
        <v>0</v>
      </c>
      <c r="AQ362" s="47">
        <f t="shared" si="155"/>
        <v>0</v>
      </c>
      <c r="AR362" s="43">
        <f t="shared" si="156"/>
        <v>0</v>
      </c>
      <c r="AS362" s="121"/>
      <c r="AT362" s="121"/>
      <c r="AU362" s="121"/>
      <c r="AV362" s="121"/>
      <c r="AW362" s="121"/>
      <c r="AX362" s="121"/>
    </row>
    <row r="363" spans="1:50" s="89" customFormat="1">
      <c r="A363" s="3"/>
      <c r="B363" s="37">
        <f>'13. Desinvesteringen'!B646</f>
        <v>627</v>
      </c>
      <c r="C363" s="331"/>
      <c r="D363" s="331"/>
      <c r="E363" s="331"/>
      <c r="F363" s="354">
        <f>'5. Input GAW-waarde desinv.'!D322</f>
        <v>0</v>
      </c>
      <c r="G363" s="175">
        <f>'13. Desinvesteringen'!D646</f>
        <v>1979</v>
      </c>
      <c r="H363" s="175">
        <f>'13. Desinvesteringen'!G646</f>
        <v>2024</v>
      </c>
      <c r="I363" s="37" t="str">
        <f>'13. Desinvesteringen'!C646</f>
        <v>17 Mengstations</v>
      </c>
      <c r="J363" s="165">
        <f>'13. Desinvesteringen'!F646</f>
        <v>0</v>
      </c>
      <c r="K363" s="38">
        <f>_xlfn.XLOOKUP(I363,'3. Input (des)investeringen '!$B$11:$B$89,'3. Input (des)investeringen '!$E$11:$E$89)</f>
        <v>0</v>
      </c>
      <c r="L363" s="331"/>
      <c r="M363" s="38">
        <f>_xlfn.XLOOKUP(I363,'3. Input (des)investeringen '!$B$11:$B$89,'3. Input (des)investeringen '!$D$11:$D$89,0)</f>
        <v>30</v>
      </c>
      <c r="N363" s="38">
        <f t="shared" si="140"/>
        <v>0</v>
      </c>
      <c r="P363" s="43">
        <f t="shared" si="159"/>
        <v>0</v>
      </c>
      <c r="Q363" s="43">
        <f t="shared" si="159"/>
        <v>0</v>
      </c>
      <c r="R363" s="43">
        <f t="shared" si="159"/>
        <v>0</v>
      </c>
      <c r="S363" s="43">
        <f t="shared" si="159"/>
        <v>0</v>
      </c>
      <c r="T363" s="43">
        <f t="shared" si="159"/>
        <v>0</v>
      </c>
      <c r="V363" s="43">
        <f t="shared" si="133"/>
        <v>0</v>
      </c>
      <c r="W363" s="43">
        <f t="shared" si="134"/>
        <v>0</v>
      </c>
      <c r="X363" s="43">
        <f t="shared" si="135"/>
        <v>0</v>
      </c>
      <c r="Y363" s="43">
        <f t="shared" si="136"/>
        <v>0</v>
      </c>
      <c r="Z363" s="43">
        <f t="shared" si="137"/>
        <v>0</v>
      </c>
      <c r="AB363" s="43">
        <f t="shared" si="142"/>
        <v>0</v>
      </c>
      <c r="AC363" s="43">
        <f t="shared" si="143"/>
        <v>0</v>
      </c>
      <c r="AD363" s="43">
        <f t="shared" si="144"/>
        <v>0</v>
      </c>
      <c r="AE363" s="43">
        <f t="shared" si="145"/>
        <v>0</v>
      </c>
      <c r="AF363" s="43">
        <f t="shared" si="146"/>
        <v>0</v>
      </c>
      <c r="AH363" s="43">
        <f t="shared" si="147"/>
        <v>0</v>
      </c>
      <c r="AI363" s="43">
        <f t="shared" si="148"/>
        <v>0</v>
      </c>
      <c r="AJ363" s="43">
        <f t="shared" si="149"/>
        <v>0</v>
      </c>
      <c r="AK363" s="43">
        <f t="shared" si="150"/>
        <v>0</v>
      </c>
      <c r="AL363" s="43">
        <f t="shared" si="151"/>
        <v>0</v>
      </c>
      <c r="AN363" s="47">
        <f t="shared" si="152"/>
        <v>0</v>
      </c>
      <c r="AO363" s="47">
        <f t="shared" si="153"/>
        <v>0</v>
      </c>
      <c r="AP363" s="47">
        <f t="shared" si="154"/>
        <v>0</v>
      </c>
      <c r="AQ363" s="47">
        <f t="shared" si="155"/>
        <v>0</v>
      </c>
      <c r="AR363" s="43">
        <f t="shared" si="156"/>
        <v>0</v>
      </c>
      <c r="AS363" s="121"/>
      <c r="AT363" s="121"/>
      <c r="AU363" s="121"/>
      <c r="AV363" s="121"/>
      <c r="AW363" s="121"/>
      <c r="AX363" s="121"/>
    </row>
    <row r="364" spans="1:50" s="89" customFormat="1">
      <c r="A364" s="3"/>
      <c r="B364" s="37">
        <f>'13. Desinvesteringen'!B647</f>
        <v>628</v>
      </c>
      <c r="C364" s="331"/>
      <c r="D364" s="331"/>
      <c r="E364" s="331"/>
      <c r="F364" s="354">
        <f>'5. Input GAW-waarde desinv.'!D323</f>
        <v>1302.4440570578504</v>
      </c>
      <c r="G364" s="175">
        <f>'13. Desinvesteringen'!D647</f>
        <v>1993</v>
      </c>
      <c r="H364" s="175">
        <f>'13. Desinvesteringen'!G647</f>
        <v>2024</v>
      </c>
      <c r="I364" s="37" t="str">
        <f>'13. Desinvesteringen'!C647</f>
        <v>17 Mengstations</v>
      </c>
      <c r="J364" s="165">
        <f>'13. Desinvesteringen'!F647</f>
        <v>0</v>
      </c>
      <c r="K364" s="38">
        <f>_xlfn.XLOOKUP(I364,'3. Input (des)investeringen '!$B$11:$B$89,'3. Input (des)investeringen '!$E$11:$E$89)</f>
        <v>0</v>
      </c>
      <c r="L364" s="331"/>
      <c r="M364" s="38">
        <f>_xlfn.XLOOKUP(I364,'3. Input (des)investeringen '!$B$11:$B$89,'3. Input (des)investeringen '!$D$11:$D$89,0)</f>
        <v>30</v>
      </c>
      <c r="N364" s="38">
        <f t="shared" si="140"/>
        <v>1.5</v>
      </c>
      <c r="P364" s="43">
        <f t="shared" si="159"/>
        <v>1015.9063645051233</v>
      </c>
      <c r="Q364" s="43">
        <f t="shared" si="159"/>
        <v>156.29328684694204</v>
      </c>
      <c r="R364" s="43">
        <f t="shared" si="159"/>
        <v>0</v>
      </c>
      <c r="S364" s="43">
        <f t="shared" si="159"/>
        <v>0</v>
      </c>
      <c r="T364" s="43">
        <f t="shared" si="159"/>
        <v>0</v>
      </c>
      <c r="V364" s="43">
        <f t="shared" si="133"/>
        <v>86.829603803856699</v>
      </c>
      <c r="W364" s="43">
        <f t="shared" si="134"/>
        <v>43.41480190192835</v>
      </c>
      <c r="X364" s="43">
        <f t="shared" si="135"/>
        <v>0</v>
      </c>
      <c r="Y364" s="43">
        <f t="shared" si="136"/>
        <v>0</v>
      </c>
      <c r="Z364" s="43">
        <f t="shared" si="137"/>
        <v>0</v>
      </c>
      <c r="AB364" s="43">
        <f t="shared" si="142"/>
        <v>1102.7359683089801</v>
      </c>
      <c r="AC364" s="43">
        <f t="shared" si="143"/>
        <v>199.70808874887038</v>
      </c>
      <c r="AD364" s="43">
        <f t="shared" si="144"/>
        <v>0</v>
      </c>
      <c r="AE364" s="43">
        <f t="shared" si="145"/>
        <v>0</v>
      </c>
      <c r="AF364" s="43">
        <f t="shared" si="146"/>
        <v>0</v>
      </c>
      <c r="AH364" s="43">
        <f t="shared" si="147"/>
        <v>199.7080887488703</v>
      </c>
      <c r="AI364" s="43">
        <f t="shared" si="148"/>
        <v>0</v>
      </c>
      <c r="AJ364" s="43">
        <f t="shared" si="149"/>
        <v>0</v>
      </c>
      <c r="AK364" s="43">
        <f t="shared" si="150"/>
        <v>0</v>
      </c>
      <c r="AL364" s="43">
        <f t="shared" si="151"/>
        <v>0</v>
      </c>
      <c r="AN364" s="47">
        <f t="shared" si="152"/>
        <v>1110.9239999476838</v>
      </c>
      <c r="AO364" s="47">
        <f t="shared" si="153"/>
        <v>199.70808874887038</v>
      </c>
      <c r="AP364" s="47">
        <f t="shared" si="154"/>
        <v>0</v>
      </c>
      <c r="AQ364" s="47">
        <f t="shared" si="155"/>
        <v>0</v>
      </c>
      <c r="AR364" s="43">
        <f t="shared" si="156"/>
        <v>0</v>
      </c>
      <c r="AS364" s="121"/>
      <c r="AT364" s="121"/>
      <c r="AU364" s="121"/>
      <c r="AV364" s="121"/>
      <c r="AW364" s="121"/>
      <c r="AX364" s="121"/>
    </row>
    <row r="365" spans="1:50" s="89" customFormat="1">
      <c r="A365" s="3"/>
      <c r="B365" s="37">
        <f>'13. Desinvesteringen'!B648</f>
        <v>629</v>
      </c>
      <c r="C365" s="331"/>
      <c r="D365" s="331"/>
      <c r="E365" s="331"/>
      <c r="F365" s="354">
        <f>'5. Input GAW-waarde desinv.'!D324</f>
        <v>5160.0974238485833</v>
      </c>
      <c r="G365" s="175">
        <f>'13. Desinvesteringen'!D648</f>
        <v>1994</v>
      </c>
      <c r="H365" s="175">
        <f>'13. Desinvesteringen'!G648</f>
        <v>2024</v>
      </c>
      <c r="I365" s="37" t="str">
        <f>'13. Desinvesteringen'!C648</f>
        <v>17 Mengstations</v>
      </c>
      <c r="J365" s="165">
        <f>'13. Desinvesteringen'!F648</f>
        <v>0</v>
      </c>
      <c r="K365" s="38">
        <f>_xlfn.XLOOKUP(I365,'3. Input (des)investeringen '!$B$11:$B$89,'3. Input (des)investeringen '!$E$11:$E$89)</f>
        <v>0</v>
      </c>
      <c r="L365" s="331"/>
      <c r="M365" s="38">
        <f>_xlfn.XLOOKUP(I365,'3. Input (des)investeringen '!$B$11:$B$89,'3. Input (des)investeringen '!$D$11:$D$89,0)</f>
        <v>30</v>
      </c>
      <c r="N365" s="38">
        <f t="shared" si="140"/>
        <v>2.5</v>
      </c>
      <c r="P365" s="43">
        <f t="shared" si="159"/>
        <v>2414.925594361137</v>
      </c>
      <c r="Q365" s="43">
        <f t="shared" si="159"/>
        <v>1486.108058068392</v>
      </c>
      <c r="R365" s="43">
        <f t="shared" si="159"/>
        <v>743.05402903419599</v>
      </c>
      <c r="S365" s="43">
        <f t="shared" si="159"/>
        <v>0</v>
      </c>
      <c r="T365" s="43">
        <f t="shared" si="159"/>
        <v>0</v>
      </c>
      <c r="V365" s="43">
        <f t="shared" si="133"/>
        <v>206.40389695394333</v>
      </c>
      <c r="W365" s="43">
        <f t="shared" si="134"/>
        <v>206.40389695394333</v>
      </c>
      <c r="X365" s="43">
        <f t="shared" si="135"/>
        <v>103.20194847697167</v>
      </c>
      <c r="Y365" s="43">
        <f t="shared" si="136"/>
        <v>0</v>
      </c>
      <c r="Z365" s="43">
        <f t="shared" si="137"/>
        <v>0</v>
      </c>
      <c r="AB365" s="43">
        <f t="shared" si="142"/>
        <v>2621.3294913150803</v>
      </c>
      <c r="AC365" s="43">
        <f t="shared" si="143"/>
        <v>1692.5119550223353</v>
      </c>
      <c r="AD365" s="43">
        <f t="shared" si="144"/>
        <v>846.25597751116766</v>
      </c>
      <c r="AE365" s="43">
        <f t="shared" si="145"/>
        <v>0</v>
      </c>
      <c r="AF365" s="43">
        <f t="shared" si="146"/>
        <v>0</v>
      </c>
      <c r="AH365" s="43">
        <f t="shared" si="147"/>
        <v>2538.767932533503</v>
      </c>
      <c r="AI365" s="43">
        <f t="shared" si="148"/>
        <v>846.25597751116766</v>
      </c>
      <c r="AJ365" s="43">
        <f t="shared" si="149"/>
        <v>0</v>
      </c>
      <c r="AK365" s="43">
        <f t="shared" si="150"/>
        <v>0</v>
      </c>
      <c r="AL365" s="43">
        <f t="shared" si="151"/>
        <v>0</v>
      </c>
      <c r="AN365" s="47">
        <f t="shared" si="152"/>
        <v>2725.4189765489541</v>
      </c>
      <c r="AO365" s="47">
        <f t="shared" si="153"/>
        <v>1735.6710098754049</v>
      </c>
      <c r="AP365" s="47">
        <f t="shared" si="154"/>
        <v>846.25597751116766</v>
      </c>
      <c r="AQ365" s="47">
        <f t="shared" si="155"/>
        <v>0</v>
      </c>
      <c r="AR365" s="43">
        <f t="shared" si="156"/>
        <v>0</v>
      </c>
      <c r="AS365" s="121"/>
      <c r="AT365" s="121"/>
      <c r="AU365" s="121"/>
      <c r="AV365" s="121"/>
      <c r="AW365" s="121"/>
      <c r="AX365" s="121"/>
    </row>
    <row r="366" spans="1:50" s="89" customFormat="1">
      <c r="A366" s="3"/>
      <c r="B366" s="37">
        <f>'13. Desinvesteringen'!B649</f>
        <v>630</v>
      </c>
      <c r="C366" s="331"/>
      <c r="D366" s="331"/>
      <c r="E366" s="331"/>
      <c r="F366" s="354">
        <f>'5. Input GAW-waarde desinv.'!D325</f>
        <v>62368.739652133881</v>
      </c>
      <c r="G366" s="175">
        <f>'13. Desinvesteringen'!D649</f>
        <v>2001</v>
      </c>
      <c r="H366" s="175">
        <f>'13. Desinvesteringen'!G649</f>
        <v>2024</v>
      </c>
      <c r="I366" s="37" t="str">
        <f>'13. Desinvesteringen'!C649</f>
        <v>17 Mengstations</v>
      </c>
      <c r="J366" s="165">
        <f>'13. Desinvesteringen'!F649</f>
        <v>0</v>
      </c>
      <c r="K366" s="38">
        <f>_xlfn.XLOOKUP(I366,'3. Input (des)investeringen '!$B$11:$B$89,'3. Input (des)investeringen '!$E$11:$E$89)</f>
        <v>0</v>
      </c>
      <c r="L366" s="331"/>
      <c r="M366" s="38">
        <f>_xlfn.XLOOKUP(I366,'3. Input (des)investeringen '!$B$11:$B$89,'3. Input (des)investeringen '!$D$11:$D$89,0)</f>
        <v>30</v>
      </c>
      <c r="N366" s="38">
        <f t="shared" si="140"/>
        <v>9.5</v>
      </c>
      <c r="P366" s="43">
        <f t="shared" si="159"/>
        <v>7681.2026729470144</v>
      </c>
      <c r="Q366" s="43">
        <f t="shared" si="159"/>
        <v>6630.0907282279504</v>
      </c>
      <c r="R366" s="43">
        <f t="shared" si="159"/>
        <v>5722.8151548914939</v>
      </c>
      <c r="S366" s="43">
        <f t="shared" si="159"/>
        <v>5553.5010970544672</v>
      </c>
      <c r="T366" s="43">
        <f t="shared" si="159"/>
        <v>5553.5010970544672</v>
      </c>
      <c r="V366" s="43">
        <f t="shared" si="133"/>
        <v>656.51304896983038</v>
      </c>
      <c r="W366" s="43">
        <f t="shared" si="134"/>
        <v>656.51304896983038</v>
      </c>
      <c r="X366" s="43">
        <f t="shared" si="135"/>
        <v>656.51304896983038</v>
      </c>
      <c r="Y366" s="43">
        <f t="shared" si="136"/>
        <v>656.51304896983038</v>
      </c>
      <c r="Z366" s="43">
        <f t="shared" si="137"/>
        <v>656.51304896983038</v>
      </c>
      <c r="AB366" s="43">
        <f t="shared" si="142"/>
        <v>8337.7157219168439</v>
      </c>
      <c r="AC366" s="43">
        <f t="shared" si="143"/>
        <v>7286.6037771977808</v>
      </c>
      <c r="AD366" s="43">
        <f t="shared" si="144"/>
        <v>6379.3282038613243</v>
      </c>
      <c r="AE366" s="43">
        <f t="shared" si="145"/>
        <v>6210.0141460242976</v>
      </c>
      <c r="AF366" s="43">
        <f t="shared" si="146"/>
        <v>6210.0141460242976</v>
      </c>
      <c r="AH366" s="43">
        <f t="shared" si="147"/>
        <v>54031.023930217038</v>
      </c>
      <c r="AI366" s="43">
        <f t="shared" si="148"/>
        <v>46744.420153019259</v>
      </c>
      <c r="AJ366" s="43">
        <f t="shared" si="149"/>
        <v>40365.091949157933</v>
      </c>
      <c r="AK366" s="43">
        <f t="shared" si="150"/>
        <v>34155.077803133638</v>
      </c>
      <c r="AL366" s="43">
        <f t="shared" si="151"/>
        <v>27945.063657109342</v>
      </c>
      <c r="AN366" s="47">
        <f t="shared" si="152"/>
        <v>10552.987703055744</v>
      </c>
      <c r="AO366" s="47">
        <f t="shared" si="153"/>
        <v>9670.5692050017624</v>
      </c>
      <c r="AP366" s="47">
        <f t="shared" si="154"/>
        <v>8437.9478932683778</v>
      </c>
      <c r="AQ366" s="47">
        <f t="shared" si="155"/>
        <v>8088.5434251966471</v>
      </c>
      <c r="AR366" s="43">
        <f t="shared" si="156"/>
        <v>7271.9265649944527</v>
      </c>
      <c r="AS366" s="121"/>
      <c r="AT366" s="121"/>
      <c r="AU366" s="121"/>
      <c r="AV366" s="121"/>
      <c r="AW366" s="121"/>
      <c r="AX366" s="121"/>
    </row>
    <row r="367" spans="1:50" s="89" customFormat="1">
      <c r="A367" s="3"/>
      <c r="B367" s="37">
        <f>'13. Desinvesteringen'!B650</f>
        <v>631</v>
      </c>
      <c r="C367" s="331"/>
      <c r="D367" s="331"/>
      <c r="E367" s="331"/>
      <c r="F367" s="354">
        <f>'5. Input GAW-waarde desinv.'!D326</f>
        <v>30973.850514933041</v>
      </c>
      <c r="G367" s="175">
        <f>'13. Desinvesteringen'!D650</f>
        <v>2005</v>
      </c>
      <c r="H367" s="175">
        <f>'13. Desinvesteringen'!G650</f>
        <v>2024</v>
      </c>
      <c r="I367" s="37" t="str">
        <f>'13. Desinvesteringen'!C650</f>
        <v>17 Mengstations</v>
      </c>
      <c r="J367" s="165">
        <f>'13. Desinvesteringen'!F650</f>
        <v>0</v>
      </c>
      <c r="K367" s="38">
        <f>_xlfn.XLOOKUP(I367,'3. Input (des)investeringen '!$B$11:$B$89,'3. Input (des)investeringen '!$E$11:$E$89)</f>
        <v>0</v>
      </c>
      <c r="L367" s="331"/>
      <c r="M367" s="38">
        <f>_xlfn.XLOOKUP(I367,'3. Input (des)investeringen '!$B$11:$B$89,'3. Input (des)investeringen '!$D$11:$D$89,0)</f>
        <v>30</v>
      </c>
      <c r="N367" s="38">
        <f t="shared" si="140"/>
        <v>13.5</v>
      </c>
      <c r="P367" s="43">
        <f t="shared" si="159"/>
        <v>2684.4003779608634</v>
      </c>
      <c r="Q367" s="43">
        <f t="shared" si="159"/>
        <v>2425.9025637868544</v>
      </c>
      <c r="R367" s="43">
        <f t="shared" si="159"/>
        <v>2192.2971317184906</v>
      </c>
      <c r="S367" s="43">
        <f t="shared" si="159"/>
        <v>1981.1870375530063</v>
      </c>
      <c r="T367" s="43">
        <f t="shared" si="159"/>
        <v>1957.1240370968965</v>
      </c>
      <c r="V367" s="43">
        <f t="shared" si="133"/>
        <v>229.43592974024475</v>
      </c>
      <c r="W367" s="43">
        <f t="shared" si="134"/>
        <v>229.43592974024477</v>
      </c>
      <c r="X367" s="43">
        <f t="shared" si="135"/>
        <v>229.43592974024477</v>
      </c>
      <c r="Y367" s="43">
        <f t="shared" si="136"/>
        <v>229.43592974024477</v>
      </c>
      <c r="Z367" s="43">
        <f t="shared" si="137"/>
        <v>229.43592974024477</v>
      </c>
      <c r="AB367" s="43">
        <f t="shared" si="142"/>
        <v>2913.8363077011081</v>
      </c>
      <c r="AC367" s="43">
        <f t="shared" si="143"/>
        <v>2655.3384935270992</v>
      </c>
      <c r="AD367" s="43">
        <f t="shared" si="144"/>
        <v>2421.7330614587354</v>
      </c>
      <c r="AE367" s="43">
        <f t="shared" si="145"/>
        <v>2210.6229672932513</v>
      </c>
      <c r="AF367" s="43">
        <f t="shared" si="146"/>
        <v>2186.5599668371415</v>
      </c>
      <c r="AH367" s="43">
        <f t="shared" si="147"/>
        <v>28060.014207231932</v>
      </c>
      <c r="AI367" s="43">
        <f t="shared" si="148"/>
        <v>25404.675713704833</v>
      </c>
      <c r="AJ367" s="43">
        <f t="shared" si="149"/>
        <v>22982.9426522461</v>
      </c>
      <c r="AK367" s="43">
        <f t="shared" si="150"/>
        <v>20772.319684952847</v>
      </c>
      <c r="AL367" s="43">
        <f t="shared" si="151"/>
        <v>18585.759718115703</v>
      </c>
      <c r="AN367" s="47">
        <f t="shared" si="152"/>
        <v>4064.2968901976174</v>
      </c>
      <c r="AO367" s="47">
        <f t="shared" si="153"/>
        <v>3950.9769549260454</v>
      </c>
      <c r="AP367" s="47">
        <f t="shared" si="154"/>
        <v>3593.8631367232865</v>
      </c>
      <c r="AQ367" s="47">
        <f t="shared" si="155"/>
        <v>3353.1005499656576</v>
      </c>
      <c r="AR367" s="43">
        <f t="shared" si="156"/>
        <v>2892.8188361255379</v>
      </c>
      <c r="AS367" s="121"/>
      <c r="AT367" s="121"/>
      <c r="AU367" s="121"/>
      <c r="AV367" s="121"/>
      <c r="AW367" s="121"/>
      <c r="AX367" s="121"/>
    </row>
    <row r="368" spans="1:50" s="89" customFormat="1">
      <c r="A368" s="3"/>
      <c r="B368" s="37">
        <f>'13. Desinvesteringen'!B651</f>
        <v>632</v>
      </c>
      <c r="C368" s="331"/>
      <c r="D368" s="331"/>
      <c r="E368" s="331"/>
      <c r="F368" s="354">
        <f>'5. Input GAW-waarde desinv.'!D327</f>
        <v>66842.607864033591</v>
      </c>
      <c r="G368" s="175">
        <f>'13. Desinvesteringen'!D651</f>
        <v>2006</v>
      </c>
      <c r="H368" s="175">
        <f>'13. Desinvesteringen'!G651</f>
        <v>2024</v>
      </c>
      <c r="I368" s="37" t="str">
        <f>'13. Desinvesteringen'!C651</f>
        <v>17 Mengstations</v>
      </c>
      <c r="J368" s="165">
        <f>'13. Desinvesteringen'!F651</f>
        <v>0</v>
      </c>
      <c r="K368" s="38">
        <f>_xlfn.XLOOKUP(I368,'3. Input (des)investeringen '!$B$11:$B$89,'3. Input (des)investeringen '!$E$11:$E$89)</f>
        <v>0</v>
      </c>
      <c r="L368" s="331"/>
      <c r="M368" s="38">
        <f>_xlfn.XLOOKUP(I368,'3. Input (des)investeringen '!$B$11:$B$89,'3. Input (des)investeringen '!$D$11:$D$89,0)</f>
        <v>30</v>
      </c>
      <c r="N368" s="38">
        <f t="shared" si="140"/>
        <v>14.5</v>
      </c>
      <c r="P368" s="43">
        <f t="shared" si="159"/>
        <v>5393.5069793737457</v>
      </c>
      <c r="Q368" s="43">
        <f t="shared" si="159"/>
        <v>4909.9511812229957</v>
      </c>
      <c r="R368" s="43">
        <f t="shared" si="159"/>
        <v>4469.7486615271409</v>
      </c>
      <c r="S368" s="43">
        <f t="shared" si="159"/>
        <v>4069.0125746316039</v>
      </c>
      <c r="T368" s="43">
        <f t="shared" si="159"/>
        <v>3934.8693029404521</v>
      </c>
      <c r="V368" s="43">
        <f t="shared" si="133"/>
        <v>460.9835025105765</v>
      </c>
      <c r="W368" s="43">
        <f t="shared" si="134"/>
        <v>460.9835025105765</v>
      </c>
      <c r="X368" s="43">
        <f t="shared" si="135"/>
        <v>460.9835025105765</v>
      </c>
      <c r="Y368" s="43">
        <f t="shared" si="136"/>
        <v>460.9835025105765</v>
      </c>
      <c r="Z368" s="43">
        <f t="shared" si="137"/>
        <v>460.9835025105765</v>
      </c>
      <c r="AB368" s="43">
        <f t="shared" si="142"/>
        <v>5854.4904818843224</v>
      </c>
      <c r="AC368" s="43">
        <f t="shared" si="143"/>
        <v>5370.9346837335725</v>
      </c>
      <c r="AD368" s="43">
        <f t="shared" si="144"/>
        <v>4930.7321640377177</v>
      </c>
      <c r="AE368" s="43">
        <f t="shared" si="145"/>
        <v>4529.9960771421802</v>
      </c>
      <c r="AF368" s="43">
        <f t="shared" si="146"/>
        <v>4395.8528054510289</v>
      </c>
      <c r="AH368" s="43">
        <f t="shared" si="147"/>
        <v>60988.11738214927</v>
      </c>
      <c r="AI368" s="43">
        <f t="shared" si="148"/>
        <v>55617.182698415694</v>
      </c>
      <c r="AJ368" s="43">
        <f t="shared" si="149"/>
        <v>50686.450534377975</v>
      </c>
      <c r="AK368" s="43">
        <f t="shared" si="150"/>
        <v>46156.454457235792</v>
      </c>
      <c r="AL368" s="43">
        <f t="shared" si="151"/>
        <v>41760.60165178476</v>
      </c>
      <c r="AN368" s="47">
        <f t="shared" si="152"/>
        <v>8355.0032945524435</v>
      </c>
      <c r="AO368" s="47">
        <f t="shared" si="153"/>
        <v>8207.4110013527716</v>
      </c>
      <c r="AP368" s="47">
        <f t="shared" si="154"/>
        <v>7515.7411412909942</v>
      </c>
      <c r="AQ368" s="47">
        <f t="shared" si="155"/>
        <v>7068.6010722901483</v>
      </c>
      <c r="AR368" s="43">
        <f t="shared" si="156"/>
        <v>5982.7556682188497</v>
      </c>
      <c r="AS368" s="121"/>
      <c r="AT368" s="121"/>
      <c r="AU368" s="121"/>
      <c r="AV368" s="121"/>
      <c r="AW368" s="121"/>
      <c r="AX368" s="121"/>
    </row>
    <row r="369" spans="1:50" s="89" customFormat="1">
      <c r="A369" s="3"/>
      <c r="B369" s="37">
        <f>'13. Desinvesteringen'!B652</f>
        <v>633</v>
      </c>
      <c r="C369" s="331"/>
      <c r="D369" s="331"/>
      <c r="E369" s="331"/>
      <c r="F369" s="354">
        <f>'5. Input GAW-waarde desinv.'!D328</f>
        <v>93362.46843644914</v>
      </c>
      <c r="G369" s="175">
        <f>'13. Desinvesteringen'!D652</f>
        <v>2014</v>
      </c>
      <c r="H369" s="175">
        <f>'13. Desinvesteringen'!G652</f>
        <v>2024</v>
      </c>
      <c r="I369" s="37" t="str">
        <f>'13. Desinvesteringen'!C652</f>
        <v>17 Mengstations</v>
      </c>
      <c r="J369" s="165">
        <f>'13. Desinvesteringen'!F652</f>
        <v>0</v>
      </c>
      <c r="K369" s="38">
        <f>_xlfn.XLOOKUP(I369,'3. Input (des)investeringen '!$B$11:$B$89,'3. Input (des)investeringen '!$E$11:$E$89)</f>
        <v>0</v>
      </c>
      <c r="L369" s="331"/>
      <c r="M369" s="38">
        <f>_xlfn.XLOOKUP(I369,'3. Input (des)investeringen '!$B$11:$B$89,'3. Input (des)investeringen '!$D$11:$D$89,0)</f>
        <v>30</v>
      </c>
      <c r="N369" s="38">
        <f t="shared" si="140"/>
        <v>22.5</v>
      </c>
      <c r="P369" s="43">
        <f t="shared" si="159"/>
        <v>4854.8483586953553</v>
      </c>
      <c r="Q369" s="43">
        <f t="shared" si="159"/>
        <v>4574.3460090818462</v>
      </c>
      <c r="R369" s="43">
        <f t="shared" si="159"/>
        <v>4310.0504618904506</v>
      </c>
      <c r="S369" s="43">
        <f t="shared" si="159"/>
        <v>4061.0253240923353</v>
      </c>
      <c r="T369" s="43">
        <f t="shared" si="159"/>
        <v>3826.3883053670006</v>
      </c>
      <c r="V369" s="43">
        <f t="shared" si="133"/>
        <v>414.94430416199623</v>
      </c>
      <c r="W369" s="43">
        <f t="shared" si="134"/>
        <v>414.94430416199623</v>
      </c>
      <c r="X369" s="43">
        <f t="shared" si="135"/>
        <v>414.94430416199623</v>
      </c>
      <c r="Y369" s="43">
        <f t="shared" si="136"/>
        <v>414.94430416199623</v>
      </c>
      <c r="Z369" s="43">
        <f t="shared" si="137"/>
        <v>414.94430416199623</v>
      </c>
      <c r="AB369" s="43">
        <f t="shared" si="142"/>
        <v>5269.7926628573514</v>
      </c>
      <c r="AC369" s="43">
        <f t="shared" si="143"/>
        <v>4989.2903132438423</v>
      </c>
      <c r="AD369" s="43">
        <f t="shared" si="144"/>
        <v>4724.9947660524467</v>
      </c>
      <c r="AE369" s="43">
        <f t="shared" si="145"/>
        <v>4475.9696282543318</v>
      </c>
      <c r="AF369" s="43">
        <f t="shared" si="146"/>
        <v>4241.3326095289967</v>
      </c>
      <c r="AH369" s="43">
        <f t="shared" si="147"/>
        <v>88092.675773591793</v>
      </c>
      <c r="AI369" s="43">
        <f t="shared" si="148"/>
        <v>83103.385460347956</v>
      </c>
      <c r="AJ369" s="43">
        <f t="shared" si="149"/>
        <v>78378.390694295507</v>
      </c>
      <c r="AK369" s="43">
        <f t="shared" si="150"/>
        <v>73902.421066041177</v>
      </c>
      <c r="AL369" s="43">
        <f t="shared" si="151"/>
        <v>69661.088456512181</v>
      </c>
      <c r="AN369" s="47">
        <f t="shared" si="152"/>
        <v>8881.5923695746151</v>
      </c>
      <c r="AO369" s="47">
        <f t="shared" si="153"/>
        <v>9227.5629717215888</v>
      </c>
      <c r="AP369" s="47">
        <f t="shared" si="154"/>
        <v>8722.2926914615164</v>
      </c>
      <c r="AQ369" s="47">
        <f t="shared" si="155"/>
        <v>8540.6027868865967</v>
      </c>
      <c r="AR369" s="43">
        <f t="shared" si="156"/>
        <v>6888.4539708764596</v>
      </c>
      <c r="AS369" s="121"/>
      <c r="AT369" s="121"/>
      <c r="AU369" s="121"/>
      <c r="AV369" s="121"/>
      <c r="AW369" s="121"/>
      <c r="AX369" s="121"/>
    </row>
    <row r="370" spans="1:50" s="89" customFormat="1">
      <c r="A370" s="3"/>
      <c r="B370" s="37">
        <f>'13. Desinvesteringen'!B653</f>
        <v>634</v>
      </c>
      <c r="C370" s="331"/>
      <c r="D370" s="331"/>
      <c r="E370" s="331"/>
      <c r="F370" s="354">
        <f>'5. Input GAW-waarde desinv.'!D329</f>
        <v>0</v>
      </c>
      <c r="G370" s="175">
        <f>'13. Desinvesteringen'!D653</f>
        <v>1964</v>
      </c>
      <c r="H370" s="175">
        <f>'13. Desinvesteringen'!G653</f>
        <v>2024</v>
      </c>
      <c r="I370" s="37" t="str">
        <f>'13. Desinvesteringen'!C653</f>
        <v>21 Hoofdtransportleiding</v>
      </c>
      <c r="J370" s="165">
        <f>'13. Desinvesteringen'!F653</f>
        <v>0</v>
      </c>
      <c r="K370" s="38">
        <f>_xlfn.XLOOKUP(I370,'3. Input (des)investeringen '!$B$11:$B$89,'3. Input (des)investeringen '!$E$11:$E$89)</f>
        <v>1</v>
      </c>
      <c r="L370" s="331"/>
      <c r="M370" s="38">
        <f>_xlfn.XLOOKUP(I370,'3. Input (des)investeringen '!$B$11:$B$89,'3. Input (des)investeringen '!$D$11:$D$89,0)</f>
        <v>55</v>
      </c>
      <c r="N370" s="38">
        <f t="shared" si="140"/>
        <v>0</v>
      </c>
      <c r="P370" s="43">
        <f t="shared" si="159"/>
        <v>0</v>
      </c>
      <c r="Q370" s="43">
        <f t="shared" si="159"/>
        <v>0</v>
      </c>
      <c r="R370" s="43">
        <f t="shared" si="159"/>
        <v>0</v>
      </c>
      <c r="S370" s="43">
        <f t="shared" si="159"/>
        <v>0</v>
      </c>
      <c r="T370" s="43">
        <f t="shared" si="159"/>
        <v>0</v>
      </c>
      <c r="V370" s="43">
        <f t="shared" si="133"/>
        <v>0</v>
      </c>
      <c r="W370" s="43">
        <f t="shared" si="134"/>
        <v>0</v>
      </c>
      <c r="X370" s="43">
        <f t="shared" si="135"/>
        <v>0</v>
      </c>
      <c r="Y370" s="43">
        <f t="shared" si="136"/>
        <v>0</v>
      </c>
      <c r="Z370" s="43">
        <f t="shared" si="137"/>
        <v>0</v>
      </c>
      <c r="AB370" s="43">
        <f t="shared" si="142"/>
        <v>0</v>
      </c>
      <c r="AC370" s="43">
        <f t="shared" si="143"/>
        <v>0</v>
      </c>
      <c r="AD370" s="43">
        <f t="shared" si="144"/>
        <v>0</v>
      </c>
      <c r="AE370" s="43">
        <f t="shared" si="145"/>
        <v>0</v>
      </c>
      <c r="AF370" s="43">
        <f t="shared" si="146"/>
        <v>0</v>
      </c>
      <c r="AH370" s="43">
        <f t="shared" si="147"/>
        <v>0</v>
      </c>
      <c r="AI370" s="43">
        <f t="shared" si="148"/>
        <v>0</v>
      </c>
      <c r="AJ370" s="43">
        <f t="shared" si="149"/>
        <v>0</v>
      </c>
      <c r="AK370" s="43">
        <f t="shared" si="150"/>
        <v>0</v>
      </c>
      <c r="AL370" s="43">
        <f t="shared" si="151"/>
        <v>0</v>
      </c>
      <c r="AN370" s="47">
        <f t="shared" si="152"/>
        <v>0</v>
      </c>
      <c r="AO370" s="47">
        <f t="shared" si="153"/>
        <v>0</v>
      </c>
      <c r="AP370" s="47">
        <f t="shared" si="154"/>
        <v>0</v>
      </c>
      <c r="AQ370" s="47">
        <f t="shared" si="155"/>
        <v>0</v>
      </c>
      <c r="AR370" s="43">
        <f t="shared" si="156"/>
        <v>0</v>
      </c>
      <c r="AS370" s="121"/>
      <c r="AT370" s="121"/>
      <c r="AU370" s="121"/>
      <c r="AV370" s="121"/>
      <c r="AW370" s="121"/>
      <c r="AX370" s="121"/>
    </row>
    <row r="371" spans="1:50" s="89" customFormat="1">
      <c r="A371" s="3"/>
      <c r="B371" s="37">
        <f>'13. Desinvesteringen'!B654</f>
        <v>635</v>
      </c>
      <c r="C371" s="331"/>
      <c r="D371" s="331"/>
      <c r="E371" s="331"/>
      <c r="F371" s="354">
        <f>'5. Input GAW-waarde desinv.'!D330</f>
        <v>0</v>
      </c>
      <c r="G371" s="175">
        <f>'13. Desinvesteringen'!D654</f>
        <v>1966</v>
      </c>
      <c r="H371" s="175">
        <f>'13. Desinvesteringen'!G654</f>
        <v>2024</v>
      </c>
      <c r="I371" s="37" t="str">
        <f>'13. Desinvesteringen'!C654</f>
        <v>21 Hoofdtransportleiding</v>
      </c>
      <c r="J371" s="165">
        <f>'13. Desinvesteringen'!F654</f>
        <v>0</v>
      </c>
      <c r="K371" s="38">
        <f>_xlfn.XLOOKUP(I371,'3. Input (des)investeringen '!$B$11:$B$89,'3. Input (des)investeringen '!$E$11:$E$89)</f>
        <v>1</v>
      </c>
      <c r="L371" s="331"/>
      <c r="M371" s="38">
        <f>_xlfn.XLOOKUP(I371,'3. Input (des)investeringen '!$B$11:$B$89,'3. Input (des)investeringen '!$D$11:$D$89,0)</f>
        <v>55</v>
      </c>
      <c r="N371" s="38">
        <f t="shared" si="140"/>
        <v>0</v>
      </c>
      <c r="P371" s="43">
        <f t="shared" si="159"/>
        <v>0</v>
      </c>
      <c r="Q371" s="43">
        <f t="shared" si="159"/>
        <v>0</v>
      </c>
      <c r="R371" s="43">
        <f t="shared" si="159"/>
        <v>0</v>
      </c>
      <c r="S371" s="43">
        <f t="shared" si="159"/>
        <v>0</v>
      </c>
      <c r="T371" s="43">
        <f t="shared" si="159"/>
        <v>0</v>
      </c>
      <c r="V371" s="43">
        <f t="shared" si="133"/>
        <v>0</v>
      </c>
      <c r="W371" s="43">
        <f t="shared" si="134"/>
        <v>0</v>
      </c>
      <c r="X371" s="43">
        <f t="shared" si="135"/>
        <v>0</v>
      </c>
      <c r="Y371" s="43">
        <f t="shared" si="136"/>
        <v>0</v>
      </c>
      <c r="Z371" s="43">
        <f t="shared" si="137"/>
        <v>0</v>
      </c>
      <c r="AB371" s="43">
        <f t="shared" si="142"/>
        <v>0</v>
      </c>
      <c r="AC371" s="43">
        <f t="shared" si="143"/>
        <v>0</v>
      </c>
      <c r="AD371" s="43">
        <f t="shared" si="144"/>
        <v>0</v>
      </c>
      <c r="AE371" s="43">
        <f t="shared" si="145"/>
        <v>0</v>
      </c>
      <c r="AF371" s="43">
        <f t="shared" si="146"/>
        <v>0</v>
      </c>
      <c r="AH371" s="43">
        <f t="shared" si="147"/>
        <v>0</v>
      </c>
      <c r="AI371" s="43">
        <f t="shared" si="148"/>
        <v>0</v>
      </c>
      <c r="AJ371" s="43">
        <f t="shared" si="149"/>
        <v>0</v>
      </c>
      <c r="AK371" s="43">
        <f t="shared" si="150"/>
        <v>0</v>
      </c>
      <c r="AL371" s="43">
        <f t="shared" si="151"/>
        <v>0</v>
      </c>
      <c r="AN371" s="47">
        <f t="shared" si="152"/>
        <v>0</v>
      </c>
      <c r="AO371" s="47">
        <f t="shared" si="153"/>
        <v>0</v>
      </c>
      <c r="AP371" s="47">
        <f t="shared" si="154"/>
        <v>0</v>
      </c>
      <c r="AQ371" s="47">
        <f t="shared" si="155"/>
        <v>0</v>
      </c>
      <c r="AR371" s="43">
        <f t="shared" si="156"/>
        <v>0</v>
      </c>
      <c r="AS371" s="121"/>
      <c r="AT371" s="121"/>
      <c r="AU371" s="121"/>
      <c r="AV371" s="121"/>
      <c r="AW371" s="121"/>
      <c r="AX371" s="121"/>
    </row>
    <row r="372" spans="1:50" s="89" customFormat="1">
      <c r="A372" s="3"/>
      <c r="B372" s="37">
        <f>'13. Desinvesteringen'!B655</f>
        <v>636</v>
      </c>
      <c r="C372" s="331"/>
      <c r="D372" s="331"/>
      <c r="E372" s="331"/>
      <c r="F372" s="354">
        <f>'5. Input GAW-waarde desinv.'!D331</f>
        <v>3167.6844298719025</v>
      </c>
      <c r="G372" s="175">
        <f>'13. Desinvesteringen'!D655</f>
        <v>1968</v>
      </c>
      <c r="H372" s="175">
        <f>'13. Desinvesteringen'!G655</f>
        <v>2024</v>
      </c>
      <c r="I372" s="37" t="str">
        <f>'13. Desinvesteringen'!C655</f>
        <v>21 Hoofdtransportleiding</v>
      </c>
      <c r="J372" s="165">
        <f>'13. Desinvesteringen'!F655</f>
        <v>0</v>
      </c>
      <c r="K372" s="38">
        <f>_xlfn.XLOOKUP(I372,'3. Input (des)investeringen '!$B$11:$B$89,'3. Input (des)investeringen '!$E$11:$E$89)</f>
        <v>1</v>
      </c>
      <c r="L372" s="331"/>
      <c r="M372" s="38">
        <f>_xlfn.XLOOKUP(I372,'3. Input (des)investeringen '!$B$11:$B$89,'3. Input (des)investeringen '!$D$11:$D$89,0)</f>
        <v>55</v>
      </c>
      <c r="N372" s="38">
        <f t="shared" si="140"/>
        <v>1.5</v>
      </c>
      <c r="P372" s="43">
        <f t="shared" ref="P372:T378" si="160">IF($M372&gt;0, IF(OR($G372&gt;P$50,$G372+$M372&lt;P$50),0,
VDB($F372,0,$N372,MAX(0,P$50-2022),MIN($N372,P$50-2021),$F$23,FALSE))*(1-$F$26), 0)</f>
        <v>2470.793855300084</v>
      </c>
      <c r="Q372" s="43">
        <f t="shared" si="160"/>
        <v>380.12213158462805</v>
      </c>
      <c r="R372" s="43">
        <f t="shared" si="160"/>
        <v>0</v>
      </c>
      <c r="S372" s="43">
        <f t="shared" si="160"/>
        <v>0</v>
      </c>
      <c r="T372" s="43">
        <f t="shared" si="160"/>
        <v>0</v>
      </c>
      <c r="V372" s="43">
        <f t="shared" ref="V372:V378" si="161">IF($M372&gt;0, IF(OR($G372&gt;V$50,$G372+$M372&lt;V$50),0,
VDB($F372,0,$N372,MAX(0,P$50-2022),MIN($N372,P$50-2021),1,FALSE))*$F$26, 0)</f>
        <v>211.17896199146017</v>
      </c>
      <c r="W372" s="43">
        <f t="shared" ref="W372:W378" si="162">IF($M372&gt;0, IF(OR($G372&gt;W$50,$G372+$M372&lt;W$50),0,
VDB($F372,0,$N372,MAX(0,Q$50-2022),MIN($N372,Q$50-2021),1,FALSE))*$F$26, 0)</f>
        <v>105.58948099573009</v>
      </c>
      <c r="X372" s="43">
        <f t="shared" ref="X372:X378" si="163">IF($M372&gt;0, IF(OR($G372&gt;X$50,$G372+$M372&lt;X$50),0,
VDB($F372,0,$N372,MAX(0,R$50-2022),MIN($N372,R$50-2021),1,FALSE))*$F$26, 0)</f>
        <v>0</v>
      </c>
      <c r="Y372" s="43">
        <f t="shared" ref="Y372:Y378" si="164">IF($M372&gt;0, IF(OR($G372&gt;Y$50,$G372+$M372&lt;Y$50),0,
VDB($F372,0,$N372,MAX(0,S$50-2022),MIN($N372,S$50-2021),1,FALSE))*$F$26, 0)</f>
        <v>0</v>
      </c>
      <c r="Z372" s="43">
        <f t="shared" ref="Z372:Z378" si="165">IF($M372&gt;0, IF(OR($G372&gt;Z$50,$G372+$M372&lt;Z$50),0,
VDB($F372,0,$N372,MAX(0,T$50-2022),MIN($N372,T$50-2021),1,FALSE))*$F$26, 0)</f>
        <v>0</v>
      </c>
      <c r="AB372" s="43">
        <f t="shared" si="142"/>
        <v>2681.9728172915443</v>
      </c>
      <c r="AC372" s="43">
        <f t="shared" si="143"/>
        <v>485.71161258035812</v>
      </c>
      <c r="AD372" s="43">
        <f t="shared" si="144"/>
        <v>0</v>
      </c>
      <c r="AE372" s="43">
        <f t="shared" si="145"/>
        <v>0</v>
      </c>
      <c r="AF372" s="43">
        <f t="shared" si="146"/>
        <v>0</v>
      </c>
      <c r="AH372" s="43">
        <f t="shared" si="147"/>
        <v>485.71161258035818</v>
      </c>
      <c r="AI372" s="43">
        <f t="shared" si="148"/>
        <v>0</v>
      </c>
      <c r="AJ372" s="43">
        <f t="shared" si="149"/>
        <v>0</v>
      </c>
      <c r="AK372" s="43">
        <f t="shared" si="150"/>
        <v>0</v>
      </c>
      <c r="AL372" s="43">
        <f t="shared" si="151"/>
        <v>0</v>
      </c>
      <c r="AN372" s="47">
        <f t="shared" si="152"/>
        <v>2701.8869934073391</v>
      </c>
      <c r="AO372" s="47">
        <f t="shared" si="153"/>
        <v>485.71161258035812</v>
      </c>
      <c r="AP372" s="47">
        <f t="shared" si="154"/>
        <v>0</v>
      </c>
      <c r="AQ372" s="47">
        <f t="shared" si="155"/>
        <v>0</v>
      </c>
      <c r="AR372" s="43">
        <f t="shared" si="156"/>
        <v>0</v>
      </c>
      <c r="AS372" s="121"/>
      <c r="AT372" s="121"/>
      <c r="AU372" s="121"/>
      <c r="AV372" s="121"/>
      <c r="AW372" s="121"/>
      <c r="AX372" s="121"/>
    </row>
    <row r="373" spans="1:50" s="89" customFormat="1">
      <c r="A373" s="3"/>
      <c r="B373" s="37">
        <f>'13. Desinvesteringen'!B656</f>
        <v>637</v>
      </c>
      <c r="C373" s="331"/>
      <c r="D373" s="331"/>
      <c r="E373" s="331"/>
      <c r="F373" s="354">
        <f>'5. Input GAW-waarde desinv.'!D332</f>
        <v>8760.1489617965944</v>
      </c>
      <c r="G373" s="175">
        <f>'13. Desinvesteringen'!D656</f>
        <v>1970</v>
      </c>
      <c r="H373" s="175">
        <f>'13. Desinvesteringen'!G656</f>
        <v>2024</v>
      </c>
      <c r="I373" s="37" t="str">
        <f>'13. Desinvesteringen'!C656</f>
        <v>21 Hoofdtransportleiding</v>
      </c>
      <c r="J373" s="165">
        <f>'13. Desinvesteringen'!F656</f>
        <v>0</v>
      </c>
      <c r="K373" s="38">
        <f>_xlfn.XLOOKUP(I373,'3. Input (des)investeringen '!$B$11:$B$89,'3. Input (des)investeringen '!$E$11:$E$89)</f>
        <v>1</v>
      </c>
      <c r="L373" s="331"/>
      <c r="M373" s="38">
        <f>_xlfn.XLOOKUP(I373,'3. Input (des)investeringen '!$B$11:$B$89,'3. Input (des)investeringen '!$D$11:$D$89,0)</f>
        <v>55</v>
      </c>
      <c r="N373" s="38">
        <f t="shared" si="140"/>
        <v>3.5</v>
      </c>
      <c r="P373" s="43">
        <f t="shared" si="160"/>
        <v>2928.3926529434334</v>
      </c>
      <c r="Q373" s="43">
        <f t="shared" si="160"/>
        <v>1982.2965650694007</v>
      </c>
      <c r="R373" s="43">
        <f t="shared" si="160"/>
        <v>1982.2965650694007</v>
      </c>
      <c r="S373" s="43">
        <f t="shared" si="160"/>
        <v>991.14828253470034</v>
      </c>
      <c r="T373" s="43">
        <f t="shared" si="160"/>
        <v>0</v>
      </c>
      <c r="V373" s="43">
        <f t="shared" si="161"/>
        <v>250.28997033704556</v>
      </c>
      <c r="W373" s="43">
        <f t="shared" si="162"/>
        <v>250.28997033704556</v>
      </c>
      <c r="X373" s="43">
        <f t="shared" si="163"/>
        <v>250.28997033704556</v>
      </c>
      <c r="Y373" s="43">
        <f t="shared" si="164"/>
        <v>125.14498516852278</v>
      </c>
      <c r="Z373" s="43">
        <f t="shared" si="165"/>
        <v>0</v>
      </c>
      <c r="AB373" s="43">
        <f t="shared" si="142"/>
        <v>3178.6826232804788</v>
      </c>
      <c r="AC373" s="43">
        <f t="shared" si="143"/>
        <v>2232.5865354064463</v>
      </c>
      <c r="AD373" s="43">
        <f t="shared" si="144"/>
        <v>2232.5865354064463</v>
      </c>
      <c r="AE373" s="43">
        <f t="shared" si="145"/>
        <v>1116.2932677032231</v>
      </c>
      <c r="AF373" s="43">
        <f t="shared" si="146"/>
        <v>0</v>
      </c>
      <c r="AH373" s="43">
        <f t="shared" si="147"/>
        <v>5581.4663385161157</v>
      </c>
      <c r="AI373" s="43">
        <f t="shared" si="148"/>
        <v>3348.8798031096694</v>
      </c>
      <c r="AJ373" s="43">
        <f t="shared" si="149"/>
        <v>1116.2932677032231</v>
      </c>
      <c r="AK373" s="43">
        <f t="shared" si="150"/>
        <v>0</v>
      </c>
      <c r="AL373" s="43">
        <f t="shared" si="151"/>
        <v>0</v>
      </c>
      <c r="AN373" s="47">
        <f t="shared" si="152"/>
        <v>3407.5227431596395</v>
      </c>
      <c r="AO373" s="47">
        <f t="shared" si="153"/>
        <v>2403.3794053650395</v>
      </c>
      <c r="AP373" s="47">
        <f t="shared" si="154"/>
        <v>2289.5174920593108</v>
      </c>
      <c r="AQ373" s="47">
        <f t="shared" si="155"/>
        <v>1116.2932677032231</v>
      </c>
      <c r="AR373" s="43">
        <f t="shared" si="156"/>
        <v>0</v>
      </c>
      <c r="AS373" s="121"/>
      <c r="AT373" s="121"/>
      <c r="AU373" s="121"/>
      <c r="AV373" s="121"/>
      <c r="AW373" s="121"/>
      <c r="AX373" s="121"/>
    </row>
    <row r="374" spans="1:50" s="89" customFormat="1">
      <c r="A374" s="3"/>
      <c r="B374" s="37">
        <f>'13. Desinvesteringen'!B657</f>
        <v>638</v>
      </c>
      <c r="C374" s="331"/>
      <c r="D374" s="331"/>
      <c r="E374" s="331"/>
      <c r="F374" s="354">
        <f>'5. Input GAW-waarde desinv.'!D333</f>
        <v>3367.2299483855559</v>
      </c>
      <c r="G374" s="175">
        <f>'13. Desinvesteringen'!D657</f>
        <v>1971</v>
      </c>
      <c r="H374" s="175">
        <f>'13. Desinvesteringen'!G657</f>
        <v>2024</v>
      </c>
      <c r="I374" s="37" t="str">
        <f>'13. Desinvesteringen'!C657</f>
        <v>21 Hoofdtransportleiding</v>
      </c>
      <c r="J374" s="165">
        <f>'13. Desinvesteringen'!F657</f>
        <v>0</v>
      </c>
      <c r="K374" s="38">
        <f>_xlfn.XLOOKUP(I374,'3. Input (des)investeringen '!$B$11:$B$89,'3. Input (des)investeringen '!$E$11:$E$89)</f>
        <v>1</v>
      </c>
      <c r="L374" s="331"/>
      <c r="M374" s="38">
        <f>_xlfn.XLOOKUP(I374,'3. Input (des)investeringen '!$B$11:$B$89,'3. Input (des)investeringen '!$D$11:$D$89,0)</f>
        <v>55</v>
      </c>
      <c r="N374" s="38">
        <f t="shared" si="140"/>
        <v>4.5</v>
      </c>
      <c r="P374" s="43">
        <f t="shared" si="160"/>
        <v>875.47978658024465</v>
      </c>
      <c r="Q374" s="43">
        <f t="shared" si="160"/>
        <v>622.56340379039614</v>
      </c>
      <c r="R374" s="43">
        <f t="shared" si="160"/>
        <v>612.98550527054397</v>
      </c>
      <c r="S374" s="43">
        <f t="shared" si="160"/>
        <v>612.98550527054397</v>
      </c>
      <c r="T374" s="43">
        <f t="shared" si="160"/>
        <v>306.49275263527198</v>
      </c>
      <c r="V374" s="43">
        <f t="shared" si="161"/>
        <v>74.827332186345686</v>
      </c>
      <c r="W374" s="43">
        <f t="shared" si="162"/>
        <v>74.827332186345686</v>
      </c>
      <c r="X374" s="43">
        <f t="shared" si="163"/>
        <v>74.827332186345686</v>
      </c>
      <c r="Y374" s="43">
        <f t="shared" si="164"/>
        <v>74.827332186345686</v>
      </c>
      <c r="Z374" s="43">
        <f t="shared" si="165"/>
        <v>37.413666093172843</v>
      </c>
      <c r="AB374" s="43">
        <f t="shared" si="142"/>
        <v>950.30711876659029</v>
      </c>
      <c r="AC374" s="43">
        <f t="shared" si="143"/>
        <v>697.39073597674178</v>
      </c>
      <c r="AD374" s="43">
        <f t="shared" si="144"/>
        <v>687.81283745688961</v>
      </c>
      <c r="AE374" s="43">
        <f t="shared" si="145"/>
        <v>687.81283745688961</v>
      </c>
      <c r="AF374" s="43">
        <f t="shared" si="146"/>
        <v>343.90641872844481</v>
      </c>
      <c r="AH374" s="43">
        <f t="shared" si="147"/>
        <v>2416.9228296189658</v>
      </c>
      <c r="AI374" s="43">
        <f t="shared" si="148"/>
        <v>1719.532093642224</v>
      </c>
      <c r="AJ374" s="43">
        <f t="shared" si="149"/>
        <v>1031.7192561853344</v>
      </c>
      <c r="AK374" s="43">
        <f t="shared" si="150"/>
        <v>343.90641872844481</v>
      </c>
      <c r="AL374" s="43">
        <f t="shared" si="151"/>
        <v>0</v>
      </c>
      <c r="AN374" s="47">
        <f t="shared" si="152"/>
        <v>1049.4009547809678</v>
      </c>
      <c r="AO374" s="47">
        <f t="shared" si="153"/>
        <v>785.0868727524952</v>
      </c>
      <c r="AP374" s="47">
        <f t="shared" si="154"/>
        <v>740.43051952234168</v>
      </c>
      <c r="AQ374" s="47">
        <f t="shared" si="155"/>
        <v>706.72769048695409</v>
      </c>
      <c r="AR374" s="43">
        <f t="shared" si="156"/>
        <v>343.90641872844481</v>
      </c>
      <c r="AS374" s="121"/>
      <c r="AT374" s="121"/>
      <c r="AU374" s="121"/>
      <c r="AV374" s="121"/>
      <c r="AW374" s="121"/>
      <c r="AX374" s="121"/>
    </row>
    <row r="375" spans="1:50" s="89" customFormat="1">
      <c r="A375" s="3"/>
      <c r="B375" s="37">
        <f>'13. Desinvesteringen'!B658</f>
        <v>639</v>
      </c>
      <c r="C375" s="331"/>
      <c r="D375" s="331"/>
      <c r="E375" s="331"/>
      <c r="F375" s="354">
        <f>'5. Input GAW-waarde desinv.'!D334</f>
        <v>103376.24222389152</v>
      </c>
      <c r="G375" s="175">
        <f>'13. Desinvesteringen'!D658</f>
        <v>1992</v>
      </c>
      <c r="H375" s="175">
        <f>'13. Desinvesteringen'!G658</f>
        <v>2024</v>
      </c>
      <c r="I375" s="37" t="str">
        <f>'13. Desinvesteringen'!C658</f>
        <v>21 Hoofdtransportleiding</v>
      </c>
      <c r="J375" s="165">
        <f>'13. Desinvesteringen'!F658</f>
        <v>0</v>
      </c>
      <c r="K375" s="38">
        <f>_xlfn.XLOOKUP(I375,'3. Input (des)investeringen '!$B$11:$B$89,'3. Input (des)investeringen '!$E$11:$E$89)</f>
        <v>1</v>
      </c>
      <c r="L375" s="331"/>
      <c r="M375" s="38">
        <f>_xlfn.XLOOKUP(I375,'3. Input (des)investeringen '!$B$11:$B$89,'3. Input (des)investeringen '!$D$11:$D$89,0)</f>
        <v>55</v>
      </c>
      <c r="N375" s="38">
        <f t="shared" si="140"/>
        <v>25.5</v>
      </c>
      <c r="P375" s="43">
        <f t="shared" si="160"/>
        <v>4743.1452314491398</v>
      </c>
      <c r="Q375" s="43">
        <f t="shared" si="160"/>
        <v>4501.33782749291</v>
      </c>
      <c r="R375" s="43">
        <f t="shared" si="160"/>
        <v>4271.8578598168006</v>
      </c>
      <c r="S375" s="43">
        <f t="shared" si="160"/>
        <v>4054.0768708849628</v>
      </c>
      <c r="T375" s="43">
        <f t="shared" si="160"/>
        <v>3847.3984421731807</v>
      </c>
      <c r="V375" s="43">
        <f t="shared" si="161"/>
        <v>405.39702832898638</v>
      </c>
      <c r="W375" s="43">
        <f t="shared" si="162"/>
        <v>405.39702832898638</v>
      </c>
      <c r="X375" s="43">
        <f t="shared" si="163"/>
        <v>405.39702832898638</v>
      </c>
      <c r="Y375" s="43">
        <f t="shared" si="164"/>
        <v>405.39702832898638</v>
      </c>
      <c r="Z375" s="43">
        <f t="shared" si="165"/>
        <v>405.39702832898638</v>
      </c>
      <c r="AB375" s="43">
        <f t="shared" si="142"/>
        <v>5148.5422597781262</v>
      </c>
      <c r="AC375" s="43">
        <f t="shared" si="143"/>
        <v>4906.7348558218964</v>
      </c>
      <c r="AD375" s="43">
        <f t="shared" si="144"/>
        <v>4677.2548881457869</v>
      </c>
      <c r="AE375" s="43">
        <f t="shared" si="145"/>
        <v>4459.4738992139492</v>
      </c>
      <c r="AF375" s="43">
        <f t="shared" si="146"/>
        <v>4252.7954705021675</v>
      </c>
      <c r="AH375" s="43">
        <f t="shared" si="147"/>
        <v>98227.699964113388</v>
      </c>
      <c r="AI375" s="43">
        <f t="shared" si="148"/>
        <v>93320.965108291493</v>
      </c>
      <c r="AJ375" s="43">
        <f t="shared" si="149"/>
        <v>88643.710220145702</v>
      </c>
      <c r="AK375" s="43">
        <f t="shared" si="150"/>
        <v>84184.236320931755</v>
      </c>
      <c r="AL375" s="43">
        <f t="shared" si="151"/>
        <v>79931.440850429586</v>
      </c>
      <c r="AN375" s="47">
        <f t="shared" si="152"/>
        <v>9175.8779583067753</v>
      </c>
      <c r="AO375" s="47">
        <f t="shared" si="153"/>
        <v>9666.1040763447636</v>
      </c>
      <c r="AP375" s="47">
        <f t="shared" si="154"/>
        <v>9198.0841093732179</v>
      </c>
      <c r="AQ375" s="47">
        <f t="shared" si="155"/>
        <v>9089.6068968651962</v>
      </c>
      <c r="AR375" s="43">
        <f t="shared" si="156"/>
        <v>7290.1902228184917</v>
      </c>
      <c r="AS375" s="121"/>
      <c r="AT375" s="121"/>
      <c r="AU375" s="121"/>
      <c r="AV375" s="121"/>
      <c r="AW375" s="121"/>
      <c r="AX375" s="121"/>
    </row>
    <row r="376" spans="1:50" s="89" customFormat="1">
      <c r="A376" s="3"/>
      <c r="B376" s="37">
        <f>'13. Desinvesteringen'!B659</f>
        <v>640</v>
      </c>
      <c r="C376" s="331"/>
      <c r="D376" s="331"/>
      <c r="E376" s="331"/>
      <c r="F376" s="354">
        <f>'5. Input GAW-waarde desinv.'!D335</f>
        <v>46475.668533117961</v>
      </c>
      <c r="G376" s="175">
        <f>'13. Desinvesteringen'!D659</f>
        <v>2008</v>
      </c>
      <c r="H376" s="175">
        <f>'13. Desinvesteringen'!G659</f>
        <v>2024</v>
      </c>
      <c r="I376" s="37" t="str">
        <f>'13. Desinvesteringen'!C659</f>
        <v>21 Hoofdtransportleiding</v>
      </c>
      <c r="J376" s="165">
        <f>'13. Desinvesteringen'!F659</f>
        <v>0</v>
      </c>
      <c r="K376" s="38">
        <f>_xlfn.XLOOKUP(I376,'3. Input (des)investeringen '!$B$11:$B$89,'3. Input (des)investeringen '!$E$11:$E$89)</f>
        <v>1</v>
      </c>
      <c r="L376" s="331"/>
      <c r="M376" s="38">
        <f>_xlfn.XLOOKUP(I376,'3. Input (des)investeringen '!$B$11:$B$89,'3. Input (des)investeringen '!$D$11:$D$89,0)</f>
        <v>55</v>
      </c>
      <c r="N376" s="38">
        <f t="shared" si="140"/>
        <v>41.5</v>
      </c>
      <c r="P376" s="43">
        <f t="shared" si="160"/>
        <v>1310.2778839457353</v>
      </c>
      <c r="Q376" s="43">
        <f t="shared" si="160"/>
        <v>1269.2330345691221</v>
      </c>
      <c r="R376" s="43">
        <f t="shared" si="160"/>
        <v>1229.4739274621377</v>
      </c>
      <c r="S376" s="43">
        <f t="shared" si="160"/>
        <v>1190.9602863609141</v>
      </c>
      <c r="T376" s="43">
        <f t="shared" si="160"/>
        <v>1153.6530966676805</v>
      </c>
      <c r="V376" s="43">
        <f t="shared" si="161"/>
        <v>111.98956273040474</v>
      </c>
      <c r="W376" s="43">
        <f t="shared" si="162"/>
        <v>111.98956273040474</v>
      </c>
      <c r="X376" s="43">
        <f t="shared" si="163"/>
        <v>111.98956273040474</v>
      </c>
      <c r="Y376" s="43">
        <f t="shared" si="164"/>
        <v>111.98956273040474</v>
      </c>
      <c r="Z376" s="43">
        <f t="shared" si="165"/>
        <v>111.98956273040474</v>
      </c>
      <c r="AB376" s="43">
        <f t="shared" si="142"/>
        <v>1422.26744667614</v>
      </c>
      <c r="AC376" s="43">
        <f t="shared" si="143"/>
        <v>1381.2225972995268</v>
      </c>
      <c r="AD376" s="43">
        <f t="shared" si="144"/>
        <v>1341.4634901925424</v>
      </c>
      <c r="AE376" s="43">
        <f t="shared" si="145"/>
        <v>1302.9498490913188</v>
      </c>
      <c r="AF376" s="43">
        <f t="shared" si="146"/>
        <v>1265.6426593980852</v>
      </c>
      <c r="AH376" s="43">
        <f t="shared" si="147"/>
        <v>45053.401086441823</v>
      </c>
      <c r="AI376" s="43">
        <f t="shared" si="148"/>
        <v>43672.178489142294</v>
      </c>
      <c r="AJ376" s="43">
        <f t="shared" si="149"/>
        <v>42330.714998949748</v>
      </c>
      <c r="AK376" s="43">
        <f t="shared" si="150"/>
        <v>41027.765149858431</v>
      </c>
      <c r="AL376" s="43">
        <f t="shared" si="151"/>
        <v>39762.122490460344</v>
      </c>
      <c r="AN376" s="47">
        <f t="shared" si="152"/>
        <v>3269.4568912202549</v>
      </c>
      <c r="AO376" s="47">
        <f t="shared" si="153"/>
        <v>3608.5037002457839</v>
      </c>
      <c r="AP376" s="47">
        <f t="shared" si="154"/>
        <v>3500.3299551389796</v>
      </c>
      <c r="AQ376" s="47">
        <f t="shared" si="155"/>
        <v>3559.4769323335327</v>
      </c>
      <c r="AR376" s="43">
        <f t="shared" si="156"/>
        <v>2776.6033140355785</v>
      </c>
      <c r="AS376" s="121"/>
      <c r="AT376" s="121"/>
      <c r="AU376" s="121"/>
      <c r="AV376" s="121"/>
      <c r="AW376" s="121"/>
      <c r="AX376" s="121"/>
    </row>
    <row r="377" spans="1:50" s="89" customFormat="1">
      <c r="A377" s="3"/>
      <c r="B377" s="37">
        <f>'13. Desinvesteringen'!B660</f>
        <v>641</v>
      </c>
      <c r="C377" s="331"/>
      <c r="D377" s="331"/>
      <c r="E377" s="331"/>
      <c r="F377" s="354">
        <f>'5. Input GAW-waarde desinv.'!D336</f>
        <v>16985.961159910781</v>
      </c>
      <c r="G377" s="175">
        <f>'13. Desinvesteringen'!D660</f>
        <v>2010</v>
      </c>
      <c r="H377" s="175">
        <f>'13. Desinvesteringen'!G660</f>
        <v>2024</v>
      </c>
      <c r="I377" s="37" t="str">
        <f>'13. Desinvesteringen'!C660</f>
        <v>21 Hoofdtransportleiding</v>
      </c>
      <c r="J377" s="165">
        <f>'13. Desinvesteringen'!F660</f>
        <v>0</v>
      </c>
      <c r="K377" s="38">
        <f>_xlfn.XLOOKUP(I377,'3. Input (des)investeringen '!$B$11:$B$89,'3. Input (des)investeringen '!$E$11:$E$89)</f>
        <v>1</v>
      </c>
      <c r="L377" s="331"/>
      <c r="M377" s="38">
        <f>_xlfn.XLOOKUP(I377,'3. Input (des)investeringen '!$B$11:$B$89,'3. Input (des)investeringen '!$D$11:$D$89,0)</f>
        <v>55</v>
      </c>
      <c r="N377" s="38">
        <f t="shared" si="140"/>
        <v>43.5</v>
      </c>
      <c r="P377" s="43">
        <f t="shared" si="160"/>
        <v>456.86378292173822</v>
      </c>
      <c r="Q377" s="43">
        <f t="shared" si="160"/>
        <v>443.21038251258284</v>
      </c>
      <c r="R377" s="43">
        <f t="shared" si="160"/>
        <v>429.9650147593332</v>
      </c>
      <c r="S377" s="43">
        <f t="shared" si="160"/>
        <v>417.11548558261751</v>
      </c>
      <c r="T377" s="43">
        <f t="shared" si="160"/>
        <v>404.64996532382662</v>
      </c>
      <c r="V377" s="43">
        <f t="shared" si="161"/>
        <v>39.048186574507547</v>
      </c>
      <c r="W377" s="43">
        <f t="shared" si="162"/>
        <v>39.048186574507554</v>
      </c>
      <c r="X377" s="43">
        <f t="shared" si="163"/>
        <v>39.048186574507554</v>
      </c>
      <c r="Y377" s="43">
        <f t="shared" si="164"/>
        <v>39.048186574507554</v>
      </c>
      <c r="Z377" s="43">
        <f t="shared" si="165"/>
        <v>39.048186574507554</v>
      </c>
      <c r="AB377" s="43">
        <f t="shared" si="142"/>
        <v>495.91196949624577</v>
      </c>
      <c r="AC377" s="43">
        <f t="shared" si="143"/>
        <v>482.25856908709039</v>
      </c>
      <c r="AD377" s="43">
        <f t="shared" si="144"/>
        <v>469.01320133384075</v>
      </c>
      <c r="AE377" s="43">
        <f t="shared" si="145"/>
        <v>456.16367215712506</v>
      </c>
      <c r="AF377" s="43">
        <f t="shared" si="146"/>
        <v>443.69815189833417</v>
      </c>
      <c r="AH377" s="43">
        <f t="shared" si="147"/>
        <v>16490.049190414535</v>
      </c>
      <c r="AI377" s="43">
        <f t="shared" si="148"/>
        <v>16007.790621327444</v>
      </c>
      <c r="AJ377" s="43">
        <f t="shared" si="149"/>
        <v>15538.777419993603</v>
      </c>
      <c r="AK377" s="43">
        <f t="shared" si="150"/>
        <v>15082.613747836478</v>
      </c>
      <c r="AL377" s="43">
        <f t="shared" si="151"/>
        <v>14638.915595938144</v>
      </c>
      <c r="AN377" s="47">
        <f t="shared" si="152"/>
        <v>1172.0039863032416</v>
      </c>
      <c r="AO377" s="47">
        <f t="shared" si="153"/>
        <v>1298.6558907747899</v>
      </c>
      <c r="AP377" s="47">
        <f t="shared" si="154"/>
        <v>1261.4908497535146</v>
      </c>
      <c r="AQ377" s="47">
        <f t="shared" si="155"/>
        <v>1285.7074282881313</v>
      </c>
      <c r="AR377" s="43">
        <f t="shared" si="156"/>
        <v>999.97694454398356</v>
      </c>
      <c r="AS377" s="121"/>
      <c r="AT377" s="121"/>
      <c r="AU377" s="121"/>
      <c r="AV377" s="121"/>
      <c r="AW377" s="121"/>
      <c r="AX377" s="121"/>
    </row>
    <row r="378" spans="1:50" s="89" customFormat="1">
      <c r="A378" s="3"/>
      <c r="B378" s="37">
        <f>'13. Desinvesteringen'!B661</f>
        <v>642</v>
      </c>
      <c r="C378" s="331"/>
      <c r="D378" s="331"/>
      <c r="E378" s="331"/>
      <c r="F378" s="354">
        <f>'5. Input GAW-waarde desinv.'!D337</f>
        <v>26102.739490909091</v>
      </c>
      <c r="G378" s="175">
        <f>'13. Desinvesteringen'!D661</f>
        <v>2020</v>
      </c>
      <c r="H378" s="175">
        <f>'13. Desinvesteringen'!G661</f>
        <v>2024</v>
      </c>
      <c r="I378" s="37" t="str">
        <f>'13. Desinvesteringen'!C661</f>
        <v>21 Hoofdtransportleiding</v>
      </c>
      <c r="J378" s="165">
        <f>'13. Desinvesteringen'!F661</f>
        <v>0</v>
      </c>
      <c r="K378" s="38">
        <f>_xlfn.XLOOKUP(I378,'3. Input (des)investeringen '!$B$11:$B$89,'3. Input (des)investeringen '!$E$11:$E$89)</f>
        <v>1</v>
      </c>
      <c r="L378" s="331"/>
      <c r="M378" s="38">
        <f>_xlfn.XLOOKUP(I378,'3. Input (des)investeringen '!$B$11:$B$89,'3. Input (des)investeringen '!$D$11:$D$89,0)</f>
        <v>55</v>
      </c>
      <c r="N378" s="38">
        <f t="shared" si="140"/>
        <v>53.5</v>
      </c>
      <c r="P378" s="43">
        <f t="shared" si="160"/>
        <v>570.84495709090902</v>
      </c>
      <c r="Q378" s="43">
        <f t="shared" si="160"/>
        <v>556.9739581335599</v>
      </c>
      <c r="R378" s="43">
        <f t="shared" si="160"/>
        <v>543.44001148732389</v>
      </c>
      <c r="S378" s="43">
        <f t="shared" si="160"/>
        <v>530.23492709604307</v>
      </c>
      <c r="T378" s="43">
        <f t="shared" si="160"/>
        <v>517.35071391427005</v>
      </c>
      <c r="V378" s="43">
        <f t="shared" si="161"/>
        <v>48.790167272727274</v>
      </c>
      <c r="W378" s="43">
        <f t="shared" si="162"/>
        <v>48.790167272727274</v>
      </c>
      <c r="X378" s="43">
        <f t="shared" si="163"/>
        <v>48.790167272727274</v>
      </c>
      <c r="Y378" s="43">
        <f t="shared" si="164"/>
        <v>48.790167272727274</v>
      </c>
      <c r="Z378" s="43">
        <f t="shared" si="165"/>
        <v>48.790167272727274</v>
      </c>
      <c r="AB378" s="43">
        <f t="shared" si="142"/>
        <v>619.63512436363635</v>
      </c>
      <c r="AC378" s="43">
        <f t="shared" si="143"/>
        <v>605.76412540628712</v>
      </c>
      <c r="AD378" s="43">
        <f t="shared" si="144"/>
        <v>592.2301787600511</v>
      </c>
      <c r="AE378" s="43">
        <f t="shared" si="145"/>
        <v>579.0250943687704</v>
      </c>
      <c r="AF378" s="43">
        <f t="shared" si="146"/>
        <v>566.14088118699738</v>
      </c>
      <c r="AH378" s="43">
        <f t="shared" si="147"/>
        <v>25483.104366545456</v>
      </c>
      <c r="AI378" s="43">
        <f t="shared" si="148"/>
        <v>24877.340241139169</v>
      </c>
      <c r="AJ378" s="43">
        <f t="shared" si="149"/>
        <v>24285.110062379117</v>
      </c>
      <c r="AK378" s="43">
        <f t="shared" si="150"/>
        <v>23706.084968010346</v>
      </c>
      <c r="AL378" s="43">
        <f t="shared" si="151"/>
        <v>23139.944086823347</v>
      </c>
      <c r="AN378" s="47">
        <f t="shared" si="152"/>
        <v>1664.4424033920002</v>
      </c>
      <c r="AO378" s="47">
        <f t="shared" si="153"/>
        <v>1874.5084777043846</v>
      </c>
      <c r="AP378" s="47">
        <f t="shared" si="154"/>
        <v>1830.7707919413861</v>
      </c>
      <c r="AQ378" s="47">
        <f t="shared" si="155"/>
        <v>1882.8597676093393</v>
      </c>
      <c r="AR378" s="43">
        <f t="shared" si="156"/>
        <v>1445.4587564862845</v>
      </c>
      <c r="AS378" s="121"/>
      <c r="AT378" s="121"/>
      <c r="AU378" s="121"/>
      <c r="AV378" s="121"/>
      <c r="AW378" s="121"/>
      <c r="AX378" s="121"/>
    </row>
    <row r="379" spans="1:50" s="89" customFormat="1">
      <c r="A379" s="3"/>
      <c r="B379" s="37">
        <f>'13. Desinvesteringen'!B662</f>
        <v>643</v>
      </c>
      <c r="C379" s="331"/>
      <c r="D379" s="331"/>
      <c r="E379" s="331"/>
      <c r="F379" s="354">
        <f>'5. Input GAW-waarde desinv.'!D338</f>
        <v>87808</v>
      </c>
      <c r="G379" s="175">
        <f>'13. Desinvesteringen'!D662</f>
        <v>2022</v>
      </c>
      <c r="H379" s="175">
        <f>'13. Desinvesteringen'!G662</f>
        <v>2024</v>
      </c>
      <c r="I379" s="37" t="str">
        <f>'13. Desinvesteringen'!C662</f>
        <v>21 Hoofdtransportleiding</v>
      </c>
      <c r="J379" s="165">
        <f>'13. Desinvesteringen'!F662</f>
        <v>274866</v>
      </c>
      <c r="K379" s="38">
        <f>_xlfn.XLOOKUP(I379,'3. Input (des)investeringen '!$B$11:$B$89,'3. Input (des)investeringen '!$E$11:$E$89)</f>
        <v>1</v>
      </c>
      <c r="L379" s="331"/>
      <c r="M379" s="38">
        <f>_xlfn.XLOOKUP(I379,'3. Input (des)investeringen '!$B$11:$B$89,'3. Input (des)investeringen '!$D$11:$D$89,0)</f>
        <v>55</v>
      </c>
      <c r="N379" s="38">
        <f t="shared" si="140"/>
        <v>55</v>
      </c>
      <c r="P379" s="337">
        <v>933.95781818181808</v>
      </c>
      <c r="Q379" s="337">
        <v>1845.840269752066</v>
      </c>
      <c r="R379" s="337">
        <v>1802.2113179215626</v>
      </c>
      <c r="S379" s="337">
        <v>1759.6135958615982</v>
      </c>
      <c r="T379" s="337">
        <v>1718.0227290503242</v>
      </c>
      <c r="V379" s="337">
        <v>79.825454545454562</v>
      </c>
      <c r="W379" s="337">
        <v>159.65090909090912</v>
      </c>
      <c r="X379" s="337">
        <v>159.65090909090912</v>
      </c>
      <c r="Y379" s="337">
        <v>159.65090909090912</v>
      </c>
      <c r="Z379" s="337">
        <v>159.65090909090912</v>
      </c>
      <c r="AB379" s="43">
        <f t="shared" si="142"/>
        <v>1013.7832727272727</v>
      </c>
      <c r="AC379" s="43">
        <f t="shared" si="143"/>
        <v>2005.4911788429752</v>
      </c>
      <c r="AD379" s="43">
        <f t="shared" si="144"/>
        <v>1961.8622270124717</v>
      </c>
      <c r="AE379" s="43">
        <f t="shared" si="145"/>
        <v>1919.2645049525074</v>
      </c>
      <c r="AF379" s="43">
        <f t="shared" si="146"/>
        <v>1877.6736381412334</v>
      </c>
      <c r="AH379" s="43">
        <f t="shared" si="147"/>
        <v>86794.216727272724</v>
      </c>
      <c r="AI379" s="43">
        <f t="shared" si="148"/>
        <v>84788.725548429749</v>
      </c>
      <c r="AJ379" s="43">
        <f t="shared" si="149"/>
        <v>82826.863321417273</v>
      </c>
      <c r="AK379" s="43">
        <f t="shared" si="150"/>
        <v>80907.598816464772</v>
      </c>
      <c r="AL379" s="43">
        <f t="shared" si="151"/>
        <v>79029.925178323538</v>
      </c>
      <c r="AN379" s="47">
        <f t="shared" si="152"/>
        <v>4572.3461585454543</v>
      </c>
      <c r="AO379" s="47">
        <f t="shared" si="153"/>
        <v>6329.7161818128925</v>
      </c>
      <c r="AP379" s="47">
        <f t="shared" si="154"/>
        <v>6186.0322564047519</v>
      </c>
      <c r="AQ379" s="47">
        <f t="shared" si="155"/>
        <v>6369.1824398580693</v>
      </c>
      <c r="AR379" s="43">
        <f t="shared" si="156"/>
        <v>4880.8107949175283</v>
      </c>
      <c r="AS379" s="121"/>
      <c r="AT379" s="121"/>
      <c r="AU379" s="121"/>
      <c r="AV379" s="121"/>
      <c r="AW379" s="121"/>
      <c r="AX379" s="121"/>
    </row>
    <row r="380" spans="1:50" s="89" customFormat="1">
      <c r="A380" s="3"/>
      <c r="B380" s="37">
        <f>'13. Desinvesteringen'!B663</f>
        <v>644</v>
      </c>
      <c r="C380" s="331"/>
      <c r="D380" s="331"/>
      <c r="E380" s="331"/>
      <c r="F380" s="354">
        <f>'5. Input GAW-waarde desinv.'!D339</f>
        <v>0</v>
      </c>
      <c r="G380" s="175">
        <f>'13. Desinvesteringen'!D663</f>
        <v>1964</v>
      </c>
      <c r="H380" s="175">
        <f>'13. Desinvesteringen'!G663</f>
        <v>2024</v>
      </c>
      <c r="I380" s="37" t="str">
        <f>'13. Desinvesteringen'!C663</f>
        <v>32 M&amp;R stations</v>
      </c>
      <c r="J380" s="165">
        <f>'13. Desinvesteringen'!F663</f>
        <v>0</v>
      </c>
      <c r="K380" s="38">
        <f>_xlfn.XLOOKUP(I380,'3. Input (des)investeringen '!$B$11:$B$89,'3. Input (des)investeringen '!$E$11:$E$89)</f>
        <v>1</v>
      </c>
      <c r="L380" s="331"/>
      <c r="M380" s="38">
        <f>_xlfn.XLOOKUP(I380,'3. Input (des)investeringen '!$B$11:$B$89,'3. Input (des)investeringen '!$D$11:$D$89,0)</f>
        <v>30</v>
      </c>
      <c r="N380" s="38">
        <f t="shared" si="140"/>
        <v>0</v>
      </c>
      <c r="P380" s="43">
        <f t="shared" ref="P380:T388" si="166">IF($M380&gt;0, IF(OR($G380&gt;P$50,$G380+$M380&lt;P$50),0,
VDB($F380,0,$N380,MAX(0,P$50-2022),MIN($N380,P$50-2021),$F$23,FALSE))*(1-$F$26), 0)</f>
        <v>0</v>
      </c>
      <c r="Q380" s="43">
        <f t="shared" si="166"/>
        <v>0</v>
      </c>
      <c r="R380" s="43">
        <f t="shared" si="166"/>
        <v>0</v>
      </c>
      <c r="S380" s="43">
        <f t="shared" si="166"/>
        <v>0</v>
      </c>
      <c r="T380" s="43">
        <f t="shared" si="166"/>
        <v>0</v>
      </c>
      <c r="V380" s="43">
        <f t="shared" ref="V380:V410" si="167">IF($M380&gt;0, IF(OR($G380&gt;V$50,$G380+$M380&lt;V$50),0,
VDB($F380,0,$N380,MAX(0,P$50-2022),MIN($N380,P$50-2021),1,FALSE))*$F$26, 0)</f>
        <v>0</v>
      </c>
      <c r="W380" s="43">
        <f t="shared" ref="W380:W410" si="168">IF($M380&gt;0, IF(OR($G380&gt;W$50,$G380+$M380&lt;W$50),0,
VDB($F380,0,$N380,MAX(0,Q$50-2022),MIN($N380,Q$50-2021),1,FALSE))*$F$26, 0)</f>
        <v>0</v>
      </c>
      <c r="X380" s="43">
        <f t="shared" ref="X380:X410" si="169">IF($M380&gt;0, IF(OR($G380&gt;X$50,$G380+$M380&lt;X$50),0,
VDB($F380,0,$N380,MAX(0,R$50-2022),MIN($N380,R$50-2021),1,FALSE))*$F$26, 0)</f>
        <v>0</v>
      </c>
      <c r="Y380" s="43">
        <f t="shared" ref="Y380:Y410" si="170">IF($M380&gt;0, IF(OR($G380&gt;Y$50,$G380+$M380&lt;Y$50),0,
VDB($F380,0,$N380,MAX(0,S$50-2022),MIN($N380,S$50-2021),1,FALSE))*$F$26, 0)</f>
        <v>0</v>
      </c>
      <c r="Z380" s="43">
        <f t="shared" ref="Z380:Z410" si="171">IF($M380&gt;0, IF(OR($G380&gt;Z$50,$G380+$M380&lt;Z$50),0,
VDB($F380,0,$N380,MAX(0,T$50-2022),MIN($N380,T$50-2021),1,FALSE))*$F$26, 0)</f>
        <v>0</v>
      </c>
      <c r="AB380" s="43">
        <f t="shared" si="142"/>
        <v>0</v>
      </c>
      <c r="AC380" s="43">
        <f t="shared" si="143"/>
        <v>0</v>
      </c>
      <c r="AD380" s="43">
        <f t="shared" si="144"/>
        <v>0</v>
      </c>
      <c r="AE380" s="43">
        <f t="shared" si="145"/>
        <v>0</v>
      </c>
      <c r="AF380" s="43">
        <f t="shared" si="146"/>
        <v>0</v>
      </c>
      <c r="AH380" s="43">
        <f t="shared" si="147"/>
        <v>0</v>
      </c>
      <c r="AI380" s="43">
        <f t="shared" si="148"/>
        <v>0</v>
      </c>
      <c r="AJ380" s="43">
        <f t="shared" si="149"/>
        <v>0</v>
      </c>
      <c r="AK380" s="43">
        <f t="shared" si="150"/>
        <v>0</v>
      </c>
      <c r="AL380" s="43">
        <f t="shared" si="151"/>
        <v>0</v>
      </c>
      <c r="AN380" s="47">
        <f t="shared" si="152"/>
        <v>0</v>
      </c>
      <c r="AO380" s="47">
        <f t="shared" si="153"/>
        <v>0</v>
      </c>
      <c r="AP380" s="47">
        <f t="shared" si="154"/>
        <v>0</v>
      </c>
      <c r="AQ380" s="47">
        <f t="shared" si="155"/>
        <v>0</v>
      </c>
      <c r="AR380" s="43">
        <f t="shared" si="156"/>
        <v>0</v>
      </c>
      <c r="AS380" s="121"/>
      <c r="AT380" s="121"/>
      <c r="AU380" s="121"/>
      <c r="AV380" s="121"/>
      <c r="AW380" s="121"/>
      <c r="AX380" s="121"/>
    </row>
    <row r="381" spans="1:50" s="89" customFormat="1">
      <c r="A381" s="3"/>
      <c r="B381" s="37">
        <f>'13. Desinvesteringen'!B664</f>
        <v>645</v>
      </c>
      <c r="C381" s="331"/>
      <c r="D381" s="331"/>
      <c r="E381" s="331"/>
      <c r="F381" s="354">
        <f>'5. Input GAW-waarde desinv.'!D340</f>
        <v>0</v>
      </c>
      <c r="G381" s="175">
        <f>'13. Desinvesteringen'!D664</f>
        <v>1973</v>
      </c>
      <c r="H381" s="175">
        <f>'13. Desinvesteringen'!G664</f>
        <v>2024</v>
      </c>
      <c r="I381" s="37" t="str">
        <f>'13. Desinvesteringen'!C664</f>
        <v>34 Reduceerstations</v>
      </c>
      <c r="J381" s="165">
        <f>'13. Desinvesteringen'!F664</f>
        <v>0</v>
      </c>
      <c r="K381" s="38">
        <f>_xlfn.XLOOKUP(I381,'3. Input (des)investeringen '!$B$11:$B$89,'3. Input (des)investeringen '!$E$11:$E$89)</f>
        <v>1</v>
      </c>
      <c r="L381" s="331"/>
      <c r="M381" s="38">
        <f>_xlfn.XLOOKUP(I381,'3. Input (des)investeringen '!$B$11:$B$89,'3. Input (des)investeringen '!$D$11:$D$89,0)</f>
        <v>30</v>
      </c>
      <c r="N381" s="38">
        <f t="shared" si="140"/>
        <v>0</v>
      </c>
      <c r="P381" s="43">
        <f t="shared" si="166"/>
        <v>0</v>
      </c>
      <c r="Q381" s="43">
        <f t="shared" si="166"/>
        <v>0</v>
      </c>
      <c r="R381" s="43">
        <f t="shared" si="166"/>
        <v>0</v>
      </c>
      <c r="S381" s="43">
        <f t="shared" si="166"/>
        <v>0</v>
      </c>
      <c r="T381" s="43">
        <f t="shared" si="166"/>
        <v>0</v>
      </c>
      <c r="V381" s="43">
        <f t="shared" si="167"/>
        <v>0</v>
      </c>
      <c r="W381" s="43">
        <f t="shared" si="168"/>
        <v>0</v>
      </c>
      <c r="X381" s="43">
        <f t="shared" si="169"/>
        <v>0</v>
      </c>
      <c r="Y381" s="43">
        <f t="shared" si="170"/>
        <v>0</v>
      </c>
      <c r="Z381" s="43">
        <f t="shared" si="171"/>
        <v>0</v>
      </c>
      <c r="AB381" s="43">
        <f t="shared" si="142"/>
        <v>0</v>
      </c>
      <c r="AC381" s="43">
        <f t="shared" si="143"/>
        <v>0</v>
      </c>
      <c r="AD381" s="43">
        <f t="shared" si="144"/>
        <v>0</v>
      </c>
      <c r="AE381" s="43">
        <f t="shared" si="145"/>
        <v>0</v>
      </c>
      <c r="AF381" s="43">
        <f t="shared" si="146"/>
        <v>0</v>
      </c>
      <c r="AH381" s="43">
        <f t="shared" si="147"/>
        <v>0</v>
      </c>
      <c r="AI381" s="43">
        <f t="shared" si="148"/>
        <v>0</v>
      </c>
      <c r="AJ381" s="43">
        <f t="shared" si="149"/>
        <v>0</v>
      </c>
      <c r="AK381" s="43">
        <f t="shared" si="150"/>
        <v>0</v>
      </c>
      <c r="AL381" s="43">
        <f t="shared" si="151"/>
        <v>0</v>
      </c>
      <c r="AN381" s="47">
        <f t="shared" si="152"/>
        <v>0</v>
      </c>
      <c r="AO381" s="47">
        <f t="shared" si="153"/>
        <v>0</v>
      </c>
      <c r="AP381" s="47">
        <f t="shared" si="154"/>
        <v>0</v>
      </c>
      <c r="AQ381" s="47">
        <f t="shared" si="155"/>
        <v>0</v>
      </c>
      <c r="AR381" s="43">
        <f t="shared" si="156"/>
        <v>0</v>
      </c>
      <c r="AS381" s="121"/>
      <c r="AT381" s="121"/>
      <c r="AU381" s="121"/>
      <c r="AV381" s="121"/>
      <c r="AW381" s="121"/>
      <c r="AX381" s="121"/>
    </row>
    <row r="382" spans="1:50" s="89" customFormat="1">
      <c r="A382" s="3"/>
      <c r="B382" s="37">
        <f>'13. Desinvesteringen'!B665</f>
        <v>646</v>
      </c>
      <c r="C382" s="331"/>
      <c r="D382" s="331"/>
      <c r="E382" s="331"/>
      <c r="F382" s="354">
        <f>'5. Input GAW-waarde desinv.'!D341</f>
        <v>0</v>
      </c>
      <c r="G382" s="175">
        <f>'13. Desinvesteringen'!D665</f>
        <v>1986</v>
      </c>
      <c r="H382" s="175">
        <f>'13. Desinvesteringen'!G665</f>
        <v>2024</v>
      </c>
      <c r="I382" s="37" t="str">
        <f>'13. Desinvesteringen'!C665</f>
        <v>34 Reduceerstations</v>
      </c>
      <c r="J382" s="165">
        <f>'13. Desinvesteringen'!F665</f>
        <v>0</v>
      </c>
      <c r="K382" s="38">
        <f>_xlfn.XLOOKUP(I382,'3. Input (des)investeringen '!$B$11:$B$89,'3. Input (des)investeringen '!$E$11:$E$89)</f>
        <v>1</v>
      </c>
      <c r="L382" s="331"/>
      <c r="M382" s="38">
        <f>_xlfn.XLOOKUP(I382,'3. Input (des)investeringen '!$B$11:$B$89,'3. Input (des)investeringen '!$D$11:$D$89,0)</f>
        <v>30</v>
      </c>
      <c r="N382" s="38">
        <f t="shared" si="140"/>
        <v>0</v>
      </c>
      <c r="P382" s="43">
        <f t="shared" si="166"/>
        <v>0</v>
      </c>
      <c r="Q382" s="43">
        <f t="shared" si="166"/>
        <v>0</v>
      </c>
      <c r="R382" s="43">
        <f t="shared" si="166"/>
        <v>0</v>
      </c>
      <c r="S382" s="43">
        <f t="shared" si="166"/>
        <v>0</v>
      </c>
      <c r="T382" s="43">
        <f t="shared" si="166"/>
        <v>0</v>
      </c>
      <c r="V382" s="43">
        <f t="shared" si="167"/>
        <v>0</v>
      </c>
      <c r="W382" s="43">
        <f t="shared" si="168"/>
        <v>0</v>
      </c>
      <c r="X382" s="43">
        <f t="shared" si="169"/>
        <v>0</v>
      </c>
      <c r="Y382" s="43">
        <f t="shared" si="170"/>
        <v>0</v>
      </c>
      <c r="Z382" s="43">
        <f t="shared" si="171"/>
        <v>0</v>
      </c>
      <c r="AB382" s="43">
        <f t="shared" si="142"/>
        <v>0</v>
      </c>
      <c r="AC382" s="43">
        <f t="shared" si="143"/>
        <v>0</v>
      </c>
      <c r="AD382" s="43">
        <f t="shared" si="144"/>
        <v>0</v>
      </c>
      <c r="AE382" s="43">
        <f t="shared" si="145"/>
        <v>0</v>
      </c>
      <c r="AF382" s="43">
        <f t="shared" si="146"/>
        <v>0</v>
      </c>
      <c r="AH382" s="43">
        <f t="shared" si="147"/>
        <v>0</v>
      </c>
      <c r="AI382" s="43">
        <f t="shared" si="148"/>
        <v>0</v>
      </c>
      <c r="AJ382" s="43">
        <f t="shared" si="149"/>
        <v>0</v>
      </c>
      <c r="AK382" s="43">
        <f t="shared" si="150"/>
        <v>0</v>
      </c>
      <c r="AL382" s="43">
        <f t="shared" si="151"/>
        <v>0</v>
      </c>
      <c r="AN382" s="47">
        <f t="shared" si="152"/>
        <v>0</v>
      </c>
      <c r="AO382" s="47">
        <f t="shared" si="153"/>
        <v>0</v>
      </c>
      <c r="AP382" s="47">
        <f t="shared" si="154"/>
        <v>0</v>
      </c>
      <c r="AQ382" s="47">
        <f t="shared" si="155"/>
        <v>0</v>
      </c>
      <c r="AR382" s="43">
        <f t="shared" si="156"/>
        <v>0</v>
      </c>
      <c r="AS382" s="121"/>
      <c r="AT382" s="121"/>
      <c r="AU382" s="121"/>
      <c r="AV382" s="121"/>
      <c r="AW382" s="121"/>
      <c r="AX382" s="121"/>
    </row>
    <row r="383" spans="1:50" s="89" customFormat="1">
      <c r="A383" s="3"/>
      <c r="B383" s="37">
        <f>'13. Desinvesteringen'!B666</f>
        <v>647</v>
      </c>
      <c r="C383" s="331"/>
      <c r="D383" s="331"/>
      <c r="E383" s="331"/>
      <c r="F383" s="354">
        <f>'5. Input GAW-waarde desinv.'!D342</f>
        <v>26595.363825908324</v>
      </c>
      <c r="G383" s="175">
        <f>'13. Desinvesteringen'!D666</f>
        <v>2011</v>
      </c>
      <c r="H383" s="175">
        <f>'13. Desinvesteringen'!G666</f>
        <v>2024</v>
      </c>
      <c r="I383" s="37" t="str">
        <f>'13. Desinvesteringen'!C666</f>
        <v>34 Reduceerstations</v>
      </c>
      <c r="J383" s="165">
        <f>'13. Desinvesteringen'!F666</f>
        <v>0</v>
      </c>
      <c r="K383" s="38">
        <f>_xlfn.XLOOKUP(I383,'3. Input (des)investeringen '!$B$11:$B$89,'3. Input (des)investeringen '!$E$11:$E$89)</f>
        <v>1</v>
      </c>
      <c r="L383" s="331"/>
      <c r="M383" s="38">
        <f>_xlfn.XLOOKUP(I383,'3. Input (des)investeringen '!$B$11:$B$89,'3. Input (des)investeringen '!$D$11:$D$89,0)</f>
        <v>30</v>
      </c>
      <c r="N383" s="38">
        <f t="shared" si="140"/>
        <v>19.5</v>
      </c>
      <c r="P383" s="43">
        <f t="shared" si="166"/>
        <v>1595.7218295544994</v>
      </c>
      <c r="Q383" s="43">
        <f t="shared" si="166"/>
        <v>1489.3403742508663</v>
      </c>
      <c r="R383" s="43">
        <f t="shared" si="166"/>
        <v>1390.051015967475</v>
      </c>
      <c r="S383" s="43">
        <f t="shared" si="166"/>
        <v>1297.3809482363101</v>
      </c>
      <c r="T383" s="43">
        <f t="shared" si="166"/>
        <v>1210.888885020556</v>
      </c>
      <c r="V383" s="43">
        <f t="shared" si="167"/>
        <v>136.38648115850421</v>
      </c>
      <c r="W383" s="43">
        <f t="shared" si="168"/>
        <v>136.38648115850424</v>
      </c>
      <c r="X383" s="43">
        <f t="shared" si="169"/>
        <v>136.38648115850424</v>
      </c>
      <c r="Y383" s="43">
        <f t="shared" si="170"/>
        <v>136.38648115850424</v>
      </c>
      <c r="Z383" s="43">
        <f t="shared" si="171"/>
        <v>136.38648115850424</v>
      </c>
      <c r="AB383" s="43">
        <f t="shared" si="142"/>
        <v>1732.1083107130037</v>
      </c>
      <c r="AC383" s="43">
        <f t="shared" si="143"/>
        <v>1625.7268554093705</v>
      </c>
      <c r="AD383" s="43">
        <f t="shared" si="144"/>
        <v>1526.4374971259792</v>
      </c>
      <c r="AE383" s="43">
        <f t="shared" si="145"/>
        <v>1433.7674293948144</v>
      </c>
      <c r="AF383" s="43">
        <f t="shared" si="146"/>
        <v>1347.2753661790603</v>
      </c>
      <c r="AH383" s="43">
        <f t="shared" si="147"/>
        <v>24863.25551519532</v>
      </c>
      <c r="AI383" s="43">
        <f t="shared" si="148"/>
        <v>23237.528659785949</v>
      </c>
      <c r="AJ383" s="43">
        <f t="shared" si="149"/>
        <v>21711.09116265997</v>
      </c>
      <c r="AK383" s="43">
        <f t="shared" si="150"/>
        <v>20277.323733265155</v>
      </c>
      <c r="AL383" s="43">
        <f t="shared" si="151"/>
        <v>18930.048367086096</v>
      </c>
      <c r="AN383" s="47">
        <f t="shared" si="152"/>
        <v>2751.5017868360119</v>
      </c>
      <c r="AO383" s="47">
        <f t="shared" si="153"/>
        <v>2810.8408170584535</v>
      </c>
      <c r="AP383" s="47">
        <f t="shared" si="154"/>
        <v>2633.7031464216379</v>
      </c>
      <c r="AQ383" s="47">
        <f t="shared" si="155"/>
        <v>2549.0202347243976</v>
      </c>
      <c r="AR383" s="43">
        <f t="shared" si="156"/>
        <v>2066.6172041283317</v>
      </c>
      <c r="AS383" s="121"/>
      <c r="AT383" s="121"/>
      <c r="AU383" s="121"/>
      <c r="AV383" s="121"/>
      <c r="AW383" s="121"/>
      <c r="AX383" s="121"/>
    </row>
    <row r="384" spans="1:50" s="89" customFormat="1">
      <c r="A384" s="3"/>
      <c r="B384" s="37">
        <f>'13. Desinvesteringen'!B667</f>
        <v>648</v>
      </c>
      <c r="C384" s="331"/>
      <c r="D384" s="331"/>
      <c r="E384" s="331"/>
      <c r="F384" s="354">
        <f>'5. Input GAW-waarde desinv.'!D343</f>
        <v>4399.4836460310435</v>
      </c>
      <c r="G384" s="175">
        <f>'13. Desinvesteringen'!D667</f>
        <v>1998</v>
      </c>
      <c r="H384" s="175">
        <f>'13. Desinvesteringen'!G667</f>
        <v>2024</v>
      </c>
      <c r="I384" s="37" t="str">
        <f>'13. Desinvesteringen'!C667</f>
        <v>35 Injectiestations</v>
      </c>
      <c r="J384" s="165">
        <f>'13. Desinvesteringen'!F667</f>
        <v>0</v>
      </c>
      <c r="K384" s="38">
        <f>_xlfn.XLOOKUP(I384,'3. Input (des)investeringen '!$B$11:$B$89,'3. Input (des)investeringen '!$E$11:$E$89)</f>
        <v>1</v>
      </c>
      <c r="L384" s="331"/>
      <c r="M384" s="38">
        <f>_xlfn.XLOOKUP(I384,'3. Input (des)investeringen '!$B$11:$B$89,'3. Input (des)investeringen '!$D$11:$D$89,0)</f>
        <v>30</v>
      </c>
      <c r="N384" s="38">
        <f t="shared" si="140"/>
        <v>6.5</v>
      </c>
      <c r="P384" s="43">
        <f t="shared" si="166"/>
        <v>791.90705628558794</v>
      </c>
      <c r="Q384" s="43">
        <f t="shared" si="166"/>
        <v>633.52564502847031</v>
      </c>
      <c r="R384" s="43">
        <f t="shared" si="166"/>
        <v>563.13390669197349</v>
      </c>
      <c r="S384" s="43">
        <f t="shared" si="166"/>
        <v>563.13390669197349</v>
      </c>
      <c r="T384" s="43">
        <f t="shared" si="166"/>
        <v>563.13390669197349</v>
      </c>
      <c r="V384" s="43">
        <f t="shared" si="167"/>
        <v>67.684363785092984</v>
      </c>
      <c r="W384" s="43">
        <f t="shared" si="168"/>
        <v>67.684363785092984</v>
      </c>
      <c r="X384" s="43">
        <f t="shared" si="169"/>
        <v>67.684363785092984</v>
      </c>
      <c r="Y384" s="43">
        <f t="shared" si="170"/>
        <v>67.684363785092984</v>
      </c>
      <c r="Z384" s="43">
        <f t="shared" si="171"/>
        <v>67.684363785092984</v>
      </c>
      <c r="AB384" s="43">
        <f t="shared" si="142"/>
        <v>859.5914200706809</v>
      </c>
      <c r="AC384" s="43">
        <f t="shared" si="143"/>
        <v>701.21000881356326</v>
      </c>
      <c r="AD384" s="43">
        <f t="shared" si="144"/>
        <v>630.81827047706645</v>
      </c>
      <c r="AE384" s="43">
        <f t="shared" si="145"/>
        <v>630.81827047706645</v>
      </c>
      <c r="AF384" s="43">
        <f t="shared" si="146"/>
        <v>630.81827047706645</v>
      </c>
      <c r="AH384" s="43">
        <f t="shared" si="147"/>
        <v>3539.8922259603623</v>
      </c>
      <c r="AI384" s="43">
        <f t="shared" si="148"/>
        <v>2838.6822171467993</v>
      </c>
      <c r="AJ384" s="43">
        <f t="shared" si="149"/>
        <v>2207.8639466697327</v>
      </c>
      <c r="AK384" s="43">
        <f t="shared" si="150"/>
        <v>1577.0456761926662</v>
      </c>
      <c r="AL384" s="43">
        <f t="shared" si="151"/>
        <v>946.22740571559973</v>
      </c>
      <c r="AN384" s="47">
        <f t="shared" si="152"/>
        <v>1004.7270013350558</v>
      </c>
      <c r="AO384" s="47">
        <f t="shared" si="153"/>
        <v>845.98280188805006</v>
      </c>
      <c r="AP384" s="47">
        <f t="shared" si="154"/>
        <v>743.41933175722284</v>
      </c>
      <c r="AQ384" s="47">
        <f t="shared" si="155"/>
        <v>717.55578266766315</v>
      </c>
      <c r="AR384" s="43">
        <f t="shared" si="156"/>
        <v>666.77491189425928</v>
      </c>
      <c r="AS384" s="121"/>
      <c r="AT384" s="121"/>
      <c r="AU384" s="121"/>
      <c r="AV384" s="121"/>
      <c r="AW384" s="121"/>
      <c r="AX384" s="121"/>
    </row>
    <row r="385" spans="1:50" s="89" customFormat="1">
      <c r="A385" s="3"/>
      <c r="B385" s="37">
        <f>'13. Desinvesteringen'!B668</f>
        <v>649</v>
      </c>
      <c r="C385" s="331"/>
      <c r="D385" s="331"/>
      <c r="E385" s="331"/>
      <c r="F385" s="354">
        <f>'5. Input GAW-waarde desinv.'!D344</f>
        <v>0</v>
      </c>
      <c r="G385" s="175">
        <f>'13. Desinvesteringen'!D668</f>
        <v>1955</v>
      </c>
      <c r="H385" s="175">
        <f>'13. Desinvesteringen'!G668</f>
        <v>2025</v>
      </c>
      <c r="I385" s="37" t="str">
        <f>'13. Desinvesteringen'!C668</f>
        <v>01 Regionale leidingen</v>
      </c>
      <c r="J385" s="165">
        <f>'13. Desinvesteringen'!F668</f>
        <v>0</v>
      </c>
      <c r="K385" s="38">
        <f>_xlfn.XLOOKUP(I385,'3. Input (des)investeringen '!$B$11:$B$89,'3. Input (des)investeringen '!$E$11:$E$89)</f>
        <v>1</v>
      </c>
      <c r="L385" s="331"/>
      <c r="M385" s="38">
        <f>_xlfn.XLOOKUP(I385,'3. Input (des)investeringen '!$B$11:$B$89,'3. Input (des)investeringen '!$D$11:$D$89,0)</f>
        <v>55</v>
      </c>
      <c r="N385" s="38">
        <f t="shared" ref="N385:N447" si="172">IF($M385&gt;0, MAX(0,IF(G385&lt;2022,M385-2021+G385-0.5,M385)), 0)</f>
        <v>0</v>
      </c>
      <c r="P385" s="43">
        <f t="shared" si="166"/>
        <v>0</v>
      </c>
      <c r="Q385" s="43">
        <f t="shared" si="166"/>
        <v>0</v>
      </c>
      <c r="R385" s="43">
        <f t="shared" si="166"/>
        <v>0</v>
      </c>
      <c r="S385" s="43">
        <f t="shared" si="166"/>
        <v>0</v>
      </c>
      <c r="T385" s="43">
        <f t="shared" si="166"/>
        <v>0</v>
      </c>
      <c r="V385" s="43">
        <f t="shared" si="167"/>
        <v>0</v>
      </c>
      <c r="W385" s="43">
        <f t="shared" si="168"/>
        <v>0</v>
      </c>
      <c r="X385" s="43">
        <f t="shared" si="169"/>
        <v>0</v>
      </c>
      <c r="Y385" s="43">
        <f t="shared" si="170"/>
        <v>0</v>
      </c>
      <c r="Z385" s="43">
        <f t="shared" si="171"/>
        <v>0</v>
      </c>
      <c r="AB385" s="43">
        <f t="shared" ref="AB385:AB447" si="173">P385+V385</f>
        <v>0</v>
      </c>
      <c r="AC385" s="43">
        <f t="shared" ref="AC385:AC447" si="174">Q385+W385</f>
        <v>0</v>
      </c>
      <c r="AD385" s="43">
        <f t="shared" ref="AD385:AD447" si="175">R385+X385</f>
        <v>0</v>
      </c>
      <c r="AE385" s="43">
        <f t="shared" ref="AE385:AE447" si="176">S385+Y385</f>
        <v>0</v>
      </c>
      <c r="AF385" s="43">
        <f t="shared" ref="AF385:AF447" si="177">T385+Z385</f>
        <v>0</v>
      </c>
      <c r="AH385" s="43">
        <f t="shared" ref="AH385:AH447" si="178">IF($M385&gt;0, IF($M385&gt;0,IF(OR($G385&gt;AH$50,$G385+$M385&lt;=AH$50),0,IF(AH$50=2022,$F385-AB385,AG385-AB385))), $F385)</f>
        <v>0</v>
      </c>
      <c r="AI385" s="43">
        <f t="shared" ref="AI385:AI447" si="179">IF($M385&gt;0, IF(OR($G385&gt;AI$50,$G385+$M385&lt;=AI$50),0,IF(AI$50=2022,$F385-AC385,AH385-AC385)), AH385)</f>
        <v>0</v>
      </c>
      <c r="AJ385" s="43">
        <f t="shared" ref="AJ385:AJ447" si="180">IF($M385&gt;0, IF(OR($G385&gt;AJ$50,$G385+$M385&lt;=AJ$50),0,IF(AJ$50=2022,$F385-AD385,AI385-AD385)), AI385)</f>
        <v>0</v>
      </c>
      <c r="AK385" s="43">
        <f t="shared" ref="AK385:AK447" si="181">IF($M385&gt;0, IF(OR($G385&gt;AK$50,$G385+$M385&lt;=AK$50),0,IF(AK$50=2022,$F385-AE385,AJ385-AE385)), AJ385)</f>
        <v>0</v>
      </c>
      <c r="AL385" s="43">
        <f t="shared" ref="AL385:AL447" si="182">IF($M385&gt;0, IF(OR($G385&gt;AL$50,$G385+$M385&lt;=AL$50),0,IF(AL$50=2022,$F385-AF385,AK385-AF385)), AK385)</f>
        <v>0</v>
      </c>
      <c r="AN385" s="47">
        <f t="shared" ref="AN385:AN447" si="183">(AB385+AH385*H$17)*IF($K385=1,$F$32,1)</f>
        <v>0</v>
      </c>
      <c r="AO385" s="47">
        <f t="shared" ref="AO385:AO447" si="184">(AC385+AI385*I$17)*IF($K385=1,$F$32,1)</f>
        <v>0</v>
      </c>
      <c r="AP385" s="47">
        <f t="shared" ref="AP385:AP447" si="185">(AD385+AJ385*J$17)*IF($K385=1,$F$32,1)</f>
        <v>0</v>
      </c>
      <c r="AQ385" s="47">
        <f t="shared" ref="AQ385:AQ447" si="186">(AE385+AK385*K$17)*IF($K385=1,$F$32,1)</f>
        <v>0</v>
      </c>
      <c r="AR385" s="43">
        <f t="shared" ref="AR385:AR447" si="187">(AF385+AL385*L$17)*IF($K385=1,$F$32,1)</f>
        <v>0</v>
      </c>
      <c r="AS385" s="349"/>
      <c r="AT385" s="121"/>
      <c r="AU385" s="121"/>
      <c r="AV385" s="121"/>
      <c r="AW385" s="121"/>
      <c r="AX385" s="121"/>
    </row>
    <row r="386" spans="1:50" s="89" customFormat="1">
      <c r="A386" s="3"/>
      <c r="B386" s="37">
        <f>'13. Desinvesteringen'!B669</f>
        <v>650</v>
      </c>
      <c r="C386" s="331"/>
      <c r="D386" s="331"/>
      <c r="E386" s="331"/>
      <c r="F386" s="354">
        <f>'5. Input GAW-waarde desinv.'!D345</f>
        <v>0</v>
      </c>
      <c r="G386" s="175">
        <f>'13. Desinvesteringen'!D669</f>
        <v>1958</v>
      </c>
      <c r="H386" s="175">
        <f>'13. Desinvesteringen'!G669</f>
        <v>2025</v>
      </c>
      <c r="I386" s="37" t="str">
        <f>'13. Desinvesteringen'!C669</f>
        <v>01 Regionale leidingen</v>
      </c>
      <c r="J386" s="165">
        <f>'13. Desinvesteringen'!F669</f>
        <v>0</v>
      </c>
      <c r="K386" s="38">
        <f>_xlfn.XLOOKUP(I386,'3. Input (des)investeringen '!$B$11:$B$89,'3. Input (des)investeringen '!$E$11:$E$89)</f>
        <v>1</v>
      </c>
      <c r="L386" s="331"/>
      <c r="M386" s="38">
        <f>_xlfn.XLOOKUP(I386,'3. Input (des)investeringen '!$B$11:$B$89,'3. Input (des)investeringen '!$D$11:$D$89,0)</f>
        <v>55</v>
      </c>
      <c r="N386" s="38">
        <f t="shared" si="172"/>
        <v>0</v>
      </c>
      <c r="P386" s="43">
        <f t="shared" si="166"/>
        <v>0</v>
      </c>
      <c r="Q386" s="43">
        <f t="shared" si="166"/>
        <v>0</v>
      </c>
      <c r="R386" s="43">
        <f t="shared" si="166"/>
        <v>0</v>
      </c>
      <c r="S386" s="43">
        <f t="shared" si="166"/>
        <v>0</v>
      </c>
      <c r="T386" s="43">
        <f t="shared" si="166"/>
        <v>0</v>
      </c>
      <c r="V386" s="43">
        <f t="shared" si="167"/>
        <v>0</v>
      </c>
      <c r="W386" s="43">
        <f t="shared" si="168"/>
        <v>0</v>
      </c>
      <c r="X386" s="43">
        <f t="shared" si="169"/>
        <v>0</v>
      </c>
      <c r="Y386" s="43">
        <f t="shared" si="170"/>
        <v>0</v>
      </c>
      <c r="Z386" s="43">
        <f t="shared" si="171"/>
        <v>0</v>
      </c>
      <c r="AB386" s="43">
        <f t="shared" si="173"/>
        <v>0</v>
      </c>
      <c r="AC386" s="43">
        <f t="shared" si="174"/>
        <v>0</v>
      </c>
      <c r="AD386" s="43">
        <f t="shared" si="175"/>
        <v>0</v>
      </c>
      <c r="AE386" s="43">
        <f t="shared" si="176"/>
        <v>0</v>
      </c>
      <c r="AF386" s="43">
        <f t="shared" si="177"/>
        <v>0</v>
      </c>
      <c r="AH386" s="43">
        <f t="shared" si="178"/>
        <v>0</v>
      </c>
      <c r="AI386" s="43">
        <f t="shared" si="179"/>
        <v>0</v>
      </c>
      <c r="AJ386" s="43">
        <f t="shared" si="180"/>
        <v>0</v>
      </c>
      <c r="AK386" s="43">
        <f t="shared" si="181"/>
        <v>0</v>
      </c>
      <c r="AL386" s="43">
        <f t="shared" si="182"/>
        <v>0</v>
      </c>
      <c r="AN386" s="47">
        <f t="shared" si="183"/>
        <v>0</v>
      </c>
      <c r="AO386" s="47">
        <f t="shared" si="184"/>
        <v>0</v>
      </c>
      <c r="AP386" s="47">
        <f t="shared" si="185"/>
        <v>0</v>
      </c>
      <c r="AQ386" s="47">
        <f t="shared" si="186"/>
        <v>0</v>
      </c>
      <c r="AR386" s="43">
        <f t="shared" si="187"/>
        <v>0</v>
      </c>
      <c r="AS386" s="349"/>
      <c r="AT386" s="121"/>
      <c r="AU386" s="121"/>
      <c r="AV386" s="121"/>
      <c r="AW386" s="121"/>
      <c r="AX386" s="121"/>
    </row>
    <row r="387" spans="1:50" s="89" customFormat="1">
      <c r="A387" s="3"/>
      <c r="B387" s="37">
        <f>'13. Desinvesteringen'!B670</f>
        <v>651</v>
      </c>
      <c r="C387" s="331"/>
      <c r="D387" s="331"/>
      <c r="E387" s="331"/>
      <c r="F387" s="354">
        <f>'5. Input GAW-waarde desinv.'!D346</f>
        <v>0</v>
      </c>
      <c r="G387" s="175">
        <f>'13. Desinvesteringen'!D670</f>
        <v>1959</v>
      </c>
      <c r="H387" s="175">
        <f>'13. Desinvesteringen'!G670</f>
        <v>2025</v>
      </c>
      <c r="I387" s="37" t="str">
        <f>'13. Desinvesteringen'!C670</f>
        <v>01 Regionale leidingen</v>
      </c>
      <c r="J387" s="165">
        <f>'13. Desinvesteringen'!F670</f>
        <v>0</v>
      </c>
      <c r="K387" s="38">
        <f>_xlfn.XLOOKUP(I387,'3. Input (des)investeringen '!$B$11:$B$89,'3. Input (des)investeringen '!$E$11:$E$89)</f>
        <v>1</v>
      </c>
      <c r="L387" s="331"/>
      <c r="M387" s="38">
        <f>_xlfn.XLOOKUP(I387,'3. Input (des)investeringen '!$B$11:$B$89,'3. Input (des)investeringen '!$D$11:$D$89,0)</f>
        <v>55</v>
      </c>
      <c r="N387" s="38">
        <f t="shared" si="172"/>
        <v>0</v>
      </c>
      <c r="P387" s="43">
        <f t="shared" si="166"/>
        <v>0</v>
      </c>
      <c r="Q387" s="43">
        <f t="shared" si="166"/>
        <v>0</v>
      </c>
      <c r="R387" s="43">
        <f t="shared" si="166"/>
        <v>0</v>
      </c>
      <c r="S387" s="43">
        <f t="shared" si="166"/>
        <v>0</v>
      </c>
      <c r="T387" s="43">
        <f t="shared" si="166"/>
        <v>0</v>
      </c>
      <c r="V387" s="43">
        <f t="shared" si="167"/>
        <v>0</v>
      </c>
      <c r="W387" s="43">
        <f t="shared" si="168"/>
        <v>0</v>
      </c>
      <c r="X387" s="43">
        <f t="shared" si="169"/>
        <v>0</v>
      </c>
      <c r="Y387" s="43">
        <f t="shared" si="170"/>
        <v>0</v>
      </c>
      <c r="Z387" s="43">
        <f t="shared" si="171"/>
        <v>0</v>
      </c>
      <c r="AB387" s="43">
        <f t="shared" si="173"/>
        <v>0</v>
      </c>
      <c r="AC387" s="43">
        <f t="shared" si="174"/>
        <v>0</v>
      </c>
      <c r="AD387" s="43">
        <f t="shared" si="175"/>
        <v>0</v>
      </c>
      <c r="AE387" s="43">
        <f t="shared" si="176"/>
        <v>0</v>
      </c>
      <c r="AF387" s="43">
        <f t="shared" si="177"/>
        <v>0</v>
      </c>
      <c r="AH387" s="43">
        <f t="shared" si="178"/>
        <v>0</v>
      </c>
      <c r="AI387" s="43">
        <f t="shared" si="179"/>
        <v>0</v>
      </c>
      <c r="AJ387" s="43">
        <f t="shared" si="180"/>
        <v>0</v>
      </c>
      <c r="AK387" s="43">
        <f t="shared" si="181"/>
        <v>0</v>
      </c>
      <c r="AL387" s="43">
        <f t="shared" si="182"/>
        <v>0</v>
      </c>
      <c r="AN387" s="47">
        <f t="shared" si="183"/>
        <v>0</v>
      </c>
      <c r="AO387" s="47">
        <f t="shared" si="184"/>
        <v>0</v>
      </c>
      <c r="AP387" s="47">
        <f t="shared" si="185"/>
        <v>0</v>
      </c>
      <c r="AQ387" s="47">
        <f t="shared" si="186"/>
        <v>0</v>
      </c>
      <c r="AR387" s="43">
        <f t="shared" si="187"/>
        <v>0</v>
      </c>
      <c r="AS387" s="349"/>
      <c r="AT387" s="121"/>
      <c r="AU387" s="121"/>
      <c r="AV387" s="121"/>
      <c r="AW387" s="121"/>
      <c r="AX387" s="121"/>
    </row>
    <row r="388" spans="1:50" s="89" customFormat="1">
      <c r="A388" s="3"/>
      <c r="B388" s="37">
        <f>'13. Desinvesteringen'!B671</f>
        <v>652</v>
      </c>
      <c r="C388" s="331"/>
      <c r="D388" s="331"/>
      <c r="E388" s="331"/>
      <c r="F388" s="354">
        <f>'5. Input GAW-waarde desinv.'!D347</f>
        <v>0</v>
      </c>
      <c r="G388" s="175">
        <f>'13. Desinvesteringen'!D671</f>
        <v>1960</v>
      </c>
      <c r="H388" s="175">
        <f>'13. Desinvesteringen'!G671</f>
        <v>2025</v>
      </c>
      <c r="I388" s="37" t="str">
        <f>'13. Desinvesteringen'!C671</f>
        <v>01 Regionale leidingen</v>
      </c>
      <c r="J388" s="165">
        <f>'13. Desinvesteringen'!F671</f>
        <v>0</v>
      </c>
      <c r="K388" s="38">
        <f>_xlfn.XLOOKUP(I388,'3. Input (des)investeringen '!$B$11:$B$89,'3. Input (des)investeringen '!$E$11:$E$89)</f>
        <v>1</v>
      </c>
      <c r="L388" s="331"/>
      <c r="M388" s="38">
        <f>_xlfn.XLOOKUP(I388,'3. Input (des)investeringen '!$B$11:$B$89,'3. Input (des)investeringen '!$D$11:$D$89,0)</f>
        <v>55</v>
      </c>
      <c r="N388" s="38">
        <f t="shared" si="172"/>
        <v>0</v>
      </c>
      <c r="P388" s="43">
        <f t="shared" si="166"/>
        <v>0</v>
      </c>
      <c r="Q388" s="43">
        <f t="shared" si="166"/>
        <v>0</v>
      </c>
      <c r="R388" s="43">
        <f t="shared" si="166"/>
        <v>0</v>
      </c>
      <c r="S388" s="43">
        <f t="shared" si="166"/>
        <v>0</v>
      </c>
      <c r="T388" s="43">
        <f t="shared" si="166"/>
        <v>0</v>
      </c>
      <c r="V388" s="43">
        <f t="shared" si="167"/>
        <v>0</v>
      </c>
      <c r="W388" s="43">
        <f t="shared" si="168"/>
        <v>0</v>
      </c>
      <c r="X388" s="43">
        <f t="shared" si="169"/>
        <v>0</v>
      </c>
      <c r="Y388" s="43">
        <f t="shared" si="170"/>
        <v>0</v>
      </c>
      <c r="Z388" s="43">
        <f t="shared" si="171"/>
        <v>0</v>
      </c>
      <c r="AB388" s="43">
        <f t="shared" si="173"/>
        <v>0</v>
      </c>
      <c r="AC388" s="43">
        <f t="shared" si="174"/>
        <v>0</v>
      </c>
      <c r="AD388" s="43">
        <f t="shared" si="175"/>
        <v>0</v>
      </c>
      <c r="AE388" s="43">
        <f t="shared" si="176"/>
        <v>0</v>
      </c>
      <c r="AF388" s="43">
        <f t="shared" si="177"/>
        <v>0</v>
      </c>
      <c r="AH388" s="43">
        <f t="shared" si="178"/>
        <v>0</v>
      </c>
      <c r="AI388" s="43">
        <f t="shared" si="179"/>
        <v>0</v>
      </c>
      <c r="AJ388" s="43">
        <f t="shared" si="180"/>
        <v>0</v>
      </c>
      <c r="AK388" s="43">
        <f t="shared" si="181"/>
        <v>0</v>
      </c>
      <c r="AL388" s="43">
        <f t="shared" si="182"/>
        <v>0</v>
      </c>
      <c r="AN388" s="47">
        <f t="shared" si="183"/>
        <v>0</v>
      </c>
      <c r="AO388" s="47">
        <f t="shared" si="184"/>
        <v>0</v>
      </c>
      <c r="AP388" s="47">
        <f t="shared" si="185"/>
        <v>0</v>
      </c>
      <c r="AQ388" s="47">
        <f t="shared" si="186"/>
        <v>0</v>
      </c>
      <c r="AR388" s="43">
        <f t="shared" si="187"/>
        <v>0</v>
      </c>
      <c r="AS388" s="349"/>
      <c r="AT388" s="121"/>
      <c r="AU388" s="121"/>
      <c r="AV388" s="121"/>
      <c r="AW388" s="121"/>
      <c r="AX388" s="121"/>
    </row>
    <row r="389" spans="1:50" s="89" customFormat="1">
      <c r="A389" s="3"/>
      <c r="B389" s="37">
        <f>'13. Desinvesteringen'!B672</f>
        <v>653</v>
      </c>
      <c r="C389" s="331"/>
      <c r="D389" s="331"/>
      <c r="E389" s="331"/>
      <c r="F389" s="354">
        <f>'5. Input GAW-waarde desinv.'!D348</f>
        <v>0</v>
      </c>
      <c r="G389" s="175">
        <f>'13. Desinvesteringen'!D672</f>
        <v>1962</v>
      </c>
      <c r="H389" s="175">
        <f>'13. Desinvesteringen'!G672</f>
        <v>2025</v>
      </c>
      <c r="I389" s="37" t="str">
        <f>'13. Desinvesteringen'!C672</f>
        <v>01 Regionale leidingen</v>
      </c>
      <c r="J389" s="165">
        <f>'13. Desinvesteringen'!F672</f>
        <v>0</v>
      </c>
      <c r="K389" s="38">
        <f>_xlfn.XLOOKUP(I389,'3. Input (des)investeringen '!$B$11:$B$89,'3. Input (des)investeringen '!$E$11:$E$89)</f>
        <v>1</v>
      </c>
      <c r="L389" s="331"/>
      <c r="M389" s="38">
        <f>_xlfn.XLOOKUP(I389,'3. Input (des)investeringen '!$B$11:$B$89,'3. Input (des)investeringen '!$D$11:$D$89,0)</f>
        <v>55</v>
      </c>
      <c r="N389" s="38">
        <f t="shared" si="172"/>
        <v>0</v>
      </c>
      <c r="P389" s="43">
        <f t="shared" ref="P389:T398" si="188">IF($M389&gt;0, IF(OR($G389&gt;P$50,$G389+$M389&lt;P$50),0,
VDB($F389,0,$N389,MAX(0,P$50-2022),MIN($N389,P$50-2021),$F$23,FALSE))*(1-$F$26), 0)</f>
        <v>0</v>
      </c>
      <c r="Q389" s="43">
        <f t="shared" si="188"/>
        <v>0</v>
      </c>
      <c r="R389" s="43">
        <f t="shared" si="188"/>
        <v>0</v>
      </c>
      <c r="S389" s="43">
        <f t="shared" si="188"/>
        <v>0</v>
      </c>
      <c r="T389" s="43">
        <f t="shared" si="188"/>
        <v>0</v>
      </c>
      <c r="V389" s="43">
        <f t="shared" si="167"/>
        <v>0</v>
      </c>
      <c r="W389" s="43">
        <f t="shared" si="168"/>
        <v>0</v>
      </c>
      <c r="X389" s="43">
        <f t="shared" si="169"/>
        <v>0</v>
      </c>
      <c r="Y389" s="43">
        <f t="shared" si="170"/>
        <v>0</v>
      </c>
      <c r="Z389" s="43">
        <f t="shared" si="171"/>
        <v>0</v>
      </c>
      <c r="AB389" s="43">
        <f t="shared" si="173"/>
        <v>0</v>
      </c>
      <c r="AC389" s="43">
        <f t="shared" si="174"/>
        <v>0</v>
      </c>
      <c r="AD389" s="43">
        <f t="shared" si="175"/>
        <v>0</v>
      </c>
      <c r="AE389" s="43">
        <f t="shared" si="176"/>
        <v>0</v>
      </c>
      <c r="AF389" s="43">
        <f t="shared" si="177"/>
        <v>0</v>
      </c>
      <c r="AH389" s="43">
        <f t="shared" si="178"/>
        <v>0</v>
      </c>
      <c r="AI389" s="43">
        <f t="shared" si="179"/>
        <v>0</v>
      </c>
      <c r="AJ389" s="43">
        <f t="shared" si="180"/>
        <v>0</v>
      </c>
      <c r="AK389" s="43">
        <f t="shared" si="181"/>
        <v>0</v>
      </c>
      <c r="AL389" s="43">
        <f t="shared" si="182"/>
        <v>0</v>
      </c>
      <c r="AN389" s="47">
        <f t="shared" si="183"/>
        <v>0</v>
      </c>
      <c r="AO389" s="47">
        <f t="shared" si="184"/>
        <v>0</v>
      </c>
      <c r="AP389" s="47">
        <f t="shared" si="185"/>
        <v>0</v>
      </c>
      <c r="AQ389" s="47">
        <f t="shared" si="186"/>
        <v>0</v>
      </c>
      <c r="AR389" s="43">
        <f t="shared" si="187"/>
        <v>0</v>
      </c>
      <c r="AS389" s="349"/>
      <c r="AT389" s="121"/>
      <c r="AU389" s="121"/>
      <c r="AV389" s="121"/>
      <c r="AW389" s="121"/>
      <c r="AX389" s="121"/>
    </row>
    <row r="390" spans="1:50" s="89" customFormat="1">
      <c r="A390" s="3"/>
      <c r="B390" s="37">
        <f>'13. Desinvesteringen'!B673</f>
        <v>654</v>
      </c>
      <c r="C390" s="331"/>
      <c r="D390" s="331"/>
      <c r="E390" s="331"/>
      <c r="F390" s="354">
        <f>'5. Input GAW-waarde desinv.'!D349</f>
        <v>0</v>
      </c>
      <c r="G390" s="175">
        <f>'13. Desinvesteringen'!D673</f>
        <v>1964</v>
      </c>
      <c r="H390" s="175">
        <f>'13. Desinvesteringen'!G673</f>
        <v>2025</v>
      </c>
      <c r="I390" s="37" t="str">
        <f>'13. Desinvesteringen'!C673</f>
        <v>01 Regionale leidingen</v>
      </c>
      <c r="J390" s="165">
        <f>'13. Desinvesteringen'!F673</f>
        <v>0</v>
      </c>
      <c r="K390" s="38">
        <f>_xlfn.XLOOKUP(I390,'3. Input (des)investeringen '!$B$11:$B$89,'3. Input (des)investeringen '!$E$11:$E$89)</f>
        <v>1</v>
      </c>
      <c r="L390" s="331"/>
      <c r="M390" s="38">
        <f>_xlfn.XLOOKUP(I390,'3. Input (des)investeringen '!$B$11:$B$89,'3. Input (des)investeringen '!$D$11:$D$89,0)</f>
        <v>55</v>
      </c>
      <c r="N390" s="38">
        <f t="shared" si="172"/>
        <v>0</v>
      </c>
      <c r="P390" s="43">
        <f t="shared" si="188"/>
        <v>0</v>
      </c>
      <c r="Q390" s="43">
        <f t="shared" si="188"/>
        <v>0</v>
      </c>
      <c r="R390" s="43">
        <f t="shared" si="188"/>
        <v>0</v>
      </c>
      <c r="S390" s="43">
        <f t="shared" si="188"/>
        <v>0</v>
      </c>
      <c r="T390" s="43">
        <f t="shared" si="188"/>
        <v>0</v>
      </c>
      <c r="V390" s="43">
        <f t="shared" si="167"/>
        <v>0</v>
      </c>
      <c r="W390" s="43">
        <f t="shared" si="168"/>
        <v>0</v>
      </c>
      <c r="X390" s="43">
        <f t="shared" si="169"/>
        <v>0</v>
      </c>
      <c r="Y390" s="43">
        <f t="shared" si="170"/>
        <v>0</v>
      </c>
      <c r="Z390" s="43">
        <f t="shared" si="171"/>
        <v>0</v>
      </c>
      <c r="AB390" s="43">
        <f t="shared" si="173"/>
        <v>0</v>
      </c>
      <c r="AC390" s="43">
        <f t="shared" si="174"/>
        <v>0</v>
      </c>
      <c r="AD390" s="43">
        <f t="shared" si="175"/>
        <v>0</v>
      </c>
      <c r="AE390" s="43">
        <f t="shared" si="176"/>
        <v>0</v>
      </c>
      <c r="AF390" s="43">
        <f t="shared" si="177"/>
        <v>0</v>
      </c>
      <c r="AH390" s="43">
        <f t="shared" si="178"/>
        <v>0</v>
      </c>
      <c r="AI390" s="43">
        <f t="shared" si="179"/>
        <v>0</v>
      </c>
      <c r="AJ390" s="43">
        <f t="shared" si="180"/>
        <v>0</v>
      </c>
      <c r="AK390" s="43">
        <f t="shared" si="181"/>
        <v>0</v>
      </c>
      <c r="AL390" s="43">
        <f t="shared" si="182"/>
        <v>0</v>
      </c>
      <c r="AN390" s="47">
        <f t="shared" si="183"/>
        <v>0</v>
      </c>
      <c r="AO390" s="47">
        <f t="shared" si="184"/>
        <v>0</v>
      </c>
      <c r="AP390" s="47">
        <f t="shared" si="185"/>
        <v>0</v>
      </c>
      <c r="AQ390" s="47">
        <f t="shared" si="186"/>
        <v>0</v>
      </c>
      <c r="AR390" s="43">
        <f t="shared" si="187"/>
        <v>0</v>
      </c>
      <c r="AS390" s="349"/>
      <c r="AT390" s="121"/>
      <c r="AU390" s="121"/>
      <c r="AV390" s="121"/>
      <c r="AW390" s="121"/>
      <c r="AX390" s="121"/>
    </row>
    <row r="391" spans="1:50" s="89" customFormat="1">
      <c r="A391" s="3"/>
      <c r="B391" s="37">
        <f>'13. Desinvesteringen'!B674</f>
        <v>655</v>
      </c>
      <c r="C391" s="331"/>
      <c r="D391" s="331"/>
      <c r="E391" s="331"/>
      <c r="F391" s="354">
        <f>'5. Input GAW-waarde desinv.'!D350</f>
        <v>0</v>
      </c>
      <c r="G391" s="175">
        <f>'13. Desinvesteringen'!D674</f>
        <v>1965</v>
      </c>
      <c r="H391" s="175">
        <f>'13. Desinvesteringen'!G674</f>
        <v>2025</v>
      </c>
      <c r="I391" s="37" t="str">
        <f>'13. Desinvesteringen'!C674</f>
        <v>01 Regionale leidingen</v>
      </c>
      <c r="J391" s="165">
        <f>'13. Desinvesteringen'!F674</f>
        <v>0</v>
      </c>
      <c r="K391" s="38">
        <f>_xlfn.XLOOKUP(I391,'3. Input (des)investeringen '!$B$11:$B$89,'3. Input (des)investeringen '!$E$11:$E$89)</f>
        <v>1</v>
      </c>
      <c r="L391" s="331"/>
      <c r="M391" s="38">
        <f>_xlfn.XLOOKUP(I391,'3. Input (des)investeringen '!$B$11:$B$89,'3. Input (des)investeringen '!$D$11:$D$89,0)</f>
        <v>55</v>
      </c>
      <c r="N391" s="38">
        <f t="shared" si="172"/>
        <v>0</v>
      </c>
      <c r="P391" s="43">
        <f t="shared" si="188"/>
        <v>0</v>
      </c>
      <c r="Q391" s="43">
        <f t="shared" si="188"/>
        <v>0</v>
      </c>
      <c r="R391" s="43">
        <f t="shared" si="188"/>
        <v>0</v>
      </c>
      <c r="S391" s="43">
        <f t="shared" si="188"/>
        <v>0</v>
      </c>
      <c r="T391" s="43">
        <f t="shared" si="188"/>
        <v>0</v>
      </c>
      <c r="V391" s="43">
        <f t="shared" si="167"/>
        <v>0</v>
      </c>
      <c r="W391" s="43">
        <f t="shared" si="168"/>
        <v>0</v>
      </c>
      <c r="X391" s="43">
        <f t="shared" si="169"/>
        <v>0</v>
      </c>
      <c r="Y391" s="43">
        <f t="shared" si="170"/>
        <v>0</v>
      </c>
      <c r="Z391" s="43">
        <f t="shared" si="171"/>
        <v>0</v>
      </c>
      <c r="AB391" s="43">
        <f t="shared" si="173"/>
        <v>0</v>
      </c>
      <c r="AC391" s="43">
        <f t="shared" si="174"/>
        <v>0</v>
      </c>
      <c r="AD391" s="43">
        <f t="shared" si="175"/>
        <v>0</v>
      </c>
      <c r="AE391" s="43">
        <f t="shared" si="176"/>
        <v>0</v>
      </c>
      <c r="AF391" s="43">
        <f t="shared" si="177"/>
        <v>0</v>
      </c>
      <c r="AH391" s="43">
        <f t="shared" si="178"/>
        <v>0</v>
      </c>
      <c r="AI391" s="43">
        <f t="shared" si="179"/>
        <v>0</v>
      </c>
      <c r="AJ391" s="43">
        <f t="shared" si="180"/>
        <v>0</v>
      </c>
      <c r="AK391" s="43">
        <f t="shared" si="181"/>
        <v>0</v>
      </c>
      <c r="AL391" s="43">
        <f t="shared" si="182"/>
        <v>0</v>
      </c>
      <c r="AN391" s="47">
        <f t="shared" si="183"/>
        <v>0</v>
      </c>
      <c r="AO391" s="47">
        <f t="shared" si="184"/>
        <v>0</v>
      </c>
      <c r="AP391" s="47">
        <f t="shared" si="185"/>
        <v>0</v>
      </c>
      <c r="AQ391" s="47">
        <f t="shared" si="186"/>
        <v>0</v>
      </c>
      <c r="AR391" s="43">
        <f t="shared" si="187"/>
        <v>0</v>
      </c>
      <c r="AS391" s="349"/>
      <c r="AT391" s="121"/>
      <c r="AU391" s="121"/>
      <c r="AV391" s="121"/>
      <c r="AW391" s="121"/>
      <c r="AX391" s="121"/>
    </row>
    <row r="392" spans="1:50" s="89" customFormat="1">
      <c r="A392" s="3"/>
      <c r="B392" s="37">
        <f>'13. Desinvesteringen'!B675</f>
        <v>656</v>
      </c>
      <c r="C392" s="331"/>
      <c r="D392" s="331"/>
      <c r="E392" s="331"/>
      <c r="F392" s="354">
        <f>'5. Input GAW-waarde desinv.'!D351</f>
        <v>0</v>
      </c>
      <c r="G392" s="175">
        <f>'13. Desinvesteringen'!D675</f>
        <v>1966</v>
      </c>
      <c r="H392" s="175">
        <f>'13. Desinvesteringen'!G675</f>
        <v>2025</v>
      </c>
      <c r="I392" s="37" t="str">
        <f>'13. Desinvesteringen'!C675</f>
        <v>01 Regionale leidingen</v>
      </c>
      <c r="J392" s="165">
        <f>'13. Desinvesteringen'!F675</f>
        <v>0</v>
      </c>
      <c r="K392" s="38">
        <f>_xlfn.XLOOKUP(I392,'3. Input (des)investeringen '!$B$11:$B$89,'3. Input (des)investeringen '!$E$11:$E$89)</f>
        <v>1</v>
      </c>
      <c r="L392" s="331"/>
      <c r="M392" s="38">
        <f>_xlfn.XLOOKUP(I392,'3. Input (des)investeringen '!$B$11:$B$89,'3. Input (des)investeringen '!$D$11:$D$89,0)</f>
        <v>55</v>
      </c>
      <c r="N392" s="38">
        <f t="shared" si="172"/>
        <v>0</v>
      </c>
      <c r="P392" s="43">
        <f t="shared" si="188"/>
        <v>0</v>
      </c>
      <c r="Q392" s="43">
        <f t="shared" si="188"/>
        <v>0</v>
      </c>
      <c r="R392" s="43">
        <f t="shared" si="188"/>
        <v>0</v>
      </c>
      <c r="S392" s="43">
        <f t="shared" si="188"/>
        <v>0</v>
      </c>
      <c r="T392" s="43">
        <f t="shared" si="188"/>
        <v>0</v>
      </c>
      <c r="V392" s="43">
        <f t="shared" si="167"/>
        <v>0</v>
      </c>
      <c r="W392" s="43">
        <f t="shared" si="168"/>
        <v>0</v>
      </c>
      <c r="X392" s="43">
        <f t="shared" si="169"/>
        <v>0</v>
      </c>
      <c r="Y392" s="43">
        <f t="shared" si="170"/>
        <v>0</v>
      </c>
      <c r="Z392" s="43">
        <f t="shared" si="171"/>
        <v>0</v>
      </c>
      <c r="AB392" s="43">
        <f t="shared" si="173"/>
        <v>0</v>
      </c>
      <c r="AC392" s="43">
        <f t="shared" si="174"/>
        <v>0</v>
      </c>
      <c r="AD392" s="43">
        <f t="shared" si="175"/>
        <v>0</v>
      </c>
      <c r="AE392" s="43">
        <f t="shared" si="176"/>
        <v>0</v>
      </c>
      <c r="AF392" s="43">
        <f t="shared" si="177"/>
        <v>0</v>
      </c>
      <c r="AH392" s="43">
        <f t="shared" si="178"/>
        <v>0</v>
      </c>
      <c r="AI392" s="43">
        <f t="shared" si="179"/>
        <v>0</v>
      </c>
      <c r="AJ392" s="43">
        <f t="shared" si="180"/>
        <v>0</v>
      </c>
      <c r="AK392" s="43">
        <f t="shared" si="181"/>
        <v>0</v>
      </c>
      <c r="AL392" s="43">
        <f t="shared" si="182"/>
        <v>0</v>
      </c>
      <c r="AN392" s="47">
        <f t="shared" si="183"/>
        <v>0</v>
      </c>
      <c r="AO392" s="47">
        <f t="shared" si="184"/>
        <v>0</v>
      </c>
      <c r="AP392" s="47">
        <f t="shared" si="185"/>
        <v>0</v>
      </c>
      <c r="AQ392" s="47">
        <f t="shared" si="186"/>
        <v>0</v>
      </c>
      <c r="AR392" s="43">
        <f t="shared" si="187"/>
        <v>0</v>
      </c>
      <c r="AS392" s="349"/>
      <c r="AT392" s="121"/>
      <c r="AU392" s="121"/>
      <c r="AV392" s="121"/>
      <c r="AW392" s="121"/>
      <c r="AX392" s="121"/>
    </row>
    <row r="393" spans="1:50" s="89" customFormat="1">
      <c r="A393" s="3"/>
      <c r="B393" s="37">
        <f>'13. Desinvesteringen'!B676</f>
        <v>657</v>
      </c>
      <c r="C393" s="331"/>
      <c r="D393" s="331"/>
      <c r="E393" s="331"/>
      <c r="F393" s="354">
        <f>'5. Input GAW-waarde desinv.'!D352</f>
        <v>6693</v>
      </c>
      <c r="G393" s="175">
        <f>'13. Desinvesteringen'!D676</f>
        <v>1967</v>
      </c>
      <c r="H393" s="175">
        <f>'13. Desinvesteringen'!G676</f>
        <v>2025</v>
      </c>
      <c r="I393" s="37" t="str">
        <f>'13. Desinvesteringen'!C676</f>
        <v>01 Regionale leidingen</v>
      </c>
      <c r="J393" s="165">
        <f>'13. Desinvesteringen'!F676</f>
        <v>0</v>
      </c>
      <c r="K393" s="38">
        <f>_xlfn.XLOOKUP(I393,'3. Input (des)investeringen '!$B$11:$B$89,'3. Input (des)investeringen '!$E$11:$E$89)</f>
        <v>1</v>
      </c>
      <c r="L393" s="331"/>
      <c r="M393" s="38">
        <f>_xlfn.XLOOKUP(I393,'3. Input (des)investeringen '!$B$11:$B$89,'3. Input (des)investeringen '!$D$11:$D$89,0)</f>
        <v>55</v>
      </c>
      <c r="N393" s="38">
        <f t="shared" si="172"/>
        <v>0.5</v>
      </c>
      <c r="P393" s="43">
        <f t="shared" si="188"/>
        <v>6023.7</v>
      </c>
      <c r="Q393" s="43">
        <f t="shared" si="188"/>
        <v>0</v>
      </c>
      <c r="R393" s="43">
        <f t="shared" si="188"/>
        <v>0</v>
      </c>
      <c r="S393" s="43">
        <f t="shared" si="188"/>
        <v>0</v>
      </c>
      <c r="T393" s="43">
        <f t="shared" si="188"/>
        <v>0</v>
      </c>
      <c r="V393" s="43">
        <f t="shared" si="167"/>
        <v>669.30000000000007</v>
      </c>
      <c r="W393" s="43">
        <f t="shared" si="168"/>
        <v>0</v>
      </c>
      <c r="X393" s="43">
        <f t="shared" si="169"/>
        <v>0</v>
      </c>
      <c r="Y393" s="43">
        <f t="shared" si="170"/>
        <v>0</v>
      </c>
      <c r="Z393" s="43">
        <f t="shared" si="171"/>
        <v>0</v>
      </c>
      <c r="AB393" s="43">
        <f t="shared" si="173"/>
        <v>6693</v>
      </c>
      <c r="AC393" s="43">
        <f t="shared" si="174"/>
        <v>0</v>
      </c>
      <c r="AD393" s="43">
        <f t="shared" si="175"/>
        <v>0</v>
      </c>
      <c r="AE393" s="43">
        <f t="shared" si="176"/>
        <v>0</v>
      </c>
      <c r="AF393" s="43">
        <f t="shared" si="177"/>
        <v>0</v>
      </c>
      <c r="AH393" s="43">
        <f t="shared" si="178"/>
        <v>0</v>
      </c>
      <c r="AI393" s="43">
        <f t="shared" si="179"/>
        <v>0</v>
      </c>
      <c r="AJ393" s="43">
        <f t="shared" si="180"/>
        <v>0</v>
      </c>
      <c r="AK393" s="43">
        <f t="shared" si="181"/>
        <v>0</v>
      </c>
      <c r="AL393" s="43">
        <f t="shared" si="182"/>
        <v>0</v>
      </c>
      <c r="AN393" s="47">
        <f t="shared" si="183"/>
        <v>6693</v>
      </c>
      <c r="AO393" s="47">
        <f t="shared" si="184"/>
        <v>0</v>
      </c>
      <c r="AP393" s="47">
        <f t="shared" si="185"/>
        <v>0</v>
      </c>
      <c r="AQ393" s="47">
        <f t="shared" si="186"/>
        <v>0</v>
      </c>
      <c r="AR393" s="43">
        <f t="shared" si="187"/>
        <v>0</v>
      </c>
      <c r="AS393" s="349"/>
      <c r="AT393" s="121"/>
      <c r="AU393" s="121"/>
      <c r="AV393" s="121"/>
      <c r="AW393" s="121"/>
      <c r="AX393" s="121"/>
    </row>
    <row r="394" spans="1:50" s="89" customFormat="1">
      <c r="A394" s="3"/>
      <c r="B394" s="37">
        <f>'13. Desinvesteringen'!B677</f>
        <v>658</v>
      </c>
      <c r="C394" s="331"/>
      <c r="D394" s="331"/>
      <c r="E394" s="331"/>
      <c r="F394" s="354">
        <f>'5. Input GAW-waarde desinv.'!D353</f>
        <v>14367</v>
      </c>
      <c r="G394" s="175">
        <f>'13. Desinvesteringen'!D677</f>
        <v>1968</v>
      </c>
      <c r="H394" s="175">
        <f>'13. Desinvesteringen'!G677</f>
        <v>2025</v>
      </c>
      <c r="I394" s="37" t="str">
        <f>'13. Desinvesteringen'!C677</f>
        <v>01 Regionale leidingen</v>
      </c>
      <c r="J394" s="165">
        <f>'13. Desinvesteringen'!F677</f>
        <v>0</v>
      </c>
      <c r="K394" s="38">
        <f>_xlfn.XLOOKUP(I394,'3. Input (des)investeringen '!$B$11:$B$89,'3. Input (des)investeringen '!$E$11:$E$89)</f>
        <v>1</v>
      </c>
      <c r="L394" s="331"/>
      <c r="M394" s="38">
        <f>_xlfn.XLOOKUP(I394,'3. Input (des)investeringen '!$B$11:$B$89,'3. Input (des)investeringen '!$D$11:$D$89,0)</f>
        <v>55</v>
      </c>
      <c r="N394" s="38">
        <f t="shared" si="172"/>
        <v>1.5</v>
      </c>
      <c r="P394" s="43">
        <f t="shared" si="188"/>
        <v>11206.26</v>
      </c>
      <c r="Q394" s="43">
        <f t="shared" si="188"/>
        <v>1724.0400000000004</v>
      </c>
      <c r="R394" s="43">
        <f t="shared" si="188"/>
        <v>0</v>
      </c>
      <c r="S394" s="43">
        <f t="shared" si="188"/>
        <v>0</v>
      </c>
      <c r="T394" s="43">
        <f t="shared" si="188"/>
        <v>0</v>
      </c>
      <c r="V394" s="43">
        <f t="shared" si="167"/>
        <v>957.80000000000007</v>
      </c>
      <c r="W394" s="43">
        <f t="shared" si="168"/>
        <v>478.90000000000003</v>
      </c>
      <c r="X394" s="43">
        <f t="shared" si="169"/>
        <v>0</v>
      </c>
      <c r="Y394" s="43">
        <f t="shared" si="170"/>
        <v>0</v>
      </c>
      <c r="Z394" s="43">
        <f t="shared" si="171"/>
        <v>0</v>
      </c>
      <c r="AB394" s="43">
        <f t="shared" si="173"/>
        <v>12164.06</v>
      </c>
      <c r="AC394" s="43">
        <f t="shared" si="174"/>
        <v>2202.9400000000005</v>
      </c>
      <c r="AD394" s="43">
        <f t="shared" si="175"/>
        <v>0</v>
      </c>
      <c r="AE394" s="43">
        <f t="shared" si="176"/>
        <v>0</v>
      </c>
      <c r="AF394" s="43">
        <f t="shared" si="177"/>
        <v>0</v>
      </c>
      <c r="AH394" s="43">
        <f t="shared" si="178"/>
        <v>2202.9400000000005</v>
      </c>
      <c r="AI394" s="43">
        <f t="shared" si="179"/>
        <v>0</v>
      </c>
      <c r="AJ394" s="43">
        <f t="shared" si="180"/>
        <v>0</v>
      </c>
      <c r="AK394" s="43">
        <f t="shared" si="181"/>
        <v>0</v>
      </c>
      <c r="AL394" s="43">
        <f t="shared" si="182"/>
        <v>0</v>
      </c>
      <c r="AN394" s="47">
        <f t="shared" si="183"/>
        <v>12254.38054</v>
      </c>
      <c r="AO394" s="47">
        <f t="shared" si="184"/>
        <v>2202.9400000000005</v>
      </c>
      <c r="AP394" s="47">
        <f t="shared" si="185"/>
        <v>0</v>
      </c>
      <c r="AQ394" s="47">
        <f t="shared" si="186"/>
        <v>0</v>
      </c>
      <c r="AR394" s="43">
        <f t="shared" si="187"/>
        <v>0</v>
      </c>
      <c r="AS394" s="349"/>
      <c r="AT394" s="121"/>
      <c r="AU394" s="121"/>
      <c r="AV394" s="121"/>
      <c r="AW394" s="121"/>
      <c r="AX394" s="121"/>
    </row>
    <row r="395" spans="1:50" s="89" customFormat="1">
      <c r="A395" s="3"/>
      <c r="B395" s="37">
        <f>'13. Desinvesteringen'!B678</f>
        <v>659</v>
      </c>
      <c r="C395" s="331"/>
      <c r="D395" s="331"/>
      <c r="E395" s="331"/>
      <c r="F395" s="354">
        <f>'5. Input GAW-waarde desinv.'!D354</f>
        <v>93948</v>
      </c>
      <c r="G395" s="175">
        <f>'13. Desinvesteringen'!D678</f>
        <v>1969</v>
      </c>
      <c r="H395" s="175">
        <f>'13. Desinvesteringen'!G678</f>
        <v>2025</v>
      </c>
      <c r="I395" s="37" t="str">
        <f>'13. Desinvesteringen'!C678</f>
        <v>01 Regionale leidingen</v>
      </c>
      <c r="J395" s="165">
        <f>'13. Desinvesteringen'!F678</f>
        <v>0</v>
      </c>
      <c r="K395" s="38">
        <f>_xlfn.XLOOKUP(I395,'3. Input (des)investeringen '!$B$11:$B$89,'3. Input (des)investeringen '!$E$11:$E$89)</f>
        <v>1</v>
      </c>
      <c r="L395" s="331"/>
      <c r="M395" s="38">
        <f>_xlfn.XLOOKUP(I395,'3. Input (des)investeringen '!$B$11:$B$89,'3. Input (des)investeringen '!$D$11:$D$89,0)</f>
        <v>55</v>
      </c>
      <c r="N395" s="38">
        <f t="shared" si="172"/>
        <v>2.5</v>
      </c>
      <c r="P395" s="43">
        <f t="shared" si="188"/>
        <v>43967.663999999997</v>
      </c>
      <c r="Q395" s="43">
        <f t="shared" si="188"/>
        <v>27057.024000000001</v>
      </c>
      <c r="R395" s="43">
        <f t="shared" si="188"/>
        <v>13528.512000000001</v>
      </c>
      <c r="S395" s="43">
        <f t="shared" si="188"/>
        <v>0</v>
      </c>
      <c r="T395" s="43">
        <f t="shared" si="188"/>
        <v>0</v>
      </c>
      <c r="V395" s="43">
        <f t="shared" si="167"/>
        <v>3757.9200000000005</v>
      </c>
      <c r="W395" s="43">
        <f t="shared" si="168"/>
        <v>3757.92</v>
      </c>
      <c r="X395" s="43">
        <f t="shared" si="169"/>
        <v>1878.96</v>
      </c>
      <c r="Y395" s="43">
        <f t="shared" si="170"/>
        <v>0</v>
      </c>
      <c r="Z395" s="43">
        <f t="shared" si="171"/>
        <v>0</v>
      </c>
      <c r="AB395" s="43">
        <f t="shared" si="173"/>
        <v>47725.583999999995</v>
      </c>
      <c r="AC395" s="43">
        <f t="shared" si="174"/>
        <v>30814.944000000003</v>
      </c>
      <c r="AD395" s="43">
        <f t="shared" si="175"/>
        <v>15407.472000000002</v>
      </c>
      <c r="AE395" s="43">
        <f t="shared" si="176"/>
        <v>0</v>
      </c>
      <c r="AF395" s="43">
        <f t="shared" si="177"/>
        <v>0</v>
      </c>
      <c r="AH395" s="43">
        <f t="shared" si="178"/>
        <v>46222.416000000005</v>
      </c>
      <c r="AI395" s="43">
        <f t="shared" si="179"/>
        <v>15407.472000000002</v>
      </c>
      <c r="AJ395" s="43">
        <f t="shared" si="180"/>
        <v>0</v>
      </c>
      <c r="AK395" s="43">
        <f t="shared" si="181"/>
        <v>0</v>
      </c>
      <c r="AL395" s="43">
        <f t="shared" si="182"/>
        <v>0</v>
      </c>
      <c r="AN395" s="47">
        <f t="shared" si="183"/>
        <v>49620.703055999998</v>
      </c>
      <c r="AO395" s="47">
        <f t="shared" si="184"/>
        <v>31600.725072000005</v>
      </c>
      <c r="AP395" s="47">
        <f t="shared" si="185"/>
        <v>15407.472000000002</v>
      </c>
      <c r="AQ395" s="47">
        <f t="shared" si="186"/>
        <v>0</v>
      </c>
      <c r="AR395" s="43">
        <f t="shared" si="187"/>
        <v>0</v>
      </c>
      <c r="AS395" s="349"/>
      <c r="AT395" s="121"/>
      <c r="AU395" s="121"/>
      <c r="AV395" s="121"/>
      <c r="AW395" s="121"/>
      <c r="AX395" s="121"/>
    </row>
    <row r="396" spans="1:50" s="89" customFormat="1">
      <c r="A396" s="3"/>
      <c r="B396" s="37">
        <f>'13. Desinvesteringen'!B679</f>
        <v>660</v>
      </c>
      <c r="C396" s="331"/>
      <c r="D396" s="331"/>
      <c r="E396" s="331"/>
      <c r="F396" s="354">
        <f>'5. Input GAW-waarde desinv.'!D355</f>
        <v>18198</v>
      </c>
      <c r="G396" s="175">
        <f>'13. Desinvesteringen'!D679</f>
        <v>1970</v>
      </c>
      <c r="H396" s="175">
        <f>'13. Desinvesteringen'!G679</f>
        <v>2025</v>
      </c>
      <c r="I396" s="37" t="str">
        <f>'13. Desinvesteringen'!C679</f>
        <v>01 Regionale leidingen</v>
      </c>
      <c r="J396" s="165">
        <f>'13. Desinvesteringen'!F679</f>
        <v>0</v>
      </c>
      <c r="K396" s="38">
        <f>_xlfn.XLOOKUP(I396,'3. Input (des)investeringen '!$B$11:$B$89,'3. Input (des)investeringen '!$E$11:$E$89)</f>
        <v>1</v>
      </c>
      <c r="L396" s="331"/>
      <c r="M396" s="38">
        <f>_xlfn.XLOOKUP(I396,'3. Input (des)investeringen '!$B$11:$B$89,'3. Input (des)investeringen '!$D$11:$D$89,0)</f>
        <v>55</v>
      </c>
      <c r="N396" s="38">
        <f t="shared" si="172"/>
        <v>3.5</v>
      </c>
      <c r="P396" s="43">
        <f t="shared" si="188"/>
        <v>6083.3314285714287</v>
      </c>
      <c r="Q396" s="43">
        <f t="shared" si="188"/>
        <v>4117.9474285714286</v>
      </c>
      <c r="R396" s="43">
        <f t="shared" si="188"/>
        <v>4117.9474285714286</v>
      </c>
      <c r="S396" s="43">
        <f t="shared" si="188"/>
        <v>2058.9737142857143</v>
      </c>
      <c r="T396" s="43">
        <f t="shared" si="188"/>
        <v>0</v>
      </c>
      <c r="V396" s="43">
        <f t="shared" si="167"/>
        <v>519.94285714285718</v>
      </c>
      <c r="W396" s="43">
        <f t="shared" si="168"/>
        <v>519.94285714285706</v>
      </c>
      <c r="X396" s="43">
        <f t="shared" si="169"/>
        <v>519.94285714285706</v>
      </c>
      <c r="Y396" s="43">
        <f t="shared" si="170"/>
        <v>259.97142857142853</v>
      </c>
      <c r="Z396" s="43">
        <f t="shared" si="171"/>
        <v>0</v>
      </c>
      <c r="AB396" s="43">
        <f t="shared" si="173"/>
        <v>6603.2742857142857</v>
      </c>
      <c r="AC396" s="43">
        <f t="shared" si="174"/>
        <v>4637.8902857142857</v>
      </c>
      <c r="AD396" s="43">
        <f t="shared" si="175"/>
        <v>4637.8902857142857</v>
      </c>
      <c r="AE396" s="43">
        <f t="shared" si="176"/>
        <v>2318.9451428571429</v>
      </c>
      <c r="AF396" s="43">
        <f t="shared" si="177"/>
        <v>0</v>
      </c>
      <c r="AH396" s="43">
        <f t="shared" si="178"/>
        <v>11594.725714285714</v>
      </c>
      <c r="AI396" s="43">
        <f t="shared" si="179"/>
        <v>6956.8354285714286</v>
      </c>
      <c r="AJ396" s="43">
        <f t="shared" si="180"/>
        <v>2318.9451428571429</v>
      </c>
      <c r="AK396" s="43">
        <f t="shared" si="181"/>
        <v>0</v>
      </c>
      <c r="AL396" s="43">
        <f t="shared" si="182"/>
        <v>0</v>
      </c>
      <c r="AN396" s="47">
        <f t="shared" si="183"/>
        <v>7078.6580400000003</v>
      </c>
      <c r="AO396" s="47">
        <f t="shared" si="184"/>
        <v>4992.6888925714284</v>
      </c>
      <c r="AP396" s="47">
        <f t="shared" si="185"/>
        <v>4756.1564879999996</v>
      </c>
      <c r="AQ396" s="47">
        <f t="shared" si="186"/>
        <v>2318.9451428571429</v>
      </c>
      <c r="AR396" s="43">
        <f t="shared" si="187"/>
        <v>0</v>
      </c>
      <c r="AS396" s="349"/>
      <c r="AT396" s="121"/>
      <c r="AU396" s="121"/>
      <c r="AV396" s="121"/>
      <c r="AW396" s="121"/>
      <c r="AX396" s="121"/>
    </row>
    <row r="397" spans="1:50" s="89" customFormat="1">
      <c r="A397" s="3"/>
      <c r="B397" s="37">
        <f>'13. Desinvesteringen'!B680</f>
        <v>661</v>
      </c>
      <c r="C397" s="331"/>
      <c r="D397" s="331"/>
      <c r="E397" s="331"/>
      <c r="F397" s="354">
        <f>'5. Input GAW-waarde desinv.'!D356</f>
        <v>15661</v>
      </c>
      <c r="G397" s="175">
        <f>'13. Desinvesteringen'!D680</f>
        <v>1971</v>
      </c>
      <c r="H397" s="175">
        <f>'13. Desinvesteringen'!G680</f>
        <v>2025</v>
      </c>
      <c r="I397" s="37" t="str">
        <f>'13. Desinvesteringen'!C680</f>
        <v>01 Regionale leidingen</v>
      </c>
      <c r="J397" s="165">
        <f>'13. Desinvesteringen'!F680</f>
        <v>0</v>
      </c>
      <c r="K397" s="38">
        <f>_xlfn.XLOOKUP(I397,'3. Input (des)investeringen '!$B$11:$B$89,'3. Input (des)investeringen '!$E$11:$E$89)</f>
        <v>1</v>
      </c>
      <c r="L397" s="331"/>
      <c r="M397" s="38">
        <f>_xlfn.XLOOKUP(I397,'3. Input (des)investeringen '!$B$11:$B$89,'3. Input (des)investeringen '!$D$11:$D$89,0)</f>
        <v>55</v>
      </c>
      <c r="N397" s="38">
        <f t="shared" si="172"/>
        <v>4.5</v>
      </c>
      <c r="P397" s="43">
        <f t="shared" si="188"/>
        <v>4071.8600000000006</v>
      </c>
      <c r="Q397" s="43">
        <f t="shared" si="188"/>
        <v>2895.5448888888891</v>
      </c>
      <c r="R397" s="43">
        <f t="shared" si="188"/>
        <v>2850.998044444445</v>
      </c>
      <c r="S397" s="43">
        <f t="shared" si="188"/>
        <v>2850.998044444445</v>
      </c>
      <c r="T397" s="43">
        <f t="shared" si="188"/>
        <v>1425.4990222222225</v>
      </c>
      <c r="V397" s="43">
        <f t="shared" si="167"/>
        <v>348.02222222222224</v>
      </c>
      <c r="W397" s="43">
        <f t="shared" si="168"/>
        <v>348.02222222222224</v>
      </c>
      <c r="X397" s="43">
        <f t="shared" si="169"/>
        <v>348.02222222222224</v>
      </c>
      <c r="Y397" s="43">
        <f t="shared" si="170"/>
        <v>348.02222222222224</v>
      </c>
      <c r="Z397" s="43">
        <f t="shared" si="171"/>
        <v>174.01111111111112</v>
      </c>
      <c r="AB397" s="43">
        <f t="shared" si="173"/>
        <v>4419.8822222222225</v>
      </c>
      <c r="AC397" s="43">
        <f t="shared" si="174"/>
        <v>3243.5671111111114</v>
      </c>
      <c r="AD397" s="43">
        <f t="shared" si="175"/>
        <v>3199.0202666666673</v>
      </c>
      <c r="AE397" s="43">
        <f t="shared" si="176"/>
        <v>3199.0202666666673</v>
      </c>
      <c r="AF397" s="43">
        <f t="shared" si="177"/>
        <v>1599.5101333333337</v>
      </c>
      <c r="AH397" s="43">
        <f t="shared" si="178"/>
        <v>11241.117777777778</v>
      </c>
      <c r="AI397" s="43">
        <f t="shared" si="179"/>
        <v>7997.5506666666661</v>
      </c>
      <c r="AJ397" s="43">
        <f t="shared" si="180"/>
        <v>4798.5303999999987</v>
      </c>
      <c r="AK397" s="43">
        <f t="shared" si="181"/>
        <v>1599.5101333333314</v>
      </c>
      <c r="AL397" s="43">
        <f t="shared" si="182"/>
        <v>0</v>
      </c>
      <c r="AN397" s="47">
        <f t="shared" si="183"/>
        <v>4880.7680511111112</v>
      </c>
      <c r="AO397" s="47">
        <f t="shared" si="184"/>
        <v>3651.4421951111112</v>
      </c>
      <c r="AP397" s="47">
        <f t="shared" si="185"/>
        <v>3443.7453170666672</v>
      </c>
      <c r="AQ397" s="47">
        <f t="shared" si="186"/>
        <v>3286.9933240000005</v>
      </c>
      <c r="AR397" s="43">
        <f t="shared" si="187"/>
        <v>1599.5101333333337</v>
      </c>
      <c r="AS397" s="349"/>
      <c r="AT397" s="350"/>
      <c r="AU397" s="121"/>
      <c r="AV397" s="121"/>
      <c r="AW397" s="121"/>
      <c r="AX397" s="121"/>
    </row>
    <row r="398" spans="1:50" s="89" customFormat="1">
      <c r="A398" s="3"/>
      <c r="B398" s="37">
        <f>'13. Desinvesteringen'!B681</f>
        <v>662</v>
      </c>
      <c r="C398" s="331"/>
      <c r="D398" s="331"/>
      <c r="E398" s="331"/>
      <c r="F398" s="354">
        <f>'5. Input GAW-waarde desinv.'!D357</f>
        <v>35764</v>
      </c>
      <c r="G398" s="175">
        <f>'13. Desinvesteringen'!D681</f>
        <v>1972</v>
      </c>
      <c r="H398" s="175">
        <f>'13. Desinvesteringen'!G681</f>
        <v>2025</v>
      </c>
      <c r="I398" s="37" t="str">
        <f>'13. Desinvesteringen'!C681</f>
        <v>01 Regionale leidingen</v>
      </c>
      <c r="J398" s="165">
        <f>'13. Desinvesteringen'!F681</f>
        <v>0</v>
      </c>
      <c r="K398" s="38">
        <f>_xlfn.XLOOKUP(I398,'3. Input (des)investeringen '!$B$11:$B$89,'3. Input (des)investeringen '!$E$11:$E$89)</f>
        <v>1</v>
      </c>
      <c r="L398" s="331"/>
      <c r="M398" s="38">
        <f>_xlfn.XLOOKUP(I398,'3. Input (des)investeringen '!$B$11:$B$89,'3. Input (des)investeringen '!$D$11:$D$89,0)</f>
        <v>55</v>
      </c>
      <c r="N398" s="38">
        <f t="shared" si="172"/>
        <v>5.5</v>
      </c>
      <c r="P398" s="43">
        <f t="shared" si="188"/>
        <v>7607.9781818181827</v>
      </c>
      <c r="Q398" s="43">
        <f t="shared" si="188"/>
        <v>5809.7287933884299</v>
      </c>
      <c r="R398" s="43">
        <f t="shared" si="188"/>
        <v>5362.8265785123967</v>
      </c>
      <c r="S398" s="43">
        <f t="shared" si="188"/>
        <v>5362.8265785123967</v>
      </c>
      <c r="T398" s="43">
        <f t="shared" si="188"/>
        <v>5362.8265785123967</v>
      </c>
      <c r="V398" s="43">
        <f t="shared" si="167"/>
        <v>650.25454545454556</v>
      </c>
      <c r="W398" s="43">
        <f t="shared" si="168"/>
        <v>650.25454545454545</v>
      </c>
      <c r="X398" s="43">
        <f t="shared" si="169"/>
        <v>650.25454545454545</v>
      </c>
      <c r="Y398" s="43">
        <f t="shared" si="170"/>
        <v>650.25454545454545</v>
      </c>
      <c r="Z398" s="43">
        <f t="shared" si="171"/>
        <v>650.25454545454545</v>
      </c>
      <c r="AB398" s="43">
        <f t="shared" si="173"/>
        <v>8258.2327272727289</v>
      </c>
      <c r="AC398" s="43">
        <f t="shared" si="174"/>
        <v>6459.9833388429752</v>
      </c>
      <c r="AD398" s="43">
        <f t="shared" si="175"/>
        <v>6013.081123966942</v>
      </c>
      <c r="AE398" s="43">
        <f t="shared" si="176"/>
        <v>6013.081123966942</v>
      </c>
      <c r="AF398" s="43">
        <f t="shared" si="177"/>
        <v>6013.081123966942</v>
      </c>
      <c r="AH398" s="43">
        <f t="shared" si="178"/>
        <v>27505.767272727273</v>
      </c>
      <c r="AI398" s="43">
        <f t="shared" si="179"/>
        <v>21045.783933884297</v>
      </c>
      <c r="AJ398" s="43">
        <f t="shared" si="180"/>
        <v>15032.702809917355</v>
      </c>
      <c r="AK398" s="43">
        <f t="shared" si="181"/>
        <v>9019.6216859504129</v>
      </c>
      <c r="AL398" s="43">
        <f t="shared" si="182"/>
        <v>3006.540561983471</v>
      </c>
      <c r="AN398" s="47">
        <f t="shared" si="183"/>
        <v>9385.9691854545472</v>
      </c>
      <c r="AO398" s="47">
        <f t="shared" si="184"/>
        <v>7533.3183194710746</v>
      </c>
      <c r="AP398" s="47">
        <f t="shared" si="185"/>
        <v>6779.748967272727</v>
      </c>
      <c r="AQ398" s="47">
        <f t="shared" si="186"/>
        <v>6509.160316694215</v>
      </c>
      <c r="AR398" s="43">
        <f t="shared" si="187"/>
        <v>6127.3296653223142</v>
      </c>
      <c r="AS398" s="349"/>
      <c r="AT398" s="350"/>
      <c r="AU398" s="121"/>
      <c r="AV398" s="121"/>
      <c r="AW398" s="121"/>
      <c r="AX398" s="121"/>
    </row>
    <row r="399" spans="1:50" s="89" customFormat="1">
      <c r="A399" s="3"/>
      <c r="B399" s="37">
        <f>'13. Desinvesteringen'!B682</f>
        <v>663</v>
      </c>
      <c r="C399" s="331"/>
      <c r="D399" s="331"/>
      <c r="E399" s="331"/>
      <c r="F399" s="354">
        <f>'5. Input GAW-waarde desinv.'!D358</f>
        <v>19266</v>
      </c>
      <c r="G399" s="175">
        <f>'13. Desinvesteringen'!D682</f>
        <v>1973</v>
      </c>
      <c r="H399" s="175">
        <f>'13. Desinvesteringen'!G682</f>
        <v>2025</v>
      </c>
      <c r="I399" s="37" t="str">
        <f>'13. Desinvesteringen'!C682</f>
        <v>01 Regionale leidingen</v>
      </c>
      <c r="J399" s="165">
        <f>'13. Desinvesteringen'!F682</f>
        <v>0</v>
      </c>
      <c r="K399" s="38">
        <f>_xlfn.XLOOKUP(I399,'3. Input (des)investeringen '!$B$11:$B$89,'3. Input (des)investeringen '!$E$11:$E$89)</f>
        <v>1</v>
      </c>
      <c r="L399" s="331"/>
      <c r="M399" s="38">
        <f>_xlfn.XLOOKUP(I399,'3. Input (des)investeringen '!$B$11:$B$89,'3. Input (des)investeringen '!$D$11:$D$89,0)</f>
        <v>55</v>
      </c>
      <c r="N399" s="38">
        <f t="shared" si="172"/>
        <v>6.5</v>
      </c>
      <c r="P399" s="43">
        <f t="shared" ref="P399:T408" si="189">IF($M399&gt;0, IF(OR($G399&gt;P$50,$G399+$M399&lt;P$50),0,
VDB($F399,0,$N399,MAX(0,P$50-2022),MIN($N399,P$50-2021),$F$23,FALSE))*(1-$F$26), 0)</f>
        <v>3467.88</v>
      </c>
      <c r="Q399" s="43">
        <f t="shared" si="189"/>
        <v>2774.3040000000001</v>
      </c>
      <c r="R399" s="43">
        <f t="shared" si="189"/>
        <v>2466.0480000000002</v>
      </c>
      <c r="S399" s="43">
        <f t="shared" si="189"/>
        <v>2466.0480000000002</v>
      </c>
      <c r="T399" s="43">
        <f t="shared" si="189"/>
        <v>2466.0480000000002</v>
      </c>
      <c r="V399" s="43">
        <f t="shared" si="167"/>
        <v>296.40000000000003</v>
      </c>
      <c r="W399" s="43">
        <f t="shared" si="168"/>
        <v>296.40000000000003</v>
      </c>
      <c r="X399" s="43">
        <f t="shared" si="169"/>
        <v>296.40000000000003</v>
      </c>
      <c r="Y399" s="43">
        <f t="shared" si="170"/>
        <v>296.40000000000003</v>
      </c>
      <c r="Z399" s="43">
        <f t="shared" si="171"/>
        <v>296.40000000000003</v>
      </c>
      <c r="AB399" s="43">
        <f t="shared" si="173"/>
        <v>3764.28</v>
      </c>
      <c r="AC399" s="43">
        <f t="shared" si="174"/>
        <v>3070.7040000000002</v>
      </c>
      <c r="AD399" s="43">
        <f t="shared" si="175"/>
        <v>2762.4480000000003</v>
      </c>
      <c r="AE399" s="43">
        <f t="shared" si="176"/>
        <v>2762.4480000000003</v>
      </c>
      <c r="AF399" s="43">
        <f t="shared" si="177"/>
        <v>2762.4480000000003</v>
      </c>
      <c r="AH399" s="43">
        <f t="shared" si="178"/>
        <v>15501.72</v>
      </c>
      <c r="AI399" s="43">
        <f t="shared" si="179"/>
        <v>12431.016</v>
      </c>
      <c r="AJ399" s="43">
        <f t="shared" si="180"/>
        <v>9668.5679999999993</v>
      </c>
      <c r="AK399" s="43">
        <f t="shared" si="181"/>
        <v>6906.119999999999</v>
      </c>
      <c r="AL399" s="43">
        <f t="shared" si="182"/>
        <v>4143.6719999999987</v>
      </c>
      <c r="AN399" s="47">
        <f t="shared" si="183"/>
        <v>4399.85052</v>
      </c>
      <c r="AO399" s="47">
        <f t="shared" si="184"/>
        <v>3704.6858160000002</v>
      </c>
      <c r="AP399" s="47">
        <f t="shared" si="185"/>
        <v>3255.5449680000002</v>
      </c>
      <c r="AQ399" s="47">
        <f t="shared" si="186"/>
        <v>3142.2846000000004</v>
      </c>
      <c r="AR399" s="43">
        <f t="shared" si="187"/>
        <v>2919.9075360000002</v>
      </c>
      <c r="AS399" s="349"/>
      <c r="AT399" s="350"/>
      <c r="AU399" s="121"/>
      <c r="AV399" s="121"/>
      <c r="AW399" s="121"/>
      <c r="AX399" s="121"/>
    </row>
    <row r="400" spans="1:50" s="89" customFormat="1">
      <c r="A400" s="3"/>
      <c r="B400" s="37">
        <f>'13. Desinvesteringen'!B683</f>
        <v>664</v>
      </c>
      <c r="C400" s="331"/>
      <c r="D400" s="331"/>
      <c r="E400" s="331"/>
      <c r="F400" s="354">
        <f>'5. Input GAW-waarde desinv.'!D359</f>
        <v>20844</v>
      </c>
      <c r="G400" s="175">
        <f>'13. Desinvesteringen'!D683</f>
        <v>1974</v>
      </c>
      <c r="H400" s="175">
        <f>'13. Desinvesteringen'!G683</f>
        <v>2025</v>
      </c>
      <c r="I400" s="37" t="str">
        <f>'13. Desinvesteringen'!C683</f>
        <v>01 Regionale leidingen</v>
      </c>
      <c r="J400" s="165">
        <f>'13. Desinvesteringen'!F683</f>
        <v>0</v>
      </c>
      <c r="K400" s="38">
        <f>_xlfn.XLOOKUP(I400,'3. Input (des)investeringen '!$B$11:$B$89,'3. Input (des)investeringen '!$E$11:$E$89)</f>
        <v>1</v>
      </c>
      <c r="L400" s="331"/>
      <c r="M400" s="38">
        <f>_xlfn.XLOOKUP(I400,'3. Input (des)investeringen '!$B$11:$B$89,'3. Input (des)investeringen '!$D$11:$D$89,0)</f>
        <v>55</v>
      </c>
      <c r="N400" s="38">
        <f t="shared" si="172"/>
        <v>7.5</v>
      </c>
      <c r="P400" s="43">
        <f t="shared" si="189"/>
        <v>3251.6640000000002</v>
      </c>
      <c r="Q400" s="43">
        <f t="shared" si="189"/>
        <v>2688.0422400000002</v>
      </c>
      <c r="R400" s="43">
        <f t="shared" si="189"/>
        <v>2330.8897745454547</v>
      </c>
      <c r="S400" s="43">
        <f t="shared" si="189"/>
        <v>2330.8897745454547</v>
      </c>
      <c r="T400" s="43">
        <f t="shared" si="189"/>
        <v>2330.8897745454547</v>
      </c>
      <c r="V400" s="43">
        <f t="shared" si="167"/>
        <v>277.92</v>
      </c>
      <c r="W400" s="43">
        <f t="shared" si="168"/>
        <v>277.92</v>
      </c>
      <c r="X400" s="43">
        <f t="shared" si="169"/>
        <v>277.92</v>
      </c>
      <c r="Y400" s="43">
        <f t="shared" si="170"/>
        <v>277.92</v>
      </c>
      <c r="Z400" s="43">
        <f t="shared" si="171"/>
        <v>277.92</v>
      </c>
      <c r="AB400" s="43">
        <f t="shared" si="173"/>
        <v>3529.5840000000003</v>
      </c>
      <c r="AC400" s="43">
        <f t="shared" si="174"/>
        <v>2965.9622400000003</v>
      </c>
      <c r="AD400" s="43">
        <f t="shared" si="175"/>
        <v>2608.8097745454547</v>
      </c>
      <c r="AE400" s="43">
        <f t="shared" si="176"/>
        <v>2608.8097745454547</v>
      </c>
      <c r="AF400" s="43">
        <f t="shared" si="177"/>
        <v>2608.8097745454547</v>
      </c>
      <c r="AH400" s="43">
        <f t="shared" si="178"/>
        <v>17314.416000000001</v>
      </c>
      <c r="AI400" s="43">
        <f t="shared" si="179"/>
        <v>14348.45376</v>
      </c>
      <c r="AJ400" s="43">
        <f t="shared" si="180"/>
        <v>11739.643985454546</v>
      </c>
      <c r="AK400" s="43">
        <f t="shared" si="181"/>
        <v>9130.8342109090918</v>
      </c>
      <c r="AL400" s="43">
        <f t="shared" si="182"/>
        <v>6522.0244363636375</v>
      </c>
      <c r="AN400" s="47">
        <f t="shared" si="183"/>
        <v>4239.4750560000002</v>
      </c>
      <c r="AO400" s="47">
        <f t="shared" si="184"/>
        <v>3697.7333817600002</v>
      </c>
      <c r="AP400" s="47">
        <f t="shared" si="185"/>
        <v>3207.5316178036364</v>
      </c>
      <c r="AQ400" s="47">
        <f t="shared" si="186"/>
        <v>3111.0056561454549</v>
      </c>
      <c r="AR400" s="43">
        <f t="shared" si="187"/>
        <v>2856.6467031272728</v>
      </c>
      <c r="AS400" s="349"/>
      <c r="AT400" s="350"/>
      <c r="AU400" s="121"/>
      <c r="AV400" s="121"/>
      <c r="AW400" s="121"/>
      <c r="AX400" s="121"/>
    </row>
    <row r="401" spans="1:50" s="89" customFormat="1">
      <c r="A401" s="3"/>
      <c r="B401" s="37">
        <f>'13. Desinvesteringen'!B684</f>
        <v>665</v>
      </c>
      <c r="C401" s="331"/>
      <c r="D401" s="331"/>
      <c r="E401" s="331"/>
      <c r="F401" s="354">
        <f>'5. Input GAW-waarde desinv.'!D360</f>
        <v>21515</v>
      </c>
      <c r="G401" s="175">
        <f>'13. Desinvesteringen'!D684</f>
        <v>1975</v>
      </c>
      <c r="H401" s="175">
        <f>'13. Desinvesteringen'!G684</f>
        <v>2025</v>
      </c>
      <c r="I401" s="37" t="str">
        <f>'13. Desinvesteringen'!C684</f>
        <v>01 Regionale leidingen</v>
      </c>
      <c r="J401" s="165">
        <f>'13. Desinvesteringen'!F684</f>
        <v>0</v>
      </c>
      <c r="K401" s="38">
        <f>_xlfn.XLOOKUP(I401,'3. Input (des)investeringen '!$B$11:$B$89,'3. Input (des)investeringen '!$E$11:$E$89)</f>
        <v>1</v>
      </c>
      <c r="L401" s="331"/>
      <c r="M401" s="38">
        <f>_xlfn.XLOOKUP(I401,'3. Input (des)investeringen '!$B$11:$B$89,'3. Input (des)investeringen '!$D$11:$D$89,0)</f>
        <v>55</v>
      </c>
      <c r="N401" s="38">
        <f t="shared" si="172"/>
        <v>8.5</v>
      </c>
      <c r="P401" s="43">
        <f t="shared" si="189"/>
        <v>2961.4764705882358</v>
      </c>
      <c r="Q401" s="43">
        <f t="shared" si="189"/>
        <v>2508.5447750865051</v>
      </c>
      <c r="R401" s="43">
        <f t="shared" si="189"/>
        <v>2137.4582698961935</v>
      </c>
      <c r="S401" s="43">
        <f t="shared" si="189"/>
        <v>2137.4582698961935</v>
      </c>
      <c r="T401" s="43">
        <f t="shared" si="189"/>
        <v>2137.4582698961935</v>
      </c>
      <c r="V401" s="43">
        <f t="shared" si="167"/>
        <v>253.11764705882354</v>
      </c>
      <c r="W401" s="43">
        <f t="shared" si="168"/>
        <v>253.11764705882356</v>
      </c>
      <c r="X401" s="43">
        <f t="shared" si="169"/>
        <v>253.11764705882356</v>
      </c>
      <c r="Y401" s="43">
        <f t="shared" si="170"/>
        <v>253.11764705882356</v>
      </c>
      <c r="Z401" s="43">
        <f t="shared" si="171"/>
        <v>253.11764705882356</v>
      </c>
      <c r="AB401" s="43">
        <f t="shared" si="173"/>
        <v>3214.5941176470592</v>
      </c>
      <c r="AC401" s="43">
        <f t="shared" si="174"/>
        <v>2761.6624221453285</v>
      </c>
      <c r="AD401" s="43">
        <f t="shared" si="175"/>
        <v>2390.575916955017</v>
      </c>
      <c r="AE401" s="43">
        <f t="shared" si="176"/>
        <v>2390.575916955017</v>
      </c>
      <c r="AF401" s="43">
        <f t="shared" si="177"/>
        <v>2390.575916955017</v>
      </c>
      <c r="AH401" s="43">
        <f t="shared" si="178"/>
        <v>18300.405882352941</v>
      </c>
      <c r="AI401" s="43">
        <f t="shared" si="179"/>
        <v>15538.743460207614</v>
      </c>
      <c r="AJ401" s="43">
        <f t="shared" si="180"/>
        <v>13148.167543252597</v>
      </c>
      <c r="AK401" s="43">
        <f t="shared" si="181"/>
        <v>10757.591626297581</v>
      </c>
      <c r="AL401" s="43">
        <f t="shared" si="182"/>
        <v>8367.0157093425642</v>
      </c>
      <c r="AN401" s="47">
        <f t="shared" si="183"/>
        <v>3964.9107588235297</v>
      </c>
      <c r="AO401" s="47">
        <f t="shared" si="184"/>
        <v>3554.1383386159168</v>
      </c>
      <c r="AP401" s="47">
        <f t="shared" si="185"/>
        <v>3061.1324616608995</v>
      </c>
      <c r="AQ401" s="47">
        <f t="shared" si="186"/>
        <v>2982.2434564013838</v>
      </c>
      <c r="AR401" s="43">
        <f t="shared" si="187"/>
        <v>2708.5225139100344</v>
      </c>
      <c r="AS401" s="349"/>
      <c r="AT401" s="350"/>
      <c r="AU401" s="121"/>
      <c r="AV401" s="121"/>
      <c r="AW401" s="121"/>
      <c r="AX401" s="121"/>
    </row>
    <row r="402" spans="1:50" s="89" customFormat="1">
      <c r="A402" s="3"/>
      <c r="B402" s="37">
        <f>'13. Desinvesteringen'!B685</f>
        <v>666</v>
      </c>
      <c r="C402" s="331"/>
      <c r="D402" s="331"/>
      <c r="E402" s="331"/>
      <c r="F402" s="354">
        <f>'5. Input GAW-waarde desinv.'!D361</f>
        <v>22168</v>
      </c>
      <c r="G402" s="175">
        <f>'13. Desinvesteringen'!D685</f>
        <v>1977</v>
      </c>
      <c r="H402" s="175">
        <f>'13. Desinvesteringen'!G685</f>
        <v>2025</v>
      </c>
      <c r="I402" s="37" t="str">
        <f>'13. Desinvesteringen'!C685</f>
        <v>01 Regionale leidingen</v>
      </c>
      <c r="J402" s="165">
        <f>'13. Desinvesteringen'!F685</f>
        <v>0</v>
      </c>
      <c r="K402" s="38">
        <f>_xlfn.XLOOKUP(I402,'3. Input (des)investeringen '!$B$11:$B$89,'3. Input (des)investeringen '!$E$11:$E$89)</f>
        <v>1</v>
      </c>
      <c r="L402" s="331"/>
      <c r="M402" s="38">
        <f>_xlfn.XLOOKUP(I402,'3. Input (des)investeringen '!$B$11:$B$89,'3. Input (des)investeringen '!$D$11:$D$89,0)</f>
        <v>55</v>
      </c>
      <c r="N402" s="38">
        <f t="shared" si="172"/>
        <v>10.5</v>
      </c>
      <c r="P402" s="43">
        <f t="shared" si="189"/>
        <v>2470.1485714285718</v>
      </c>
      <c r="Q402" s="43">
        <f t="shared" si="189"/>
        <v>2164.3206530612247</v>
      </c>
      <c r="R402" s="43">
        <f t="shared" si="189"/>
        <v>1896.3571436345967</v>
      </c>
      <c r="S402" s="43">
        <f t="shared" si="189"/>
        <v>1789.3831509167478</v>
      </c>
      <c r="T402" s="43">
        <f t="shared" si="189"/>
        <v>1789.3831509167478</v>
      </c>
      <c r="V402" s="43">
        <f t="shared" si="167"/>
        <v>211.12380952380954</v>
      </c>
      <c r="W402" s="43">
        <f t="shared" si="168"/>
        <v>211.12380952380954</v>
      </c>
      <c r="X402" s="43">
        <f t="shared" si="169"/>
        <v>211.12380952380954</v>
      </c>
      <c r="Y402" s="43">
        <f t="shared" si="170"/>
        <v>211.12380952380954</v>
      </c>
      <c r="Z402" s="43">
        <f t="shared" si="171"/>
        <v>211.12380952380954</v>
      </c>
      <c r="AB402" s="43">
        <f t="shared" si="173"/>
        <v>2681.2723809523814</v>
      </c>
      <c r="AC402" s="43">
        <f t="shared" si="174"/>
        <v>2375.4444625850342</v>
      </c>
      <c r="AD402" s="43">
        <f t="shared" si="175"/>
        <v>2107.480953158406</v>
      </c>
      <c r="AE402" s="43">
        <f t="shared" si="176"/>
        <v>2000.5069604405574</v>
      </c>
      <c r="AF402" s="43">
        <f t="shared" si="177"/>
        <v>2000.5069604405574</v>
      </c>
      <c r="AH402" s="43">
        <f t="shared" si="178"/>
        <v>19486.727619047619</v>
      </c>
      <c r="AI402" s="43">
        <f t="shared" si="179"/>
        <v>17111.283156462585</v>
      </c>
      <c r="AJ402" s="43">
        <f t="shared" si="180"/>
        <v>15003.802203304178</v>
      </c>
      <c r="AK402" s="43">
        <f t="shared" si="181"/>
        <v>13003.29524286362</v>
      </c>
      <c r="AL402" s="43">
        <f t="shared" si="182"/>
        <v>11002.788282423062</v>
      </c>
      <c r="AN402" s="47">
        <f t="shared" si="183"/>
        <v>3480.2282133333338</v>
      </c>
      <c r="AO402" s="47">
        <f t="shared" si="184"/>
        <v>3248.1199035646259</v>
      </c>
      <c r="AP402" s="47">
        <f t="shared" si="185"/>
        <v>2872.6748655269189</v>
      </c>
      <c r="AQ402" s="47">
        <f t="shared" si="186"/>
        <v>2715.6881987980564</v>
      </c>
      <c r="AR402" s="43">
        <f t="shared" si="187"/>
        <v>2418.6129151726336</v>
      </c>
      <c r="AS402" s="349"/>
      <c r="AT402" s="350"/>
      <c r="AU402" s="121"/>
      <c r="AV402" s="121"/>
      <c r="AW402" s="121"/>
      <c r="AX402" s="121"/>
    </row>
    <row r="403" spans="1:50" s="89" customFormat="1">
      <c r="A403" s="3"/>
      <c r="B403" s="37">
        <f>'13. Desinvesteringen'!B686</f>
        <v>667</v>
      </c>
      <c r="C403" s="331"/>
      <c r="D403" s="331"/>
      <c r="E403" s="331"/>
      <c r="F403" s="354">
        <f>'5. Input GAW-waarde desinv.'!D362</f>
        <v>22734</v>
      </c>
      <c r="G403" s="175">
        <f>'13. Desinvesteringen'!D686</f>
        <v>1978</v>
      </c>
      <c r="H403" s="175">
        <f>'13. Desinvesteringen'!G686</f>
        <v>2025</v>
      </c>
      <c r="I403" s="37" t="str">
        <f>'13. Desinvesteringen'!C686</f>
        <v>01 Regionale leidingen</v>
      </c>
      <c r="J403" s="165">
        <f>'13. Desinvesteringen'!F686</f>
        <v>0</v>
      </c>
      <c r="K403" s="38">
        <f>_xlfn.XLOOKUP(I403,'3. Input (des)investeringen '!$B$11:$B$89,'3. Input (des)investeringen '!$E$11:$E$89)</f>
        <v>1</v>
      </c>
      <c r="L403" s="331"/>
      <c r="M403" s="38">
        <f>_xlfn.XLOOKUP(I403,'3. Input (des)investeringen '!$B$11:$B$89,'3. Input (des)investeringen '!$D$11:$D$89,0)</f>
        <v>55</v>
      </c>
      <c r="N403" s="38">
        <f t="shared" si="172"/>
        <v>11.5</v>
      </c>
      <c r="P403" s="43">
        <f t="shared" si="189"/>
        <v>2312.9373913043478</v>
      </c>
      <c r="Q403" s="43">
        <f t="shared" si="189"/>
        <v>2051.474903591683</v>
      </c>
      <c r="R403" s="43">
        <f t="shared" si="189"/>
        <v>1819.5690449247968</v>
      </c>
      <c r="S403" s="43">
        <f t="shared" si="189"/>
        <v>1679.6021953151972</v>
      </c>
      <c r="T403" s="43">
        <f t="shared" si="189"/>
        <v>1679.6021953151972</v>
      </c>
      <c r="V403" s="43">
        <f t="shared" si="167"/>
        <v>197.68695652173915</v>
      </c>
      <c r="W403" s="43">
        <f t="shared" si="168"/>
        <v>197.68695652173915</v>
      </c>
      <c r="X403" s="43">
        <f t="shared" si="169"/>
        <v>197.68695652173915</v>
      </c>
      <c r="Y403" s="43">
        <f t="shared" si="170"/>
        <v>197.68695652173915</v>
      </c>
      <c r="Z403" s="43">
        <f t="shared" si="171"/>
        <v>197.68695652173915</v>
      </c>
      <c r="AB403" s="43">
        <f t="shared" si="173"/>
        <v>2510.6243478260867</v>
      </c>
      <c r="AC403" s="43">
        <f t="shared" si="174"/>
        <v>2249.1618601134223</v>
      </c>
      <c r="AD403" s="43">
        <f t="shared" si="175"/>
        <v>2017.2560014465359</v>
      </c>
      <c r="AE403" s="43">
        <f t="shared" si="176"/>
        <v>1877.2891518369363</v>
      </c>
      <c r="AF403" s="43">
        <f t="shared" si="177"/>
        <v>1877.2891518369363</v>
      </c>
      <c r="AH403" s="43">
        <f t="shared" si="178"/>
        <v>20223.375652173912</v>
      </c>
      <c r="AI403" s="43">
        <f t="shared" si="179"/>
        <v>17974.213792060491</v>
      </c>
      <c r="AJ403" s="43">
        <f t="shared" si="180"/>
        <v>15956.957790613955</v>
      </c>
      <c r="AK403" s="43">
        <f t="shared" si="181"/>
        <v>14079.668638777019</v>
      </c>
      <c r="AL403" s="43">
        <f t="shared" si="182"/>
        <v>12202.379486940083</v>
      </c>
      <c r="AN403" s="47">
        <f t="shared" si="183"/>
        <v>3339.7827495652173</v>
      </c>
      <c r="AO403" s="47">
        <f t="shared" si="184"/>
        <v>3165.8467635085071</v>
      </c>
      <c r="AP403" s="47">
        <f t="shared" si="185"/>
        <v>2831.0608487678473</v>
      </c>
      <c r="AQ403" s="47">
        <f t="shared" si="186"/>
        <v>2651.6709269696721</v>
      </c>
      <c r="AR403" s="43">
        <f t="shared" si="187"/>
        <v>2340.9795723406596</v>
      </c>
      <c r="AS403" s="349"/>
      <c r="AT403" s="350"/>
      <c r="AU403" s="121"/>
      <c r="AV403" s="121"/>
      <c r="AW403" s="121"/>
      <c r="AX403" s="121"/>
    </row>
    <row r="404" spans="1:50" s="89" customFormat="1">
      <c r="A404" s="3"/>
      <c r="B404" s="37">
        <f>'13. Desinvesteringen'!B687</f>
        <v>668</v>
      </c>
      <c r="C404" s="331"/>
      <c r="D404" s="331"/>
      <c r="E404" s="331"/>
      <c r="F404" s="354">
        <f>'5. Input GAW-waarde desinv.'!D363</f>
        <v>24435</v>
      </c>
      <c r="G404" s="175">
        <f>'13. Desinvesteringen'!D687</f>
        <v>1980</v>
      </c>
      <c r="H404" s="175">
        <f>'13. Desinvesteringen'!G687</f>
        <v>2025</v>
      </c>
      <c r="I404" s="37" t="str">
        <f>'13. Desinvesteringen'!C687</f>
        <v>01 Regionale leidingen</v>
      </c>
      <c r="J404" s="165">
        <f>'13. Desinvesteringen'!F687</f>
        <v>0</v>
      </c>
      <c r="K404" s="38">
        <f>_xlfn.XLOOKUP(I404,'3. Input (des)investeringen '!$B$11:$B$89,'3. Input (des)investeringen '!$E$11:$E$89)</f>
        <v>1</v>
      </c>
      <c r="L404" s="331"/>
      <c r="M404" s="38">
        <f>_xlfn.XLOOKUP(I404,'3. Input (des)investeringen '!$B$11:$B$89,'3. Input (des)investeringen '!$D$11:$D$89,0)</f>
        <v>55</v>
      </c>
      <c r="N404" s="38">
        <f t="shared" si="172"/>
        <v>13.5</v>
      </c>
      <c r="P404" s="43">
        <f t="shared" si="189"/>
        <v>2117.7000000000003</v>
      </c>
      <c r="Q404" s="43">
        <f t="shared" si="189"/>
        <v>1913.7733333333333</v>
      </c>
      <c r="R404" s="43">
        <f t="shared" si="189"/>
        <v>1729.484049382716</v>
      </c>
      <c r="S404" s="43">
        <f t="shared" si="189"/>
        <v>1562.9411409236395</v>
      </c>
      <c r="T404" s="43">
        <f t="shared" si="189"/>
        <v>1543.9580501431906</v>
      </c>
      <c r="V404" s="43">
        <f t="shared" si="167"/>
        <v>181</v>
      </c>
      <c r="W404" s="43">
        <f t="shared" si="168"/>
        <v>181</v>
      </c>
      <c r="X404" s="43">
        <f t="shared" si="169"/>
        <v>181</v>
      </c>
      <c r="Y404" s="43">
        <f t="shared" si="170"/>
        <v>181</v>
      </c>
      <c r="Z404" s="43">
        <f t="shared" si="171"/>
        <v>181</v>
      </c>
      <c r="AB404" s="43">
        <f t="shared" si="173"/>
        <v>2298.7000000000003</v>
      </c>
      <c r="AC404" s="43">
        <f t="shared" si="174"/>
        <v>2094.7733333333335</v>
      </c>
      <c r="AD404" s="43">
        <f t="shared" si="175"/>
        <v>1910.484049382716</v>
      </c>
      <c r="AE404" s="43">
        <f t="shared" si="176"/>
        <v>1743.9411409236395</v>
      </c>
      <c r="AF404" s="43">
        <f t="shared" si="177"/>
        <v>1724.9580501431906</v>
      </c>
      <c r="AH404" s="43">
        <f t="shared" si="178"/>
        <v>22136.3</v>
      </c>
      <c r="AI404" s="43">
        <f t="shared" si="179"/>
        <v>20041.526666666665</v>
      </c>
      <c r="AJ404" s="43">
        <f t="shared" si="180"/>
        <v>18131.042617283951</v>
      </c>
      <c r="AK404" s="43">
        <f t="shared" si="181"/>
        <v>16387.101476360313</v>
      </c>
      <c r="AL404" s="43">
        <f t="shared" si="182"/>
        <v>14662.143426217122</v>
      </c>
      <c r="AN404" s="47">
        <f t="shared" si="183"/>
        <v>3206.2883000000002</v>
      </c>
      <c r="AO404" s="47">
        <f t="shared" si="184"/>
        <v>3116.8911933333334</v>
      </c>
      <c r="AP404" s="47">
        <f t="shared" si="185"/>
        <v>2835.1672228641974</v>
      </c>
      <c r="AQ404" s="47">
        <f t="shared" si="186"/>
        <v>2645.2317221234566</v>
      </c>
      <c r="AR404" s="43">
        <f t="shared" si="187"/>
        <v>2282.1195003394414</v>
      </c>
      <c r="AS404" s="349"/>
      <c r="AT404" s="350"/>
      <c r="AU404" s="121"/>
      <c r="AV404" s="121"/>
      <c r="AW404" s="121"/>
      <c r="AX404" s="121"/>
    </row>
    <row r="405" spans="1:50" s="89" customFormat="1">
      <c r="A405" s="3"/>
      <c r="B405" s="37">
        <f>'13. Desinvesteringen'!B688</f>
        <v>669</v>
      </c>
      <c r="C405" s="331"/>
      <c r="D405" s="331"/>
      <c r="E405" s="331"/>
      <c r="F405" s="354">
        <f>'5. Input GAW-waarde desinv.'!D364</f>
        <v>34214</v>
      </c>
      <c r="G405" s="175">
        <f>'13. Desinvesteringen'!D688</f>
        <v>1986</v>
      </c>
      <c r="H405" s="175">
        <f>'13. Desinvesteringen'!G688</f>
        <v>2025</v>
      </c>
      <c r="I405" s="37" t="str">
        <f>'13. Desinvesteringen'!C688</f>
        <v>01 Regionale leidingen</v>
      </c>
      <c r="J405" s="165">
        <f>'13. Desinvesteringen'!F688</f>
        <v>0</v>
      </c>
      <c r="K405" s="38">
        <f>_xlfn.XLOOKUP(I405,'3. Input (des)investeringen '!$B$11:$B$89,'3. Input (des)investeringen '!$E$11:$E$89)</f>
        <v>1</v>
      </c>
      <c r="L405" s="331"/>
      <c r="M405" s="38">
        <f>_xlfn.XLOOKUP(I405,'3. Input (des)investeringen '!$B$11:$B$89,'3. Input (des)investeringen '!$D$11:$D$89,0)</f>
        <v>55</v>
      </c>
      <c r="N405" s="38">
        <f t="shared" si="172"/>
        <v>19.5</v>
      </c>
      <c r="P405" s="43">
        <f t="shared" si="189"/>
        <v>2052.84</v>
      </c>
      <c r="Q405" s="43">
        <f t="shared" si="189"/>
        <v>1915.9839999999999</v>
      </c>
      <c r="R405" s="43">
        <f t="shared" si="189"/>
        <v>1788.2517333333333</v>
      </c>
      <c r="S405" s="43">
        <f t="shared" si="189"/>
        <v>1669.034951111111</v>
      </c>
      <c r="T405" s="43">
        <f t="shared" si="189"/>
        <v>1557.7659543703705</v>
      </c>
      <c r="V405" s="43">
        <f t="shared" si="167"/>
        <v>175.45641025641027</v>
      </c>
      <c r="W405" s="43">
        <f t="shared" si="168"/>
        <v>175.45641025641027</v>
      </c>
      <c r="X405" s="43">
        <f t="shared" si="169"/>
        <v>175.45641025641027</v>
      </c>
      <c r="Y405" s="43">
        <f t="shared" si="170"/>
        <v>175.45641025641027</v>
      </c>
      <c r="Z405" s="43">
        <f t="shared" si="171"/>
        <v>175.45641025641027</v>
      </c>
      <c r="AB405" s="43">
        <f t="shared" si="173"/>
        <v>2228.2964102564106</v>
      </c>
      <c r="AC405" s="43">
        <f t="shared" si="174"/>
        <v>2091.4404102564104</v>
      </c>
      <c r="AD405" s="43">
        <f t="shared" si="175"/>
        <v>1963.7081435897435</v>
      </c>
      <c r="AE405" s="43">
        <f t="shared" si="176"/>
        <v>1844.4913613675212</v>
      </c>
      <c r="AF405" s="43">
        <f t="shared" si="177"/>
        <v>1733.2223646267807</v>
      </c>
      <c r="AH405" s="43">
        <f t="shared" si="178"/>
        <v>31985.703589743589</v>
      </c>
      <c r="AI405" s="43">
        <f t="shared" si="179"/>
        <v>29894.263179487178</v>
      </c>
      <c r="AJ405" s="43">
        <f t="shared" si="180"/>
        <v>27930.555035897436</v>
      </c>
      <c r="AK405" s="43">
        <f t="shared" si="181"/>
        <v>26086.063674529916</v>
      </c>
      <c r="AL405" s="43">
        <f t="shared" si="182"/>
        <v>24352.841309903135</v>
      </c>
      <c r="AN405" s="47">
        <f t="shared" si="183"/>
        <v>3539.7102574358978</v>
      </c>
      <c r="AO405" s="47">
        <f t="shared" si="184"/>
        <v>3616.0478324102564</v>
      </c>
      <c r="AP405" s="47">
        <f t="shared" si="185"/>
        <v>3388.1664504205128</v>
      </c>
      <c r="AQ405" s="47">
        <f t="shared" si="186"/>
        <v>3279.2248634666666</v>
      </c>
      <c r="AR405" s="43">
        <f t="shared" si="187"/>
        <v>2658.6303344030998</v>
      </c>
      <c r="AS405" s="349"/>
      <c r="AT405" s="350"/>
      <c r="AU405" s="121"/>
      <c r="AV405" s="121"/>
      <c r="AW405" s="121"/>
      <c r="AX405" s="121"/>
    </row>
    <row r="406" spans="1:50" s="89" customFormat="1">
      <c r="A406" s="3"/>
      <c r="B406" s="37">
        <f>'13. Desinvesteringen'!B689</f>
        <v>670</v>
      </c>
      <c r="C406" s="331"/>
      <c r="D406" s="331"/>
      <c r="E406" s="331"/>
      <c r="F406" s="354">
        <f>'5. Input GAW-waarde desinv.'!D365</f>
        <v>15206</v>
      </c>
      <c r="G406" s="175">
        <f>'13. Desinvesteringen'!D689</f>
        <v>1987</v>
      </c>
      <c r="H406" s="175">
        <f>'13. Desinvesteringen'!G689</f>
        <v>2025</v>
      </c>
      <c r="I406" s="37" t="str">
        <f>'13. Desinvesteringen'!C689</f>
        <v>01 Regionale leidingen</v>
      </c>
      <c r="J406" s="165">
        <f>'13. Desinvesteringen'!F689</f>
        <v>0</v>
      </c>
      <c r="K406" s="38">
        <f>_xlfn.XLOOKUP(I406,'3. Input (des)investeringen '!$B$11:$B$89,'3. Input (des)investeringen '!$E$11:$E$89)</f>
        <v>1</v>
      </c>
      <c r="L406" s="331"/>
      <c r="M406" s="38">
        <f>_xlfn.XLOOKUP(I406,'3. Input (des)investeringen '!$B$11:$B$89,'3. Input (des)investeringen '!$D$11:$D$89,0)</f>
        <v>55</v>
      </c>
      <c r="N406" s="38">
        <f t="shared" si="172"/>
        <v>20.5</v>
      </c>
      <c r="P406" s="43">
        <f t="shared" si="189"/>
        <v>867.85463414634148</v>
      </c>
      <c r="Q406" s="43">
        <f t="shared" si="189"/>
        <v>812.81995002974429</v>
      </c>
      <c r="R406" s="43">
        <f t="shared" si="189"/>
        <v>761.27527027176052</v>
      </c>
      <c r="S406" s="43">
        <f t="shared" si="189"/>
        <v>712.99927752281963</v>
      </c>
      <c r="T406" s="43">
        <f t="shared" si="189"/>
        <v>667.78468919210422</v>
      </c>
      <c r="V406" s="43">
        <f t="shared" si="167"/>
        <v>74.175609756097558</v>
      </c>
      <c r="W406" s="43">
        <f t="shared" si="168"/>
        <v>74.175609756097558</v>
      </c>
      <c r="X406" s="43">
        <f t="shared" si="169"/>
        <v>74.175609756097558</v>
      </c>
      <c r="Y406" s="43">
        <f t="shared" si="170"/>
        <v>74.175609756097558</v>
      </c>
      <c r="Z406" s="43">
        <f t="shared" si="171"/>
        <v>74.175609756097558</v>
      </c>
      <c r="AB406" s="43">
        <f t="shared" si="173"/>
        <v>942.030243902439</v>
      </c>
      <c r="AC406" s="43">
        <f t="shared" si="174"/>
        <v>886.99555978584181</v>
      </c>
      <c r="AD406" s="43">
        <f t="shared" si="175"/>
        <v>835.45088002785803</v>
      </c>
      <c r="AE406" s="43">
        <f t="shared" si="176"/>
        <v>787.17488727891714</v>
      </c>
      <c r="AF406" s="43">
        <f t="shared" si="177"/>
        <v>741.96029894820174</v>
      </c>
      <c r="AH406" s="43">
        <f t="shared" si="178"/>
        <v>14263.969756097562</v>
      </c>
      <c r="AI406" s="43">
        <f t="shared" si="179"/>
        <v>13376.974196311719</v>
      </c>
      <c r="AJ406" s="43">
        <f t="shared" si="180"/>
        <v>12541.523316283861</v>
      </c>
      <c r="AK406" s="43">
        <f t="shared" si="181"/>
        <v>11754.348429004944</v>
      </c>
      <c r="AL406" s="43">
        <f t="shared" si="182"/>
        <v>11012.388130056743</v>
      </c>
      <c r="AN406" s="47">
        <f t="shared" si="183"/>
        <v>1526.853003902439</v>
      </c>
      <c r="AO406" s="47">
        <f t="shared" si="184"/>
        <v>1569.2212437977396</v>
      </c>
      <c r="AP406" s="47">
        <f t="shared" si="185"/>
        <v>1475.0685691583349</v>
      </c>
      <c r="AQ406" s="47">
        <f t="shared" si="186"/>
        <v>1433.6640508741889</v>
      </c>
      <c r="AR406" s="43">
        <f t="shared" si="187"/>
        <v>1160.4310478903581</v>
      </c>
      <c r="AS406" s="349"/>
      <c r="AT406" s="350"/>
      <c r="AU406" s="121"/>
      <c r="AV406" s="121"/>
      <c r="AW406" s="121"/>
      <c r="AX406" s="121"/>
    </row>
    <row r="407" spans="1:50" s="89" customFormat="1">
      <c r="A407" s="3"/>
      <c r="B407" s="37">
        <f>'13. Desinvesteringen'!B690</f>
        <v>671</v>
      </c>
      <c r="C407" s="331"/>
      <c r="D407" s="331"/>
      <c r="E407" s="331"/>
      <c r="F407" s="354">
        <f>'5. Input GAW-waarde desinv.'!D366</f>
        <v>22137</v>
      </c>
      <c r="G407" s="175">
        <f>'13. Desinvesteringen'!D690</f>
        <v>1992</v>
      </c>
      <c r="H407" s="175">
        <f>'13. Desinvesteringen'!G690</f>
        <v>2025</v>
      </c>
      <c r="I407" s="37" t="str">
        <f>'13. Desinvesteringen'!C690</f>
        <v>01 Regionale leidingen</v>
      </c>
      <c r="J407" s="165">
        <f>'13. Desinvesteringen'!F690</f>
        <v>0</v>
      </c>
      <c r="K407" s="38">
        <f>_xlfn.XLOOKUP(I407,'3. Input (des)investeringen '!$B$11:$B$89,'3. Input (des)investeringen '!$E$11:$E$89)</f>
        <v>1</v>
      </c>
      <c r="L407" s="331"/>
      <c r="M407" s="38">
        <f>_xlfn.XLOOKUP(I407,'3. Input (des)investeringen '!$B$11:$B$89,'3. Input (des)investeringen '!$D$11:$D$89,0)</f>
        <v>55</v>
      </c>
      <c r="N407" s="38">
        <f t="shared" si="172"/>
        <v>25.5</v>
      </c>
      <c r="P407" s="43">
        <f t="shared" si="189"/>
        <v>1015.6976470588235</v>
      </c>
      <c r="Q407" s="43">
        <f t="shared" si="189"/>
        <v>963.9169826989621</v>
      </c>
      <c r="R407" s="43">
        <f t="shared" si="189"/>
        <v>914.776116914309</v>
      </c>
      <c r="S407" s="43">
        <f t="shared" si="189"/>
        <v>868.14047173828556</v>
      </c>
      <c r="T407" s="43">
        <f t="shared" si="189"/>
        <v>823.88233004182393</v>
      </c>
      <c r="V407" s="43">
        <f t="shared" si="167"/>
        <v>86.811764705882354</v>
      </c>
      <c r="W407" s="43">
        <f t="shared" si="168"/>
        <v>86.811764705882354</v>
      </c>
      <c r="X407" s="43">
        <f t="shared" si="169"/>
        <v>86.811764705882354</v>
      </c>
      <c r="Y407" s="43">
        <f t="shared" si="170"/>
        <v>86.811764705882354</v>
      </c>
      <c r="Z407" s="43">
        <f t="shared" si="171"/>
        <v>86.811764705882354</v>
      </c>
      <c r="AB407" s="43">
        <f t="shared" si="173"/>
        <v>1102.5094117647059</v>
      </c>
      <c r="AC407" s="43">
        <f t="shared" si="174"/>
        <v>1050.7287474048444</v>
      </c>
      <c r="AD407" s="43">
        <f t="shared" si="175"/>
        <v>1001.5878816201914</v>
      </c>
      <c r="AE407" s="43">
        <f t="shared" si="176"/>
        <v>954.95223644416797</v>
      </c>
      <c r="AF407" s="43">
        <f t="shared" si="177"/>
        <v>910.69409474770623</v>
      </c>
      <c r="AH407" s="43">
        <f t="shared" si="178"/>
        <v>21034.490588235294</v>
      </c>
      <c r="AI407" s="43">
        <f t="shared" si="179"/>
        <v>19983.761840830448</v>
      </c>
      <c r="AJ407" s="43">
        <f t="shared" si="180"/>
        <v>18982.173959210257</v>
      </c>
      <c r="AK407" s="43">
        <f t="shared" si="181"/>
        <v>18027.221722766088</v>
      </c>
      <c r="AL407" s="43">
        <f t="shared" si="182"/>
        <v>17116.527628018383</v>
      </c>
      <c r="AN407" s="47">
        <f t="shared" si="183"/>
        <v>1964.9235258823528</v>
      </c>
      <c r="AO407" s="47">
        <f t="shared" si="184"/>
        <v>2069.9006012871973</v>
      </c>
      <c r="AP407" s="47">
        <f t="shared" si="185"/>
        <v>1969.6787535399144</v>
      </c>
      <c r="AQ407" s="47">
        <f t="shared" si="186"/>
        <v>1946.4494311963028</v>
      </c>
      <c r="AR407" s="43">
        <f t="shared" si="187"/>
        <v>1561.1221446124048</v>
      </c>
      <c r="AS407" s="349"/>
      <c r="AT407" s="350"/>
      <c r="AU407" s="121"/>
      <c r="AV407" s="121"/>
      <c r="AW407" s="121"/>
      <c r="AX407" s="121"/>
    </row>
    <row r="408" spans="1:50" s="89" customFormat="1">
      <c r="A408" s="3"/>
      <c r="B408" s="37">
        <f>'13. Desinvesteringen'!B691</f>
        <v>672</v>
      </c>
      <c r="C408" s="331"/>
      <c r="D408" s="331"/>
      <c r="E408" s="331"/>
      <c r="F408" s="354">
        <f>'5. Input GAW-waarde desinv.'!D367</f>
        <v>33597</v>
      </c>
      <c r="G408" s="175">
        <f>'13. Desinvesteringen'!D691</f>
        <v>1993</v>
      </c>
      <c r="H408" s="175">
        <f>'13. Desinvesteringen'!G691</f>
        <v>2025</v>
      </c>
      <c r="I408" s="37" t="str">
        <f>'13. Desinvesteringen'!C691</f>
        <v>01 Regionale leidingen</v>
      </c>
      <c r="J408" s="165">
        <f>'13. Desinvesteringen'!F691</f>
        <v>0</v>
      </c>
      <c r="K408" s="38">
        <f>_xlfn.XLOOKUP(I408,'3. Input (des)investeringen '!$B$11:$B$89,'3. Input (des)investeringen '!$E$11:$E$89)</f>
        <v>1</v>
      </c>
      <c r="L408" s="331"/>
      <c r="M408" s="38">
        <f>_xlfn.XLOOKUP(I408,'3. Input (des)investeringen '!$B$11:$B$89,'3. Input (des)investeringen '!$D$11:$D$89,0)</f>
        <v>55</v>
      </c>
      <c r="N408" s="38">
        <f t="shared" si="172"/>
        <v>26.5</v>
      </c>
      <c r="P408" s="43">
        <f t="shared" si="189"/>
        <v>1483.339245283019</v>
      </c>
      <c r="Q408" s="43">
        <f t="shared" si="189"/>
        <v>1410.5716596653615</v>
      </c>
      <c r="R408" s="43">
        <f t="shared" si="189"/>
        <v>1341.3738046629098</v>
      </c>
      <c r="S408" s="43">
        <f t="shared" si="189"/>
        <v>1275.5705614152955</v>
      </c>
      <c r="T408" s="43">
        <f t="shared" si="189"/>
        <v>1212.9954017986959</v>
      </c>
      <c r="V408" s="43">
        <f t="shared" si="167"/>
        <v>126.7811320754717</v>
      </c>
      <c r="W408" s="43">
        <f t="shared" si="168"/>
        <v>126.7811320754717</v>
      </c>
      <c r="X408" s="43">
        <f t="shared" si="169"/>
        <v>126.7811320754717</v>
      </c>
      <c r="Y408" s="43">
        <f t="shared" si="170"/>
        <v>126.7811320754717</v>
      </c>
      <c r="Z408" s="43">
        <f t="shared" si="171"/>
        <v>126.7811320754717</v>
      </c>
      <c r="AB408" s="43">
        <f t="shared" si="173"/>
        <v>1610.1203773584907</v>
      </c>
      <c r="AC408" s="43">
        <f t="shared" si="174"/>
        <v>1537.3527917408333</v>
      </c>
      <c r="AD408" s="43">
        <f t="shared" si="175"/>
        <v>1468.1549367383816</v>
      </c>
      <c r="AE408" s="43">
        <f t="shared" si="176"/>
        <v>1402.3516934907673</v>
      </c>
      <c r="AF408" s="43">
        <f t="shared" si="177"/>
        <v>1339.7765338741676</v>
      </c>
      <c r="AH408" s="43">
        <f t="shared" si="178"/>
        <v>31986.879622641511</v>
      </c>
      <c r="AI408" s="43">
        <f t="shared" si="179"/>
        <v>30449.526830900679</v>
      </c>
      <c r="AJ408" s="43">
        <f t="shared" si="180"/>
        <v>28981.371894162297</v>
      </c>
      <c r="AK408" s="43">
        <f t="shared" si="181"/>
        <v>27579.02020067153</v>
      </c>
      <c r="AL408" s="43">
        <f t="shared" si="182"/>
        <v>26239.243666797363</v>
      </c>
      <c r="AN408" s="47">
        <f t="shared" si="183"/>
        <v>2921.5824418867924</v>
      </c>
      <c r="AO408" s="47">
        <f t="shared" si="184"/>
        <v>3090.2786601167677</v>
      </c>
      <c r="AP408" s="47">
        <f t="shared" si="185"/>
        <v>2946.2049033406583</v>
      </c>
      <c r="AQ408" s="47">
        <f t="shared" si="186"/>
        <v>2919.1978045277015</v>
      </c>
      <c r="AR408" s="43">
        <f t="shared" si="187"/>
        <v>2336.8677932124674</v>
      </c>
      <c r="AS408" s="349"/>
      <c r="AT408" s="350"/>
      <c r="AU408" s="121"/>
      <c r="AV408" s="121"/>
      <c r="AW408" s="121"/>
      <c r="AX408" s="121"/>
    </row>
    <row r="409" spans="1:50" s="89" customFormat="1">
      <c r="A409" s="3"/>
      <c r="B409" s="37">
        <f>'13. Desinvesteringen'!B692</f>
        <v>673</v>
      </c>
      <c r="C409" s="331"/>
      <c r="D409" s="331"/>
      <c r="E409" s="331"/>
      <c r="F409" s="354">
        <f>'5. Input GAW-waarde desinv.'!D368</f>
        <v>14916</v>
      </c>
      <c r="G409" s="175">
        <f>'13. Desinvesteringen'!D692</f>
        <v>1995</v>
      </c>
      <c r="H409" s="175">
        <f>'13. Desinvesteringen'!G692</f>
        <v>2025</v>
      </c>
      <c r="I409" s="37" t="str">
        <f>'13. Desinvesteringen'!C692</f>
        <v>01 Regionale leidingen</v>
      </c>
      <c r="J409" s="165">
        <f>'13. Desinvesteringen'!F692</f>
        <v>0</v>
      </c>
      <c r="K409" s="38">
        <f>_xlfn.XLOOKUP(I409,'3. Input (des)investeringen '!$B$11:$B$89,'3. Input (des)investeringen '!$E$11:$E$89)</f>
        <v>1</v>
      </c>
      <c r="L409" s="331"/>
      <c r="M409" s="38">
        <f>_xlfn.XLOOKUP(I409,'3. Input (des)investeringen '!$B$11:$B$89,'3. Input (des)investeringen '!$D$11:$D$89,0)</f>
        <v>55</v>
      </c>
      <c r="N409" s="38">
        <f t="shared" si="172"/>
        <v>28.5</v>
      </c>
      <c r="P409" s="43">
        <f t="shared" ref="P409:T418" si="190">IF($M409&gt;0, IF(OR($G409&gt;P$50,$G409+$M409&lt;P$50),0,
VDB($F409,0,$N409,MAX(0,P$50-2022),MIN($N409,P$50-2021),$F$23,FALSE))*(1-$F$26), 0)</f>
        <v>612.34105263157903</v>
      </c>
      <c r="Q409" s="43">
        <f t="shared" si="190"/>
        <v>584.40970637119119</v>
      </c>
      <c r="R409" s="43">
        <f t="shared" si="190"/>
        <v>557.75242151917189</v>
      </c>
      <c r="S409" s="43">
        <f t="shared" si="190"/>
        <v>532.31108299373602</v>
      </c>
      <c r="T409" s="43">
        <f t="shared" si="190"/>
        <v>508.03022657647796</v>
      </c>
      <c r="V409" s="43">
        <f t="shared" si="167"/>
        <v>52.336842105263159</v>
      </c>
      <c r="W409" s="43">
        <f t="shared" si="168"/>
        <v>52.336842105263159</v>
      </c>
      <c r="X409" s="43">
        <f t="shared" si="169"/>
        <v>52.336842105263159</v>
      </c>
      <c r="Y409" s="43">
        <f t="shared" si="170"/>
        <v>52.336842105263159</v>
      </c>
      <c r="Z409" s="43">
        <f t="shared" si="171"/>
        <v>52.336842105263159</v>
      </c>
      <c r="AB409" s="43">
        <f t="shared" si="173"/>
        <v>664.67789473684218</v>
      </c>
      <c r="AC409" s="43">
        <f t="shared" si="174"/>
        <v>636.74654847645434</v>
      </c>
      <c r="AD409" s="43">
        <f t="shared" si="175"/>
        <v>610.08926362443503</v>
      </c>
      <c r="AE409" s="43">
        <f t="shared" si="176"/>
        <v>584.64792509899917</v>
      </c>
      <c r="AF409" s="43">
        <f t="shared" si="177"/>
        <v>560.3670686817411</v>
      </c>
      <c r="AH409" s="43">
        <f t="shared" si="178"/>
        <v>14251.322105263158</v>
      </c>
      <c r="AI409" s="43">
        <f t="shared" si="179"/>
        <v>13614.575556786704</v>
      </c>
      <c r="AJ409" s="43">
        <f t="shared" si="180"/>
        <v>13004.486293162268</v>
      </c>
      <c r="AK409" s="43">
        <f t="shared" si="181"/>
        <v>12419.838368063269</v>
      </c>
      <c r="AL409" s="43">
        <f t="shared" si="182"/>
        <v>11859.471299381528</v>
      </c>
      <c r="AN409" s="47">
        <f t="shared" si="183"/>
        <v>1248.9821010526316</v>
      </c>
      <c r="AO409" s="47">
        <f t="shared" si="184"/>
        <v>1331.0899018725763</v>
      </c>
      <c r="AP409" s="47">
        <f t="shared" si="185"/>
        <v>1273.3180645757107</v>
      </c>
      <c r="AQ409" s="47">
        <f t="shared" si="186"/>
        <v>1267.7390353424789</v>
      </c>
      <c r="AR409" s="43">
        <f t="shared" si="187"/>
        <v>1011.0269780582391</v>
      </c>
      <c r="AS409" s="349"/>
      <c r="AT409" s="350"/>
      <c r="AU409" s="121"/>
      <c r="AV409" s="121"/>
      <c r="AW409" s="121"/>
      <c r="AX409" s="121"/>
    </row>
    <row r="410" spans="1:50" s="89" customFormat="1">
      <c r="A410" s="3"/>
      <c r="B410" s="37">
        <f>'13. Desinvesteringen'!B693</f>
        <v>674</v>
      </c>
      <c r="C410" s="331"/>
      <c r="D410" s="331"/>
      <c r="E410" s="331"/>
      <c r="F410" s="354">
        <f>'5. Input GAW-waarde desinv.'!D369</f>
        <v>5509</v>
      </c>
      <c r="G410" s="175">
        <f>'13. Desinvesteringen'!D693</f>
        <v>1998</v>
      </c>
      <c r="H410" s="175">
        <f>'13. Desinvesteringen'!G693</f>
        <v>2025</v>
      </c>
      <c r="I410" s="37" t="str">
        <f>'13. Desinvesteringen'!C693</f>
        <v>01 Regionale leidingen</v>
      </c>
      <c r="J410" s="165">
        <f>'13. Desinvesteringen'!F693</f>
        <v>0</v>
      </c>
      <c r="K410" s="38">
        <f>_xlfn.XLOOKUP(I410,'3. Input (des)investeringen '!$B$11:$B$89,'3. Input (des)investeringen '!$E$11:$E$89)</f>
        <v>1</v>
      </c>
      <c r="L410" s="331"/>
      <c r="M410" s="38">
        <f>_xlfn.XLOOKUP(I410,'3. Input (des)investeringen '!$B$11:$B$89,'3. Input (des)investeringen '!$D$11:$D$89,0)</f>
        <v>55</v>
      </c>
      <c r="N410" s="38">
        <f t="shared" si="172"/>
        <v>31.5</v>
      </c>
      <c r="P410" s="43">
        <f t="shared" si="190"/>
        <v>204.62</v>
      </c>
      <c r="Q410" s="43">
        <f t="shared" si="190"/>
        <v>196.17536507936506</v>
      </c>
      <c r="R410" s="43">
        <f t="shared" si="190"/>
        <v>188.07923890148652</v>
      </c>
      <c r="S410" s="43">
        <f t="shared" si="190"/>
        <v>180.31723856586964</v>
      </c>
      <c r="T410" s="43">
        <f t="shared" si="190"/>
        <v>172.87557475204011</v>
      </c>
      <c r="V410" s="43">
        <f t="shared" si="167"/>
        <v>17.488888888888891</v>
      </c>
      <c r="W410" s="43">
        <f t="shared" si="168"/>
        <v>17.488888888888891</v>
      </c>
      <c r="X410" s="43">
        <f t="shared" si="169"/>
        <v>17.488888888888891</v>
      </c>
      <c r="Y410" s="43">
        <f t="shared" si="170"/>
        <v>17.488888888888891</v>
      </c>
      <c r="Z410" s="43">
        <f t="shared" si="171"/>
        <v>17.488888888888891</v>
      </c>
      <c r="AB410" s="43">
        <f t="shared" si="173"/>
        <v>222.10888888888888</v>
      </c>
      <c r="AC410" s="43">
        <f t="shared" si="174"/>
        <v>213.66425396825395</v>
      </c>
      <c r="AD410" s="43">
        <f t="shared" si="175"/>
        <v>205.5681277903754</v>
      </c>
      <c r="AE410" s="43">
        <f t="shared" si="176"/>
        <v>197.80612745475852</v>
      </c>
      <c r="AF410" s="43">
        <f t="shared" si="177"/>
        <v>190.36446364092899</v>
      </c>
      <c r="AH410" s="43">
        <f t="shared" si="178"/>
        <v>5286.8911111111111</v>
      </c>
      <c r="AI410" s="43">
        <f t="shared" si="179"/>
        <v>5073.2268571428567</v>
      </c>
      <c r="AJ410" s="43">
        <f t="shared" si="180"/>
        <v>4867.6587293524817</v>
      </c>
      <c r="AK410" s="43">
        <f t="shared" si="181"/>
        <v>4669.8526018977236</v>
      </c>
      <c r="AL410" s="43">
        <f t="shared" si="182"/>
        <v>4479.4881382567946</v>
      </c>
      <c r="AN410" s="47">
        <f t="shared" si="183"/>
        <v>438.87142444444441</v>
      </c>
      <c r="AO410" s="47">
        <f t="shared" si="184"/>
        <v>472.39882368253961</v>
      </c>
      <c r="AP410" s="47">
        <f t="shared" si="185"/>
        <v>453.81872298735198</v>
      </c>
      <c r="AQ410" s="47">
        <f t="shared" si="186"/>
        <v>454.64802055913333</v>
      </c>
      <c r="AR410" s="43">
        <f t="shared" si="187"/>
        <v>360.58501289468717</v>
      </c>
      <c r="AS410" s="349"/>
      <c r="AT410" s="350"/>
      <c r="AU410" s="121"/>
      <c r="AV410" s="121"/>
      <c r="AW410" s="121"/>
      <c r="AX410" s="121"/>
    </row>
    <row r="411" spans="1:50" s="89" customFormat="1">
      <c r="A411" s="3"/>
      <c r="B411" s="37">
        <f>'13. Desinvesteringen'!B694</f>
        <v>675</v>
      </c>
      <c r="C411" s="331"/>
      <c r="D411" s="331"/>
      <c r="E411" s="331"/>
      <c r="F411" s="354">
        <f>'5. Input GAW-waarde desinv.'!D370</f>
        <v>6680</v>
      </c>
      <c r="G411" s="175">
        <f>'13. Desinvesteringen'!D694</f>
        <v>2004</v>
      </c>
      <c r="H411" s="175">
        <f>'13. Desinvesteringen'!G694</f>
        <v>2025</v>
      </c>
      <c r="I411" s="37" t="str">
        <f>'13. Desinvesteringen'!C694</f>
        <v>01 Regionale leidingen</v>
      </c>
      <c r="J411" s="165">
        <f>'13. Desinvesteringen'!F694</f>
        <v>0</v>
      </c>
      <c r="K411" s="38">
        <f>_xlfn.XLOOKUP(I411,'3. Input (des)investeringen '!$B$11:$B$89,'3. Input (des)investeringen '!$E$11:$E$89)</f>
        <v>1</v>
      </c>
      <c r="L411" s="331"/>
      <c r="M411" s="38">
        <f>_xlfn.XLOOKUP(I411,'3. Input (des)investeringen '!$B$11:$B$89,'3. Input (des)investeringen '!$D$11:$D$89,0)</f>
        <v>55</v>
      </c>
      <c r="N411" s="38">
        <f t="shared" si="172"/>
        <v>37.5</v>
      </c>
      <c r="P411" s="43">
        <f t="shared" si="190"/>
        <v>208.416</v>
      </c>
      <c r="Q411" s="43">
        <f t="shared" si="190"/>
        <v>201.190912</v>
      </c>
      <c r="R411" s="43">
        <f t="shared" si="190"/>
        <v>194.21629371733331</v>
      </c>
      <c r="S411" s="43">
        <f t="shared" si="190"/>
        <v>187.48346220179909</v>
      </c>
      <c r="T411" s="43">
        <f t="shared" si="190"/>
        <v>180.98403551213673</v>
      </c>
      <c r="V411" s="43">
        <f t="shared" ref="V411:V442" si="191">IF($M411&gt;0, IF(OR($G411&gt;V$50,$G411+$M411&lt;V$50),0,
VDB($F411,0,$N411,MAX(0,P$50-2022),MIN($N411,P$50-2021),1,FALSE))*$F$26, 0)</f>
        <v>17.813333333333336</v>
      </c>
      <c r="W411" s="43">
        <f t="shared" ref="W411:W442" si="192">IF($M411&gt;0, IF(OR($G411&gt;W$50,$G411+$M411&lt;W$50),0,
VDB($F411,0,$N411,MAX(0,Q$50-2022),MIN($N411,Q$50-2021),1,FALSE))*$F$26, 0)</f>
        <v>17.813333333333333</v>
      </c>
      <c r="X411" s="43">
        <f t="shared" ref="X411:X442" si="193">IF($M411&gt;0, IF(OR($G411&gt;X$50,$G411+$M411&lt;X$50),0,
VDB($F411,0,$N411,MAX(0,R$50-2022),MIN($N411,R$50-2021),1,FALSE))*$F$26, 0)</f>
        <v>17.813333333333333</v>
      </c>
      <c r="Y411" s="43">
        <f t="shared" ref="Y411:Y442" si="194">IF($M411&gt;0, IF(OR($G411&gt;Y$50,$G411+$M411&lt;Y$50),0,
VDB($F411,0,$N411,MAX(0,S$50-2022),MIN($N411,S$50-2021),1,FALSE))*$F$26, 0)</f>
        <v>17.813333333333333</v>
      </c>
      <c r="Z411" s="43">
        <f t="shared" ref="Z411:Z442" si="195">IF($M411&gt;0, IF(OR($G411&gt;Z$50,$G411+$M411&lt;Z$50),0,
VDB($F411,0,$N411,MAX(0,T$50-2022),MIN($N411,T$50-2021),1,FALSE))*$F$26, 0)</f>
        <v>17.813333333333333</v>
      </c>
      <c r="AB411" s="43">
        <f t="shared" si="173"/>
        <v>226.22933333333333</v>
      </c>
      <c r="AC411" s="43">
        <f t="shared" si="174"/>
        <v>219.00424533333333</v>
      </c>
      <c r="AD411" s="43">
        <f t="shared" si="175"/>
        <v>212.02962705066665</v>
      </c>
      <c r="AE411" s="43">
        <f t="shared" si="176"/>
        <v>205.29679553513242</v>
      </c>
      <c r="AF411" s="43">
        <f t="shared" si="177"/>
        <v>198.79736884547006</v>
      </c>
      <c r="AH411" s="43">
        <f t="shared" si="178"/>
        <v>6453.7706666666663</v>
      </c>
      <c r="AI411" s="43">
        <f t="shared" si="179"/>
        <v>6234.7664213333328</v>
      </c>
      <c r="AJ411" s="43">
        <f t="shared" si="180"/>
        <v>6022.7367942826659</v>
      </c>
      <c r="AK411" s="43">
        <f t="shared" si="181"/>
        <v>5817.4399987475335</v>
      </c>
      <c r="AL411" s="43">
        <f t="shared" si="182"/>
        <v>5618.6426299020632</v>
      </c>
      <c r="AN411" s="47">
        <f t="shared" si="183"/>
        <v>490.83393066666667</v>
      </c>
      <c r="AO411" s="47">
        <f t="shared" si="184"/>
        <v>536.97733282133333</v>
      </c>
      <c r="AP411" s="47">
        <f t="shared" si="185"/>
        <v>519.18920355908267</v>
      </c>
      <c r="AQ411" s="47">
        <f t="shared" si="186"/>
        <v>525.25599546624676</v>
      </c>
      <c r="AR411" s="43">
        <f t="shared" si="187"/>
        <v>412.30578878174845</v>
      </c>
      <c r="AS411" s="349"/>
      <c r="AT411" s="350"/>
      <c r="AU411" s="121"/>
      <c r="AV411" s="121"/>
      <c r="AW411" s="121"/>
      <c r="AX411" s="121"/>
    </row>
    <row r="412" spans="1:50" s="89" customFormat="1">
      <c r="A412" s="3"/>
      <c r="B412" s="37">
        <f>'13. Desinvesteringen'!B695</f>
        <v>676</v>
      </c>
      <c r="C412" s="331"/>
      <c r="D412" s="331"/>
      <c r="E412" s="331"/>
      <c r="F412" s="354">
        <f>'5. Input GAW-waarde desinv.'!D371</f>
        <v>452654</v>
      </c>
      <c r="G412" s="175">
        <f>'13. Desinvesteringen'!D695</f>
        <v>2005</v>
      </c>
      <c r="H412" s="175">
        <f>'13. Desinvesteringen'!G695</f>
        <v>2025</v>
      </c>
      <c r="I412" s="37" t="str">
        <f>'13. Desinvesteringen'!C695</f>
        <v>01 Regionale leidingen</v>
      </c>
      <c r="J412" s="165">
        <f>'13. Desinvesteringen'!F695</f>
        <v>0</v>
      </c>
      <c r="K412" s="38">
        <f>_xlfn.XLOOKUP(I412,'3. Input (des)investeringen '!$B$11:$B$89,'3. Input (des)investeringen '!$E$11:$E$89)</f>
        <v>1</v>
      </c>
      <c r="L412" s="331"/>
      <c r="M412" s="38">
        <f>_xlfn.XLOOKUP(I412,'3. Input (des)investeringen '!$B$11:$B$89,'3. Input (des)investeringen '!$D$11:$D$89,0)</f>
        <v>55</v>
      </c>
      <c r="N412" s="38">
        <f t="shared" si="172"/>
        <v>38.5</v>
      </c>
      <c r="P412" s="43">
        <f t="shared" si="190"/>
        <v>13755.978701298704</v>
      </c>
      <c r="Q412" s="43">
        <f t="shared" si="190"/>
        <v>13291.491108787319</v>
      </c>
      <c r="R412" s="43">
        <f t="shared" si="190"/>
        <v>12842.687512906188</v>
      </c>
      <c r="S412" s="43">
        <f t="shared" si="190"/>
        <v>12409.038324158708</v>
      </c>
      <c r="T412" s="43">
        <f t="shared" si="190"/>
        <v>11990.031835291013</v>
      </c>
      <c r="V412" s="43">
        <f t="shared" si="191"/>
        <v>1175.7246753246754</v>
      </c>
      <c r="W412" s="43">
        <f t="shared" si="192"/>
        <v>1175.7246753246752</v>
      </c>
      <c r="X412" s="43">
        <f t="shared" si="193"/>
        <v>1175.7246753246752</v>
      </c>
      <c r="Y412" s="43">
        <f t="shared" si="194"/>
        <v>1175.7246753246752</v>
      </c>
      <c r="Z412" s="43">
        <f t="shared" si="195"/>
        <v>1175.7246753246752</v>
      </c>
      <c r="AB412" s="43">
        <f t="shared" si="173"/>
        <v>14931.70337662338</v>
      </c>
      <c r="AC412" s="43">
        <f t="shared" si="174"/>
        <v>14467.215784111993</v>
      </c>
      <c r="AD412" s="43">
        <f t="shared" si="175"/>
        <v>14018.412188230863</v>
      </c>
      <c r="AE412" s="43">
        <f t="shared" si="176"/>
        <v>13584.762999483382</v>
      </c>
      <c r="AF412" s="43">
        <f t="shared" si="177"/>
        <v>13165.756510615687</v>
      </c>
      <c r="AH412" s="43">
        <f t="shared" si="178"/>
        <v>437722.29662337661</v>
      </c>
      <c r="AI412" s="43">
        <f t="shared" si="179"/>
        <v>423255.08083926461</v>
      </c>
      <c r="AJ412" s="43">
        <f t="shared" si="180"/>
        <v>409236.66865103377</v>
      </c>
      <c r="AK412" s="43">
        <f t="shared" si="181"/>
        <v>395651.90565155039</v>
      </c>
      <c r="AL412" s="43">
        <f t="shared" si="182"/>
        <v>382486.14914093469</v>
      </c>
      <c r="AN412" s="47">
        <f t="shared" si="183"/>
        <v>32878.317538181822</v>
      </c>
      <c r="AO412" s="47">
        <f t="shared" si="184"/>
        <v>36053.224906914489</v>
      </c>
      <c r="AP412" s="47">
        <f t="shared" si="185"/>
        <v>34889.482289433581</v>
      </c>
      <c r="AQ412" s="47">
        <f t="shared" si="186"/>
        <v>35345.617810318654</v>
      </c>
      <c r="AR412" s="43">
        <f t="shared" si="187"/>
        <v>27700.230177971207</v>
      </c>
      <c r="AS412" s="349"/>
      <c r="AT412" s="350"/>
      <c r="AU412" s="121"/>
      <c r="AV412" s="121"/>
      <c r="AW412" s="121"/>
      <c r="AX412" s="121"/>
    </row>
    <row r="413" spans="1:50" s="89" customFormat="1">
      <c r="A413" s="3"/>
      <c r="B413" s="37">
        <f>'13. Desinvesteringen'!B696</f>
        <v>677</v>
      </c>
      <c r="C413" s="331"/>
      <c r="D413" s="331"/>
      <c r="E413" s="331"/>
      <c r="F413" s="354">
        <f>'5. Input GAW-waarde desinv.'!D372</f>
        <v>216564</v>
      </c>
      <c r="G413" s="175">
        <f>'13. Desinvesteringen'!D696</f>
        <v>2008</v>
      </c>
      <c r="H413" s="175">
        <f>'13. Desinvesteringen'!G696</f>
        <v>2025</v>
      </c>
      <c r="I413" s="37" t="str">
        <f>'13. Desinvesteringen'!C696</f>
        <v>01 Regionale leidingen</v>
      </c>
      <c r="J413" s="165">
        <f>'13. Desinvesteringen'!F696</f>
        <v>0</v>
      </c>
      <c r="K413" s="38">
        <f>_xlfn.XLOOKUP(I413,'3. Input (des)investeringen '!$B$11:$B$89,'3. Input (des)investeringen '!$E$11:$E$89)</f>
        <v>1</v>
      </c>
      <c r="L413" s="331"/>
      <c r="M413" s="38">
        <f>_xlfn.XLOOKUP(I413,'3. Input (des)investeringen '!$B$11:$B$89,'3. Input (des)investeringen '!$D$11:$D$89,0)</f>
        <v>55</v>
      </c>
      <c r="N413" s="38">
        <f t="shared" si="172"/>
        <v>41.5</v>
      </c>
      <c r="P413" s="43">
        <f t="shared" si="190"/>
        <v>6105.5392771084344</v>
      </c>
      <c r="Q413" s="43">
        <f t="shared" si="190"/>
        <v>5914.2814202351583</v>
      </c>
      <c r="R413" s="43">
        <f t="shared" si="190"/>
        <v>5729.0147733362255</v>
      </c>
      <c r="S413" s="43">
        <f t="shared" si="190"/>
        <v>5549.5516599546081</v>
      </c>
      <c r="T413" s="43">
        <f t="shared" si="190"/>
        <v>5375.7102826548253</v>
      </c>
      <c r="V413" s="43">
        <f t="shared" si="191"/>
        <v>521.84096385542171</v>
      </c>
      <c r="W413" s="43">
        <f t="shared" si="192"/>
        <v>521.84096385542171</v>
      </c>
      <c r="X413" s="43">
        <f t="shared" si="193"/>
        <v>521.84096385542171</v>
      </c>
      <c r="Y413" s="43">
        <f t="shared" si="194"/>
        <v>521.84096385542171</v>
      </c>
      <c r="Z413" s="43">
        <f t="shared" si="195"/>
        <v>521.84096385542171</v>
      </c>
      <c r="AB413" s="43">
        <f t="shared" si="173"/>
        <v>6627.3802409638556</v>
      </c>
      <c r="AC413" s="43">
        <f t="shared" si="174"/>
        <v>6436.1223840905805</v>
      </c>
      <c r="AD413" s="43">
        <f t="shared" si="175"/>
        <v>6250.8557371916468</v>
      </c>
      <c r="AE413" s="43">
        <f t="shared" si="176"/>
        <v>6071.3926238100303</v>
      </c>
      <c r="AF413" s="43">
        <f t="shared" si="177"/>
        <v>5897.5512465102474</v>
      </c>
      <c r="AH413" s="43">
        <f t="shared" si="178"/>
        <v>209936.61975903614</v>
      </c>
      <c r="AI413" s="43">
        <f t="shared" si="179"/>
        <v>203500.49737494555</v>
      </c>
      <c r="AJ413" s="43">
        <f t="shared" si="180"/>
        <v>197249.6416377539</v>
      </c>
      <c r="AK413" s="43">
        <f t="shared" si="181"/>
        <v>191178.24901394386</v>
      </c>
      <c r="AL413" s="43">
        <f t="shared" si="182"/>
        <v>185280.69776743362</v>
      </c>
      <c r="AN413" s="47">
        <f t="shared" si="183"/>
        <v>15234.781651084339</v>
      </c>
      <c r="AO413" s="47">
        <f t="shared" si="184"/>
        <v>16814.647750212804</v>
      </c>
      <c r="AP413" s="47">
        <f t="shared" si="185"/>
        <v>16310.587460717095</v>
      </c>
      <c r="AQ413" s="47">
        <f t="shared" si="186"/>
        <v>16586.196319576942</v>
      </c>
      <c r="AR413" s="43">
        <f t="shared" si="187"/>
        <v>12938.217761672724</v>
      </c>
      <c r="AS413" s="349"/>
      <c r="AT413" s="350"/>
      <c r="AU413" s="121"/>
      <c r="AV413" s="121"/>
      <c r="AW413" s="121"/>
      <c r="AX413" s="121"/>
    </row>
    <row r="414" spans="1:50" s="89" customFormat="1">
      <c r="A414" s="3"/>
      <c r="B414" s="37">
        <f>'13. Desinvesteringen'!B697</f>
        <v>678</v>
      </c>
      <c r="C414" s="331"/>
      <c r="D414" s="331"/>
      <c r="E414" s="331"/>
      <c r="F414" s="354">
        <f>'5. Input GAW-waarde desinv.'!D373</f>
        <v>1006173</v>
      </c>
      <c r="G414" s="175">
        <f>'13. Desinvesteringen'!D697</f>
        <v>2010</v>
      </c>
      <c r="H414" s="175">
        <f>'13. Desinvesteringen'!G697</f>
        <v>2025</v>
      </c>
      <c r="I414" s="37" t="str">
        <f>'13. Desinvesteringen'!C697</f>
        <v>01 Regionale leidingen</v>
      </c>
      <c r="J414" s="165">
        <f>'13. Desinvesteringen'!F697</f>
        <v>0</v>
      </c>
      <c r="K414" s="38">
        <f>_xlfn.XLOOKUP(I414,'3. Input (des)investeringen '!$B$11:$B$89,'3. Input (des)investeringen '!$E$11:$E$89)</f>
        <v>1</v>
      </c>
      <c r="L414" s="331"/>
      <c r="M414" s="38">
        <f>_xlfn.XLOOKUP(I414,'3. Input (des)investeringen '!$B$11:$B$89,'3. Input (des)investeringen '!$D$11:$D$89,0)</f>
        <v>55</v>
      </c>
      <c r="N414" s="38">
        <f t="shared" si="172"/>
        <v>43.5</v>
      </c>
      <c r="P414" s="43">
        <f t="shared" si="190"/>
        <v>27062.584137931037</v>
      </c>
      <c r="Q414" s="43">
        <f t="shared" si="190"/>
        <v>26253.817255648039</v>
      </c>
      <c r="R414" s="43">
        <f t="shared" si="190"/>
        <v>25469.220418122924</v>
      </c>
      <c r="S414" s="43">
        <f t="shared" si="190"/>
        <v>24708.071302179022</v>
      </c>
      <c r="T414" s="43">
        <f t="shared" si="190"/>
        <v>23969.669171309302</v>
      </c>
      <c r="V414" s="43">
        <f t="shared" si="191"/>
        <v>2313.0413793103448</v>
      </c>
      <c r="W414" s="43">
        <f t="shared" si="192"/>
        <v>2313.0413793103448</v>
      </c>
      <c r="X414" s="43">
        <f t="shared" si="193"/>
        <v>2313.0413793103448</v>
      </c>
      <c r="Y414" s="43">
        <f t="shared" si="194"/>
        <v>2313.0413793103448</v>
      </c>
      <c r="Z414" s="43">
        <f t="shared" si="195"/>
        <v>2313.0413793103448</v>
      </c>
      <c r="AB414" s="43">
        <f t="shared" si="173"/>
        <v>29375.62551724138</v>
      </c>
      <c r="AC414" s="43">
        <f t="shared" si="174"/>
        <v>28566.858634958382</v>
      </c>
      <c r="AD414" s="43">
        <f t="shared" si="175"/>
        <v>27782.261797433268</v>
      </c>
      <c r="AE414" s="43">
        <f t="shared" si="176"/>
        <v>27021.112681489365</v>
      </c>
      <c r="AF414" s="43">
        <f t="shared" si="177"/>
        <v>26282.710550619646</v>
      </c>
      <c r="AH414" s="43">
        <f t="shared" si="178"/>
        <v>976797.37448275858</v>
      </c>
      <c r="AI414" s="43">
        <f t="shared" si="179"/>
        <v>948230.51584780018</v>
      </c>
      <c r="AJ414" s="43">
        <f t="shared" si="180"/>
        <v>920448.25405036693</v>
      </c>
      <c r="AK414" s="43">
        <f t="shared" si="181"/>
        <v>893427.14136887761</v>
      </c>
      <c r="AL414" s="43">
        <f t="shared" si="182"/>
        <v>867144.43081825797</v>
      </c>
      <c r="AN414" s="47">
        <f t="shared" si="183"/>
        <v>69424.31787103448</v>
      </c>
      <c r="AO414" s="47">
        <f t="shared" si="184"/>
        <v>76926.614943196182</v>
      </c>
      <c r="AP414" s="47">
        <f t="shared" si="185"/>
        <v>74725.122754001975</v>
      </c>
      <c r="AQ414" s="47">
        <f t="shared" si="186"/>
        <v>76159.605456777645</v>
      </c>
      <c r="AR414" s="43">
        <f t="shared" si="187"/>
        <v>59234.198921713447</v>
      </c>
      <c r="AS414" s="349"/>
      <c r="AT414" s="350"/>
      <c r="AU414" s="121"/>
      <c r="AV414" s="121"/>
      <c r="AW414" s="121"/>
      <c r="AX414" s="121"/>
    </row>
    <row r="415" spans="1:50" s="89" customFormat="1">
      <c r="A415" s="3"/>
      <c r="B415" s="37">
        <f>'13. Desinvesteringen'!B698</f>
        <v>679</v>
      </c>
      <c r="C415" s="331"/>
      <c r="D415" s="331"/>
      <c r="E415" s="331"/>
      <c r="F415" s="354">
        <f>'5. Input GAW-waarde desinv.'!D374</f>
        <v>85313</v>
      </c>
      <c r="G415" s="175">
        <f>'13. Desinvesteringen'!D698</f>
        <v>2011</v>
      </c>
      <c r="H415" s="175">
        <f>'13. Desinvesteringen'!G698</f>
        <v>2025</v>
      </c>
      <c r="I415" s="37" t="str">
        <f>'13. Desinvesteringen'!C698</f>
        <v>01 Regionale leidingen</v>
      </c>
      <c r="J415" s="165">
        <f>'13. Desinvesteringen'!F698</f>
        <v>0</v>
      </c>
      <c r="K415" s="38">
        <f>_xlfn.XLOOKUP(I415,'3. Input (des)investeringen '!$B$11:$B$89,'3. Input (des)investeringen '!$E$11:$E$89)</f>
        <v>1</v>
      </c>
      <c r="L415" s="331"/>
      <c r="M415" s="38">
        <f>_xlfn.XLOOKUP(I415,'3. Input (des)investeringen '!$B$11:$B$89,'3. Input (des)investeringen '!$D$11:$D$89,0)</f>
        <v>55</v>
      </c>
      <c r="N415" s="38">
        <f t="shared" si="172"/>
        <v>44.5</v>
      </c>
      <c r="P415" s="43">
        <f t="shared" si="190"/>
        <v>2243.0608988764047</v>
      </c>
      <c r="Q415" s="43">
        <f t="shared" si="190"/>
        <v>2177.5332771114759</v>
      </c>
      <c r="R415" s="43">
        <f t="shared" si="190"/>
        <v>2113.9199454205786</v>
      </c>
      <c r="S415" s="43">
        <f t="shared" si="190"/>
        <v>2052.1649807228991</v>
      </c>
      <c r="T415" s="43">
        <f t="shared" si="190"/>
        <v>1992.2140936456008</v>
      </c>
      <c r="V415" s="43">
        <f t="shared" si="191"/>
        <v>191.71460674157305</v>
      </c>
      <c r="W415" s="43">
        <f t="shared" si="192"/>
        <v>191.71460674157305</v>
      </c>
      <c r="X415" s="43">
        <f t="shared" si="193"/>
        <v>191.71460674157305</v>
      </c>
      <c r="Y415" s="43">
        <f t="shared" si="194"/>
        <v>191.71460674157305</v>
      </c>
      <c r="Z415" s="43">
        <f t="shared" si="195"/>
        <v>191.71460674157305</v>
      </c>
      <c r="AB415" s="43">
        <f t="shared" si="173"/>
        <v>2434.7755056179776</v>
      </c>
      <c r="AC415" s="43">
        <f t="shared" si="174"/>
        <v>2369.2478838530487</v>
      </c>
      <c r="AD415" s="43">
        <f t="shared" si="175"/>
        <v>2305.6345521621515</v>
      </c>
      <c r="AE415" s="43">
        <f t="shared" si="176"/>
        <v>2243.879587464472</v>
      </c>
      <c r="AF415" s="43">
        <f t="shared" si="177"/>
        <v>2183.9287003871736</v>
      </c>
      <c r="AH415" s="43">
        <f t="shared" si="178"/>
        <v>82878.224494382026</v>
      </c>
      <c r="AI415" s="43">
        <f t="shared" si="179"/>
        <v>80508.976610528975</v>
      </c>
      <c r="AJ415" s="43">
        <f t="shared" si="180"/>
        <v>78203.342058366819</v>
      </c>
      <c r="AK415" s="43">
        <f t="shared" si="181"/>
        <v>75959.462470902348</v>
      </c>
      <c r="AL415" s="43">
        <f t="shared" si="182"/>
        <v>73775.533770515176</v>
      </c>
      <c r="AN415" s="47">
        <f t="shared" si="183"/>
        <v>5832.7827098876405</v>
      </c>
      <c r="AO415" s="47">
        <f t="shared" si="184"/>
        <v>6475.2056909900266</v>
      </c>
      <c r="AP415" s="47">
        <f t="shared" si="185"/>
        <v>6294.0049971388589</v>
      </c>
      <c r="AQ415" s="47">
        <f t="shared" si="186"/>
        <v>6421.6500233641009</v>
      </c>
      <c r="AR415" s="43">
        <f t="shared" si="187"/>
        <v>4987.3989836667497</v>
      </c>
      <c r="AS415" s="349"/>
      <c r="AT415" s="350"/>
      <c r="AU415" s="121"/>
      <c r="AV415" s="121"/>
      <c r="AW415" s="121"/>
      <c r="AX415" s="121"/>
    </row>
    <row r="416" spans="1:50" s="89" customFormat="1">
      <c r="A416" s="3"/>
      <c r="B416" s="37">
        <f>'13. Desinvesteringen'!B699</f>
        <v>680</v>
      </c>
      <c r="C416" s="331"/>
      <c r="D416" s="331"/>
      <c r="E416" s="331"/>
      <c r="F416" s="354">
        <f>'5. Input GAW-waarde desinv.'!D375</f>
        <v>578683</v>
      </c>
      <c r="G416" s="175">
        <f>'13. Desinvesteringen'!D699</f>
        <v>2012</v>
      </c>
      <c r="H416" s="175">
        <f>'13. Desinvesteringen'!G699</f>
        <v>2025</v>
      </c>
      <c r="I416" s="37" t="str">
        <f>'13. Desinvesteringen'!C699</f>
        <v>01 Regionale leidingen</v>
      </c>
      <c r="J416" s="165">
        <f>'13. Desinvesteringen'!F699</f>
        <v>0</v>
      </c>
      <c r="K416" s="38">
        <f>_xlfn.XLOOKUP(I416,'3. Input (des)investeringen '!$B$11:$B$89,'3. Input (des)investeringen '!$E$11:$E$89)</f>
        <v>1</v>
      </c>
      <c r="L416" s="331"/>
      <c r="M416" s="38">
        <f>_xlfn.XLOOKUP(I416,'3. Input (des)investeringen '!$B$11:$B$89,'3. Input (des)investeringen '!$D$11:$D$89,0)</f>
        <v>55</v>
      </c>
      <c r="N416" s="38">
        <f t="shared" si="172"/>
        <v>45.5</v>
      </c>
      <c r="P416" s="43">
        <f t="shared" si="190"/>
        <v>14880.420000000004</v>
      </c>
      <c r="Q416" s="43">
        <f t="shared" si="190"/>
        <v>14455.265142857143</v>
      </c>
      <c r="R416" s="43">
        <f t="shared" si="190"/>
        <v>14042.25756734694</v>
      </c>
      <c r="S416" s="43">
        <f t="shared" si="190"/>
        <v>13641.050208279883</v>
      </c>
      <c r="T416" s="43">
        <f t="shared" si="190"/>
        <v>13251.305916614743</v>
      </c>
      <c r="V416" s="43">
        <f t="shared" si="191"/>
        <v>1271.8307692307694</v>
      </c>
      <c r="W416" s="43">
        <f t="shared" si="192"/>
        <v>1271.8307692307692</v>
      </c>
      <c r="X416" s="43">
        <f t="shared" si="193"/>
        <v>1271.8307692307692</v>
      </c>
      <c r="Y416" s="43">
        <f t="shared" si="194"/>
        <v>1271.8307692307692</v>
      </c>
      <c r="Z416" s="43">
        <f t="shared" si="195"/>
        <v>1271.8307692307692</v>
      </c>
      <c r="AB416" s="43">
        <f t="shared" si="173"/>
        <v>16152.250769230774</v>
      </c>
      <c r="AC416" s="43">
        <f t="shared" si="174"/>
        <v>15727.095912087912</v>
      </c>
      <c r="AD416" s="43">
        <f t="shared" si="175"/>
        <v>15314.08833657771</v>
      </c>
      <c r="AE416" s="43">
        <f t="shared" si="176"/>
        <v>14912.880977510653</v>
      </c>
      <c r="AF416" s="43">
        <f t="shared" si="177"/>
        <v>14523.136685845513</v>
      </c>
      <c r="AH416" s="43">
        <f t="shared" si="178"/>
        <v>562530.74923076923</v>
      </c>
      <c r="AI416" s="43">
        <f t="shared" si="179"/>
        <v>546803.65331868129</v>
      </c>
      <c r="AJ416" s="43">
        <f t="shared" si="180"/>
        <v>531489.56498210353</v>
      </c>
      <c r="AK416" s="43">
        <f t="shared" si="181"/>
        <v>516576.68400459288</v>
      </c>
      <c r="AL416" s="43">
        <f t="shared" si="182"/>
        <v>502053.54731874738</v>
      </c>
      <c r="AN416" s="47">
        <f t="shared" si="183"/>
        <v>39216.011487692318</v>
      </c>
      <c r="AO416" s="47">
        <f t="shared" si="184"/>
        <v>43614.082231340653</v>
      </c>
      <c r="AP416" s="47">
        <f t="shared" si="185"/>
        <v>42420.05615066499</v>
      </c>
      <c r="AQ416" s="47">
        <f t="shared" si="186"/>
        <v>43324.598597763266</v>
      </c>
      <c r="AR416" s="43">
        <f t="shared" si="187"/>
        <v>33601.171483957914</v>
      </c>
      <c r="AS416" s="349"/>
      <c r="AT416" s="350"/>
      <c r="AU416" s="121"/>
      <c r="AV416" s="121"/>
      <c r="AW416" s="121"/>
      <c r="AX416" s="121"/>
    </row>
    <row r="417" spans="1:50" s="89" customFormat="1">
      <c r="A417" s="3"/>
      <c r="B417" s="37">
        <f>'13. Desinvesteringen'!B700</f>
        <v>681</v>
      </c>
      <c r="C417" s="331"/>
      <c r="D417" s="331"/>
      <c r="E417" s="331"/>
      <c r="F417" s="354">
        <f>'5. Input GAW-waarde desinv.'!D376</f>
        <v>183743</v>
      </c>
      <c r="G417" s="175">
        <f>'13. Desinvesteringen'!D700</f>
        <v>2016</v>
      </c>
      <c r="H417" s="175">
        <f>'13. Desinvesteringen'!G700</f>
        <v>2025</v>
      </c>
      <c r="I417" s="37" t="str">
        <f>'13. Desinvesteringen'!C700</f>
        <v>01 Regionale leidingen</v>
      </c>
      <c r="J417" s="165">
        <f>'13. Desinvesteringen'!F700</f>
        <v>0</v>
      </c>
      <c r="K417" s="38">
        <f>_xlfn.XLOOKUP(I417,'3. Input (des)investeringen '!$B$11:$B$89,'3. Input (des)investeringen '!$E$11:$E$89)</f>
        <v>1</v>
      </c>
      <c r="L417" s="331"/>
      <c r="M417" s="38">
        <f>_xlfn.XLOOKUP(I417,'3. Input (des)investeringen '!$B$11:$B$89,'3. Input (des)investeringen '!$D$11:$D$89,0)</f>
        <v>55</v>
      </c>
      <c r="N417" s="38">
        <f t="shared" si="172"/>
        <v>49.5</v>
      </c>
      <c r="P417" s="43">
        <f t="shared" si="190"/>
        <v>4343.0163636363641</v>
      </c>
      <c r="Q417" s="43">
        <f t="shared" si="190"/>
        <v>4228.9573480257122</v>
      </c>
      <c r="R417" s="43">
        <f t="shared" si="190"/>
        <v>4117.8938217139257</v>
      </c>
      <c r="S417" s="43">
        <f t="shared" si="190"/>
        <v>4009.7471152850753</v>
      </c>
      <c r="T417" s="43">
        <f t="shared" si="190"/>
        <v>3904.4406253886996</v>
      </c>
      <c r="V417" s="43">
        <f t="shared" si="191"/>
        <v>371.19797979797983</v>
      </c>
      <c r="W417" s="43">
        <f t="shared" si="192"/>
        <v>371.19797979797983</v>
      </c>
      <c r="X417" s="43">
        <f t="shared" si="193"/>
        <v>371.19797979797983</v>
      </c>
      <c r="Y417" s="43">
        <f t="shared" si="194"/>
        <v>371.19797979797983</v>
      </c>
      <c r="Z417" s="43">
        <f t="shared" si="195"/>
        <v>371.19797979797983</v>
      </c>
      <c r="AB417" s="43">
        <f t="shared" si="173"/>
        <v>4714.2143434343443</v>
      </c>
      <c r="AC417" s="43">
        <f t="shared" si="174"/>
        <v>4600.1553278236925</v>
      </c>
      <c r="AD417" s="43">
        <f t="shared" si="175"/>
        <v>4489.0918015119059</v>
      </c>
      <c r="AE417" s="43">
        <f t="shared" si="176"/>
        <v>4380.9450950830551</v>
      </c>
      <c r="AF417" s="43">
        <f t="shared" si="177"/>
        <v>4275.6386051866793</v>
      </c>
      <c r="AH417" s="43">
        <f t="shared" si="178"/>
        <v>179028.78565656565</v>
      </c>
      <c r="AI417" s="43">
        <f t="shared" si="179"/>
        <v>174428.63032874197</v>
      </c>
      <c r="AJ417" s="43">
        <f t="shared" si="180"/>
        <v>169939.53852723006</v>
      </c>
      <c r="AK417" s="43">
        <f t="shared" si="181"/>
        <v>165558.593432147</v>
      </c>
      <c r="AL417" s="43">
        <f t="shared" si="182"/>
        <v>161282.95482696031</v>
      </c>
      <c r="AN417" s="47">
        <f t="shared" si="183"/>
        <v>12054.394555353538</v>
      </c>
      <c r="AO417" s="47">
        <f t="shared" si="184"/>
        <v>13496.015474589534</v>
      </c>
      <c r="AP417" s="47">
        <f t="shared" si="185"/>
        <v>13156.008266400639</v>
      </c>
      <c r="AQ417" s="47">
        <f t="shared" si="186"/>
        <v>13486.66773385114</v>
      </c>
      <c r="AR417" s="43">
        <f t="shared" si="187"/>
        <v>10404.390888611171</v>
      </c>
      <c r="AS417" s="349"/>
      <c r="AT417" s="350"/>
      <c r="AU417" s="121"/>
      <c r="AV417" s="121"/>
      <c r="AW417" s="121"/>
      <c r="AX417" s="121"/>
    </row>
    <row r="418" spans="1:50" s="89" customFormat="1">
      <c r="A418" s="3"/>
      <c r="B418" s="37">
        <f>'13. Desinvesteringen'!B701</f>
        <v>682</v>
      </c>
      <c r="C418" s="331"/>
      <c r="D418" s="331"/>
      <c r="E418" s="331"/>
      <c r="F418" s="354">
        <f>'5. Input GAW-waarde desinv.'!D377</f>
        <v>431227</v>
      </c>
      <c r="G418" s="175">
        <f>'13. Desinvesteringen'!D701</f>
        <v>2017</v>
      </c>
      <c r="H418" s="175">
        <f>'13. Desinvesteringen'!G701</f>
        <v>2025</v>
      </c>
      <c r="I418" s="37" t="str">
        <f>'13. Desinvesteringen'!C701</f>
        <v>01 Regionale leidingen</v>
      </c>
      <c r="J418" s="165">
        <f>'13. Desinvesteringen'!F701</f>
        <v>0</v>
      </c>
      <c r="K418" s="38">
        <f>_xlfn.XLOOKUP(I418,'3. Input (des)investeringen '!$B$11:$B$89,'3. Input (des)investeringen '!$E$11:$E$89)</f>
        <v>1</v>
      </c>
      <c r="L418" s="331"/>
      <c r="M418" s="38">
        <f>_xlfn.XLOOKUP(I418,'3. Input (des)investeringen '!$B$11:$B$89,'3. Input (des)investeringen '!$D$11:$D$89,0)</f>
        <v>55</v>
      </c>
      <c r="N418" s="38">
        <f t="shared" si="172"/>
        <v>50.5</v>
      </c>
      <c r="P418" s="43">
        <f t="shared" si="190"/>
        <v>9990.8037623762393</v>
      </c>
      <c r="Q418" s="43">
        <f t="shared" si="190"/>
        <v>9733.6147546319007</v>
      </c>
      <c r="R418" s="43">
        <f t="shared" si="190"/>
        <v>9483.0464540176145</v>
      </c>
      <c r="S418" s="43">
        <f t="shared" si="190"/>
        <v>9238.9284264884482</v>
      </c>
      <c r="T418" s="43">
        <f t="shared" si="190"/>
        <v>9001.0946254105256</v>
      </c>
      <c r="V418" s="43">
        <f t="shared" ref="V418" si="196">IF($M418&gt;0, IF(OR($G418&gt;V$50,$G418+$M418&lt;V$50),0,
VDB($F418,0,$N418,MAX(0,P$50-2022),MIN($N418,P$50-2021),1,FALSE))*$F$26, 0)</f>
        <v>853.91485148514857</v>
      </c>
      <c r="W418" s="43">
        <f t="shared" ref="W418" si="197">IF($M418&gt;0, IF(OR($G418&gt;W$50,$G418+$M418&lt;W$50),0,
VDB($F418,0,$N418,MAX(0,Q$50-2022),MIN($N418,Q$50-2021),1,FALSE))*$F$26, 0)</f>
        <v>853.91485148514857</v>
      </c>
      <c r="X418" s="43">
        <f t="shared" ref="X418" si="198">IF($M418&gt;0, IF(OR($G418&gt;X$50,$G418+$M418&lt;X$50),0,
VDB($F418,0,$N418,MAX(0,R$50-2022),MIN($N418,R$50-2021),1,FALSE))*$F$26, 0)</f>
        <v>853.91485148514857</v>
      </c>
      <c r="Y418" s="43">
        <f t="shared" ref="Y418" si="199">IF($M418&gt;0, IF(OR($G418&gt;Y$50,$G418+$M418&lt;Y$50),0,
VDB($F418,0,$N418,MAX(0,S$50-2022),MIN($N418,S$50-2021),1,FALSE))*$F$26, 0)</f>
        <v>853.91485148514857</v>
      </c>
      <c r="Z418" s="43">
        <f t="shared" ref="Z418" si="200">IF($M418&gt;0, IF(OR($G418&gt;Z$50,$G418+$M418&lt;Z$50),0,
VDB($F418,0,$N418,MAX(0,T$50-2022),MIN($N418,T$50-2021),1,FALSE))*$F$26, 0)</f>
        <v>853.91485148514857</v>
      </c>
      <c r="AB418" s="43">
        <f t="shared" si="173"/>
        <v>10844.718613861387</v>
      </c>
      <c r="AC418" s="43">
        <f t="shared" si="174"/>
        <v>10587.529606117048</v>
      </c>
      <c r="AD418" s="43">
        <f t="shared" si="175"/>
        <v>10336.961305502762</v>
      </c>
      <c r="AE418" s="43">
        <f t="shared" si="176"/>
        <v>10092.843277973596</v>
      </c>
      <c r="AF418" s="43">
        <f t="shared" si="177"/>
        <v>9855.0094768956733</v>
      </c>
      <c r="AH418" s="43">
        <f t="shared" si="178"/>
        <v>420382.28138613864</v>
      </c>
      <c r="AI418" s="43">
        <f t="shared" si="179"/>
        <v>409794.75178002159</v>
      </c>
      <c r="AJ418" s="43">
        <f t="shared" si="180"/>
        <v>399457.79047451884</v>
      </c>
      <c r="AK418" s="43">
        <f t="shared" si="181"/>
        <v>389364.94719654525</v>
      </c>
      <c r="AL418" s="43">
        <f t="shared" si="182"/>
        <v>379509.93771964958</v>
      </c>
      <c r="AN418" s="47">
        <f t="shared" si="183"/>
        <v>28080.392150693071</v>
      </c>
      <c r="AO418" s="47">
        <f t="shared" si="184"/>
        <v>31487.061946898149</v>
      </c>
      <c r="AP418" s="47">
        <f t="shared" si="185"/>
        <v>30709.308619703221</v>
      </c>
      <c r="AQ418" s="47">
        <f t="shared" si="186"/>
        <v>31507.915373783584</v>
      </c>
      <c r="AR418" s="43">
        <f t="shared" si="187"/>
        <v>24276.387110242358</v>
      </c>
      <c r="AS418" s="349"/>
      <c r="AT418" s="350"/>
      <c r="AU418" s="121"/>
      <c r="AV418" s="121"/>
      <c r="AW418" s="121"/>
      <c r="AX418" s="121"/>
    </row>
    <row r="419" spans="1:50" s="89" customFormat="1">
      <c r="A419" s="3"/>
      <c r="B419" s="37">
        <f>'13. Desinvesteringen'!B702</f>
        <v>683</v>
      </c>
      <c r="C419" s="331"/>
      <c r="D419" s="331"/>
      <c r="E419" s="331"/>
      <c r="F419" s="354">
        <f>'5. Input GAW-waarde desinv.'!D378</f>
        <v>-2839</v>
      </c>
      <c r="G419" s="175">
        <f>'13. Desinvesteringen'!D702</f>
        <v>2018</v>
      </c>
      <c r="H419" s="175">
        <f>'13. Desinvesteringen'!G702</f>
        <v>2025</v>
      </c>
      <c r="I419" s="37" t="str">
        <f>'13. Desinvesteringen'!C702</f>
        <v>01 Regionale leidingen</v>
      </c>
      <c r="J419" s="165">
        <f>'13. Desinvesteringen'!F702</f>
        <v>0</v>
      </c>
      <c r="K419" s="38">
        <f>_xlfn.XLOOKUP(I419,'3. Input (des)investeringen '!$B$11:$B$89,'3. Input (des)investeringen '!$E$11:$E$89)</f>
        <v>1</v>
      </c>
      <c r="L419" s="331"/>
      <c r="M419" s="38">
        <f>_xlfn.XLOOKUP(I419,'3. Input (des)investeringen '!$B$11:$B$89,'3. Input (des)investeringen '!$D$11:$D$89,0)</f>
        <v>55</v>
      </c>
      <c r="N419" s="38">
        <f t="shared" si="172"/>
        <v>51.5</v>
      </c>
      <c r="P419" s="337">
        <v>-64.497669902912634</v>
      </c>
      <c r="Q419" s="337">
        <v>-62.869573381091534</v>
      </c>
      <c r="R419" s="337">
        <v>-61.28257444137467</v>
      </c>
      <c r="S419" s="337">
        <v>-59.735635669068117</v>
      </c>
      <c r="T419" s="337">
        <v>-58.227745836645035</v>
      </c>
      <c r="V419" s="337">
        <v>-5.5126213592233011</v>
      </c>
      <c r="W419" s="337">
        <v>-5.512621359223302</v>
      </c>
      <c r="X419" s="337">
        <v>-5.512621359223302</v>
      </c>
      <c r="Y419" s="337">
        <v>-5.512621359223302</v>
      </c>
      <c r="Z419" s="337">
        <v>-5.512621359223302</v>
      </c>
      <c r="AB419" s="43">
        <f t="shared" si="173"/>
        <v>-70.010291262135937</v>
      </c>
      <c r="AC419" s="43">
        <f t="shared" si="174"/>
        <v>-68.38219474031483</v>
      </c>
      <c r="AD419" s="43">
        <f t="shared" si="175"/>
        <v>-66.795195800597966</v>
      </c>
      <c r="AE419" s="43">
        <f t="shared" si="176"/>
        <v>-65.24825702829142</v>
      </c>
      <c r="AF419" s="43">
        <f t="shared" si="177"/>
        <v>-63.740367195868338</v>
      </c>
      <c r="AH419" s="43">
        <f t="shared" si="178"/>
        <v>-2768.989708737864</v>
      </c>
      <c r="AI419" s="43">
        <f t="shared" si="179"/>
        <v>-2700.6075139975492</v>
      </c>
      <c r="AJ419" s="43">
        <f t="shared" si="180"/>
        <v>-2633.8123181969513</v>
      </c>
      <c r="AK419" s="43">
        <f t="shared" si="181"/>
        <v>-2568.5640611686599</v>
      </c>
      <c r="AL419" s="43">
        <f t="shared" si="182"/>
        <v>-2504.8236939727917</v>
      </c>
      <c r="AN419" s="47">
        <f t="shared" si="183"/>
        <v>-183.53886932038836</v>
      </c>
      <c r="AO419" s="47">
        <f t="shared" si="184"/>
        <v>-206.11317795418984</v>
      </c>
      <c r="AP419" s="47">
        <f t="shared" si="185"/>
        <v>-201.11962402864248</v>
      </c>
      <c r="AQ419" s="47">
        <f t="shared" si="186"/>
        <v>-206.51928039256771</v>
      </c>
      <c r="AR419" s="43">
        <f t="shared" si="187"/>
        <v>-158.92366756683441</v>
      </c>
      <c r="AS419" s="349"/>
      <c r="AT419" s="350"/>
      <c r="AU419" s="121"/>
      <c r="AV419" s="121"/>
      <c r="AW419" s="121"/>
      <c r="AX419" s="121"/>
    </row>
    <row r="420" spans="1:50" s="89" customFormat="1">
      <c r="A420" s="3"/>
      <c r="B420" s="37">
        <f>'13. Desinvesteringen'!B703</f>
        <v>684</v>
      </c>
      <c r="C420" s="331"/>
      <c r="D420" s="331"/>
      <c r="E420" s="331"/>
      <c r="F420" s="354">
        <f>'5. Input GAW-waarde desinv.'!D379</f>
        <v>0</v>
      </c>
      <c r="G420" s="175">
        <f>'13. Desinvesteringen'!D703</f>
        <v>1966</v>
      </c>
      <c r="H420" s="175">
        <f>'13. Desinvesteringen'!G703</f>
        <v>2025</v>
      </c>
      <c r="I420" s="37" t="str">
        <f>'13. Desinvesteringen'!C703</f>
        <v>02 Gasontvangststations</v>
      </c>
      <c r="J420" s="165">
        <f>'13. Desinvesteringen'!F703</f>
        <v>0</v>
      </c>
      <c r="K420" s="38">
        <f>_xlfn.XLOOKUP(I420,'3. Input (des)investeringen '!$B$11:$B$89,'3. Input (des)investeringen '!$E$11:$E$89)</f>
        <v>0</v>
      </c>
      <c r="L420" s="331"/>
      <c r="M420" s="38">
        <f>_xlfn.XLOOKUP(I420,'3. Input (des)investeringen '!$B$11:$B$89,'3. Input (des)investeringen '!$D$11:$D$89,0)</f>
        <v>30</v>
      </c>
      <c r="N420" s="38">
        <f t="shared" si="172"/>
        <v>0</v>
      </c>
      <c r="P420" s="43">
        <f t="shared" ref="P420:T428" si="201">IF($M420&gt;0, IF(OR($G420&gt;P$50,$G420+$M420&lt;P$50),0,
VDB($F420,0,$N420,MAX(0,P$50-2022),MIN($N420,P$50-2021),$F$23,FALSE))*(1-$F$26), 0)</f>
        <v>0</v>
      </c>
      <c r="Q420" s="43">
        <f t="shared" si="201"/>
        <v>0</v>
      </c>
      <c r="R420" s="43">
        <f t="shared" si="201"/>
        <v>0</v>
      </c>
      <c r="S420" s="43">
        <f t="shared" si="201"/>
        <v>0</v>
      </c>
      <c r="T420" s="43">
        <f t="shared" si="201"/>
        <v>0</v>
      </c>
      <c r="V420" s="43">
        <f t="shared" si="191"/>
        <v>0</v>
      </c>
      <c r="W420" s="43">
        <f t="shared" si="192"/>
        <v>0</v>
      </c>
      <c r="X420" s="43">
        <f t="shared" si="193"/>
        <v>0</v>
      </c>
      <c r="Y420" s="43">
        <f t="shared" si="194"/>
        <v>0</v>
      </c>
      <c r="Z420" s="43">
        <f t="shared" si="195"/>
        <v>0</v>
      </c>
      <c r="AB420" s="43">
        <f t="shared" si="173"/>
        <v>0</v>
      </c>
      <c r="AC420" s="43">
        <f t="shared" si="174"/>
        <v>0</v>
      </c>
      <c r="AD420" s="43">
        <f t="shared" si="175"/>
        <v>0</v>
      </c>
      <c r="AE420" s="43">
        <f t="shared" si="176"/>
        <v>0</v>
      </c>
      <c r="AF420" s="43">
        <f t="shared" si="177"/>
        <v>0</v>
      </c>
      <c r="AH420" s="43">
        <f t="shared" si="178"/>
        <v>0</v>
      </c>
      <c r="AI420" s="43">
        <f t="shared" si="179"/>
        <v>0</v>
      </c>
      <c r="AJ420" s="43">
        <f t="shared" si="180"/>
        <v>0</v>
      </c>
      <c r="AK420" s="43">
        <f t="shared" si="181"/>
        <v>0</v>
      </c>
      <c r="AL420" s="43">
        <f t="shared" si="182"/>
        <v>0</v>
      </c>
      <c r="AN420" s="47">
        <f t="shared" si="183"/>
        <v>0</v>
      </c>
      <c r="AO420" s="47">
        <f t="shared" si="184"/>
        <v>0</v>
      </c>
      <c r="AP420" s="47">
        <f t="shared" si="185"/>
        <v>0</v>
      </c>
      <c r="AQ420" s="47">
        <f t="shared" si="186"/>
        <v>0</v>
      </c>
      <c r="AR420" s="43">
        <f t="shared" si="187"/>
        <v>0</v>
      </c>
      <c r="AS420" s="349"/>
      <c r="AT420" s="350"/>
      <c r="AU420" s="121"/>
      <c r="AV420" s="121"/>
      <c r="AW420" s="121"/>
      <c r="AX420" s="121"/>
    </row>
    <row r="421" spans="1:50" s="89" customFormat="1">
      <c r="A421" s="3"/>
      <c r="B421" s="37">
        <f>'13. Desinvesteringen'!B704</f>
        <v>685</v>
      </c>
      <c r="C421" s="331"/>
      <c r="D421" s="331"/>
      <c r="E421" s="331"/>
      <c r="F421" s="354">
        <f>'5. Input GAW-waarde desinv.'!D380</f>
        <v>0</v>
      </c>
      <c r="G421" s="175">
        <f>'13. Desinvesteringen'!D704</f>
        <v>1967</v>
      </c>
      <c r="H421" s="175">
        <f>'13. Desinvesteringen'!G704</f>
        <v>2025</v>
      </c>
      <c r="I421" s="37" t="str">
        <f>'13. Desinvesteringen'!C704</f>
        <v>02 Gasontvangststations</v>
      </c>
      <c r="J421" s="165">
        <f>'13. Desinvesteringen'!F704</f>
        <v>0</v>
      </c>
      <c r="K421" s="38">
        <f>_xlfn.XLOOKUP(I421,'3. Input (des)investeringen '!$B$11:$B$89,'3. Input (des)investeringen '!$E$11:$E$89)</f>
        <v>0</v>
      </c>
      <c r="L421" s="331"/>
      <c r="M421" s="38">
        <f>_xlfn.XLOOKUP(I421,'3. Input (des)investeringen '!$B$11:$B$89,'3. Input (des)investeringen '!$D$11:$D$89,0)</f>
        <v>30</v>
      </c>
      <c r="N421" s="38">
        <f t="shared" si="172"/>
        <v>0</v>
      </c>
      <c r="P421" s="43">
        <f t="shared" si="201"/>
        <v>0</v>
      </c>
      <c r="Q421" s="43">
        <f t="shared" si="201"/>
        <v>0</v>
      </c>
      <c r="R421" s="43">
        <f t="shared" si="201"/>
        <v>0</v>
      </c>
      <c r="S421" s="43">
        <f t="shared" si="201"/>
        <v>0</v>
      </c>
      <c r="T421" s="43">
        <f t="shared" si="201"/>
        <v>0</v>
      </c>
      <c r="V421" s="43">
        <f t="shared" si="191"/>
        <v>0</v>
      </c>
      <c r="W421" s="43">
        <f t="shared" si="192"/>
        <v>0</v>
      </c>
      <c r="X421" s="43">
        <f t="shared" si="193"/>
        <v>0</v>
      </c>
      <c r="Y421" s="43">
        <f t="shared" si="194"/>
        <v>0</v>
      </c>
      <c r="Z421" s="43">
        <f t="shared" si="195"/>
        <v>0</v>
      </c>
      <c r="AB421" s="43">
        <f t="shared" si="173"/>
        <v>0</v>
      </c>
      <c r="AC421" s="43">
        <f t="shared" si="174"/>
        <v>0</v>
      </c>
      <c r="AD421" s="43">
        <f t="shared" si="175"/>
        <v>0</v>
      </c>
      <c r="AE421" s="43">
        <f t="shared" si="176"/>
        <v>0</v>
      </c>
      <c r="AF421" s="43">
        <f t="shared" si="177"/>
        <v>0</v>
      </c>
      <c r="AH421" s="43">
        <f t="shared" si="178"/>
        <v>0</v>
      </c>
      <c r="AI421" s="43">
        <f t="shared" si="179"/>
        <v>0</v>
      </c>
      <c r="AJ421" s="43">
        <f t="shared" si="180"/>
        <v>0</v>
      </c>
      <c r="AK421" s="43">
        <f t="shared" si="181"/>
        <v>0</v>
      </c>
      <c r="AL421" s="43">
        <f t="shared" si="182"/>
        <v>0</v>
      </c>
      <c r="AN421" s="47">
        <f t="shared" si="183"/>
        <v>0</v>
      </c>
      <c r="AO421" s="47">
        <f t="shared" si="184"/>
        <v>0</v>
      </c>
      <c r="AP421" s="47">
        <f t="shared" si="185"/>
        <v>0</v>
      </c>
      <c r="AQ421" s="47">
        <f t="shared" si="186"/>
        <v>0</v>
      </c>
      <c r="AR421" s="43">
        <f t="shared" si="187"/>
        <v>0</v>
      </c>
      <c r="AS421" s="349"/>
      <c r="AT421" s="350"/>
      <c r="AU421" s="121"/>
      <c r="AV421" s="121"/>
      <c r="AW421" s="121"/>
      <c r="AX421" s="121"/>
    </row>
    <row r="422" spans="1:50" s="89" customFormat="1">
      <c r="A422" s="3"/>
      <c r="B422" s="37">
        <f>'13. Desinvesteringen'!B705</f>
        <v>686</v>
      </c>
      <c r="C422" s="331"/>
      <c r="D422" s="331"/>
      <c r="E422" s="331"/>
      <c r="F422" s="354">
        <f>'5. Input GAW-waarde desinv.'!D381</f>
        <v>0</v>
      </c>
      <c r="G422" s="175">
        <f>'13. Desinvesteringen'!D705</f>
        <v>1968</v>
      </c>
      <c r="H422" s="175">
        <f>'13. Desinvesteringen'!G705</f>
        <v>2025</v>
      </c>
      <c r="I422" s="37" t="str">
        <f>'13. Desinvesteringen'!C705</f>
        <v>02 Gasontvangststations</v>
      </c>
      <c r="J422" s="165">
        <f>'13. Desinvesteringen'!F705</f>
        <v>0</v>
      </c>
      <c r="K422" s="38">
        <f>_xlfn.XLOOKUP(I422,'3. Input (des)investeringen '!$B$11:$B$89,'3. Input (des)investeringen '!$E$11:$E$89)</f>
        <v>0</v>
      </c>
      <c r="L422" s="331"/>
      <c r="M422" s="38">
        <f>_xlfn.XLOOKUP(I422,'3. Input (des)investeringen '!$B$11:$B$89,'3. Input (des)investeringen '!$D$11:$D$89,0)</f>
        <v>30</v>
      </c>
      <c r="N422" s="38">
        <f t="shared" si="172"/>
        <v>0</v>
      </c>
      <c r="P422" s="43">
        <f t="shared" si="201"/>
        <v>0</v>
      </c>
      <c r="Q422" s="43">
        <f t="shared" si="201"/>
        <v>0</v>
      </c>
      <c r="R422" s="43">
        <f t="shared" si="201"/>
        <v>0</v>
      </c>
      <c r="S422" s="43">
        <f t="shared" si="201"/>
        <v>0</v>
      </c>
      <c r="T422" s="43">
        <f t="shared" si="201"/>
        <v>0</v>
      </c>
      <c r="V422" s="43">
        <f t="shared" si="191"/>
        <v>0</v>
      </c>
      <c r="W422" s="43">
        <f t="shared" si="192"/>
        <v>0</v>
      </c>
      <c r="X422" s="43">
        <f t="shared" si="193"/>
        <v>0</v>
      </c>
      <c r="Y422" s="43">
        <f t="shared" si="194"/>
        <v>0</v>
      </c>
      <c r="Z422" s="43">
        <f t="shared" si="195"/>
        <v>0</v>
      </c>
      <c r="AB422" s="43">
        <f t="shared" si="173"/>
        <v>0</v>
      </c>
      <c r="AC422" s="43">
        <f t="shared" si="174"/>
        <v>0</v>
      </c>
      <c r="AD422" s="43">
        <f t="shared" si="175"/>
        <v>0</v>
      </c>
      <c r="AE422" s="43">
        <f t="shared" si="176"/>
        <v>0</v>
      </c>
      <c r="AF422" s="43">
        <f t="shared" si="177"/>
        <v>0</v>
      </c>
      <c r="AH422" s="43">
        <f t="shared" si="178"/>
        <v>0</v>
      </c>
      <c r="AI422" s="43">
        <f t="shared" si="179"/>
        <v>0</v>
      </c>
      <c r="AJ422" s="43">
        <f t="shared" si="180"/>
        <v>0</v>
      </c>
      <c r="AK422" s="43">
        <f t="shared" si="181"/>
        <v>0</v>
      </c>
      <c r="AL422" s="43">
        <f t="shared" si="182"/>
        <v>0</v>
      </c>
      <c r="AN422" s="47">
        <f t="shared" si="183"/>
        <v>0</v>
      </c>
      <c r="AO422" s="47">
        <f t="shared" si="184"/>
        <v>0</v>
      </c>
      <c r="AP422" s="47">
        <f t="shared" si="185"/>
        <v>0</v>
      </c>
      <c r="AQ422" s="47">
        <f t="shared" si="186"/>
        <v>0</v>
      </c>
      <c r="AR422" s="43">
        <f t="shared" si="187"/>
        <v>0</v>
      </c>
      <c r="AS422" s="349"/>
      <c r="AT422" s="350"/>
      <c r="AU422" s="121"/>
      <c r="AV422" s="121"/>
      <c r="AW422" s="121"/>
      <c r="AX422" s="121"/>
    </row>
    <row r="423" spans="1:50" s="89" customFormat="1">
      <c r="A423" s="3"/>
      <c r="B423" s="37">
        <f>'13. Desinvesteringen'!B706</f>
        <v>687</v>
      </c>
      <c r="C423" s="331"/>
      <c r="D423" s="331"/>
      <c r="E423" s="331"/>
      <c r="F423" s="354">
        <f>'5. Input GAW-waarde desinv.'!D382</f>
        <v>0</v>
      </c>
      <c r="G423" s="175">
        <f>'13. Desinvesteringen'!D706</f>
        <v>1969</v>
      </c>
      <c r="H423" s="175">
        <f>'13. Desinvesteringen'!G706</f>
        <v>2025</v>
      </c>
      <c r="I423" s="37" t="str">
        <f>'13. Desinvesteringen'!C706</f>
        <v>02 Gasontvangststations</v>
      </c>
      <c r="J423" s="165">
        <f>'13. Desinvesteringen'!F706</f>
        <v>0</v>
      </c>
      <c r="K423" s="38">
        <f>_xlfn.XLOOKUP(I423,'3. Input (des)investeringen '!$B$11:$B$89,'3. Input (des)investeringen '!$E$11:$E$89)</f>
        <v>0</v>
      </c>
      <c r="L423" s="331"/>
      <c r="M423" s="38">
        <f>_xlfn.XLOOKUP(I423,'3. Input (des)investeringen '!$B$11:$B$89,'3. Input (des)investeringen '!$D$11:$D$89,0)</f>
        <v>30</v>
      </c>
      <c r="N423" s="38">
        <f t="shared" si="172"/>
        <v>0</v>
      </c>
      <c r="P423" s="43">
        <f t="shared" si="201"/>
        <v>0</v>
      </c>
      <c r="Q423" s="43">
        <f t="shared" si="201"/>
        <v>0</v>
      </c>
      <c r="R423" s="43">
        <f t="shared" si="201"/>
        <v>0</v>
      </c>
      <c r="S423" s="43">
        <f t="shared" si="201"/>
        <v>0</v>
      </c>
      <c r="T423" s="43">
        <f t="shared" si="201"/>
        <v>0</v>
      </c>
      <c r="V423" s="43">
        <f t="shared" si="191"/>
        <v>0</v>
      </c>
      <c r="W423" s="43">
        <f t="shared" si="192"/>
        <v>0</v>
      </c>
      <c r="X423" s="43">
        <f t="shared" si="193"/>
        <v>0</v>
      </c>
      <c r="Y423" s="43">
        <f t="shared" si="194"/>
        <v>0</v>
      </c>
      <c r="Z423" s="43">
        <f t="shared" si="195"/>
        <v>0</v>
      </c>
      <c r="AB423" s="43">
        <f t="shared" si="173"/>
        <v>0</v>
      </c>
      <c r="AC423" s="43">
        <f t="shared" si="174"/>
        <v>0</v>
      </c>
      <c r="AD423" s="43">
        <f t="shared" si="175"/>
        <v>0</v>
      </c>
      <c r="AE423" s="43">
        <f t="shared" si="176"/>
        <v>0</v>
      </c>
      <c r="AF423" s="43">
        <f t="shared" si="177"/>
        <v>0</v>
      </c>
      <c r="AH423" s="43">
        <f t="shared" si="178"/>
        <v>0</v>
      </c>
      <c r="AI423" s="43">
        <f t="shared" si="179"/>
        <v>0</v>
      </c>
      <c r="AJ423" s="43">
        <f t="shared" si="180"/>
        <v>0</v>
      </c>
      <c r="AK423" s="43">
        <f t="shared" si="181"/>
        <v>0</v>
      </c>
      <c r="AL423" s="43">
        <f t="shared" si="182"/>
        <v>0</v>
      </c>
      <c r="AN423" s="47">
        <f t="shared" si="183"/>
        <v>0</v>
      </c>
      <c r="AO423" s="47">
        <f t="shared" si="184"/>
        <v>0</v>
      </c>
      <c r="AP423" s="47">
        <f t="shared" si="185"/>
        <v>0</v>
      </c>
      <c r="AQ423" s="47">
        <f t="shared" si="186"/>
        <v>0</v>
      </c>
      <c r="AR423" s="43">
        <f t="shared" si="187"/>
        <v>0</v>
      </c>
      <c r="AS423" s="349"/>
      <c r="AT423" s="350"/>
      <c r="AU423" s="121"/>
      <c r="AV423" s="121"/>
      <c r="AW423" s="121"/>
      <c r="AX423" s="121"/>
    </row>
    <row r="424" spans="1:50" s="89" customFormat="1">
      <c r="A424" s="3"/>
      <c r="B424" s="37">
        <f>'13. Desinvesteringen'!B707</f>
        <v>688</v>
      </c>
      <c r="C424" s="331"/>
      <c r="D424" s="331"/>
      <c r="E424" s="331"/>
      <c r="F424" s="354">
        <f>'5. Input GAW-waarde desinv.'!D383</f>
        <v>0</v>
      </c>
      <c r="G424" s="175">
        <f>'13. Desinvesteringen'!D707</f>
        <v>1970</v>
      </c>
      <c r="H424" s="175">
        <f>'13. Desinvesteringen'!G707</f>
        <v>2025</v>
      </c>
      <c r="I424" s="37" t="str">
        <f>'13. Desinvesteringen'!C707</f>
        <v>02 Gasontvangststations</v>
      </c>
      <c r="J424" s="165">
        <f>'13. Desinvesteringen'!F707</f>
        <v>0</v>
      </c>
      <c r="K424" s="38">
        <f>_xlfn.XLOOKUP(I424,'3. Input (des)investeringen '!$B$11:$B$89,'3. Input (des)investeringen '!$E$11:$E$89)</f>
        <v>0</v>
      </c>
      <c r="L424" s="331"/>
      <c r="M424" s="38">
        <f>_xlfn.XLOOKUP(I424,'3. Input (des)investeringen '!$B$11:$B$89,'3. Input (des)investeringen '!$D$11:$D$89,0)</f>
        <v>30</v>
      </c>
      <c r="N424" s="38">
        <f t="shared" si="172"/>
        <v>0</v>
      </c>
      <c r="P424" s="43">
        <f t="shared" si="201"/>
        <v>0</v>
      </c>
      <c r="Q424" s="43">
        <f t="shared" si="201"/>
        <v>0</v>
      </c>
      <c r="R424" s="43">
        <f t="shared" si="201"/>
        <v>0</v>
      </c>
      <c r="S424" s="43">
        <f t="shared" si="201"/>
        <v>0</v>
      </c>
      <c r="T424" s="43">
        <f t="shared" si="201"/>
        <v>0</v>
      </c>
      <c r="V424" s="43">
        <f t="shared" si="191"/>
        <v>0</v>
      </c>
      <c r="W424" s="43">
        <f t="shared" si="192"/>
        <v>0</v>
      </c>
      <c r="X424" s="43">
        <f t="shared" si="193"/>
        <v>0</v>
      </c>
      <c r="Y424" s="43">
        <f t="shared" si="194"/>
        <v>0</v>
      </c>
      <c r="Z424" s="43">
        <f t="shared" si="195"/>
        <v>0</v>
      </c>
      <c r="AB424" s="43">
        <f t="shared" si="173"/>
        <v>0</v>
      </c>
      <c r="AC424" s="43">
        <f t="shared" si="174"/>
        <v>0</v>
      </c>
      <c r="AD424" s="43">
        <f t="shared" si="175"/>
        <v>0</v>
      </c>
      <c r="AE424" s="43">
        <f t="shared" si="176"/>
        <v>0</v>
      </c>
      <c r="AF424" s="43">
        <f t="shared" si="177"/>
        <v>0</v>
      </c>
      <c r="AH424" s="43">
        <f t="shared" si="178"/>
        <v>0</v>
      </c>
      <c r="AI424" s="43">
        <f t="shared" si="179"/>
        <v>0</v>
      </c>
      <c r="AJ424" s="43">
        <f t="shared" si="180"/>
        <v>0</v>
      </c>
      <c r="AK424" s="43">
        <f t="shared" si="181"/>
        <v>0</v>
      </c>
      <c r="AL424" s="43">
        <f t="shared" si="182"/>
        <v>0</v>
      </c>
      <c r="AN424" s="47">
        <f t="shared" si="183"/>
        <v>0</v>
      </c>
      <c r="AO424" s="47">
        <f t="shared" si="184"/>
        <v>0</v>
      </c>
      <c r="AP424" s="47">
        <f t="shared" si="185"/>
        <v>0</v>
      </c>
      <c r="AQ424" s="47">
        <f t="shared" si="186"/>
        <v>0</v>
      </c>
      <c r="AR424" s="43">
        <f t="shared" si="187"/>
        <v>0</v>
      </c>
      <c r="AS424" s="349"/>
      <c r="AT424" s="350"/>
      <c r="AU424" s="121"/>
      <c r="AV424" s="121"/>
      <c r="AW424" s="121"/>
      <c r="AX424" s="121"/>
    </row>
    <row r="425" spans="1:50" s="89" customFormat="1">
      <c r="A425" s="3"/>
      <c r="B425" s="37">
        <f>'13. Desinvesteringen'!B708</f>
        <v>689</v>
      </c>
      <c r="C425" s="331"/>
      <c r="D425" s="331"/>
      <c r="E425" s="331"/>
      <c r="F425" s="354">
        <f>'5. Input GAW-waarde desinv.'!D384</f>
        <v>0</v>
      </c>
      <c r="G425" s="175">
        <f>'13. Desinvesteringen'!D708</f>
        <v>1971</v>
      </c>
      <c r="H425" s="175">
        <f>'13. Desinvesteringen'!G708</f>
        <v>2025</v>
      </c>
      <c r="I425" s="37" t="str">
        <f>'13. Desinvesteringen'!C708</f>
        <v>02 Gasontvangststations</v>
      </c>
      <c r="J425" s="165">
        <f>'13. Desinvesteringen'!F708</f>
        <v>0</v>
      </c>
      <c r="K425" s="38">
        <f>_xlfn.XLOOKUP(I425,'3. Input (des)investeringen '!$B$11:$B$89,'3. Input (des)investeringen '!$E$11:$E$89)</f>
        <v>0</v>
      </c>
      <c r="L425" s="331"/>
      <c r="M425" s="38">
        <f>_xlfn.XLOOKUP(I425,'3. Input (des)investeringen '!$B$11:$B$89,'3. Input (des)investeringen '!$D$11:$D$89,0)</f>
        <v>30</v>
      </c>
      <c r="N425" s="38">
        <f t="shared" si="172"/>
        <v>0</v>
      </c>
      <c r="P425" s="43">
        <f t="shared" si="201"/>
        <v>0</v>
      </c>
      <c r="Q425" s="43">
        <f t="shared" si="201"/>
        <v>0</v>
      </c>
      <c r="R425" s="43">
        <f t="shared" si="201"/>
        <v>0</v>
      </c>
      <c r="S425" s="43">
        <f t="shared" si="201"/>
        <v>0</v>
      </c>
      <c r="T425" s="43">
        <f t="shared" si="201"/>
        <v>0</v>
      </c>
      <c r="V425" s="43">
        <f t="shared" si="191"/>
        <v>0</v>
      </c>
      <c r="W425" s="43">
        <f t="shared" si="192"/>
        <v>0</v>
      </c>
      <c r="X425" s="43">
        <f t="shared" si="193"/>
        <v>0</v>
      </c>
      <c r="Y425" s="43">
        <f t="shared" si="194"/>
        <v>0</v>
      </c>
      <c r="Z425" s="43">
        <f t="shared" si="195"/>
        <v>0</v>
      </c>
      <c r="AB425" s="43">
        <f t="shared" si="173"/>
        <v>0</v>
      </c>
      <c r="AC425" s="43">
        <f t="shared" si="174"/>
        <v>0</v>
      </c>
      <c r="AD425" s="43">
        <f t="shared" si="175"/>
        <v>0</v>
      </c>
      <c r="AE425" s="43">
        <f t="shared" si="176"/>
        <v>0</v>
      </c>
      <c r="AF425" s="43">
        <f t="shared" si="177"/>
        <v>0</v>
      </c>
      <c r="AH425" s="43">
        <f t="shared" si="178"/>
        <v>0</v>
      </c>
      <c r="AI425" s="43">
        <f t="shared" si="179"/>
        <v>0</v>
      </c>
      <c r="AJ425" s="43">
        <f t="shared" si="180"/>
        <v>0</v>
      </c>
      <c r="AK425" s="43">
        <f t="shared" si="181"/>
        <v>0</v>
      </c>
      <c r="AL425" s="43">
        <f t="shared" si="182"/>
        <v>0</v>
      </c>
      <c r="AN425" s="47">
        <f t="shared" si="183"/>
        <v>0</v>
      </c>
      <c r="AO425" s="47">
        <f t="shared" si="184"/>
        <v>0</v>
      </c>
      <c r="AP425" s="47">
        <f t="shared" si="185"/>
        <v>0</v>
      </c>
      <c r="AQ425" s="47">
        <f t="shared" si="186"/>
        <v>0</v>
      </c>
      <c r="AR425" s="43">
        <f t="shared" si="187"/>
        <v>0</v>
      </c>
      <c r="AS425" s="349"/>
      <c r="AT425" s="350"/>
      <c r="AU425" s="121"/>
      <c r="AV425" s="121"/>
      <c r="AW425" s="121"/>
      <c r="AX425" s="121"/>
    </row>
    <row r="426" spans="1:50" s="89" customFormat="1">
      <c r="A426" s="3"/>
      <c r="B426" s="37">
        <f>'13. Desinvesteringen'!B709</f>
        <v>690</v>
      </c>
      <c r="C426" s="331"/>
      <c r="D426" s="331"/>
      <c r="E426" s="331"/>
      <c r="F426" s="354">
        <f>'5. Input GAW-waarde desinv.'!D385</f>
        <v>0</v>
      </c>
      <c r="G426" s="175">
        <f>'13. Desinvesteringen'!D709</f>
        <v>1972</v>
      </c>
      <c r="H426" s="175">
        <f>'13. Desinvesteringen'!G709</f>
        <v>2025</v>
      </c>
      <c r="I426" s="37" t="str">
        <f>'13. Desinvesteringen'!C709</f>
        <v>02 Gasontvangststations</v>
      </c>
      <c r="J426" s="165">
        <f>'13. Desinvesteringen'!F709</f>
        <v>0</v>
      </c>
      <c r="K426" s="38">
        <f>_xlfn.XLOOKUP(I426,'3. Input (des)investeringen '!$B$11:$B$89,'3. Input (des)investeringen '!$E$11:$E$89)</f>
        <v>0</v>
      </c>
      <c r="L426" s="331"/>
      <c r="M426" s="38">
        <f>_xlfn.XLOOKUP(I426,'3. Input (des)investeringen '!$B$11:$B$89,'3. Input (des)investeringen '!$D$11:$D$89,0)</f>
        <v>30</v>
      </c>
      <c r="N426" s="38">
        <f t="shared" si="172"/>
        <v>0</v>
      </c>
      <c r="P426" s="43">
        <f t="shared" si="201"/>
        <v>0</v>
      </c>
      <c r="Q426" s="43">
        <f t="shared" si="201"/>
        <v>0</v>
      </c>
      <c r="R426" s="43">
        <f t="shared" si="201"/>
        <v>0</v>
      </c>
      <c r="S426" s="43">
        <f t="shared" si="201"/>
        <v>0</v>
      </c>
      <c r="T426" s="43">
        <f t="shared" si="201"/>
        <v>0</v>
      </c>
      <c r="V426" s="43">
        <f t="shared" si="191"/>
        <v>0</v>
      </c>
      <c r="W426" s="43">
        <f t="shared" si="192"/>
        <v>0</v>
      </c>
      <c r="X426" s="43">
        <f t="shared" si="193"/>
        <v>0</v>
      </c>
      <c r="Y426" s="43">
        <f t="shared" si="194"/>
        <v>0</v>
      </c>
      <c r="Z426" s="43">
        <f t="shared" si="195"/>
        <v>0</v>
      </c>
      <c r="AB426" s="43">
        <f t="shared" si="173"/>
        <v>0</v>
      </c>
      <c r="AC426" s="43">
        <f t="shared" si="174"/>
        <v>0</v>
      </c>
      <c r="AD426" s="43">
        <f t="shared" si="175"/>
        <v>0</v>
      </c>
      <c r="AE426" s="43">
        <f t="shared" si="176"/>
        <v>0</v>
      </c>
      <c r="AF426" s="43">
        <f t="shared" si="177"/>
        <v>0</v>
      </c>
      <c r="AH426" s="43">
        <f t="shared" si="178"/>
        <v>0</v>
      </c>
      <c r="AI426" s="43">
        <f t="shared" si="179"/>
        <v>0</v>
      </c>
      <c r="AJ426" s="43">
        <f t="shared" si="180"/>
        <v>0</v>
      </c>
      <c r="AK426" s="43">
        <f t="shared" si="181"/>
        <v>0</v>
      </c>
      <c r="AL426" s="43">
        <f t="shared" si="182"/>
        <v>0</v>
      </c>
      <c r="AN426" s="47">
        <f t="shared" si="183"/>
        <v>0</v>
      </c>
      <c r="AO426" s="47">
        <f t="shared" si="184"/>
        <v>0</v>
      </c>
      <c r="AP426" s="47">
        <f t="shared" si="185"/>
        <v>0</v>
      </c>
      <c r="AQ426" s="47">
        <f t="shared" si="186"/>
        <v>0</v>
      </c>
      <c r="AR426" s="43">
        <f t="shared" si="187"/>
        <v>0</v>
      </c>
      <c r="AS426" s="349"/>
      <c r="AT426" s="350"/>
      <c r="AU426" s="121"/>
      <c r="AV426" s="121"/>
      <c r="AW426" s="121"/>
      <c r="AX426" s="121"/>
    </row>
    <row r="427" spans="1:50" s="89" customFormat="1">
      <c r="A427" s="3"/>
      <c r="B427" s="37">
        <f>'13. Desinvesteringen'!B710</f>
        <v>691</v>
      </c>
      <c r="C427" s="331"/>
      <c r="D427" s="331"/>
      <c r="E427" s="331"/>
      <c r="F427" s="354">
        <f>'5. Input GAW-waarde desinv.'!D386</f>
        <v>0</v>
      </c>
      <c r="G427" s="175">
        <f>'13. Desinvesteringen'!D710</f>
        <v>1973</v>
      </c>
      <c r="H427" s="175">
        <f>'13. Desinvesteringen'!G710</f>
        <v>2025</v>
      </c>
      <c r="I427" s="37" t="str">
        <f>'13. Desinvesteringen'!C710</f>
        <v>02 Gasontvangststations</v>
      </c>
      <c r="J427" s="165">
        <f>'13. Desinvesteringen'!F710</f>
        <v>0</v>
      </c>
      <c r="K427" s="38">
        <f>_xlfn.XLOOKUP(I427,'3. Input (des)investeringen '!$B$11:$B$89,'3. Input (des)investeringen '!$E$11:$E$89)</f>
        <v>0</v>
      </c>
      <c r="L427" s="331"/>
      <c r="M427" s="38">
        <f>_xlfn.XLOOKUP(I427,'3. Input (des)investeringen '!$B$11:$B$89,'3. Input (des)investeringen '!$D$11:$D$89,0)</f>
        <v>30</v>
      </c>
      <c r="N427" s="38">
        <f t="shared" si="172"/>
        <v>0</v>
      </c>
      <c r="P427" s="43">
        <f t="shared" si="201"/>
        <v>0</v>
      </c>
      <c r="Q427" s="43">
        <f t="shared" si="201"/>
        <v>0</v>
      </c>
      <c r="R427" s="43">
        <f t="shared" si="201"/>
        <v>0</v>
      </c>
      <c r="S427" s="43">
        <f t="shared" si="201"/>
        <v>0</v>
      </c>
      <c r="T427" s="43">
        <f t="shared" si="201"/>
        <v>0</v>
      </c>
      <c r="V427" s="43">
        <f t="shared" si="191"/>
        <v>0</v>
      </c>
      <c r="W427" s="43">
        <f t="shared" si="192"/>
        <v>0</v>
      </c>
      <c r="X427" s="43">
        <f t="shared" si="193"/>
        <v>0</v>
      </c>
      <c r="Y427" s="43">
        <f t="shared" si="194"/>
        <v>0</v>
      </c>
      <c r="Z427" s="43">
        <f t="shared" si="195"/>
        <v>0</v>
      </c>
      <c r="AB427" s="43">
        <f t="shared" si="173"/>
        <v>0</v>
      </c>
      <c r="AC427" s="43">
        <f t="shared" si="174"/>
        <v>0</v>
      </c>
      <c r="AD427" s="43">
        <f t="shared" si="175"/>
        <v>0</v>
      </c>
      <c r="AE427" s="43">
        <f t="shared" si="176"/>
        <v>0</v>
      </c>
      <c r="AF427" s="43">
        <f t="shared" si="177"/>
        <v>0</v>
      </c>
      <c r="AH427" s="43">
        <f t="shared" si="178"/>
        <v>0</v>
      </c>
      <c r="AI427" s="43">
        <f t="shared" si="179"/>
        <v>0</v>
      </c>
      <c r="AJ427" s="43">
        <f t="shared" si="180"/>
        <v>0</v>
      </c>
      <c r="AK427" s="43">
        <f t="shared" si="181"/>
        <v>0</v>
      </c>
      <c r="AL427" s="43">
        <f t="shared" si="182"/>
        <v>0</v>
      </c>
      <c r="AN427" s="47">
        <f t="shared" si="183"/>
        <v>0</v>
      </c>
      <c r="AO427" s="47">
        <f t="shared" si="184"/>
        <v>0</v>
      </c>
      <c r="AP427" s="47">
        <f t="shared" si="185"/>
        <v>0</v>
      </c>
      <c r="AQ427" s="47">
        <f t="shared" si="186"/>
        <v>0</v>
      </c>
      <c r="AR427" s="43">
        <f t="shared" si="187"/>
        <v>0</v>
      </c>
      <c r="AS427" s="349"/>
      <c r="AT427" s="350"/>
      <c r="AU427" s="121"/>
      <c r="AV427" s="121"/>
      <c r="AW427" s="121"/>
      <c r="AX427" s="121"/>
    </row>
    <row r="428" spans="1:50" s="89" customFormat="1">
      <c r="A428" s="3"/>
      <c r="B428" s="37">
        <f>'13. Desinvesteringen'!B711</f>
        <v>692</v>
      </c>
      <c r="C428" s="331"/>
      <c r="D428" s="331"/>
      <c r="E428" s="331"/>
      <c r="F428" s="354">
        <f>'5. Input GAW-waarde desinv.'!D387</f>
        <v>0</v>
      </c>
      <c r="G428" s="175">
        <f>'13. Desinvesteringen'!D711</f>
        <v>1974</v>
      </c>
      <c r="H428" s="175">
        <f>'13. Desinvesteringen'!G711</f>
        <v>2025</v>
      </c>
      <c r="I428" s="37" t="str">
        <f>'13. Desinvesteringen'!C711</f>
        <v>02 Gasontvangststations</v>
      </c>
      <c r="J428" s="165">
        <f>'13. Desinvesteringen'!F711</f>
        <v>0</v>
      </c>
      <c r="K428" s="38">
        <f>_xlfn.XLOOKUP(I428,'3. Input (des)investeringen '!$B$11:$B$89,'3. Input (des)investeringen '!$E$11:$E$89)</f>
        <v>0</v>
      </c>
      <c r="L428" s="331"/>
      <c r="M428" s="38">
        <f>_xlfn.XLOOKUP(I428,'3. Input (des)investeringen '!$B$11:$B$89,'3. Input (des)investeringen '!$D$11:$D$89,0)</f>
        <v>30</v>
      </c>
      <c r="N428" s="38">
        <f t="shared" si="172"/>
        <v>0</v>
      </c>
      <c r="P428" s="43">
        <f t="shared" si="201"/>
        <v>0</v>
      </c>
      <c r="Q428" s="43">
        <f t="shared" si="201"/>
        <v>0</v>
      </c>
      <c r="R428" s="43">
        <f t="shared" si="201"/>
        <v>0</v>
      </c>
      <c r="S428" s="43">
        <f t="shared" si="201"/>
        <v>0</v>
      </c>
      <c r="T428" s="43">
        <f t="shared" si="201"/>
        <v>0</v>
      </c>
      <c r="V428" s="43">
        <f t="shared" si="191"/>
        <v>0</v>
      </c>
      <c r="W428" s="43">
        <f t="shared" si="192"/>
        <v>0</v>
      </c>
      <c r="X428" s="43">
        <f t="shared" si="193"/>
        <v>0</v>
      </c>
      <c r="Y428" s="43">
        <f t="shared" si="194"/>
        <v>0</v>
      </c>
      <c r="Z428" s="43">
        <f t="shared" si="195"/>
        <v>0</v>
      </c>
      <c r="AB428" s="43">
        <f t="shared" si="173"/>
        <v>0</v>
      </c>
      <c r="AC428" s="43">
        <f t="shared" si="174"/>
        <v>0</v>
      </c>
      <c r="AD428" s="43">
        <f t="shared" si="175"/>
        <v>0</v>
      </c>
      <c r="AE428" s="43">
        <f t="shared" si="176"/>
        <v>0</v>
      </c>
      <c r="AF428" s="43">
        <f t="shared" si="177"/>
        <v>0</v>
      </c>
      <c r="AH428" s="43">
        <f t="shared" si="178"/>
        <v>0</v>
      </c>
      <c r="AI428" s="43">
        <f t="shared" si="179"/>
        <v>0</v>
      </c>
      <c r="AJ428" s="43">
        <f t="shared" si="180"/>
        <v>0</v>
      </c>
      <c r="AK428" s="43">
        <f t="shared" si="181"/>
        <v>0</v>
      </c>
      <c r="AL428" s="43">
        <f t="shared" si="182"/>
        <v>0</v>
      </c>
      <c r="AN428" s="47">
        <f t="shared" si="183"/>
        <v>0</v>
      </c>
      <c r="AO428" s="47">
        <f t="shared" si="184"/>
        <v>0</v>
      </c>
      <c r="AP428" s="47">
        <f t="shared" si="185"/>
        <v>0</v>
      </c>
      <c r="AQ428" s="47">
        <f t="shared" si="186"/>
        <v>0</v>
      </c>
      <c r="AR428" s="43">
        <f t="shared" si="187"/>
        <v>0</v>
      </c>
      <c r="AS428" s="349"/>
      <c r="AT428" s="350"/>
      <c r="AU428" s="121"/>
      <c r="AV428" s="121"/>
      <c r="AW428" s="121"/>
      <c r="AX428" s="121"/>
    </row>
    <row r="429" spans="1:50" s="89" customFormat="1">
      <c r="A429" s="3"/>
      <c r="B429" s="37">
        <f>'13. Desinvesteringen'!B712</f>
        <v>693</v>
      </c>
      <c r="C429" s="331"/>
      <c r="D429" s="331"/>
      <c r="E429" s="331"/>
      <c r="F429" s="354">
        <f>'5. Input GAW-waarde desinv.'!D388</f>
        <v>0</v>
      </c>
      <c r="G429" s="175">
        <f>'13. Desinvesteringen'!D712</f>
        <v>1975</v>
      </c>
      <c r="H429" s="175">
        <f>'13. Desinvesteringen'!G712</f>
        <v>2025</v>
      </c>
      <c r="I429" s="37" t="str">
        <f>'13. Desinvesteringen'!C712</f>
        <v>02 Gasontvangststations</v>
      </c>
      <c r="J429" s="165">
        <f>'13. Desinvesteringen'!F712</f>
        <v>0</v>
      </c>
      <c r="K429" s="38">
        <f>_xlfn.XLOOKUP(I429,'3. Input (des)investeringen '!$B$11:$B$89,'3. Input (des)investeringen '!$E$11:$E$89)</f>
        <v>0</v>
      </c>
      <c r="L429" s="331"/>
      <c r="M429" s="38">
        <f>_xlfn.XLOOKUP(I429,'3. Input (des)investeringen '!$B$11:$B$89,'3. Input (des)investeringen '!$D$11:$D$89,0)</f>
        <v>30</v>
      </c>
      <c r="N429" s="38">
        <f t="shared" si="172"/>
        <v>0</v>
      </c>
      <c r="P429" s="43">
        <f t="shared" ref="P429:T438" si="202">IF($M429&gt;0, IF(OR($G429&gt;P$50,$G429+$M429&lt;P$50),0,
VDB($F429,0,$N429,MAX(0,P$50-2022),MIN($N429,P$50-2021),$F$23,FALSE))*(1-$F$26), 0)</f>
        <v>0</v>
      </c>
      <c r="Q429" s="43">
        <f t="shared" si="202"/>
        <v>0</v>
      </c>
      <c r="R429" s="43">
        <f t="shared" si="202"/>
        <v>0</v>
      </c>
      <c r="S429" s="43">
        <f t="shared" si="202"/>
        <v>0</v>
      </c>
      <c r="T429" s="43">
        <f t="shared" si="202"/>
        <v>0</v>
      </c>
      <c r="V429" s="43">
        <f t="shared" si="191"/>
        <v>0</v>
      </c>
      <c r="W429" s="43">
        <f t="shared" si="192"/>
        <v>0</v>
      </c>
      <c r="X429" s="43">
        <f t="shared" si="193"/>
        <v>0</v>
      </c>
      <c r="Y429" s="43">
        <f t="shared" si="194"/>
        <v>0</v>
      </c>
      <c r="Z429" s="43">
        <f t="shared" si="195"/>
        <v>0</v>
      </c>
      <c r="AB429" s="43">
        <f t="shared" si="173"/>
        <v>0</v>
      </c>
      <c r="AC429" s="43">
        <f t="shared" si="174"/>
        <v>0</v>
      </c>
      <c r="AD429" s="43">
        <f t="shared" si="175"/>
        <v>0</v>
      </c>
      <c r="AE429" s="43">
        <f t="shared" si="176"/>
        <v>0</v>
      </c>
      <c r="AF429" s="43">
        <f t="shared" si="177"/>
        <v>0</v>
      </c>
      <c r="AH429" s="43">
        <f t="shared" si="178"/>
        <v>0</v>
      </c>
      <c r="AI429" s="43">
        <f t="shared" si="179"/>
        <v>0</v>
      </c>
      <c r="AJ429" s="43">
        <f t="shared" si="180"/>
        <v>0</v>
      </c>
      <c r="AK429" s="43">
        <f t="shared" si="181"/>
        <v>0</v>
      </c>
      <c r="AL429" s="43">
        <f t="shared" si="182"/>
        <v>0</v>
      </c>
      <c r="AN429" s="47">
        <f t="shared" si="183"/>
        <v>0</v>
      </c>
      <c r="AO429" s="47">
        <f t="shared" si="184"/>
        <v>0</v>
      </c>
      <c r="AP429" s="47">
        <f t="shared" si="185"/>
        <v>0</v>
      </c>
      <c r="AQ429" s="47">
        <f t="shared" si="186"/>
        <v>0</v>
      </c>
      <c r="AR429" s="43">
        <f t="shared" si="187"/>
        <v>0</v>
      </c>
      <c r="AS429" s="349"/>
      <c r="AT429" s="350"/>
      <c r="AU429" s="121"/>
      <c r="AV429" s="121"/>
      <c r="AW429" s="121"/>
      <c r="AX429" s="121"/>
    </row>
    <row r="430" spans="1:50" s="89" customFormat="1">
      <c r="A430" s="3"/>
      <c r="B430" s="37">
        <f>'13. Desinvesteringen'!B713</f>
        <v>694</v>
      </c>
      <c r="C430" s="331"/>
      <c r="D430" s="331"/>
      <c r="E430" s="331"/>
      <c r="F430" s="354">
        <f>'5. Input GAW-waarde desinv.'!D389</f>
        <v>0</v>
      </c>
      <c r="G430" s="175">
        <f>'13. Desinvesteringen'!D713</f>
        <v>1976</v>
      </c>
      <c r="H430" s="175">
        <f>'13. Desinvesteringen'!G713</f>
        <v>2025</v>
      </c>
      <c r="I430" s="37" t="str">
        <f>'13. Desinvesteringen'!C713</f>
        <v>02 Gasontvangststations</v>
      </c>
      <c r="J430" s="165">
        <f>'13. Desinvesteringen'!F713</f>
        <v>0</v>
      </c>
      <c r="K430" s="38">
        <f>_xlfn.XLOOKUP(I430,'3. Input (des)investeringen '!$B$11:$B$89,'3. Input (des)investeringen '!$E$11:$E$89)</f>
        <v>0</v>
      </c>
      <c r="L430" s="331"/>
      <c r="M430" s="38">
        <f>_xlfn.XLOOKUP(I430,'3. Input (des)investeringen '!$B$11:$B$89,'3. Input (des)investeringen '!$D$11:$D$89,0)</f>
        <v>30</v>
      </c>
      <c r="N430" s="38">
        <f t="shared" si="172"/>
        <v>0</v>
      </c>
      <c r="P430" s="43">
        <f t="shared" si="202"/>
        <v>0</v>
      </c>
      <c r="Q430" s="43">
        <f t="shared" si="202"/>
        <v>0</v>
      </c>
      <c r="R430" s="43">
        <f t="shared" si="202"/>
        <v>0</v>
      </c>
      <c r="S430" s="43">
        <f t="shared" si="202"/>
        <v>0</v>
      </c>
      <c r="T430" s="43">
        <f t="shared" si="202"/>
        <v>0</v>
      </c>
      <c r="V430" s="43">
        <f t="shared" si="191"/>
        <v>0</v>
      </c>
      <c r="W430" s="43">
        <f t="shared" si="192"/>
        <v>0</v>
      </c>
      <c r="X430" s="43">
        <f t="shared" si="193"/>
        <v>0</v>
      </c>
      <c r="Y430" s="43">
        <f t="shared" si="194"/>
        <v>0</v>
      </c>
      <c r="Z430" s="43">
        <f t="shared" si="195"/>
        <v>0</v>
      </c>
      <c r="AB430" s="43">
        <f t="shared" si="173"/>
        <v>0</v>
      </c>
      <c r="AC430" s="43">
        <f t="shared" si="174"/>
        <v>0</v>
      </c>
      <c r="AD430" s="43">
        <f t="shared" si="175"/>
        <v>0</v>
      </c>
      <c r="AE430" s="43">
        <f t="shared" si="176"/>
        <v>0</v>
      </c>
      <c r="AF430" s="43">
        <f t="shared" si="177"/>
        <v>0</v>
      </c>
      <c r="AH430" s="43">
        <f t="shared" si="178"/>
        <v>0</v>
      </c>
      <c r="AI430" s="43">
        <f t="shared" si="179"/>
        <v>0</v>
      </c>
      <c r="AJ430" s="43">
        <f t="shared" si="180"/>
        <v>0</v>
      </c>
      <c r="AK430" s="43">
        <f t="shared" si="181"/>
        <v>0</v>
      </c>
      <c r="AL430" s="43">
        <f t="shared" si="182"/>
        <v>0</v>
      </c>
      <c r="AN430" s="47">
        <f t="shared" si="183"/>
        <v>0</v>
      </c>
      <c r="AO430" s="47">
        <f t="shared" si="184"/>
        <v>0</v>
      </c>
      <c r="AP430" s="47">
        <f t="shared" si="185"/>
        <v>0</v>
      </c>
      <c r="AQ430" s="47">
        <f t="shared" si="186"/>
        <v>0</v>
      </c>
      <c r="AR430" s="43">
        <f t="shared" si="187"/>
        <v>0</v>
      </c>
      <c r="AS430" s="349"/>
      <c r="AT430" s="350"/>
      <c r="AU430" s="121"/>
      <c r="AV430" s="121"/>
      <c r="AW430" s="121"/>
      <c r="AX430" s="121"/>
    </row>
    <row r="431" spans="1:50" s="89" customFormat="1">
      <c r="A431" s="3"/>
      <c r="B431" s="37">
        <f>'13. Desinvesteringen'!B714</f>
        <v>695</v>
      </c>
      <c r="C431" s="331"/>
      <c r="D431" s="331"/>
      <c r="E431" s="331"/>
      <c r="F431" s="354">
        <f>'5. Input GAW-waarde desinv.'!D390</f>
        <v>0</v>
      </c>
      <c r="G431" s="175">
        <f>'13. Desinvesteringen'!D714</f>
        <v>1977</v>
      </c>
      <c r="H431" s="175">
        <f>'13. Desinvesteringen'!G714</f>
        <v>2025</v>
      </c>
      <c r="I431" s="37" t="str">
        <f>'13. Desinvesteringen'!C714</f>
        <v>02 Gasontvangststations</v>
      </c>
      <c r="J431" s="165">
        <f>'13. Desinvesteringen'!F714</f>
        <v>0</v>
      </c>
      <c r="K431" s="38">
        <f>_xlfn.XLOOKUP(I431,'3. Input (des)investeringen '!$B$11:$B$89,'3. Input (des)investeringen '!$E$11:$E$89)</f>
        <v>0</v>
      </c>
      <c r="L431" s="331"/>
      <c r="M431" s="38">
        <f>_xlfn.XLOOKUP(I431,'3. Input (des)investeringen '!$B$11:$B$89,'3. Input (des)investeringen '!$D$11:$D$89,0)</f>
        <v>30</v>
      </c>
      <c r="N431" s="38">
        <f t="shared" si="172"/>
        <v>0</v>
      </c>
      <c r="P431" s="43">
        <f t="shared" si="202"/>
        <v>0</v>
      </c>
      <c r="Q431" s="43">
        <f t="shared" si="202"/>
        <v>0</v>
      </c>
      <c r="R431" s="43">
        <f t="shared" si="202"/>
        <v>0</v>
      </c>
      <c r="S431" s="43">
        <f t="shared" si="202"/>
        <v>0</v>
      </c>
      <c r="T431" s="43">
        <f t="shared" si="202"/>
        <v>0</v>
      </c>
      <c r="V431" s="43">
        <f t="shared" si="191"/>
        <v>0</v>
      </c>
      <c r="W431" s="43">
        <f t="shared" si="192"/>
        <v>0</v>
      </c>
      <c r="X431" s="43">
        <f t="shared" si="193"/>
        <v>0</v>
      </c>
      <c r="Y431" s="43">
        <f t="shared" si="194"/>
        <v>0</v>
      </c>
      <c r="Z431" s="43">
        <f t="shared" si="195"/>
        <v>0</v>
      </c>
      <c r="AB431" s="43">
        <f t="shared" si="173"/>
        <v>0</v>
      </c>
      <c r="AC431" s="43">
        <f t="shared" si="174"/>
        <v>0</v>
      </c>
      <c r="AD431" s="43">
        <f t="shared" si="175"/>
        <v>0</v>
      </c>
      <c r="AE431" s="43">
        <f t="shared" si="176"/>
        <v>0</v>
      </c>
      <c r="AF431" s="43">
        <f t="shared" si="177"/>
        <v>0</v>
      </c>
      <c r="AH431" s="43">
        <f t="shared" si="178"/>
        <v>0</v>
      </c>
      <c r="AI431" s="43">
        <f t="shared" si="179"/>
        <v>0</v>
      </c>
      <c r="AJ431" s="43">
        <f t="shared" si="180"/>
        <v>0</v>
      </c>
      <c r="AK431" s="43">
        <f t="shared" si="181"/>
        <v>0</v>
      </c>
      <c r="AL431" s="43">
        <f t="shared" si="182"/>
        <v>0</v>
      </c>
      <c r="AN431" s="47">
        <f t="shared" si="183"/>
        <v>0</v>
      </c>
      <c r="AO431" s="47">
        <f t="shared" si="184"/>
        <v>0</v>
      </c>
      <c r="AP431" s="47">
        <f t="shared" si="185"/>
        <v>0</v>
      </c>
      <c r="AQ431" s="47">
        <f t="shared" si="186"/>
        <v>0</v>
      </c>
      <c r="AR431" s="43">
        <f t="shared" si="187"/>
        <v>0</v>
      </c>
      <c r="AS431" s="349"/>
      <c r="AT431" s="350"/>
      <c r="AU431" s="121"/>
      <c r="AV431" s="121"/>
      <c r="AW431" s="121"/>
      <c r="AX431" s="121"/>
    </row>
    <row r="432" spans="1:50" s="89" customFormat="1">
      <c r="A432" s="3"/>
      <c r="B432" s="37">
        <f>'13. Desinvesteringen'!B715</f>
        <v>696</v>
      </c>
      <c r="C432" s="331"/>
      <c r="D432" s="331"/>
      <c r="E432" s="331"/>
      <c r="F432" s="354">
        <f>'5. Input GAW-waarde desinv.'!D391</f>
        <v>0</v>
      </c>
      <c r="G432" s="175">
        <f>'13. Desinvesteringen'!D715</f>
        <v>1978</v>
      </c>
      <c r="H432" s="175">
        <f>'13. Desinvesteringen'!G715</f>
        <v>2025</v>
      </c>
      <c r="I432" s="37" t="str">
        <f>'13. Desinvesteringen'!C715</f>
        <v>02 Gasontvangststations</v>
      </c>
      <c r="J432" s="165">
        <f>'13. Desinvesteringen'!F715</f>
        <v>0</v>
      </c>
      <c r="K432" s="38">
        <f>_xlfn.XLOOKUP(I432,'3. Input (des)investeringen '!$B$11:$B$89,'3. Input (des)investeringen '!$E$11:$E$89)</f>
        <v>0</v>
      </c>
      <c r="L432" s="331"/>
      <c r="M432" s="38">
        <f>_xlfn.XLOOKUP(I432,'3. Input (des)investeringen '!$B$11:$B$89,'3. Input (des)investeringen '!$D$11:$D$89,0)</f>
        <v>30</v>
      </c>
      <c r="N432" s="38">
        <f t="shared" si="172"/>
        <v>0</v>
      </c>
      <c r="P432" s="43">
        <f t="shared" si="202"/>
        <v>0</v>
      </c>
      <c r="Q432" s="43">
        <f t="shared" si="202"/>
        <v>0</v>
      </c>
      <c r="R432" s="43">
        <f t="shared" si="202"/>
        <v>0</v>
      </c>
      <c r="S432" s="43">
        <f t="shared" si="202"/>
        <v>0</v>
      </c>
      <c r="T432" s="43">
        <f t="shared" si="202"/>
        <v>0</v>
      </c>
      <c r="V432" s="43">
        <f t="shared" si="191"/>
        <v>0</v>
      </c>
      <c r="W432" s="43">
        <f t="shared" si="192"/>
        <v>0</v>
      </c>
      <c r="X432" s="43">
        <f t="shared" si="193"/>
        <v>0</v>
      </c>
      <c r="Y432" s="43">
        <f t="shared" si="194"/>
        <v>0</v>
      </c>
      <c r="Z432" s="43">
        <f t="shared" si="195"/>
        <v>0</v>
      </c>
      <c r="AB432" s="43">
        <f t="shared" si="173"/>
        <v>0</v>
      </c>
      <c r="AC432" s="43">
        <f t="shared" si="174"/>
        <v>0</v>
      </c>
      <c r="AD432" s="43">
        <f t="shared" si="175"/>
        <v>0</v>
      </c>
      <c r="AE432" s="43">
        <f t="shared" si="176"/>
        <v>0</v>
      </c>
      <c r="AF432" s="43">
        <f t="shared" si="177"/>
        <v>0</v>
      </c>
      <c r="AH432" s="43">
        <f t="shared" si="178"/>
        <v>0</v>
      </c>
      <c r="AI432" s="43">
        <f t="shared" si="179"/>
        <v>0</v>
      </c>
      <c r="AJ432" s="43">
        <f t="shared" si="180"/>
        <v>0</v>
      </c>
      <c r="AK432" s="43">
        <f t="shared" si="181"/>
        <v>0</v>
      </c>
      <c r="AL432" s="43">
        <f t="shared" si="182"/>
        <v>0</v>
      </c>
      <c r="AN432" s="47">
        <f t="shared" si="183"/>
        <v>0</v>
      </c>
      <c r="AO432" s="47">
        <f t="shared" si="184"/>
        <v>0</v>
      </c>
      <c r="AP432" s="47">
        <f t="shared" si="185"/>
        <v>0</v>
      </c>
      <c r="AQ432" s="47">
        <f t="shared" si="186"/>
        <v>0</v>
      </c>
      <c r="AR432" s="43">
        <f t="shared" si="187"/>
        <v>0</v>
      </c>
      <c r="AS432" s="349"/>
      <c r="AT432" s="350"/>
      <c r="AU432" s="121"/>
      <c r="AV432" s="121"/>
      <c r="AW432" s="121"/>
      <c r="AX432" s="121"/>
    </row>
    <row r="433" spans="1:50" s="89" customFormat="1">
      <c r="A433" s="3"/>
      <c r="B433" s="37">
        <f>'13. Desinvesteringen'!B716</f>
        <v>697</v>
      </c>
      <c r="C433" s="331"/>
      <c r="D433" s="331"/>
      <c r="E433" s="331"/>
      <c r="F433" s="354">
        <f>'5. Input GAW-waarde desinv.'!D392</f>
        <v>0</v>
      </c>
      <c r="G433" s="175">
        <f>'13. Desinvesteringen'!D716</f>
        <v>1980</v>
      </c>
      <c r="H433" s="175">
        <f>'13. Desinvesteringen'!G716</f>
        <v>2025</v>
      </c>
      <c r="I433" s="37" t="str">
        <f>'13. Desinvesteringen'!C716</f>
        <v>02 Gasontvangststations</v>
      </c>
      <c r="J433" s="165">
        <f>'13. Desinvesteringen'!F716</f>
        <v>0</v>
      </c>
      <c r="K433" s="38">
        <f>_xlfn.XLOOKUP(I433,'3. Input (des)investeringen '!$B$11:$B$89,'3. Input (des)investeringen '!$E$11:$E$89)</f>
        <v>0</v>
      </c>
      <c r="L433" s="331"/>
      <c r="M433" s="38">
        <f>_xlfn.XLOOKUP(I433,'3. Input (des)investeringen '!$B$11:$B$89,'3. Input (des)investeringen '!$D$11:$D$89,0)</f>
        <v>30</v>
      </c>
      <c r="N433" s="38">
        <f t="shared" si="172"/>
        <v>0</v>
      </c>
      <c r="P433" s="43">
        <f t="shared" si="202"/>
        <v>0</v>
      </c>
      <c r="Q433" s="43">
        <f t="shared" si="202"/>
        <v>0</v>
      </c>
      <c r="R433" s="43">
        <f t="shared" si="202"/>
        <v>0</v>
      </c>
      <c r="S433" s="43">
        <f t="shared" si="202"/>
        <v>0</v>
      </c>
      <c r="T433" s="43">
        <f t="shared" si="202"/>
        <v>0</v>
      </c>
      <c r="V433" s="43">
        <f t="shared" si="191"/>
        <v>0</v>
      </c>
      <c r="W433" s="43">
        <f t="shared" si="192"/>
        <v>0</v>
      </c>
      <c r="X433" s="43">
        <f t="shared" si="193"/>
        <v>0</v>
      </c>
      <c r="Y433" s="43">
        <f t="shared" si="194"/>
        <v>0</v>
      </c>
      <c r="Z433" s="43">
        <f t="shared" si="195"/>
        <v>0</v>
      </c>
      <c r="AB433" s="43">
        <f t="shared" si="173"/>
        <v>0</v>
      </c>
      <c r="AC433" s="43">
        <f t="shared" si="174"/>
        <v>0</v>
      </c>
      <c r="AD433" s="43">
        <f t="shared" si="175"/>
        <v>0</v>
      </c>
      <c r="AE433" s="43">
        <f t="shared" si="176"/>
        <v>0</v>
      </c>
      <c r="AF433" s="43">
        <f t="shared" si="177"/>
        <v>0</v>
      </c>
      <c r="AH433" s="43">
        <f t="shared" si="178"/>
        <v>0</v>
      </c>
      <c r="AI433" s="43">
        <f t="shared" si="179"/>
        <v>0</v>
      </c>
      <c r="AJ433" s="43">
        <f t="shared" si="180"/>
        <v>0</v>
      </c>
      <c r="AK433" s="43">
        <f t="shared" si="181"/>
        <v>0</v>
      </c>
      <c r="AL433" s="43">
        <f t="shared" si="182"/>
        <v>0</v>
      </c>
      <c r="AN433" s="47">
        <f t="shared" si="183"/>
        <v>0</v>
      </c>
      <c r="AO433" s="47">
        <f t="shared" si="184"/>
        <v>0</v>
      </c>
      <c r="AP433" s="47">
        <f t="shared" si="185"/>
        <v>0</v>
      </c>
      <c r="AQ433" s="47">
        <f t="shared" si="186"/>
        <v>0</v>
      </c>
      <c r="AR433" s="43">
        <f t="shared" si="187"/>
        <v>0</v>
      </c>
      <c r="AS433" s="349"/>
      <c r="AT433" s="350"/>
      <c r="AU433" s="121"/>
      <c r="AV433" s="121"/>
      <c r="AW433" s="121"/>
      <c r="AX433" s="121"/>
    </row>
    <row r="434" spans="1:50" s="89" customFormat="1">
      <c r="A434" s="3"/>
      <c r="B434" s="37">
        <f>'13. Desinvesteringen'!B717</f>
        <v>698</v>
      </c>
      <c r="C434" s="331"/>
      <c r="D434" s="331"/>
      <c r="E434" s="331"/>
      <c r="F434" s="354">
        <f>'5. Input GAW-waarde desinv.'!D393</f>
        <v>0</v>
      </c>
      <c r="G434" s="175">
        <f>'13. Desinvesteringen'!D717</f>
        <v>1982</v>
      </c>
      <c r="H434" s="175">
        <f>'13. Desinvesteringen'!G717</f>
        <v>2025</v>
      </c>
      <c r="I434" s="37" t="str">
        <f>'13. Desinvesteringen'!C717</f>
        <v>02 Gasontvangststations</v>
      </c>
      <c r="J434" s="165">
        <f>'13. Desinvesteringen'!F717</f>
        <v>0</v>
      </c>
      <c r="K434" s="38">
        <f>_xlfn.XLOOKUP(I434,'3. Input (des)investeringen '!$B$11:$B$89,'3. Input (des)investeringen '!$E$11:$E$89)</f>
        <v>0</v>
      </c>
      <c r="L434" s="331"/>
      <c r="M434" s="38">
        <f>_xlfn.XLOOKUP(I434,'3. Input (des)investeringen '!$B$11:$B$89,'3. Input (des)investeringen '!$D$11:$D$89,0)</f>
        <v>30</v>
      </c>
      <c r="N434" s="38">
        <f t="shared" si="172"/>
        <v>0</v>
      </c>
      <c r="P434" s="43">
        <f t="shared" si="202"/>
        <v>0</v>
      </c>
      <c r="Q434" s="43">
        <f t="shared" si="202"/>
        <v>0</v>
      </c>
      <c r="R434" s="43">
        <f t="shared" si="202"/>
        <v>0</v>
      </c>
      <c r="S434" s="43">
        <f t="shared" si="202"/>
        <v>0</v>
      </c>
      <c r="T434" s="43">
        <f t="shared" si="202"/>
        <v>0</v>
      </c>
      <c r="V434" s="43">
        <f t="shared" si="191"/>
        <v>0</v>
      </c>
      <c r="W434" s="43">
        <f t="shared" si="192"/>
        <v>0</v>
      </c>
      <c r="X434" s="43">
        <f t="shared" si="193"/>
        <v>0</v>
      </c>
      <c r="Y434" s="43">
        <f t="shared" si="194"/>
        <v>0</v>
      </c>
      <c r="Z434" s="43">
        <f t="shared" si="195"/>
        <v>0</v>
      </c>
      <c r="AB434" s="43">
        <f t="shared" si="173"/>
        <v>0</v>
      </c>
      <c r="AC434" s="43">
        <f t="shared" si="174"/>
        <v>0</v>
      </c>
      <c r="AD434" s="43">
        <f t="shared" si="175"/>
        <v>0</v>
      </c>
      <c r="AE434" s="43">
        <f t="shared" si="176"/>
        <v>0</v>
      </c>
      <c r="AF434" s="43">
        <f t="shared" si="177"/>
        <v>0</v>
      </c>
      <c r="AH434" s="43">
        <f t="shared" si="178"/>
        <v>0</v>
      </c>
      <c r="AI434" s="43">
        <f t="shared" si="179"/>
        <v>0</v>
      </c>
      <c r="AJ434" s="43">
        <f t="shared" si="180"/>
        <v>0</v>
      </c>
      <c r="AK434" s="43">
        <f t="shared" si="181"/>
        <v>0</v>
      </c>
      <c r="AL434" s="43">
        <f t="shared" si="182"/>
        <v>0</v>
      </c>
      <c r="AN434" s="47">
        <f t="shared" si="183"/>
        <v>0</v>
      </c>
      <c r="AO434" s="47">
        <f t="shared" si="184"/>
        <v>0</v>
      </c>
      <c r="AP434" s="47">
        <f t="shared" si="185"/>
        <v>0</v>
      </c>
      <c r="AQ434" s="47">
        <f t="shared" si="186"/>
        <v>0</v>
      </c>
      <c r="AR434" s="43">
        <f t="shared" si="187"/>
        <v>0</v>
      </c>
      <c r="AS434" s="349"/>
      <c r="AT434" s="350"/>
      <c r="AU434" s="121"/>
      <c r="AV434" s="121"/>
      <c r="AW434" s="121"/>
      <c r="AX434" s="121"/>
    </row>
    <row r="435" spans="1:50" s="89" customFormat="1">
      <c r="A435" s="3"/>
      <c r="B435" s="37">
        <f>'13. Desinvesteringen'!B718</f>
        <v>699</v>
      </c>
      <c r="C435" s="331"/>
      <c r="D435" s="331"/>
      <c r="E435" s="331"/>
      <c r="F435" s="354">
        <f>'5. Input GAW-waarde desinv.'!D394</f>
        <v>0</v>
      </c>
      <c r="G435" s="175">
        <f>'13. Desinvesteringen'!D718</f>
        <v>1984</v>
      </c>
      <c r="H435" s="175">
        <f>'13. Desinvesteringen'!G718</f>
        <v>2025</v>
      </c>
      <c r="I435" s="37" t="str">
        <f>'13. Desinvesteringen'!C718</f>
        <v>02 Gasontvangststations</v>
      </c>
      <c r="J435" s="165">
        <f>'13. Desinvesteringen'!F718</f>
        <v>0</v>
      </c>
      <c r="K435" s="38">
        <f>_xlfn.XLOOKUP(I435,'3. Input (des)investeringen '!$B$11:$B$89,'3. Input (des)investeringen '!$E$11:$E$89)</f>
        <v>0</v>
      </c>
      <c r="L435" s="331"/>
      <c r="M435" s="38">
        <f>_xlfn.XLOOKUP(I435,'3. Input (des)investeringen '!$B$11:$B$89,'3. Input (des)investeringen '!$D$11:$D$89,0)</f>
        <v>30</v>
      </c>
      <c r="N435" s="38">
        <f t="shared" si="172"/>
        <v>0</v>
      </c>
      <c r="P435" s="43">
        <f t="shared" si="202"/>
        <v>0</v>
      </c>
      <c r="Q435" s="43">
        <f t="shared" si="202"/>
        <v>0</v>
      </c>
      <c r="R435" s="43">
        <f t="shared" si="202"/>
        <v>0</v>
      </c>
      <c r="S435" s="43">
        <f t="shared" si="202"/>
        <v>0</v>
      </c>
      <c r="T435" s="43">
        <f t="shared" si="202"/>
        <v>0</v>
      </c>
      <c r="V435" s="43">
        <f t="shared" si="191"/>
        <v>0</v>
      </c>
      <c r="W435" s="43">
        <f t="shared" si="192"/>
        <v>0</v>
      </c>
      <c r="X435" s="43">
        <f t="shared" si="193"/>
        <v>0</v>
      </c>
      <c r="Y435" s="43">
        <f t="shared" si="194"/>
        <v>0</v>
      </c>
      <c r="Z435" s="43">
        <f t="shared" si="195"/>
        <v>0</v>
      </c>
      <c r="AB435" s="43">
        <f t="shared" si="173"/>
        <v>0</v>
      </c>
      <c r="AC435" s="43">
        <f t="shared" si="174"/>
        <v>0</v>
      </c>
      <c r="AD435" s="43">
        <f t="shared" si="175"/>
        <v>0</v>
      </c>
      <c r="AE435" s="43">
        <f t="shared" si="176"/>
        <v>0</v>
      </c>
      <c r="AF435" s="43">
        <f t="shared" si="177"/>
        <v>0</v>
      </c>
      <c r="AH435" s="43">
        <f t="shared" si="178"/>
        <v>0</v>
      </c>
      <c r="AI435" s="43">
        <f t="shared" si="179"/>
        <v>0</v>
      </c>
      <c r="AJ435" s="43">
        <f t="shared" si="180"/>
        <v>0</v>
      </c>
      <c r="AK435" s="43">
        <f t="shared" si="181"/>
        <v>0</v>
      </c>
      <c r="AL435" s="43">
        <f t="shared" si="182"/>
        <v>0</v>
      </c>
      <c r="AN435" s="47">
        <f t="shared" si="183"/>
        <v>0</v>
      </c>
      <c r="AO435" s="47">
        <f t="shared" si="184"/>
        <v>0</v>
      </c>
      <c r="AP435" s="47">
        <f t="shared" si="185"/>
        <v>0</v>
      </c>
      <c r="AQ435" s="47">
        <f t="shared" si="186"/>
        <v>0</v>
      </c>
      <c r="AR435" s="43">
        <f t="shared" si="187"/>
        <v>0</v>
      </c>
      <c r="AS435" s="349"/>
      <c r="AT435" s="350"/>
      <c r="AU435" s="121"/>
      <c r="AV435" s="121"/>
      <c r="AW435" s="121"/>
      <c r="AX435" s="121"/>
    </row>
    <row r="436" spans="1:50" s="89" customFormat="1">
      <c r="A436" s="3"/>
      <c r="B436" s="37">
        <f>'13. Desinvesteringen'!B719</f>
        <v>700</v>
      </c>
      <c r="C436" s="331"/>
      <c r="D436" s="331"/>
      <c r="E436" s="331"/>
      <c r="F436" s="354">
        <f>'5. Input GAW-waarde desinv.'!D395</f>
        <v>0</v>
      </c>
      <c r="G436" s="175">
        <f>'13. Desinvesteringen'!D719</f>
        <v>1985</v>
      </c>
      <c r="H436" s="175">
        <f>'13. Desinvesteringen'!G719</f>
        <v>2025</v>
      </c>
      <c r="I436" s="37" t="str">
        <f>'13. Desinvesteringen'!C719</f>
        <v>02 Gasontvangststations</v>
      </c>
      <c r="J436" s="165">
        <f>'13. Desinvesteringen'!F719</f>
        <v>0</v>
      </c>
      <c r="K436" s="38">
        <f>_xlfn.XLOOKUP(I436,'3. Input (des)investeringen '!$B$11:$B$89,'3. Input (des)investeringen '!$E$11:$E$89)</f>
        <v>0</v>
      </c>
      <c r="L436" s="331"/>
      <c r="M436" s="38">
        <f>_xlfn.XLOOKUP(I436,'3. Input (des)investeringen '!$B$11:$B$89,'3. Input (des)investeringen '!$D$11:$D$89,0)</f>
        <v>30</v>
      </c>
      <c r="N436" s="38">
        <f t="shared" si="172"/>
        <v>0</v>
      </c>
      <c r="P436" s="43">
        <f t="shared" si="202"/>
        <v>0</v>
      </c>
      <c r="Q436" s="43">
        <f t="shared" si="202"/>
        <v>0</v>
      </c>
      <c r="R436" s="43">
        <f t="shared" si="202"/>
        <v>0</v>
      </c>
      <c r="S436" s="43">
        <f t="shared" si="202"/>
        <v>0</v>
      </c>
      <c r="T436" s="43">
        <f t="shared" si="202"/>
        <v>0</v>
      </c>
      <c r="V436" s="43">
        <f t="shared" si="191"/>
        <v>0</v>
      </c>
      <c r="W436" s="43">
        <f t="shared" si="192"/>
        <v>0</v>
      </c>
      <c r="X436" s="43">
        <f t="shared" si="193"/>
        <v>0</v>
      </c>
      <c r="Y436" s="43">
        <f t="shared" si="194"/>
        <v>0</v>
      </c>
      <c r="Z436" s="43">
        <f t="shared" si="195"/>
        <v>0</v>
      </c>
      <c r="AB436" s="43">
        <f t="shared" si="173"/>
        <v>0</v>
      </c>
      <c r="AC436" s="43">
        <f t="shared" si="174"/>
        <v>0</v>
      </c>
      <c r="AD436" s="43">
        <f t="shared" si="175"/>
        <v>0</v>
      </c>
      <c r="AE436" s="43">
        <f t="shared" si="176"/>
        <v>0</v>
      </c>
      <c r="AF436" s="43">
        <f t="shared" si="177"/>
        <v>0</v>
      </c>
      <c r="AH436" s="43">
        <f t="shared" si="178"/>
        <v>0</v>
      </c>
      <c r="AI436" s="43">
        <f t="shared" si="179"/>
        <v>0</v>
      </c>
      <c r="AJ436" s="43">
        <f t="shared" si="180"/>
        <v>0</v>
      </c>
      <c r="AK436" s="43">
        <f t="shared" si="181"/>
        <v>0</v>
      </c>
      <c r="AL436" s="43">
        <f t="shared" si="182"/>
        <v>0</v>
      </c>
      <c r="AN436" s="47">
        <f t="shared" si="183"/>
        <v>0</v>
      </c>
      <c r="AO436" s="47">
        <f t="shared" si="184"/>
        <v>0</v>
      </c>
      <c r="AP436" s="47">
        <f t="shared" si="185"/>
        <v>0</v>
      </c>
      <c r="AQ436" s="47">
        <f t="shared" si="186"/>
        <v>0</v>
      </c>
      <c r="AR436" s="43">
        <f t="shared" si="187"/>
        <v>0</v>
      </c>
      <c r="AS436" s="349"/>
      <c r="AT436" s="350"/>
      <c r="AU436" s="121"/>
      <c r="AV436" s="121"/>
      <c r="AW436" s="121"/>
      <c r="AX436" s="121"/>
    </row>
    <row r="437" spans="1:50" s="89" customFormat="1">
      <c r="A437" s="3"/>
      <c r="B437" s="37">
        <f>'13. Desinvesteringen'!B720</f>
        <v>701</v>
      </c>
      <c r="C437" s="331"/>
      <c r="D437" s="331"/>
      <c r="E437" s="331"/>
      <c r="F437" s="354">
        <f>'5. Input GAW-waarde desinv.'!D396</f>
        <v>0</v>
      </c>
      <c r="G437" s="175">
        <f>'13. Desinvesteringen'!D720</f>
        <v>1987</v>
      </c>
      <c r="H437" s="175">
        <f>'13. Desinvesteringen'!G720</f>
        <v>2025</v>
      </c>
      <c r="I437" s="37" t="str">
        <f>'13. Desinvesteringen'!C720</f>
        <v>02 Gasontvangststations</v>
      </c>
      <c r="J437" s="165">
        <f>'13. Desinvesteringen'!F720</f>
        <v>0</v>
      </c>
      <c r="K437" s="38">
        <f>_xlfn.XLOOKUP(I437,'3. Input (des)investeringen '!$B$11:$B$89,'3. Input (des)investeringen '!$E$11:$E$89)</f>
        <v>0</v>
      </c>
      <c r="L437" s="331"/>
      <c r="M437" s="38">
        <f>_xlfn.XLOOKUP(I437,'3. Input (des)investeringen '!$B$11:$B$89,'3. Input (des)investeringen '!$D$11:$D$89,0)</f>
        <v>30</v>
      </c>
      <c r="N437" s="38">
        <f t="shared" si="172"/>
        <v>0</v>
      </c>
      <c r="P437" s="43">
        <f t="shared" si="202"/>
        <v>0</v>
      </c>
      <c r="Q437" s="43">
        <f t="shared" si="202"/>
        <v>0</v>
      </c>
      <c r="R437" s="43">
        <f t="shared" si="202"/>
        <v>0</v>
      </c>
      <c r="S437" s="43">
        <f t="shared" si="202"/>
        <v>0</v>
      </c>
      <c r="T437" s="43">
        <f t="shared" si="202"/>
        <v>0</v>
      </c>
      <c r="V437" s="43">
        <f t="shared" si="191"/>
        <v>0</v>
      </c>
      <c r="W437" s="43">
        <f t="shared" si="192"/>
        <v>0</v>
      </c>
      <c r="X437" s="43">
        <f t="shared" si="193"/>
        <v>0</v>
      </c>
      <c r="Y437" s="43">
        <f t="shared" si="194"/>
        <v>0</v>
      </c>
      <c r="Z437" s="43">
        <f t="shared" si="195"/>
        <v>0</v>
      </c>
      <c r="AB437" s="43">
        <f t="shared" si="173"/>
        <v>0</v>
      </c>
      <c r="AC437" s="43">
        <f t="shared" si="174"/>
        <v>0</v>
      </c>
      <c r="AD437" s="43">
        <f t="shared" si="175"/>
        <v>0</v>
      </c>
      <c r="AE437" s="43">
        <f t="shared" si="176"/>
        <v>0</v>
      </c>
      <c r="AF437" s="43">
        <f t="shared" si="177"/>
        <v>0</v>
      </c>
      <c r="AH437" s="43">
        <f t="shared" si="178"/>
        <v>0</v>
      </c>
      <c r="AI437" s="43">
        <f t="shared" si="179"/>
        <v>0</v>
      </c>
      <c r="AJ437" s="43">
        <f t="shared" si="180"/>
        <v>0</v>
      </c>
      <c r="AK437" s="43">
        <f t="shared" si="181"/>
        <v>0</v>
      </c>
      <c r="AL437" s="43">
        <f t="shared" si="182"/>
        <v>0</v>
      </c>
      <c r="AN437" s="47">
        <f t="shared" si="183"/>
        <v>0</v>
      </c>
      <c r="AO437" s="47">
        <f t="shared" si="184"/>
        <v>0</v>
      </c>
      <c r="AP437" s="47">
        <f t="shared" si="185"/>
        <v>0</v>
      </c>
      <c r="AQ437" s="47">
        <f t="shared" si="186"/>
        <v>0</v>
      </c>
      <c r="AR437" s="43">
        <f t="shared" si="187"/>
        <v>0</v>
      </c>
      <c r="AS437" s="349"/>
      <c r="AT437" s="350"/>
      <c r="AU437" s="121"/>
      <c r="AV437" s="121"/>
      <c r="AW437" s="121"/>
      <c r="AX437" s="121"/>
    </row>
    <row r="438" spans="1:50" s="89" customFormat="1">
      <c r="A438" s="3"/>
      <c r="B438" s="37">
        <f>'13. Desinvesteringen'!B721</f>
        <v>702</v>
      </c>
      <c r="C438" s="331"/>
      <c r="D438" s="331"/>
      <c r="E438" s="331"/>
      <c r="F438" s="354">
        <f>'5. Input GAW-waarde desinv.'!D397</f>
        <v>0</v>
      </c>
      <c r="G438" s="175">
        <f>'13. Desinvesteringen'!D721</f>
        <v>1988</v>
      </c>
      <c r="H438" s="175">
        <f>'13. Desinvesteringen'!G721</f>
        <v>2025</v>
      </c>
      <c r="I438" s="37" t="str">
        <f>'13. Desinvesteringen'!C721</f>
        <v>02 Gasontvangststations</v>
      </c>
      <c r="J438" s="165">
        <f>'13. Desinvesteringen'!F721</f>
        <v>0</v>
      </c>
      <c r="K438" s="38">
        <f>_xlfn.XLOOKUP(I438,'3. Input (des)investeringen '!$B$11:$B$89,'3. Input (des)investeringen '!$E$11:$E$89)</f>
        <v>0</v>
      </c>
      <c r="L438" s="331"/>
      <c r="M438" s="38">
        <f>_xlfn.XLOOKUP(I438,'3. Input (des)investeringen '!$B$11:$B$89,'3. Input (des)investeringen '!$D$11:$D$89,0)</f>
        <v>30</v>
      </c>
      <c r="N438" s="38">
        <f t="shared" si="172"/>
        <v>0</v>
      </c>
      <c r="P438" s="43">
        <f t="shared" si="202"/>
        <v>0</v>
      </c>
      <c r="Q438" s="43">
        <f t="shared" si="202"/>
        <v>0</v>
      </c>
      <c r="R438" s="43">
        <f t="shared" si="202"/>
        <v>0</v>
      </c>
      <c r="S438" s="43">
        <f t="shared" si="202"/>
        <v>0</v>
      </c>
      <c r="T438" s="43">
        <f t="shared" si="202"/>
        <v>0</v>
      </c>
      <c r="V438" s="43">
        <f t="shared" si="191"/>
        <v>0</v>
      </c>
      <c r="W438" s="43">
        <f t="shared" si="192"/>
        <v>0</v>
      </c>
      <c r="X438" s="43">
        <f t="shared" si="193"/>
        <v>0</v>
      </c>
      <c r="Y438" s="43">
        <f t="shared" si="194"/>
        <v>0</v>
      </c>
      <c r="Z438" s="43">
        <f t="shared" si="195"/>
        <v>0</v>
      </c>
      <c r="AB438" s="43">
        <f t="shared" si="173"/>
        <v>0</v>
      </c>
      <c r="AC438" s="43">
        <f t="shared" si="174"/>
        <v>0</v>
      </c>
      <c r="AD438" s="43">
        <f t="shared" si="175"/>
        <v>0</v>
      </c>
      <c r="AE438" s="43">
        <f t="shared" si="176"/>
        <v>0</v>
      </c>
      <c r="AF438" s="43">
        <f t="shared" si="177"/>
        <v>0</v>
      </c>
      <c r="AH438" s="43">
        <f t="shared" si="178"/>
        <v>0</v>
      </c>
      <c r="AI438" s="43">
        <f t="shared" si="179"/>
        <v>0</v>
      </c>
      <c r="AJ438" s="43">
        <f t="shared" si="180"/>
        <v>0</v>
      </c>
      <c r="AK438" s="43">
        <f t="shared" si="181"/>
        <v>0</v>
      </c>
      <c r="AL438" s="43">
        <f t="shared" si="182"/>
        <v>0</v>
      </c>
      <c r="AN438" s="47">
        <f t="shared" si="183"/>
        <v>0</v>
      </c>
      <c r="AO438" s="47">
        <f t="shared" si="184"/>
        <v>0</v>
      </c>
      <c r="AP438" s="47">
        <f t="shared" si="185"/>
        <v>0</v>
      </c>
      <c r="AQ438" s="47">
        <f t="shared" si="186"/>
        <v>0</v>
      </c>
      <c r="AR438" s="43">
        <f t="shared" si="187"/>
        <v>0</v>
      </c>
      <c r="AS438" s="349"/>
      <c r="AT438" s="350"/>
      <c r="AU438" s="121"/>
      <c r="AV438" s="121"/>
      <c r="AW438" s="121"/>
      <c r="AX438" s="121"/>
    </row>
    <row r="439" spans="1:50" s="89" customFormat="1">
      <c r="A439" s="3"/>
      <c r="B439" s="37">
        <f>'13. Desinvesteringen'!B722</f>
        <v>703</v>
      </c>
      <c r="C439" s="331"/>
      <c r="D439" s="331"/>
      <c r="E439" s="331"/>
      <c r="F439" s="354">
        <f>'5. Input GAW-waarde desinv.'!D398</f>
        <v>0</v>
      </c>
      <c r="G439" s="175">
        <f>'13. Desinvesteringen'!D722</f>
        <v>1989</v>
      </c>
      <c r="H439" s="175">
        <f>'13. Desinvesteringen'!G722</f>
        <v>2025</v>
      </c>
      <c r="I439" s="37" t="str">
        <f>'13. Desinvesteringen'!C722</f>
        <v>02 Gasontvangststations</v>
      </c>
      <c r="J439" s="165">
        <f>'13. Desinvesteringen'!F722</f>
        <v>0</v>
      </c>
      <c r="K439" s="38">
        <f>_xlfn.XLOOKUP(I439,'3. Input (des)investeringen '!$B$11:$B$89,'3. Input (des)investeringen '!$E$11:$E$89)</f>
        <v>0</v>
      </c>
      <c r="L439" s="331"/>
      <c r="M439" s="38">
        <f>_xlfn.XLOOKUP(I439,'3. Input (des)investeringen '!$B$11:$B$89,'3. Input (des)investeringen '!$D$11:$D$89,0)</f>
        <v>30</v>
      </c>
      <c r="N439" s="38">
        <f t="shared" si="172"/>
        <v>0</v>
      </c>
      <c r="P439" s="43">
        <f t="shared" ref="P439:T448" si="203">IF($M439&gt;0, IF(OR($G439&gt;P$50,$G439+$M439&lt;P$50),0,
VDB($F439,0,$N439,MAX(0,P$50-2022),MIN($N439,P$50-2021),$F$23,FALSE))*(1-$F$26), 0)</f>
        <v>0</v>
      </c>
      <c r="Q439" s="43">
        <f t="shared" si="203"/>
        <v>0</v>
      </c>
      <c r="R439" s="43">
        <f t="shared" si="203"/>
        <v>0</v>
      </c>
      <c r="S439" s="43">
        <f t="shared" si="203"/>
        <v>0</v>
      </c>
      <c r="T439" s="43">
        <f t="shared" si="203"/>
        <v>0</v>
      </c>
      <c r="V439" s="43">
        <f t="shared" si="191"/>
        <v>0</v>
      </c>
      <c r="W439" s="43">
        <f t="shared" si="192"/>
        <v>0</v>
      </c>
      <c r="X439" s="43">
        <f t="shared" si="193"/>
        <v>0</v>
      </c>
      <c r="Y439" s="43">
        <f t="shared" si="194"/>
        <v>0</v>
      </c>
      <c r="Z439" s="43">
        <f t="shared" si="195"/>
        <v>0</v>
      </c>
      <c r="AB439" s="43">
        <f t="shared" si="173"/>
        <v>0</v>
      </c>
      <c r="AC439" s="43">
        <f t="shared" si="174"/>
        <v>0</v>
      </c>
      <c r="AD439" s="43">
        <f t="shared" si="175"/>
        <v>0</v>
      </c>
      <c r="AE439" s="43">
        <f t="shared" si="176"/>
        <v>0</v>
      </c>
      <c r="AF439" s="43">
        <f t="shared" si="177"/>
        <v>0</v>
      </c>
      <c r="AH439" s="43">
        <f t="shared" si="178"/>
        <v>0</v>
      </c>
      <c r="AI439" s="43">
        <f t="shared" si="179"/>
        <v>0</v>
      </c>
      <c r="AJ439" s="43">
        <f t="shared" si="180"/>
        <v>0</v>
      </c>
      <c r="AK439" s="43">
        <f t="shared" si="181"/>
        <v>0</v>
      </c>
      <c r="AL439" s="43">
        <f t="shared" si="182"/>
        <v>0</v>
      </c>
      <c r="AN439" s="47">
        <f t="shared" si="183"/>
        <v>0</v>
      </c>
      <c r="AO439" s="47">
        <f t="shared" si="184"/>
        <v>0</v>
      </c>
      <c r="AP439" s="47">
        <f t="shared" si="185"/>
        <v>0</v>
      </c>
      <c r="AQ439" s="47">
        <f t="shared" si="186"/>
        <v>0</v>
      </c>
      <c r="AR439" s="43">
        <f t="shared" si="187"/>
        <v>0</v>
      </c>
      <c r="AS439" s="349"/>
      <c r="AT439" s="350"/>
      <c r="AU439" s="121"/>
      <c r="AV439" s="121"/>
      <c r="AW439" s="121"/>
      <c r="AX439" s="121"/>
    </row>
    <row r="440" spans="1:50" s="89" customFormat="1">
      <c r="A440" s="3"/>
      <c r="B440" s="37">
        <f>'13. Desinvesteringen'!B723</f>
        <v>704</v>
      </c>
      <c r="C440" s="331"/>
      <c r="D440" s="331"/>
      <c r="E440" s="331"/>
      <c r="F440" s="354">
        <f>'5. Input GAW-waarde desinv.'!D399</f>
        <v>2417</v>
      </c>
      <c r="G440" s="175">
        <f>'13. Desinvesteringen'!D723</f>
        <v>1992</v>
      </c>
      <c r="H440" s="175">
        <f>'13. Desinvesteringen'!G723</f>
        <v>2025</v>
      </c>
      <c r="I440" s="37" t="str">
        <f>'13. Desinvesteringen'!C723</f>
        <v>02 Gasontvangststations</v>
      </c>
      <c r="J440" s="165">
        <f>'13. Desinvesteringen'!F723</f>
        <v>0</v>
      </c>
      <c r="K440" s="38">
        <f>_xlfn.XLOOKUP(I440,'3. Input (des)investeringen '!$B$11:$B$89,'3. Input (des)investeringen '!$E$11:$E$89)</f>
        <v>0</v>
      </c>
      <c r="L440" s="331"/>
      <c r="M440" s="38">
        <f>_xlfn.XLOOKUP(I440,'3. Input (des)investeringen '!$B$11:$B$89,'3. Input (des)investeringen '!$D$11:$D$89,0)</f>
        <v>30</v>
      </c>
      <c r="N440" s="38">
        <f t="shared" si="172"/>
        <v>0.5</v>
      </c>
      <c r="P440" s="43">
        <f t="shared" si="203"/>
        <v>2175.3000000000002</v>
      </c>
      <c r="Q440" s="43">
        <f t="shared" si="203"/>
        <v>0</v>
      </c>
      <c r="R440" s="43">
        <f t="shared" si="203"/>
        <v>0</v>
      </c>
      <c r="S440" s="43">
        <f t="shared" si="203"/>
        <v>0</v>
      </c>
      <c r="T440" s="43">
        <f t="shared" si="203"/>
        <v>0</v>
      </c>
      <c r="V440" s="43">
        <f t="shared" si="191"/>
        <v>241.70000000000002</v>
      </c>
      <c r="W440" s="43">
        <f t="shared" si="192"/>
        <v>0</v>
      </c>
      <c r="X440" s="43">
        <f t="shared" si="193"/>
        <v>0</v>
      </c>
      <c r="Y440" s="43">
        <f t="shared" si="194"/>
        <v>0</v>
      </c>
      <c r="Z440" s="43">
        <f t="shared" si="195"/>
        <v>0</v>
      </c>
      <c r="AB440" s="43">
        <f t="shared" si="173"/>
        <v>2417</v>
      </c>
      <c r="AC440" s="43">
        <f t="shared" si="174"/>
        <v>0</v>
      </c>
      <c r="AD440" s="43">
        <f t="shared" si="175"/>
        <v>0</v>
      </c>
      <c r="AE440" s="43">
        <f t="shared" si="176"/>
        <v>0</v>
      </c>
      <c r="AF440" s="43">
        <f t="shared" si="177"/>
        <v>0</v>
      </c>
      <c r="AH440" s="43">
        <f t="shared" si="178"/>
        <v>0</v>
      </c>
      <c r="AI440" s="43">
        <f t="shared" si="179"/>
        <v>0</v>
      </c>
      <c r="AJ440" s="43">
        <f t="shared" si="180"/>
        <v>0</v>
      </c>
      <c r="AK440" s="43">
        <f t="shared" si="181"/>
        <v>0</v>
      </c>
      <c r="AL440" s="43">
        <f t="shared" si="182"/>
        <v>0</v>
      </c>
      <c r="AN440" s="47">
        <f t="shared" si="183"/>
        <v>2417</v>
      </c>
      <c r="AO440" s="47">
        <f t="shared" si="184"/>
        <v>0</v>
      </c>
      <c r="AP440" s="47">
        <f t="shared" si="185"/>
        <v>0</v>
      </c>
      <c r="AQ440" s="47">
        <f t="shared" si="186"/>
        <v>0</v>
      </c>
      <c r="AR440" s="43">
        <f t="shared" si="187"/>
        <v>0</v>
      </c>
      <c r="AS440" s="349"/>
      <c r="AT440" s="350"/>
      <c r="AU440" s="121"/>
      <c r="AV440" s="121"/>
      <c r="AW440" s="121"/>
      <c r="AX440" s="121"/>
    </row>
    <row r="441" spans="1:50" s="89" customFormat="1">
      <c r="A441" s="3"/>
      <c r="B441" s="37">
        <f>'13. Desinvesteringen'!B724</f>
        <v>705</v>
      </c>
      <c r="C441" s="331"/>
      <c r="D441" s="331"/>
      <c r="E441" s="331"/>
      <c r="F441" s="354">
        <f>'5. Input GAW-waarde desinv.'!D400</f>
        <v>13470</v>
      </c>
      <c r="G441" s="175">
        <f>'13. Desinvesteringen'!D724</f>
        <v>1993</v>
      </c>
      <c r="H441" s="175">
        <f>'13. Desinvesteringen'!G724</f>
        <v>2025</v>
      </c>
      <c r="I441" s="37" t="str">
        <f>'13. Desinvesteringen'!C724</f>
        <v>02 Gasontvangststations</v>
      </c>
      <c r="J441" s="165">
        <f>'13. Desinvesteringen'!F724</f>
        <v>0</v>
      </c>
      <c r="K441" s="38">
        <f>_xlfn.XLOOKUP(I441,'3. Input (des)investeringen '!$B$11:$B$89,'3. Input (des)investeringen '!$E$11:$E$89)</f>
        <v>0</v>
      </c>
      <c r="L441" s="331"/>
      <c r="M441" s="38">
        <f>_xlfn.XLOOKUP(I441,'3. Input (des)investeringen '!$B$11:$B$89,'3. Input (des)investeringen '!$D$11:$D$89,0)</f>
        <v>30</v>
      </c>
      <c r="N441" s="38">
        <f t="shared" si="172"/>
        <v>1.5</v>
      </c>
      <c r="P441" s="43">
        <f t="shared" si="203"/>
        <v>10506.6</v>
      </c>
      <c r="Q441" s="43">
        <f t="shared" si="203"/>
        <v>1616.4</v>
      </c>
      <c r="R441" s="43">
        <f t="shared" si="203"/>
        <v>0</v>
      </c>
      <c r="S441" s="43">
        <f t="shared" si="203"/>
        <v>0</v>
      </c>
      <c r="T441" s="43">
        <f t="shared" si="203"/>
        <v>0</v>
      </c>
      <c r="V441" s="43">
        <f t="shared" si="191"/>
        <v>898</v>
      </c>
      <c r="W441" s="43">
        <f t="shared" si="192"/>
        <v>449</v>
      </c>
      <c r="X441" s="43">
        <f t="shared" si="193"/>
        <v>0</v>
      </c>
      <c r="Y441" s="43">
        <f t="shared" si="194"/>
        <v>0</v>
      </c>
      <c r="Z441" s="43">
        <f t="shared" si="195"/>
        <v>0</v>
      </c>
      <c r="AB441" s="43">
        <f t="shared" si="173"/>
        <v>11404.6</v>
      </c>
      <c r="AC441" s="43">
        <f t="shared" si="174"/>
        <v>2065.4</v>
      </c>
      <c r="AD441" s="43">
        <f t="shared" si="175"/>
        <v>0</v>
      </c>
      <c r="AE441" s="43">
        <f t="shared" si="176"/>
        <v>0</v>
      </c>
      <c r="AF441" s="43">
        <f t="shared" si="177"/>
        <v>0</v>
      </c>
      <c r="AH441" s="43">
        <f t="shared" si="178"/>
        <v>2065.3999999999996</v>
      </c>
      <c r="AI441" s="43">
        <f t="shared" si="179"/>
        <v>0</v>
      </c>
      <c r="AJ441" s="43">
        <f t="shared" si="180"/>
        <v>0</v>
      </c>
      <c r="AK441" s="43">
        <f t="shared" si="181"/>
        <v>0</v>
      </c>
      <c r="AL441" s="43">
        <f t="shared" si="182"/>
        <v>0</v>
      </c>
      <c r="AN441" s="47">
        <f t="shared" si="183"/>
        <v>11489.2814</v>
      </c>
      <c r="AO441" s="47">
        <f t="shared" si="184"/>
        <v>2065.4</v>
      </c>
      <c r="AP441" s="47">
        <f t="shared" si="185"/>
        <v>0</v>
      </c>
      <c r="AQ441" s="47">
        <f t="shared" si="186"/>
        <v>0</v>
      </c>
      <c r="AR441" s="43">
        <f t="shared" si="187"/>
        <v>0</v>
      </c>
      <c r="AS441" s="349"/>
      <c r="AT441" s="350"/>
      <c r="AU441" s="121"/>
      <c r="AV441" s="121"/>
      <c r="AW441" s="121"/>
      <c r="AX441" s="121"/>
    </row>
    <row r="442" spans="1:50" s="89" customFormat="1">
      <c r="A442" s="3"/>
      <c r="B442" s="37">
        <f>'13. Desinvesteringen'!B725</f>
        <v>706</v>
      </c>
      <c r="C442" s="331"/>
      <c r="D442" s="331"/>
      <c r="E442" s="331"/>
      <c r="F442" s="354">
        <f>'5. Input GAW-waarde desinv.'!D401</f>
        <v>9189</v>
      </c>
      <c r="G442" s="175">
        <f>'13. Desinvesteringen'!D725</f>
        <v>1994</v>
      </c>
      <c r="H442" s="175">
        <f>'13. Desinvesteringen'!G725</f>
        <v>2025</v>
      </c>
      <c r="I442" s="37" t="str">
        <f>'13. Desinvesteringen'!C725</f>
        <v>02 Gasontvangststations</v>
      </c>
      <c r="J442" s="165">
        <f>'13. Desinvesteringen'!F725</f>
        <v>0</v>
      </c>
      <c r="K442" s="38">
        <f>_xlfn.XLOOKUP(I442,'3. Input (des)investeringen '!$B$11:$B$89,'3. Input (des)investeringen '!$E$11:$E$89)</f>
        <v>0</v>
      </c>
      <c r="L442" s="331"/>
      <c r="M442" s="38">
        <f>_xlfn.XLOOKUP(I442,'3. Input (des)investeringen '!$B$11:$B$89,'3. Input (des)investeringen '!$D$11:$D$89,0)</f>
        <v>30</v>
      </c>
      <c r="N442" s="38">
        <f t="shared" si="172"/>
        <v>2.5</v>
      </c>
      <c r="P442" s="43">
        <f t="shared" si="203"/>
        <v>4300.4520000000002</v>
      </c>
      <c r="Q442" s="43">
        <f t="shared" si="203"/>
        <v>2646.4320000000002</v>
      </c>
      <c r="R442" s="43">
        <f t="shared" si="203"/>
        <v>1323.2160000000001</v>
      </c>
      <c r="S442" s="43">
        <f t="shared" si="203"/>
        <v>0</v>
      </c>
      <c r="T442" s="43">
        <f t="shared" si="203"/>
        <v>0</v>
      </c>
      <c r="V442" s="43">
        <f t="shared" si="191"/>
        <v>367.56000000000006</v>
      </c>
      <c r="W442" s="43">
        <f t="shared" si="192"/>
        <v>367.56</v>
      </c>
      <c r="X442" s="43">
        <f t="shared" si="193"/>
        <v>183.78</v>
      </c>
      <c r="Y442" s="43">
        <f t="shared" si="194"/>
        <v>0</v>
      </c>
      <c r="Z442" s="43">
        <f t="shared" si="195"/>
        <v>0</v>
      </c>
      <c r="AB442" s="43">
        <f t="shared" si="173"/>
        <v>4668.0120000000006</v>
      </c>
      <c r="AC442" s="43">
        <f t="shared" si="174"/>
        <v>3013.9920000000002</v>
      </c>
      <c r="AD442" s="43">
        <f t="shared" si="175"/>
        <v>1506.9960000000001</v>
      </c>
      <c r="AE442" s="43">
        <f t="shared" si="176"/>
        <v>0</v>
      </c>
      <c r="AF442" s="43">
        <f t="shared" si="177"/>
        <v>0</v>
      </c>
      <c r="AH442" s="43">
        <f t="shared" si="178"/>
        <v>4520.9879999999994</v>
      </c>
      <c r="AI442" s="43">
        <f t="shared" si="179"/>
        <v>1506.9959999999992</v>
      </c>
      <c r="AJ442" s="43">
        <f t="shared" si="180"/>
        <v>0</v>
      </c>
      <c r="AK442" s="43">
        <f t="shared" si="181"/>
        <v>0</v>
      </c>
      <c r="AL442" s="43">
        <f t="shared" si="182"/>
        <v>0</v>
      </c>
      <c r="AN442" s="47">
        <f t="shared" si="183"/>
        <v>4853.3725080000004</v>
      </c>
      <c r="AO442" s="47">
        <f t="shared" si="184"/>
        <v>3090.8487960000002</v>
      </c>
      <c r="AP442" s="47">
        <f t="shared" si="185"/>
        <v>1506.9960000000001</v>
      </c>
      <c r="AQ442" s="47">
        <f t="shared" si="186"/>
        <v>0</v>
      </c>
      <c r="AR442" s="43">
        <f t="shared" si="187"/>
        <v>0</v>
      </c>
      <c r="AS442" s="349"/>
      <c r="AT442" s="350"/>
      <c r="AU442" s="121"/>
      <c r="AV442" s="121"/>
      <c r="AW442" s="121"/>
      <c r="AX442" s="121"/>
    </row>
    <row r="443" spans="1:50" s="89" customFormat="1">
      <c r="A443" s="3"/>
      <c r="B443" s="37">
        <f>'13. Desinvesteringen'!B726</f>
        <v>707</v>
      </c>
      <c r="C443" s="331"/>
      <c r="D443" s="331"/>
      <c r="E443" s="331"/>
      <c r="F443" s="354">
        <f>'5. Input GAW-waarde desinv.'!D402</f>
        <v>29766</v>
      </c>
      <c r="G443" s="175">
        <f>'13. Desinvesteringen'!D726</f>
        <v>1995</v>
      </c>
      <c r="H443" s="175">
        <f>'13. Desinvesteringen'!G726</f>
        <v>2025</v>
      </c>
      <c r="I443" s="37" t="str">
        <f>'13. Desinvesteringen'!C726</f>
        <v>02 Gasontvangststations</v>
      </c>
      <c r="J443" s="165">
        <f>'13. Desinvesteringen'!F726</f>
        <v>0</v>
      </c>
      <c r="K443" s="38">
        <f>_xlfn.XLOOKUP(I443,'3. Input (des)investeringen '!$B$11:$B$89,'3. Input (des)investeringen '!$E$11:$E$89)</f>
        <v>0</v>
      </c>
      <c r="L443" s="331"/>
      <c r="M443" s="38">
        <f>_xlfn.XLOOKUP(I443,'3. Input (des)investeringen '!$B$11:$B$89,'3. Input (des)investeringen '!$D$11:$D$89,0)</f>
        <v>30</v>
      </c>
      <c r="N443" s="38">
        <f t="shared" si="172"/>
        <v>3.5</v>
      </c>
      <c r="P443" s="43">
        <f t="shared" si="203"/>
        <v>9950.3485714285725</v>
      </c>
      <c r="Q443" s="43">
        <f t="shared" si="203"/>
        <v>6735.6205714285716</v>
      </c>
      <c r="R443" s="43">
        <f t="shared" si="203"/>
        <v>6735.6205714285716</v>
      </c>
      <c r="S443" s="43">
        <f t="shared" si="203"/>
        <v>3367.8102857142858</v>
      </c>
      <c r="T443" s="43">
        <f t="shared" si="203"/>
        <v>0</v>
      </c>
      <c r="V443" s="43">
        <f t="shared" ref="V443:V474" si="204">IF($M443&gt;0, IF(OR($G443&gt;V$50,$G443+$M443&lt;V$50),0,
VDB($F443,0,$N443,MAX(0,P$50-2022),MIN($N443,P$50-2021),1,FALSE))*$F$26, 0)</f>
        <v>850.45714285714303</v>
      </c>
      <c r="W443" s="43">
        <f t="shared" ref="W443:W474" si="205">IF($M443&gt;0, IF(OR($G443&gt;W$50,$G443+$M443&lt;W$50),0,
VDB($F443,0,$N443,MAX(0,Q$50-2022),MIN($N443,Q$50-2021),1,FALSE))*$F$26, 0)</f>
        <v>850.45714285714303</v>
      </c>
      <c r="X443" s="43">
        <f t="shared" ref="X443:X474" si="206">IF($M443&gt;0, IF(OR($G443&gt;X$50,$G443+$M443&lt;X$50),0,
VDB($F443,0,$N443,MAX(0,R$50-2022),MIN($N443,R$50-2021),1,FALSE))*$F$26, 0)</f>
        <v>850.45714285714303</v>
      </c>
      <c r="Y443" s="43">
        <f t="shared" ref="Y443:Y474" si="207">IF($M443&gt;0, IF(OR($G443&gt;Y$50,$G443+$M443&lt;Y$50),0,
VDB($F443,0,$N443,MAX(0,S$50-2022),MIN($N443,S$50-2021),1,FALSE))*$F$26, 0)</f>
        <v>425.22857142857151</v>
      </c>
      <c r="Z443" s="43">
        <f t="shared" ref="Z443:Z474" si="208">IF($M443&gt;0, IF(OR($G443&gt;Z$50,$G443+$M443&lt;Z$50),0,
VDB($F443,0,$N443,MAX(0,T$50-2022),MIN($N443,T$50-2021),1,FALSE))*$F$26, 0)</f>
        <v>0</v>
      </c>
      <c r="AB443" s="43">
        <f t="shared" si="173"/>
        <v>10800.805714285716</v>
      </c>
      <c r="AC443" s="43">
        <f t="shared" si="174"/>
        <v>7586.077714285715</v>
      </c>
      <c r="AD443" s="43">
        <f t="shared" si="175"/>
        <v>7586.077714285715</v>
      </c>
      <c r="AE443" s="43">
        <f t="shared" si="176"/>
        <v>3793.0388571428575</v>
      </c>
      <c r="AF443" s="43">
        <f t="shared" si="177"/>
        <v>0</v>
      </c>
      <c r="AH443" s="43">
        <f t="shared" si="178"/>
        <v>18965.194285714286</v>
      </c>
      <c r="AI443" s="43">
        <f t="shared" si="179"/>
        <v>11379.116571428571</v>
      </c>
      <c r="AJ443" s="43">
        <f t="shared" si="180"/>
        <v>3793.0388571428557</v>
      </c>
      <c r="AK443" s="43">
        <f t="shared" si="181"/>
        <v>0</v>
      </c>
      <c r="AL443" s="43">
        <f t="shared" si="182"/>
        <v>0</v>
      </c>
      <c r="AN443" s="47">
        <f t="shared" si="183"/>
        <v>11578.378680000002</v>
      </c>
      <c r="AO443" s="47">
        <f t="shared" si="184"/>
        <v>8166.4126594285717</v>
      </c>
      <c r="AP443" s="47">
        <f t="shared" si="185"/>
        <v>7779.5226960000009</v>
      </c>
      <c r="AQ443" s="47">
        <f t="shared" si="186"/>
        <v>3793.0388571428575</v>
      </c>
      <c r="AR443" s="43">
        <f t="shared" si="187"/>
        <v>0</v>
      </c>
      <c r="AS443" s="349"/>
      <c r="AT443" s="350"/>
      <c r="AU443" s="121"/>
      <c r="AV443" s="121"/>
      <c r="AW443" s="121"/>
      <c r="AX443" s="121"/>
    </row>
    <row r="444" spans="1:50" s="89" customFormat="1">
      <c r="A444" s="3"/>
      <c r="B444" s="37">
        <f>'13. Desinvesteringen'!B727</f>
        <v>708</v>
      </c>
      <c r="C444" s="331"/>
      <c r="D444" s="331"/>
      <c r="E444" s="331"/>
      <c r="F444" s="354">
        <f>'5. Input GAW-waarde desinv.'!D403</f>
        <v>6878</v>
      </c>
      <c r="G444" s="175">
        <f>'13. Desinvesteringen'!D727</f>
        <v>1997</v>
      </c>
      <c r="H444" s="175">
        <f>'13. Desinvesteringen'!G727</f>
        <v>2025</v>
      </c>
      <c r="I444" s="37" t="str">
        <f>'13. Desinvesteringen'!C727</f>
        <v>02 Gasontvangststations</v>
      </c>
      <c r="J444" s="165">
        <f>'13. Desinvesteringen'!F727</f>
        <v>0</v>
      </c>
      <c r="K444" s="38">
        <f>_xlfn.XLOOKUP(I444,'3. Input (des)investeringen '!$B$11:$B$89,'3. Input (des)investeringen '!$E$11:$E$89)</f>
        <v>0</v>
      </c>
      <c r="L444" s="331"/>
      <c r="M444" s="38">
        <f>_xlfn.XLOOKUP(I444,'3. Input (des)investeringen '!$B$11:$B$89,'3. Input (des)investeringen '!$D$11:$D$89,0)</f>
        <v>30</v>
      </c>
      <c r="N444" s="38">
        <f t="shared" si="172"/>
        <v>5.5</v>
      </c>
      <c r="P444" s="43">
        <f t="shared" si="203"/>
        <v>1463.1381818181819</v>
      </c>
      <c r="Q444" s="43">
        <f t="shared" si="203"/>
        <v>1117.3055206611568</v>
      </c>
      <c r="R444" s="43">
        <f t="shared" si="203"/>
        <v>1031.3589421487602</v>
      </c>
      <c r="S444" s="43">
        <f t="shared" si="203"/>
        <v>1031.3589421487602</v>
      </c>
      <c r="T444" s="43">
        <f t="shared" si="203"/>
        <v>1031.3589421487602</v>
      </c>
      <c r="V444" s="43">
        <f t="shared" si="204"/>
        <v>125.05454545454546</v>
      </c>
      <c r="W444" s="43">
        <f t="shared" si="205"/>
        <v>125.05454545454548</v>
      </c>
      <c r="X444" s="43">
        <f t="shared" si="206"/>
        <v>125.05454545454548</v>
      </c>
      <c r="Y444" s="43">
        <f t="shared" si="207"/>
        <v>125.05454545454548</v>
      </c>
      <c r="Z444" s="43">
        <f t="shared" si="208"/>
        <v>125.05454545454548</v>
      </c>
      <c r="AB444" s="43">
        <f t="shared" si="173"/>
        <v>1588.1927272727273</v>
      </c>
      <c r="AC444" s="43">
        <f t="shared" si="174"/>
        <v>1242.3600661157022</v>
      </c>
      <c r="AD444" s="43">
        <f t="shared" si="175"/>
        <v>1156.4134876033056</v>
      </c>
      <c r="AE444" s="43">
        <f t="shared" si="176"/>
        <v>1156.4134876033056</v>
      </c>
      <c r="AF444" s="43">
        <f t="shared" si="177"/>
        <v>1156.4134876033056</v>
      </c>
      <c r="AH444" s="43">
        <f t="shared" si="178"/>
        <v>5289.8072727272729</v>
      </c>
      <c r="AI444" s="43">
        <f t="shared" si="179"/>
        <v>4047.4472066115704</v>
      </c>
      <c r="AJ444" s="43">
        <f t="shared" si="180"/>
        <v>2891.0337190082646</v>
      </c>
      <c r="AK444" s="43">
        <f t="shared" si="181"/>
        <v>1734.620231404959</v>
      </c>
      <c r="AL444" s="43">
        <f t="shared" si="182"/>
        <v>578.20674380165337</v>
      </c>
      <c r="AN444" s="47">
        <f t="shared" si="183"/>
        <v>1805.0748254545456</v>
      </c>
      <c r="AO444" s="47">
        <f t="shared" si="184"/>
        <v>1448.7798736528923</v>
      </c>
      <c r="AP444" s="47">
        <f t="shared" si="185"/>
        <v>1303.856207272727</v>
      </c>
      <c r="AQ444" s="47">
        <f t="shared" si="186"/>
        <v>1251.8176003305784</v>
      </c>
      <c r="AR444" s="43">
        <f t="shared" si="187"/>
        <v>1178.3853438677684</v>
      </c>
      <c r="AS444" s="349"/>
      <c r="AT444" s="350"/>
      <c r="AU444" s="121"/>
      <c r="AV444" s="121"/>
      <c r="AW444" s="121"/>
      <c r="AX444" s="121"/>
    </row>
    <row r="445" spans="1:50" s="89" customFormat="1">
      <c r="A445" s="3"/>
      <c r="B445" s="37">
        <f>'13. Desinvesteringen'!B728</f>
        <v>709</v>
      </c>
      <c r="C445" s="331"/>
      <c r="D445" s="331"/>
      <c r="E445" s="331"/>
      <c r="F445" s="354">
        <f>'5. Input GAW-waarde desinv.'!D404</f>
        <v>23564</v>
      </c>
      <c r="G445" s="175">
        <f>'13. Desinvesteringen'!D728</f>
        <v>1998</v>
      </c>
      <c r="H445" s="175">
        <f>'13. Desinvesteringen'!G728</f>
        <v>2025</v>
      </c>
      <c r="I445" s="37" t="str">
        <f>'13. Desinvesteringen'!C728</f>
        <v>02 Gasontvangststations</v>
      </c>
      <c r="J445" s="165">
        <f>'13. Desinvesteringen'!F728</f>
        <v>0</v>
      </c>
      <c r="K445" s="38">
        <f>_xlfn.XLOOKUP(I445,'3. Input (des)investeringen '!$B$11:$B$89,'3. Input (des)investeringen '!$E$11:$E$89)</f>
        <v>0</v>
      </c>
      <c r="L445" s="331"/>
      <c r="M445" s="38">
        <f>_xlfn.XLOOKUP(I445,'3. Input (des)investeringen '!$B$11:$B$89,'3. Input (des)investeringen '!$D$11:$D$89,0)</f>
        <v>30</v>
      </c>
      <c r="N445" s="38">
        <f t="shared" si="172"/>
        <v>6.5</v>
      </c>
      <c r="P445" s="43">
        <f t="shared" si="203"/>
        <v>4241.5200000000004</v>
      </c>
      <c r="Q445" s="43">
        <f t="shared" si="203"/>
        <v>3393.2160000000003</v>
      </c>
      <c r="R445" s="43">
        <f t="shared" si="203"/>
        <v>3016.192</v>
      </c>
      <c r="S445" s="43">
        <f t="shared" si="203"/>
        <v>3016.192</v>
      </c>
      <c r="T445" s="43">
        <f t="shared" si="203"/>
        <v>3016.192</v>
      </c>
      <c r="V445" s="43">
        <f t="shared" si="204"/>
        <v>362.52307692307699</v>
      </c>
      <c r="W445" s="43">
        <f t="shared" si="205"/>
        <v>362.52307692307693</v>
      </c>
      <c r="X445" s="43">
        <f t="shared" si="206"/>
        <v>362.52307692307693</v>
      </c>
      <c r="Y445" s="43">
        <f t="shared" si="207"/>
        <v>362.52307692307693</v>
      </c>
      <c r="Z445" s="43">
        <f t="shared" si="208"/>
        <v>362.52307692307693</v>
      </c>
      <c r="AB445" s="43">
        <f t="shared" si="173"/>
        <v>4604.043076923077</v>
      </c>
      <c r="AC445" s="43">
        <f t="shared" si="174"/>
        <v>3755.7390769230774</v>
      </c>
      <c r="AD445" s="43">
        <f t="shared" si="175"/>
        <v>3378.715076923077</v>
      </c>
      <c r="AE445" s="43">
        <f t="shared" si="176"/>
        <v>3378.715076923077</v>
      </c>
      <c r="AF445" s="43">
        <f t="shared" si="177"/>
        <v>3378.715076923077</v>
      </c>
      <c r="AH445" s="43">
        <f t="shared" si="178"/>
        <v>18959.956923076923</v>
      </c>
      <c r="AI445" s="43">
        <f t="shared" si="179"/>
        <v>15204.217846153846</v>
      </c>
      <c r="AJ445" s="43">
        <f t="shared" si="180"/>
        <v>11825.502769230769</v>
      </c>
      <c r="AK445" s="43">
        <f t="shared" si="181"/>
        <v>8446.787692307691</v>
      </c>
      <c r="AL445" s="43">
        <f t="shared" si="182"/>
        <v>5068.0726153846135</v>
      </c>
      <c r="AN445" s="47">
        <f t="shared" si="183"/>
        <v>5381.4013107692308</v>
      </c>
      <c r="AO445" s="47">
        <f t="shared" si="184"/>
        <v>4531.1541870769233</v>
      </c>
      <c r="AP445" s="47">
        <f t="shared" si="185"/>
        <v>3981.8157181538463</v>
      </c>
      <c r="AQ445" s="47">
        <f t="shared" si="186"/>
        <v>3843.2883999999999</v>
      </c>
      <c r="AR445" s="43">
        <f t="shared" si="187"/>
        <v>3571.3018363076922</v>
      </c>
      <c r="AS445" s="349"/>
      <c r="AT445" s="350"/>
      <c r="AU445" s="121"/>
      <c r="AV445" s="121"/>
      <c r="AW445" s="121"/>
      <c r="AX445" s="121"/>
    </row>
    <row r="446" spans="1:50" s="89" customFormat="1">
      <c r="A446" s="3"/>
      <c r="B446" s="37">
        <f>'13. Desinvesteringen'!B729</f>
        <v>710</v>
      </c>
      <c r="C446" s="331"/>
      <c r="D446" s="331"/>
      <c r="E446" s="331"/>
      <c r="F446" s="354">
        <f>'5. Input GAW-waarde desinv.'!D405</f>
        <v>10484</v>
      </c>
      <c r="G446" s="175">
        <f>'13. Desinvesteringen'!D729</f>
        <v>2000</v>
      </c>
      <c r="H446" s="175">
        <f>'13. Desinvesteringen'!G729</f>
        <v>2025</v>
      </c>
      <c r="I446" s="37" t="str">
        <f>'13. Desinvesteringen'!C729</f>
        <v>02 Gasontvangststations</v>
      </c>
      <c r="J446" s="165">
        <f>'13. Desinvesteringen'!F729</f>
        <v>0</v>
      </c>
      <c r="K446" s="38">
        <f>_xlfn.XLOOKUP(I446,'3. Input (des)investeringen '!$B$11:$B$89,'3. Input (des)investeringen '!$E$11:$E$89)</f>
        <v>0</v>
      </c>
      <c r="L446" s="331"/>
      <c r="M446" s="38">
        <f>_xlfn.XLOOKUP(I446,'3. Input (des)investeringen '!$B$11:$B$89,'3. Input (des)investeringen '!$D$11:$D$89,0)</f>
        <v>30</v>
      </c>
      <c r="N446" s="38">
        <f t="shared" si="172"/>
        <v>8.5</v>
      </c>
      <c r="P446" s="43">
        <f t="shared" si="203"/>
        <v>1443.0917647058825</v>
      </c>
      <c r="Q446" s="43">
        <f t="shared" si="203"/>
        <v>1222.3836124567474</v>
      </c>
      <c r="R446" s="43">
        <f t="shared" si="203"/>
        <v>1041.5576342826723</v>
      </c>
      <c r="S446" s="43">
        <f t="shared" si="203"/>
        <v>1041.5576342826723</v>
      </c>
      <c r="T446" s="43">
        <f t="shared" si="203"/>
        <v>1041.5576342826723</v>
      </c>
      <c r="V446" s="43">
        <f t="shared" si="204"/>
        <v>123.34117647058825</v>
      </c>
      <c r="W446" s="43">
        <f t="shared" si="205"/>
        <v>123.34117647058822</v>
      </c>
      <c r="X446" s="43">
        <f t="shared" si="206"/>
        <v>123.34117647058822</v>
      </c>
      <c r="Y446" s="43">
        <f t="shared" si="207"/>
        <v>123.34117647058822</v>
      </c>
      <c r="Z446" s="43">
        <f t="shared" si="208"/>
        <v>123.34117647058822</v>
      </c>
      <c r="AB446" s="43">
        <f t="shared" si="173"/>
        <v>1566.4329411764706</v>
      </c>
      <c r="AC446" s="43">
        <f t="shared" si="174"/>
        <v>1345.7247889273356</v>
      </c>
      <c r="AD446" s="43">
        <f t="shared" si="175"/>
        <v>1164.8988107532605</v>
      </c>
      <c r="AE446" s="43">
        <f t="shared" si="176"/>
        <v>1164.8988107532605</v>
      </c>
      <c r="AF446" s="43">
        <f t="shared" si="177"/>
        <v>1164.8988107532605</v>
      </c>
      <c r="AH446" s="43">
        <f t="shared" si="178"/>
        <v>8917.5670588235298</v>
      </c>
      <c r="AI446" s="43">
        <f t="shared" si="179"/>
        <v>7571.842269896194</v>
      </c>
      <c r="AJ446" s="43">
        <f t="shared" si="180"/>
        <v>6406.9434591429335</v>
      </c>
      <c r="AK446" s="43">
        <f t="shared" si="181"/>
        <v>5242.0446483896731</v>
      </c>
      <c r="AL446" s="43">
        <f t="shared" si="182"/>
        <v>4077.1458376364126</v>
      </c>
      <c r="AN446" s="47">
        <f t="shared" si="183"/>
        <v>1932.0531905882353</v>
      </c>
      <c r="AO446" s="47">
        <f t="shared" si="184"/>
        <v>1731.8887446920414</v>
      </c>
      <c r="AP446" s="47">
        <f t="shared" si="185"/>
        <v>1491.6529271695501</v>
      </c>
      <c r="AQ446" s="47">
        <f t="shared" si="186"/>
        <v>1453.2112664146925</v>
      </c>
      <c r="AR446" s="43">
        <f t="shared" si="187"/>
        <v>1319.8303525834442</v>
      </c>
      <c r="AS446" s="349"/>
      <c r="AT446" s="350"/>
      <c r="AU446" s="121"/>
      <c r="AV446" s="121"/>
      <c r="AW446" s="121"/>
      <c r="AX446" s="121"/>
    </row>
    <row r="447" spans="1:50" s="89" customFormat="1">
      <c r="A447" s="3"/>
      <c r="B447" s="37">
        <f>'13. Desinvesteringen'!B730</f>
        <v>711</v>
      </c>
      <c r="C447" s="331"/>
      <c r="D447" s="331"/>
      <c r="E447" s="331"/>
      <c r="F447" s="354">
        <f>'5. Input GAW-waarde desinv.'!D406</f>
        <v>12672</v>
      </c>
      <c r="G447" s="175">
        <f>'13. Desinvesteringen'!D730</f>
        <v>2002</v>
      </c>
      <c r="H447" s="175">
        <f>'13. Desinvesteringen'!G730</f>
        <v>2025</v>
      </c>
      <c r="I447" s="37" t="str">
        <f>'13. Desinvesteringen'!C730</f>
        <v>02 Gasontvangststations</v>
      </c>
      <c r="J447" s="165">
        <f>'13. Desinvesteringen'!F730</f>
        <v>0</v>
      </c>
      <c r="K447" s="38">
        <f>_xlfn.XLOOKUP(I447,'3. Input (des)investeringen '!$B$11:$B$89,'3. Input (des)investeringen '!$E$11:$E$89)</f>
        <v>0</v>
      </c>
      <c r="L447" s="331"/>
      <c r="M447" s="38">
        <f>_xlfn.XLOOKUP(I447,'3. Input (des)investeringen '!$B$11:$B$89,'3. Input (des)investeringen '!$D$11:$D$89,0)</f>
        <v>30</v>
      </c>
      <c r="N447" s="38">
        <f t="shared" si="172"/>
        <v>10.5</v>
      </c>
      <c r="P447" s="43">
        <f t="shared" si="203"/>
        <v>1412.0228571428572</v>
      </c>
      <c r="Q447" s="43">
        <f t="shared" si="203"/>
        <v>1237.2009795918368</v>
      </c>
      <c r="R447" s="43">
        <f t="shared" si="203"/>
        <v>1084.0237154518952</v>
      </c>
      <c r="S447" s="43">
        <f t="shared" si="203"/>
        <v>1022.873659708455</v>
      </c>
      <c r="T447" s="43">
        <f t="shared" si="203"/>
        <v>1022.873659708455</v>
      </c>
      <c r="V447" s="43">
        <f t="shared" si="204"/>
        <v>120.6857142857143</v>
      </c>
      <c r="W447" s="43">
        <f t="shared" si="205"/>
        <v>120.6857142857143</v>
      </c>
      <c r="X447" s="43">
        <f t="shared" si="206"/>
        <v>120.6857142857143</v>
      </c>
      <c r="Y447" s="43">
        <f t="shared" si="207"/>
        <v>120.6857142857143</v>
      </c>
      <c r="Z447" s="43">
        <f t="shared" si="208"/>
        <v>120.6857142857143</v>
      </c>
      <c r="AB447" s="43">
        <f t="shared" si="173"/>
        <v>1532.7085714285715</v>
      </c>
      <c r="AC447" s="43">
        <f t="shared" si="174"/>
        <v>1357.8866938775511</v>
      </c>
      <c r="AD447" s="43">
        <f t="shared" si="175"/>
        <v>1204.7094297376095</v>
      </c>
      <c r="AE447" s="43">
        <f t="shared" si="176"/>
        <v>1143.5593739941692</v>
      </c>
      <c r="AF447" s="43">
        <f t="shared" si="177"/>
        <v>1143.5593739941692</v>
      </c>
      <c r="AH447" s="43">
        <f t="shared" si="178"/>
        <v>11139.291428571429</v>
      </c>
      <c r="AI447" s="43">
        <f t="shared" si="179"/>
        <v>9781.4047346938769</v>
      </c>
      <c r="AJ447" s="43">
        <f t="shared" si="180"/>
        <v>8576.6953049562671</v>
      </c>
      <c r="AK447" s="43">
        <f t="shared" si="181"/>
        <v>7433.1359309620984</v>
      </c>
      <c r="AL447" s="43">
        <f t="shared" si="182"/>
        <v>6289.5765569679297</v>
      </c>
      <c r="AN447" s="47">
        <f t="shared" si="183"/>
        <v>1989.4195200000001</v>
      </c>
      <c r="AO447" s="47">
        <f t="shared" si="184"/>
        <v>1856.7383353469388</v>
      </c>
      <c r="AP447" s="47">
        <f t="shared" si="185"/>
        <v>1642.1208902903791</v>
      </c>
      <c r="AQ447" s="47">
        <f t="shared" si="186"/>
        <v>1552.3818501970845</v>
      </c>
      <c r="AR447" s="43">
        <f t="shared" si="187"/>
        <v>1382.5632831589505</v>
      </c>
      <c r="AS447" s="349"/>
      <c r="AT447" s="350"/>
      <c r="AU447" s="121"/>
      <c r="AV447" s="121"/>
      <c r="AW447" s="121"/>
      <c r="AX447" s="121"/>
    </row>
    <row r="448" spans="1:50" s="89" customFormat="1">
      <c r="A448" s="3"/>
      <c r="B448" s="37">
        <f>'13. Desinvesteringen'!B731</f>
        <v>712</v>
      </c>
      <c r="C448" s="331"/>
      <c r="D448" s="331"/>
      <c r="E448" s="331"/>
      <c r="F448" s="354">
        <f>'5. Input GAW-waarde desinv.'!D407</f>
        <v>17647</v>
      </c>
      <c r="G448" s="175">
        <f>'13. Desinvesteringen'!D731</f>
        <v>2003</v>
      </c>
      <c r="H448" s="175">
        <f>'13. Desinvesteringen'!G731</f>
        <v>2025</v>
      </c>
      <c r="I448" s="37" t="str">
        <f>'13. Desinvesteringen'!C731</f>
        <v>02 Gasontvangststations</v>
      </c>
      <c r="J448" s="165">
        <f>'13. Desinvesteringen'!F731</f>
        <v>0</v>
      </c>
      <c r="K448" s="38">
        <f>_xlfn.XLOOKUP(I448,'3. Input (des)investeringen '!$B$11:$B$89,'3. Input (des)investeringen '!$E$11:$E$89)</f>
        <v>0</v>
      </c>
      <c r="L448" s="331"/>
      <c r="M448" s="38">
        <f>_xlfn.XLOOKUP(I448,'3. Input (des)investeringen '!$B$11:$B$89,'3. Input (des)investeringen '!$D$11:$D$89,0)</f>
        <v>30</v>
      </c>
      <c r="N448" s="38">
        <f t="shared" ref="N448:N507" si="209">IF($M448&gt;0, MAX(0,IF(G448&lt;2022,M448-2021+G448-0.5,M448)), 0)</f>
        <v>11.5</v>
      </c>
      <c r="P448" s="43">
        <f t="shared" si="203"/>
        <v>1795.3904347826087</v>
      </c>
      <c r="Q448" s="43">
        <f t="shared" si="203"/>
        <v>1592.4332551984878</v>
      </c>
      <c r="R448" s="43">
        <f t="shared" si="203"/>
        <v>1412.4190611325719</v>
      </c>
      <c r="S448" s="43">
        <f t="shared" si="203"/>
        <v>1303.771441045451</v>
      </c>
      <c r="T448" s="43">
        <f t="shared" si="203"/>
        <v>1303.771441045451</v>
      </c>
      <c r="V448" s="43">
        <f t="shared" si="204"/>
        <v>153.45217391304348</v>
      </c>
      <c r="W448" s="43">
        <f t="shared" si="205"/>
        <v>153.45217391304348</v>
      </c>
      <c r="X448" s="43">
        <f t="shared" si="206"/>
        <v>153.45217391304348</v>
      </c>
      <c r="Y448" s="43">
        <f t="shared" si="207"/>
        <v>153.45217391304348</v>
      </c>
      <c r="Z448" s="43">
        <f t="shared" si="208"/>
        <v>153.45217391304348</v>
      </c>
      <c r="AB448" s="43">
        <f t="shared" ref="AB448:AB507" si="210">P448+V448</f>
        <v>1948.8426086956522</v>
      </c>
      <c r="AC448" s="43">
        <f t="shared" ref="AC448:AC507" si="211">Q448+W448</f>
        <v>1745.8854291115313</v>
      </c>
      <c r="AD448" s="43">
        <f t="shared" ref="AD448:AD507" si="212">R448+X448</f>
        <v>1565.8712350456153</v>
      </c>
      <c r="AE448" s="43">
        <f t="shared" ref="AE448:AE507" si="213">S448+Y448</f>
        <v>1457.2236149584944</v>
      </c>
      <c r="AF448" s="43">
        <f t="shared" ref="AF448:AF507" si="214">T448+Z448</f>
        <v>1457.2236149584944</v>
      </c>
      <c r="AH448" s="43">
        <f t="shared" ref="AH448:AH507" si="215">IF($M448&gt;0, IF($M448&gt;0,IF(OR($G448&gt;AH$50,$G448+$M448&lt;=AH$50),0,IF(AH$50=2022,$F448-AB448,AG448-AB448))), $F448)</f>
        <v>15698.157391304348</v>
      </c>
      <c r="AI448" s="43">
        <f t="shared" ref="AI448:AI507" si="216">IF($M448&gt;0, IF(OR($G448&gt;AI$50,$G448+$M448&lt;=AI$50),0,IF(AI$50=2022,$F448-AC448,AH448-AC448)), AH448)</f>
        <v>13952.271962192817</v>
      </c>
      <c r="AJ448" s="43">
        <f t="shared" ref="AJ448:AJ507" si="217">IF($M448&gt;0, IF(OR($G448&gt;AJ$50,$G448+$M448&lt;=AJ$50),0,IF(AJ$50=2022,$F448-AD448,AI448-AD448)), AI448)</f>
        <v>12386.400727147202</v>
      </c>
      <c r="AK448" s="43">
        <f t="shared" ref="AK448:AK507" si="218">IF($M448&gt;0, IF(OR($G448&gt;AK$50,$G448+$M448&lt;=AK$50),0,IF(AK$50=2022,$F448-AE448,AJ448-AE448)), AJ448)</f>
        <v>10929.177112188707</v>
      </c>
      <c r="AL448" s="43">
        <f t="shared" ref="AL448:AL507" si="219">IF($M448&gt;0, IF(OR($G448&gt;AL$50,$G448+$M448&lt;=AL$50),0,IF(AL$50=2022,$F448-AF448,AK448-AF448)), AK448)</f>
        <v>9471.9534972302117</v>
      </c>
      <c r="AN448" s="47">
        <f t="shared" ref="AN448:AN507" si="220">(AB448+AH448*H$17)*IF($K448=1,$F$32,1)</f>
        <v>2592.4670617391303</v>
      </c>
      <c r="AO448" s="47">
        <f t="shared" ref="AO448:AO507" si="221">(AC448+AI448*I$17)*IF($K448=1,$F$32,1)</f>
        <v>2457.4512991833649</v>
      </c>
      <c r="AP448" s="47">
        <f t="shared" ref="AP448:AP507" si="222">(AD448+AJ448*J$17)*IF($K448=1,$F$32,1)</f>
        <v>2197.5776721301227</v>
      </c>
      <c r="AQ448" s="47">
        <f t="shared" ref="AQ448:AQ507" si="223">(AE448+AK448*K$17)*IF($K448=1,$F$32,1)</f>
        <v>2058.3283561288736</v>
      </c>
      <c r="AR448" s="43">
        <f t="shared" ref="AR448:AR507" si="224">(AF448+AL448*L$17)*IF($K448=1,$F$32,1)</f>
        <v>1817.1578478532424</v>
      </c>
      <c r="AS448" s="349"/>
      <c r="AT448" s="350"/>
      <c r="AU448" s="121"/>
      <c r="AV448" s="121"/>
      <c r="AW448" s="121"/>
      <c r="AX448" s="121"/>
    </row>
    <row r="449" spans="1:50" s="89" customFormat="1">
      <c r="A449" s="3"/>
      <c r="B449" s="37">
        <f>'13. Desinvesteringen'!B732</f>
        <v>713</v>
      </c>
      <c r="C449" s="331"/>
      <c r="D449" s="331"/>
      <c r="E449" s="331"/>
      <c r="F449" s="354">
        <f>'5. Input GAW-waarde desinv.'!D408</f>
        <v>54274</v>
      </c>
      <c r="G449" s="175">
        <f>'13. Desinvesteringen'!D732</f>
        <v>2005</v>
      </c>
      <c r="H449" s="175">
        <f>'13. Desinvesteringen'!G732</f>
        <v>2025</v>
      </c>
      <c r="I449" s="37" t="str">
        <f>'13. Desinvesteringen'!C732</f>
        <v>02 Gasontvangststations</v>
      </c>
      <c r="J449" s="165">
        <f>'13. Desinvesteringen'!F732</f>
        <v>0</v>
      </c>
      <c r="K449" s="38">
        <f>_xlfn.XLOOKUP(I449,'3. Input (des)investeringen '!$B$11:$B$89,'3. Input (des)investeringen '!$E$11:$E$89)</f>
        <v>0</v>
      </c>
      <c r="L449" s="331"/>
      <c r="M449" s="38">
        <f>_xlfn.XLOOKUP(I449,'3. Input (des)investeringen '!$B$11:$B$89,'3. Input (des)investeringen '!$D$11:$D$89,0)</f>
        <v>30</v>
      </c>
      <c r="N449" s="38">
        <f t="shared" si="209"/>
        <v>13.5</v>
      </c>
      <c r="P449" s="43">
        <f t="shared" ref="P449:T458" si="225">IF($M449&gt;0, IF(OR($G449&gt;P$50,$G449+$M449&lt;P$50),0,
VDB($F449,0,$N449,MAX(0,P$50-2022),MIN($N449,P$50-2021),$F$23,FALSE))*(1-$F$26), 0)</f>
        <v>4703.7466666666669</v>
      </c>
      <c r="Q449" s="43">
        <f t="shared" si="225"/>
        <v>4250.7932839506166</v>
      </c>
      <c r="R449" s="43">
        <f t="shared" si="225"/>
        <v>3841.4576343850026</v>
      </c>
      <c r="S449" s="43">
        <f t="shared" si="225"/>
        <v>3471.5394918145944</v>
      </c>
      <c r="T449" s="43">
        <f t="shared" si="225"/>
        <v>3429.3750445455908</v>
      </c>
      <c r="V449" s="43">
        <f t="shared" si="204"/>
        <v>402.02962962962965</v>
      </c>
      <c r="W449" s="43">
        <f t="shared" si="205"/>
        <v>402.02962962962965</v>
      </c>
      <c r="X449" s="43">
        <f t="shared" si="206"/>
        <v>402.02962962962965</v>
      </c>
      <c r="Y449" s="43">
        <f t="shared" si="207"/>
        <v>402.02962962962965</v>
      </c>
      <c r="Z449" s="43">
        <f t="shared" si="208"/>
        <v>402.02962962962965</v>
      </c>
      <c r="AB449" s="43">
        <f t="shared" si="210"/>
        <v>5105.776296296297</v>
      </c>
      <c r="AC449" s="43">
        <f t="shared" si="211"/>
        <v>4652.8229135802467</v>
      </c>
      <c r="AD449" s="43">
        <f t="shared" si="212"/>
        <v>4243.4872640146323</v>
      </c>
      <c r="AE449" s="43">
        <f t="shared" si="213"/>
        <v>3873.569121444224</v>
      </c>
      <c r="AF449" s="43">
        <f t="shared" si="214"/>
        <v>3831.4046741752204</v>
      </c>
      <c r="AH449" s="43">
        <f t="shared" si="215"/>
        <v>49168.223703703705</v>
      </c>
      <c r="AI449" s="43">
        <f t="shared" si="216"/>
        <v>44515.400790123458</v>
      </c>
      <c r="AJ449" s="43">
        <f t="shared" si="217"/>
        <v>40271.913526108823</v>
      </c>
      <c r="AK449" s="43">
        <f t="shared" si="218"/>
        <v>36398.344404664596</v>
      </c>
      <c r="AL449" s="43">
        <f t="shared" si="219"/>
        <v>32566.939730489376</v>
      </c>
      <c r="AN449" s="47">
        <f t="shared" si="220"/>
        <v>7121.6734681481485</v>
      </c>
      <c r="AO449" s="47">
        <f t="shared" si="221"/>
        <v>6923.1083538765433</v>
      </c>
      <c r="AP449" s="47">
        <f t="shared" si="222"/>
        <v>6297.3548538461819</v>
      </c>
      <c r="AQ449" s="47">
        <f t="shared" si="223"/>
        <v>5875.4780637007771</v>
      </c>
      <c r="AR449" s="43">
        <f t="shared" si="224"/>
        <v>5068.9483839338163</v>
      </c>
      <c r="AS449" s="349"/>
      <c r="AT449" s="350"/>
      <c r="AU449" s="121"/>
      <c r="AV449" s="121"/>
      <c r="AW449" s="121"/>
      <c r="AX449" s="121"/>
    </row>
    <row r="450" spans="1:50" s="89" customFormat="1">
      <c r="A450" s="3"/>
      <c r="B450" s="37">
        <f>'13. Desinvesteringen'!B733</f>
        <v>714</v>
      </c>
      <c r="C450" s="331"/>
      <c r="D450" s="331"/>
      <c r="E450" s="331"/>
      <c r="F450" s="354">
        <f>'5. Input GAW-waarde desinv.'!D409</f>
        <v>34231</v>
      </c>
      <c r="G450" s="175">
        <f>'13. Desinvesteringen'!D733</f>
        <v>2006</v>
      </c>
      <c r="H450" s="175">
        <f>'13. Desinvesteringen'!G733</f>
        <v>2025</v>
      </c>
      <c r="I450" s="37" t="str">
        <f>'13. Desinvesteringen'!C733</f>
        <v>02 Gasontvangststations</v>
      </c>
      <c r="J450" s="165">
        <f>'13. Desinvesteringen'!F733</f>
        <v>0</v>
      </c>
      <c r="K450" s="38">
        <f>_xlfn.XLOOKUP(I450,'3. Input (des)investeringen '!$B$11:$B$89,'3. Input (des)investeringen '!$E$11:$E$89)</f>
        <v>0</v>
      </c>
      <c r="L450" s="331"/>
      <c r="M450" s="38">
        <f>_xlfn.XLOOKUP(I450,'3. Input (des)investeringen '!$B$11:$B$89,'3. Input (des)investeringen '!$D$11:$D$89,0)</f>
        <v>30</v>
      </c>
      <c r="N450" s="38">
        <f t="shared" si="209"/>
        <v>14.5</v>
      </c>
      <c r="P450" s="43">
        <f t="shared" si="225"/>
        <v>2762.0875862068965</v>
      </c>
      <c r="Q450" s="43">
        <f t="shared" si="225"/>
        <v>2514.4521474435196</v>
      </c>
      <c r="R450" s="43">
        <f t="shared" si="225"/>
        <v>2289.0185066382387</v>
      </c>
      <c r="S450" s="43">
        <f t="shared" si="225"/>
        <v>2083.796157767224</v>
      </c>
      <c r="T450" s="43">
        <f t="shared" si="225"/>
        <v>2015.0995811375356</v>
      </c>
      <c r="V450" s="43">
        <f t="shared" si="204"/>
        <v>236.07586206896553</v>
      </c>
      <c r="W450" s="43">
        <f t="shared" si="205"/>
        <v>236.07586206896553</v>
      </c>
      <c r="X450" s="43">
        <f t="shared" si="206"/>
        <v>236.07586206896553</v>
      </c>
      <c r="Y450" s="43">
        <f t="shared" si="207"/>
        <v>236.07586206896553</v>
      </c>
      <c r="Z450" s="43">
        <f t="shared" si="208"/>
        <v>236.07586206896553</v>
      </c>
      <c r="AB450" s="43">
        <f t="shared" si="210"/>
        <v>2998.1634482758618</v>
      </c>
      <c r="AC450" s="43">
        <f t="shared" si="211"/>
        <v>2750.5280095124854</v>
      </c>
      <c r="AD450" s="43">
        <f t="shared" si="212"/>
        <v>2525.094368707204</v>
      </c>
      <c r="AE450" s="43">
        <f t="shared" si="213"/>
        <v>2319.8720198361898</v>
      </c>
      <c r="AF450" s="43">
        <f t="shared" si="214"/>
        <v>2251.1754432065009</v>
      </c>
      <c r="AH450" s="43">
        <f t="shared" si="215"/>
        <v>31232.83655172414</v>
      </c>
      <c r="AI450" s="43">
        <f t="shared" si="216"/>
        <v>28482.308542211656</v>
      </c>
      <c r="AJ450" s="43">
        <f t="shared" si="217"/>
        <v>25957.214173504453</v>
      </c>
      <c r="AK450" s="43">
        <f t="shared" si="218"/>
        <v>23637.342153668265</v>
      </c>
      <c r="AL450" s="43">
        <f t="shared" si="219"/>
        <v>21386.166710461766</v>
      </c>
      <c r="AN450" s="47">
        <f t="shared" si="220"/>
        <v>4278.7097468965512</v>
      </c>
      <c r="AO450" s="47">
        <f t="shared" si="221"/>
        <v>4203.12574516528</v>
      </c>
      <c r="AP450" s="47">
        <f t="shared" si="222"/>
        <v>3848.912291555931</v>
      </c>
      <c r="AQ450" s="47">
        <f t="shared" si="223"/>
        <v>3619.9258382879443</v>
      </c>
      <c r="AR450" s="43">
        <f t="shared" si="224"/>
        <v>3063.8497782040481</v>
      </c>
      <c r="AS450" s="349"/>
      <c r="AT450" s="350"/>
      <c r="AU450" s="121"/>
      <c r="AV450" s="121"/>
      <c r="AW450" s="121"/>
      <c r="AX450" s="121"/>
    </row>
    <row r="451" spans="1:50" s="89" customFormat="1">
      <c r="A451" s="3"/>
      <c r="B451" s="37">
        <f>'13. Desinvesteringen'!B734</f>
        <v>715</v>
      </c>
      <c r="C451" s="331"/>
      <c r="D451" s="331"/>
      <c r="E451" s="331"/>
      <c r="F451" s="354">
        <f>'5. Input GAW-waarde desinv.'!D410</f>
        <v>17490</v>
      </c>
      <c r="G451" s="175">
        <f>'13. Desinvesteringen'!D734</f>
        <v>2007</v>
      </c>
      <c r="H451" s="175">
        <f>'13. Desinvesteringen'!G734</f>
        <v>2025</v>
      </c>
      <c r="I451" s="37" t="str">
        <f>'13. Desinvesteringen'!C734</f>
        <v>02 Gasontvangststations</v>
      </c>
      <c r="J451" s="165">
        <f>'13. Desinvesteringen'!F734</f>
        <v>0</v>
      </c>
      <c r="K451" s="38">
        <f>_xlfn.XLOOKUP(I451,'3. Input (des)investeringen '!$B$11:$B$89,'3. Input (des)investeringen '!$E$11:$E$89)</f>
        <v>0</v>
      </c>
      <c r="L451" s="331"/>
      <c r="M451" s="38">
        <f>_xlfn.XLOOKUP(I451,'3. Input (des)investeringen '!$B$11:$B$89,'3. Input (des)investeringen '!$D$11:$D$89,0)</f>
        <v>30</v>
      </c>
      <c r="N451" s="38">
        <f t="shared" si="209"/>
        <v>15.5</v>
      </c>
      <c r="P451" s="43">
        <f t="shared" si="225"/>
        <v>1320.2129032258065</v>
      </c>
      <c r="Q451" s="43">
        <f t="shared" si="225"/>
        <v>1209.4853694068681</v>
      </c>
      <c r="R451" s="43">
        <f t="shared" si="225"/>
        <v>1108.0446610050017</v>
      </c>
      <c r="S451" s="43">
        <f t="shared" si="225"/>
        <v>1015.1118829852272</v>
      </c>
      <c r="T451" s="43">
        <f t="shared" si="225"/>
        <v>964.18653768496495</v>
      </c>
      <c r="V451" s="43">
        <f t="shared" si="204"/>
        <v>112.83870967741937</v>
      </c>
      <c r="W451" s="43">
        <f t="shared" si="205"/>
        <v>112.83870967741937</v>
      </c>
      <c r="X451" s="43">
        <f t="shared" si="206"/>
        <v>112.83870967741937</v>
      </c>
      <c r="Y451" s="43">
        <f t="shared" si="207"/>
        <v>112.83870967741937</v>
      </c>
      <c r="Z451" s="43">
        <f t="shared" si="208"/>
        <v>112.83870967741937</v>
      </c>
      <c r="AB451" s="43">
        <f t="shared" si="210"/>
        <v>1433.0516129032258</v>
      </c>
      <c r="AC451" s="43">
        <f t="shared" si="211"/>
        <v>1322.3240790842874</v>
      </c>
      <c r="AD451" s="43">
        <f t="shared" si="212"/>
        <v>1220.8833706824209</v>
      </c>
      <c r="AE451" s="43">
        <f t="shared" si="213"/>
        <v>1127.9505926626466</v>
      </c>
      <c r="AF451" s="43">
        <f t="shared" si="214"/>
        <v>1077.0252473623843</v>
      </c>
      <c r="AH451" s="43">
        <f t="shared" si="215"/>
        <v>16056.948387096774</v>
      </c>
      <c r="AI451" s="43">
        <f t="shared" si="216"/>
        <v>14734.624308012488</v>
      </c>
      <c r="AJ451" s="43">
        <f t="shared" si="217"/>
        <v>13513.740937330067</v>
      </c>
      <c r="AK451" s="43">
        <f t="shared" si="218"/>
        <v>12385.790344667421</v>
      </c>
      <c r="AL451" s="43">
        <f t="shared" si="219"/>
        <v>11308.765097305037</v>
      </c>
      <c r="AN451" s="47">
        <f t="shared" si="220"/>
        <v>2091.3864967741938</v>
      </c>
      <c r="AO451" s="47">
        <f t="shared" si="221"/>
        <v>2073.7899187929243</v>
      </c>
      <c r="AP451" s="47">
        <f t="shared" si="222"/>
        <v>1910.0841584862542</v>
      </c>
      <c r="AQ451" s="47">
        <f t="shared" si="223"/>
        <v>1809.1690616193548</v>
      </c>
      <c r="AR451" s="43">
        <f t="shared" si="224"/>
        <v>1506.7583210599757</v>
      </c>
      <c r="AS451" s="349"/>
      <c r="AT451" s="350"/>
      <c r="AU451" s="121"/>
      <c r="AV451" s="121"/>
      <c r="AW451" s="121"/>
      <c r="AX451" s="121"/>
    </row>
    <row r="452" spans="1:50" s="89" customFormat="1">
      <c r="A452" s="3"/>
      <c r="B452" s="37">
        <f>'13. Desinvesteringen'!B735</f>
        <v>716</v>
      </c>
      <c r="C452" s="331"/>
      <c r="D452" s="331"/>
      <c r="E452" s="331"/>
      <c r="F452" s="354">
        <f>'5. Input GAW-waarde desinv.'!D411</f>
        <v>58833</v>
      </c>
      <c r="G452" s="175">
        <f>'13. Desinvesteringen'!D735</f>
        <v>2009</v>
      </c>
      <c r="H452" s="175">
        <f>'13. Desinvesteringen'!G735</f>
        <v>2025</v>
      </c>
      <c r="I452" s="37" t="str">
        <f>'13. Desinvesteringen'!C735</f>
        <v>02 Gasontvangststations</v>
      </c>
      <c r="J452" s="165">
        <f>'13. Desinvesteringen'!F735</f>
        <v>0</v>
      </c>
      <c r="K452" s="38">
        <f>_xlfn.XLOOKUP(I452,'3. Input (des)investeringen '!$B$11:$B$89,'3. Input (des)investeringen '!$E$11:$E$89)</f>
        <v>0</v>
      </c>
      <c r="L452" s="331"/>
      <c r="M452" s="38">
        <f>_xlfn.XLOOKUP(I452,'3. Input (des)investeringen '!$B$11:$B$89,'3. Input (des)investeringen '!$D$11:$D$89,0)</f>
        <v>30</v>
      </c>
      <c r="N452" s="38">
        <f t="shared" si="209"/>
        <v>17.5</v>
      </c>
      <c r="P452" s="43">
        <f t="shared" si="225"/>
        <v>3933.4062857142858</v>
      </c>
      <c r="Q452" s="43">
        <f t="shared" si="225"/>
        <v>3641.2103902040822</v>
      </c>
      <c r="R452" s="43">
        <f t="shared" si="225"/>
        <v>3370.7204755032071</v>
      </c>
      <c r="S452" s="43">
        <f t="shared" si="225"/>
        <v>3120.324097322969</v>
      </c>
      <c r="T452" s="43">
        <f t="shared" si="225"/>
        <v>2888.5285929504053</v>
      </c>
      <c r="V452" s="43">
        <f t="shared" si="204"/>
        <v>336.18857142857144</v>
      </c>
      <c r="W452" s="43">
        <f t="shared" si="205"/>
        <v>336.18857142857144</v>
      </c>
      <c r="X452" s="43">
        <f t="shared" si="206"/>
        <v>336.18857142857144</v>
      </c>
      <c r="Y452" s="43">
        <f t="shared" si="207"/>
        <v>336.18857142857144</v>
      </c>
      <c r="Z452" s="43">
        <f t="shared" si="208"/>
        <v>336.18857142857144</v>
      </c>
      <c r="AB452" s="43">
        <f t="shared" si="210"/>
        <v>4269.5948571428571</v>
      </c>
      <c r="AC452" s="43">
        <f t="shared" si="211"/>
        <v>3977.3989616326535</v>
      </c>
      <c r="AD452" s="43">
        <f t="shared" si="212"/>
        <v>3706.9090469317784</v>
      </c>
      <c r="AE452" s="43">
        <f t="shared" si="213"/>
        <v>3456.5126687515403</v>
      </c>
      <c r="AF452" s="43">
        <f t="shared" si="214"/>
        <v>3224.7171643789766</v>
      </c>
      <c r="AH452" s="43">
        <f t="shared" si="215"/>
        <v>54563.40514285714</v>
      </c>
      <c r="AI452" s="43">
        <f t="shared" si="216"/>
        <v>50586.006181224489</v>
      </c>
      <c r="AJ452" s="43">
        <f t="shared" si="217"/>
        <v>46879.097134292708</v>
      </c>
      <c r="AK452" s="43">
        <f t="shared" si="218"/>
        <v>43422.584465541164</v>
      </c>
      <c r="AL452" s="43">
        <f t="shared" si="219"/>
        <v>40197.867301162187</v>
      </c>
      <c r="AN452" s="47">
        <f t="shared" si="220"/>
        <v>6506.6944679999997</v>
      </c>
      <c r="AO452" s="47">
        <f t="shared" si="221"/>
        <v>6557.2852768751018</v>
      </c>
      <c r="AP452" s="47">
        <f t="shared" si="222"/>
        <v>6097.743000780707</v>
      </c>
      <c r="AQ452" s="47">
        <f t="shared" si="223"/>
        <v>5844.7548143563045</v>
      </c>
      <c r="AR452" s="43">
        <f t="shared" si="224"/>
        <v>4752.2361218231399</v>
      </c>
      <c r="AS452" s="349"/>
      <c r="AT452" s="350"/>
      <c r="AU452" s="121"/>
      <c r="AV452" s="121"/>
      <c r="AW452" s="121"/>
      <c r="AX452" s="121"/>
    </row>
    <row r="453" spans="1:50" s="89" customFormat="1">
      <c r="A453" s="3"/>
      <c r="B453" s="37">
        <f>'13. Desinvesteringen'!B736</f>
        <v>717</v>
      </c>
      <c r="C453" s="331"/>
      <c r="D453" s="331"/>
      <c r="E453" s="331"/>
      <c r="F453" s="354">
        <f>'5. Input GAW-waarde desinv.'!D412</f>
        <v>24808</v>
      </c>
      <c r="G453" s="175">
        <f>'13. Desinvesteringen'!D736</f>
        <v>2011</v>
      </c>
      <c r="H453" s="175">
        <f>'13. Desinvesteringen'!G736</f>
        <v>2025</v>
      </c>
      <c r="I453" s="37" t="str">
        <f>'13. Desinvesteringen'!C736</f>
        <v>02 Gasontvangststations</v>
      </c>
      <c r="J453" s="165">
        <f>'13. Desinvesteringen'!F736</f>
        <v>0</v>
      </c>
      <c r="K453" s="38">
        <f>_xlfn.XLOOKUP(I453,'3. Input (des)investeringen '!$B$11:$B$89,'3. Input (des)investeringen '!$E$11:$E$89)</f>
        <v>0</v>
      </c>
      <c r="L453" s="331"/>
      <c r="M453" s="38">
        <f>_xlfn.XLOOKUP(I453,'3. Input (des)investeringen '!$B$11:$B$89,'3. Input (des)investeringen '!$D$11:$D$89,0)</f>
        <v>30</v>
      </c>
      <c r="N453" s="38">
        <f t="shared" si="209"/>
        <v>19.5</v>
      </c>
      <c r="P453" s="43">
        <f t="shared" si="225"/>
        <v>1488.48</v>
      </c>
      <c r="Q453" s="43">
        <f t="shared" si="225"/>
        <v>1389.248</v>
      </c>
      <c r="R453" s="43">
        <f t="shared" si="225"/>
        <v>1296.6314666666667</v>
      </c>
      <c r="S453" s="43">
        <f t="shared" si="225"/>
        <v>1210.189368888889</v>
      </c>
      <c r="T453" s="43">
        <f t="shared" si="225"/>
        <v>1129.5100776296301</v>
      </c>
      <c r="V453" s="43">
        <f t="shared" si="204"/>
        <v>127.22051282051282</v>
      </c>
      <c r="W453" s="43">
        <f t="shared" si="205"/>
        <v>127.22051282051282</v>
      </c>
      <c r="X453" s="43">
        <f t="shared" si="206"/>
        <v>127.22051282051282</v>
      </c>
      <c r="Y453" s="43">
        <f t="shared" si="207"/>
        <v>127.22051282051282</v>
      </c>
      <c r="Z453" s="43">
        <f t="shared" si="208"/>
        <v>127.22051282051282</v>
      </c>
      <c r="AB453" s="43">
        <f t="shared" si="210"/>
        <v>1615.7005128205128</v>
      </c>
      <c r="AC453" s="43">
        <f t="shared" si="211"/>
        <v>1516.4685128205128</v>
      </c>
      <c r="AD453" s="43">
        <f t="shared" si="212"/>
        <v>1423.8519794871795</v>
      </c>
      <c r="AE453" s="43">
        <f t="shared" si="213"/>
        <v>1337.4098817094018</v>
      </c>
      <c r="AF453" s="43">
        <f t="shared" si="214"/>
        <v>1256.7305904501429</v>
      </c>
      <c r="AH453" s="43">
        <f t="shared" si="215"/>
        <v>23192.299487179487</v>
      </c>
      <c r="AI453" s="43">
        <f t="shared" si="216"/>
        <v>21675.830974358974</v>
      </c>
      <c r="AJ453" s="43">
        <f t="shared" si="217"/>
        <v>20251.978994871795</v>
      </c>
      <c r="AK453" s="43">
        <f t="shared" si="218"/>
        <v>18914.569113162393</v>
      </c>
      <c r="AL453" s="43">
        <f t="shared" si="219"/>
        <v>17657.838522712249</v>
      </c>
      <c r="AN453" s="47">
        <f t="shared" si="220"/>
        <v>2566.5847917948718</v>
      </c>
      <c r="AO453" s="47">
        <f t="shared" si="221"/>
        <v>2621.9358925128204</v>
      </c>
      <c r="AP453" s="47">
        <f t="shared" si="222"/>
        <v>2456.7029082256413</v>
      </c>
      <c r="AQ453" s="47">
        <f t="shared" si="223"/>
        <v>2377.7111829333335</v>
      </c>
      <c r="AR453" s="43">
        <f t="shared" si="224"/>
        <v>1927.7284543132082</v>
      </c>
      <c r="AS453" s="349"/>
      <c r="AT453" s="350"/>
      <c r="AU453" s="121"/>
      <c r="AV453" s="121"/>
      <c r="AW453" s="121"/>
      <c r="AX453" s="121"/>
    </row>
    <row r="454" spans="1:50" s="89" customFormat="1">
      <c r="A454" s="3"/>
      <c r="B454" s="37">
        <f>'13. Desinvesteringen'!B737</f>
        <v>718</v>
      </c>
      <c r="C454" s="331"/>
      <c r="D454" s="331"/>
      <c r="E454" s="331"/>
      <c r="F454" s="354">
        <f>'5. Input GAW-waarde desinv.'!D413</f>
        <v>57851</v>
      </c>
      <c r="G454" s="175">
        <f>'13. Desinvesteringen'!D737</f>
        <v>2017</v>
      </c>
      <c r="H454" s="175">
        <f>'13. Desinvesteringen'!G737</f>
        <v>2025</v>
      </c>
      <c r="I454" s="37" t="str">
        <f>'13. Desinvesteringen'!C737</f>
        <v>02 Gasontvangststations</v>
      </c>
      <c r="J454" s="165">
        <f>'13. Desinvesteringen'!F737</f>
        <v>0</v>
      </c>
      <c r="K454" s="38">
        <f>_xlfn.XLOOKUP(I454,'3. Input (des)investeringen '!$B$11:$B$89,'3. Input (des)investeringen '!$E$11:$E$89)</f>
        <v>0</v>
      </c>
      <c r="L454" s="331"/>
      <c r="M454" s="38">
        <f>_xlfn.XLOOKUP(I454,'3. Input (des)investeringen '!$B$11:$B$89,'3. Input (des)investeringen '!$D$11:$D$89,0)</f>
        <v>30</v>
      </c>
      <c r="N454" s="38">
        <f t="shared" si="209"/>
        <v>25.5</v>
      </c>
      <c r="P454" s="43">
        <f t="shared" si="225"/>
        <v>2654.3399999999997</v>
      </c>
      <c r="Q454" s="43">
        <f t="shared" si="225"/>
        <v>2519.0207058823535</v>
      </c>
      <c r="R454" s="43">
        <f t="shared" si="225"/>
        <v>2390.6000424452131</v>
      </c>
      <c r="S454" s="43">
        <f t="shared" si="225"/>
        <v>2268.7263147911435</v>
      </c>
      <c r="T454" s="43">
        <f t="shared" si="225"/>
        <v>2153.0657575664973</v>
      </c>
      <c r="V454" s="43">
        <f t="shared" ref="V454" si="226">IF($M454&gt;0, IF(OR($G454&gt;V$50,$G454+$M454&lt;V$50),0,
VDB($F454,0,$N454,MAX(0,P$50-2022),MIN($N454,P$50-2021),1,FALSE))*$F$26, 0)</f>
        <v>226.86666666666667</v>
      </c>
      <c r="W454" s="43">
        <f t="shared" ref="W454" si="227">IF($M454&gt;0, IF(OR($G454&gt;W$50,$G454+$M454&lt;W$50),0,
VDB($F454,0,$N454,MAX(0,Q$50-2022),MIN($N454,Q$50-2021),1,FALSE))*$F$26, 0)</f>
        <v>226.8666666666667</v>
      </c>
      <c r="X454" s="43">
        <f t="shared" ref="X454" si="228">IF($M454&gt;0, IF(OR($G454&gt;X$50,$G454+$M454&lt;X$50),0,
VDB($F454,0,$N454,MAX(0,R$50-2022),MIN($N454,R$50-2021),1,FALSE))*$F$26, 0)</f>
        <v>226.8666666666667</v>
      </c>
      <c r="Y454" s="43">
        <f t="shared" ref="Y454" si="229">IF($M454&gt;0, IF(OR($G454&gt;Y$50,$G454+$M454&lt;Y$50),0,
VDB($F454,0,$N454,MAX(0,S$50-2022),MIN($N454,S$50-2021),1,FALSE))*$F$26, 0)</f>
        <v>226.8666666666667</v>
      </c>
      <c r="Z454" s="43">
        <f t="shared" ref="Z454" si="230">IF($M454&gt;0, IF(OR($G454&gt;Z$50,$G454+$M454&lt;Z$50),0,
VDB($F454,0,$N454,MAX(0,T$50-2022),MIN($N454,T$50-2021),1,FALSE))*$F$26, 0)</f>
        <v>226.8666666666667</v>
      </c>
      <c r="AB454" s="43">
        <f t="shared" si="210"/>
        <v>2881.2066666666665</v>
      </c>
      <c r="AC454" s="43">
        <f t="shared" si="211"/>
        <v>2745.8873725490203</v>
      </c>
      <c r="AD454" s="43">
        <f t="shared" si="212"/>
        <v>2617.4667091118799</v>
      </c>
      <c r="AE454" s="43">
        <f t="shared" si="213"/>
        <v>2495.5929814578103</v>
      </c>
      <c r="AF454" s="43">
        <f t="shared" si="214"/>
        <v>2379.9324242331641</v>
      </c>
      <c r="AH454" s="43">
        <f t="shared" si="215"/>
        <v>54969.793333333335</v>
      </c>
      <c r="AI454" s="43">
        <f t="shared" si="216"/>
        <v>52223.905960784316</v>
      </c>
      <c r="AJ454" s="43">
        <f t="shared" si="217"/>
        <v>49606.439251672433</v>
      </c>
      <c r="AK454" s="43">
        <f t="shared" si="218"/>
        <v>47110.846270214621</v>
      </c>
      <c r="AL454" s="43">
        <f t="shared" si="219"/>
        <v>44730.913845981457</v>
      </c>
      <c r="AN454" s="47">
        <f t="shared" si="220"/>
        <v>5134.9681933333331</v>
      </c>
      <c r="AO454" s="47">
        <f t="shared" si="221"/>
        <v>5409.3065765490201</v>
      </c>
      <c r="AP454" s="47">
        <f t="shared" si="222"/>
        <v>5147.3951109471736</v>
      </c>
      <c r="AQ454" s="47">
        <f t="shared" si="223"/>
        <v>5086.6895263196147</v>
      </c>
      <c r="AR454" s="43">
        <f t="shared" si="224"/>
        <v>4079.7071503804591</v>
      </c>
      <c r="AS454" s="349"/>
      <c r="AT454" s="350"/>
      <c r="AU454" s="121"/>
      <c r="AV454" s="121"/>
      <c r="AW454" s="121"/>
      <c r="AX454" s="121"/>
    </row>
    <row r="455" spans="1:50" s="89" customFormat="1">
      <c r="A455" s="3"/>
      <c r="B455" s="37">
        <f>'13. Desinvesteringen'!B738</f>
        <v>719</v>
      </c>
      <c r="C455" s="331"/>
      <c r="D455" s="331"/>
      <c r="E455" s="331"/>
      <c r="F455" s="354">
        <f>'5. Input GAW-waarde desinv.'!D414</f>
        <v>-1152</v>
      </c>
      <c r="G455" s="175">
        <f>'13. Desinvesteringen'!D738</f>
        <v>2018</v>
      </c>
      <c r="H455" s="175">
        <f>'13. Desinvesteringen'!G738</f>
        <v>2025</v>
      </c>
      <c r="I455" s="37" t="str">
        <f>'13. Desinvesteringen'!C738</f>
        <v>02 Gasontvangststations</v>
      </c>
      <c r="J455" s="165">
        <f>'13. Desinvesteringen'!F738</f>
        <v>0</v>
      </c>
      <c r="K455" s="38">
        <f>_xlfn.XLOOKUP(I455,'3. Input (des)investeringen '!$B$11:$B$89,'3. Input (des)investeringen '!$E$11:$E$89)</f>
        <v>0</v>
      </c>
      <c r="L455" s="331"/>
      <c r="M455" s="38">
        <f>_xlfn.XLOOKUP(I455,'3. Input (des)investeringen '!$B$11:$B$89,'3. Input (des)investeringen '!$D$11:$D$89,0)</f>
        <v>30</v>
      </c>
      <c r="N455" s="38">
        <f t="shared" si="209"/>
        <v>26.5</v>
      </c>
      <c r="P455" s="337">
        <v>-50.861886792452836</v>
      </c>
      <c r="Q455" s="337">
        <v>-48.366775364898551</v>
      </c>
      <c r="R455" s="337">
        <v>-45.994065630016735</v>
      </c>
      <c r="S455" s="337">
        <v>-43.737752976468748</v>
      </c>
      <c r="T455" s="337">
        <v>-41.592127358755185</v>
      </c>
      <c r="V455" s="337">
        <v>-4.3471698113207546</v>
      </c>
      <c r="W455" s="337">
        <v>-4.3471698113207546</v>
      </c>
      <c r="X455" s="337">
        <v>-4.3471698113207546</v>
      </c>
      <c r="Y455" s="337">
        <v>-4.3471698113207546</v>
      </c>
      <c r="Z455" s="337">
        <v>-4.3471698113207546</v>
      </c>
      <c r="AB455" s="43">
        <f t="shared" si="210"/>
        <v>-55.20905660377359</v>
      </c>
      <c r="AC455" s="43">
        <f t="shared" si="211"/>
        <v>-52.713945176219305</v>
      </c>
      <c r="AD455" s="43">
        <f t="shared" si="212"/>
        <v>-50.341235441337489</v>
      </c>
      <c r="AE455" s="43">
        <f t="shared" si="213"/>
        <v>-48.084922787789502</v>
      </c>
      <c r="AF455" s="43">
        <f t="shared" si="214"/>
        <v>-45.939297170075939</v>
      </c>
      <c r="AH455" s="43">
        <f t="shared" si="215"/>
        <v>-1096.7909433962263</v>
      </c>
      <c r="AI455" s="43">
        <f t="shared" si="216"/>
        <v>-1044.076998220007</v>
      </c>
      <c r="AJ455" s="43">
        <f t="shared" si="217"/>
        <v>-993.73576277866948</v>
      </c>
      <c r="AK455" s="43">
        <f t="shared" si="218"/>
        <v>-945.65083999087994</v>
      </c>
      <c r="AL455" s="43">
        <f t="shared" si="219"/>
        <v>-899.71154282080397</v>
      </c>
      <c r="AN455" s="47">
        <f t="shared" si="220"/>
        <v>-100.17748528301888</v>
      </c>
      <c r="AO455" s="47">
        <f t="shared" si="221"/>
        <v>-105.96187208543967</v>
      </c>
      <c r="AP455" s="47">
        <f t="shared" si="222"/>
        <v>-101.02175934304964</v>
      </c>
      <c r="AQ455" s="47">
        <f t="shared" si="223"/>
        <v>-100.0957189872879</v>
      </c>
      <c r="AR455" s="43">
        <f t="shared" si="224"/>
        <v>-80.128335797266487</v>
      </c>
      <c r="AS455" s="349"/>
      <c r="AT455" s="350"/>
      <c r="AU455" s="121"/>
      <c r="AV455" s="121"/>
      <c r="AW455" s="121"/>
      <c r="AX455" s="121"/>
    </row>
    <row r="456" spans="1:50" s="89" customFormat="1">
      <c r="A456" s="3"/>
      <c r="B456" s="37">
        <f>'13. Desinvesteringen'!B739</f>
        <v>720</v>
      </c>
      <c r="C456" s="331"/>
      <c r="D456" s="331"/>
      <c r="E456" s="331"/>
      <c r="F456" s="354">
        <f>'5. Input GAW-waarde desinv.'!D415</f>
        <v>20375</v>
      </c>
      <c r="G456" s="175">
        <f>'13. Desinvesteringen'!D739</f>
        <v>2019</v>
      </c>
      <c r="H456" s="175">
        <f>'13. Desinvesteringen'!G739</f>
        <v>2025</v>
      </c>
      <c r="I456" s="37" t="str">
        <f>'13. Desinvesteringen'!C739</f>
        <v>02 Gasontvangststations</v>
      </c>
      <c r="J456" s="165">
        <f>'13. Desinvesteringen'!F739</f>
        <v>0</v>
      </c>
      <c r="K456" s="38">
        <f>_xlfn.XLOOKUP(I456,'3. Input (des)investeringen '!$B$11:$B$89,'3. Input (des)investeringen '!$E$11:$E$89)</f>
        <v>0</v>
      </c>
      <c r="L456" s="331"/>
      <c r="M456" s="38">
        <f>_xlfn.XLOOKUP(I456,'3. Input (des)investeringen '!$B$11:$B$89,'3. Input (des)investeringen '!$D$11:$D$89,0)</f>
        <v>30</v>
      </c>
      <c r="N456" s="38">
        <f t="shared" si="209"/>
        <v>27.5</v>
      </c>
      <c r="P456" s="43">
        <f t="shared" si="225"/>
        <v>866.86363636363637</v>
      </c>
      <c r="Q456" s="43">
        <f t="shared" si="225"/>
        <v>825.88462809917348</v>
      </c>
      <c r="R456" s="43">
        <f t="shared" si="225"/>
        <v>786.84280931630337</v>
      </c>
      <c r="S456" s="43">
        <f t="shared" si="225"/>
        <v>749.64660378498718</v>
      </c>
      <c r="T456" s="43">
        <f t="shared" si="225"/>
        <v>714.20876433333319</v>
      </c>
      <c r="V456" s="43">
        <f t="shared" si="204"/>
        <v>74.090909090909093</v>
      </c>
      <c r="W456" s="43">
        <f t="shared" si="205"/>
        <v>74.090909090909093</v>
      </c>
      <c r="X456" s="43">
        <f t="shared" si="206"/>
        <v>74.090909090909093</v>
      </c>
      <c r="Y456" s="43">
        <f t="shared" si="207"/>
        <v>74.090909090909093</v>
      </c>
      <c r="Z456" s="43">
        <f t="shared" si="208"/>
        <v>74.090909090909093</v>
      </c>
      <c r="AB456" s="43">
        <f t="shared" si="210"/>
        <v>940.9545454545455</v>
      </c>
      <c r="AC456" s="43">
        <f t="shared" si="211"/>
        <v>899.9755371900826</v>
      </c>
      <c r="AD456" s="43">
        <f t="shared" si="212"/>
        <v>860.9337184072125</v>
      </c>
      <c r="AE456" s="43">
        <f t="shared" si="213"/>
        <v>823.7375128758963</v>
      </c>
      <c r="AF456" s="43">
        <f t="shared" si="214"/>
        <v>788.29967342424231</v>
      </c>
      <c r="AH456" s="43">
        <f t="shared" si="215"/>
        <v>19434.045454545456</v>
      </c>
      <c r="AI456" s="43">
        <f t="shared" si="216"/>
        <v>18534.069917355373</v>
      </c>
      <c r="AJ456" s="43">
        <f t="shared" si="217"/>
        <v>17673.136198948159</v>
      </c>
      <c r="AK456" s="43">
        <f t="shared" si="218"/>
        <v>16849.398686072262</v>
      </c>
      <c r="AL456" s="43">
        <f t="shared" si="219"/>
        <v>16061.099012648019</v>
      </c>
      <c r="AN456" s="47">
        <f t="shared" si="220"/>
        <v>1737.7504090909092</v>
      </c>
      <c r="AO456" s="47">
        <f t="shared" si="221"/>
        <v>1845.2131029752065</v>
      </c>
      <c r="AP456" s="47">
        <f t="shared" si="222"/>
        <v>1762.2636645535686</v>
      </c>
      <c r="AQ456" s="47">
        <f t="shared" si="223"/>
        <v>1750.4544406098707</v>
      </c>
      <c r="AR456" s="43">
        <f t="shared" si="224"/>
        <v>1398.621435904867</v>
      </c>
      <c r="AS456" s="349"/>
      <c r="AT456" s="350"/>
      <c r="AU456" s="121"/>
      <c r="AV456" s="121"/>
      <c r="AW456" s="121"/>
      <c r="AX456" s="121"/>
    </row>
    <row r="457" spans="1:50" s="89" customFormat="1">
      <c r="A457" s="3"/>
      <c r="B457" s="37">
        <f>'13. Desinvesteringen'!B740</f>
        <v>721</v>
      </c>
      <c r="C457" s="331"/>
      <c r="D457" s="331"/>
      <c r="E457" s="331"/>
      <c r="F457" s="354">
        <f>'5. Input GAW-waarde desinv.'!D416</f>
        <v>55782</v>
      </c>
      <c r="G457" s="175">
        <f>'13. Desinvesteringen'!D740</f>
        <v>2020</v>
      </c>
      <c r="H457" s="175">
        <f>'13. Desinvesteringen'!G740</f>
        <v>2025</v>
      </c>
      <c r="I457" s="37" t="str">
        <f>'13. Desinvesteringen'!C740</f>
        <v>02 Gasontvangststations</v>
      </c>
      <c r="J457" s="165">
        <f>'13. Desinvesteringen'!F740</f>
        <v>0</v>
      </c>
      <c r="K457" s="38">
        <f>_xlfn.XLOOKUP(I457,'3. Input (des)investeringen '!$B$11:$B$89,'3. Input (des)investeringen '!$E$11:$E$89)</f>
        <v>0</v>
      </c>
      <c r="L457" s="331"/>
      <c r="M457" s="38">
        <f>_xlfn.XLOOKUP(I457,'3. Input (des)investeringen '!$B$11:$B$89,'3. Input (des)investeringen '!$D$11:$D$89,0)</f>
        <v>30</v>
      </c>
      <c r="N457" s="38">
        <f t="shared" si="209"/>
        <v>28.5</v>
      </c>
      <c r="P457" s="43">
        <f t="shared" si="225"/>
        <v>2289.9978947368427</v>
      </c>
      <c r="Q457" s="43">
        <f t="shared" si="225"/>
        <v>2185.5418504155127</v>
      </c>
      <c r="R457" s="43">
        <f t="shared" si="225"/>
        <v>2085.8504677649803</v>
      </c>
      <c r="S457" s="43">
        <f t="shared" si="225"/>
        <v>1990.7064113406129</v>
      </c>
      <c r="T457" s="43">
        <f t="shared" si="225"/>
        <v>1899.9022592443746</v>
      </c>
      <c r="V457" s="43">
        <f t="shared" si="204"/>
        <v>195.72631578947369</v>
      </c>
      <c r="W457" s="43">
        <f t="shared" si="205"/>
        <v>195.72631578947369</v>
      </c>
      <c r="X457" s="43">
        <f t="shared" si="206"/>
        <v>195.72631578947369</v>
      </c>
      <c r="Y457" s="43">
        <f t="shared" si="207"/>
        <v>195.72631578947369</v>
      </c>
      <c r="Z457" s="43">
        <f t="shared" si="208"/>
        <v>195.72631578947369</v>
      </c>
      <c r="AB457" s="43">
        <f t="shared" si="210"/>
        <v>2485.7242105263163</v>
      </c>
      <c r="AC457" s="43">
        <f t="shared" si="211"/>
        <v>2381.2681662049863</v>
      </c>
      <c r="AD457" s="43">
        <f t="shared" si="212"/>
        <v>2281.5767835544539</v>
      </c>
      <c r="AE457" s="43">
        <f t="shared" si="213"/>
        <v>2186.4327271300867</v>
      </c>
      <c r="AF457" s="43">
        <f t="shared" si="214"/>
        <v>2095.6285750338484</v>
      </c>
      <c r="AH457" s="43">
        <f t="shared" si="215"/>
        <v>53296.275789473686</v>
      </c>
      <c r="AI457" s="43">
        <f t="shared" si="216"/>
        <v>50915.007623268699</v>
      </c>
      <c r="AJ457" s="43">
        <f t="shared" si="217"/>
        <v>48633.430839714245</v>
      </c>
      <c r="AK457" s="43">
        <f t="shared" si="218"/>
        <v>46446.998112584159</v>
      </c>
      <c r="AL457" s="43">
        <f t="shared" si="219"/>
        <v>44351.369537550308</v>
      </c>
      <c r="AN457" s="47">
        <f t="shared" si="220"/>
        <v>4670.8715178947368</v>
      </c>
      <c r="AO457" s="47">
        <f t="shared" si="221"/>
        <v>4977.9335549916896</v>
      </c>
      <c r="AP457" s="47">
        <f t="shared" si="222"/>
        <v>4761.8817563798802</v>
      </c>
      <c r="AQ457" s="47">
        <f t="shared" si="223"/>
        <v>4741.0176233222155</v>
      </c>
      <c r="AR457" s="43">
        <f t="shared" si="224"/>
        <v>3780.9806174607602</v>
      </c>
      <c r="AS457" s="349"/>
      <c r="AT457" s="350"/>
      <c r="AU457" s="121"/>
      <c r="AV457" s="121"/>
      <c r="AW457" s="121"/>
      <c r="AX457" s="121"/>
    </row>
    <row r="458" spans="1:50" s="89" customFormat="1">
      <c r="A458" s="3"/>
      <c r="B458" s="37">
        <f>'13. Desinvesteringen'!B741</f>
        <v>722</v>
      </c>
      <c r="C458" s="331"/>
      <c r="D458" s="331"/>
      <c r="E458" s="331"/>
      <c r="F458" s="354">
        <f>'5. Input GAW-waarde desinv.'!D417</f>
        <v>9194</v>
      </c>
      <c r="G458" s="175">
        <f>'13. Desinvesteringen'!D741</f>
        <v>2007</v>
      </c>
      <c r="H458" s="175">
        <f>'13. Desinvesteringen'!G741</f>
        <v>2025</v>
      </c>
      <c r="I458" s="37" t="str">
        <f>'13. Desinvesteringen'!C741</f>
        <v>04 Terreinen</v>
      </c>
      <c r="J458" s="165">
        <f>'13. Desinvesteringen'!F741</f>
        <v>0</v>
      </c>
      <c r="K458" s="38">
        <f>_xlfn.XLOOKUP(I458,'3. Input (des)investeringen '!$B$11:$B$89,'3. Input (des)investeringen '!$E$11:$E$89)</f>
        <v>0</v>
      </c>
      <c r="L458" s="331"/>
      <c r="M458" s="38">
        <f>_xlfn.XLOOKUP(I458,'3. Input (des)investeringen '!$B$11:$B$89,'3. Input (des)investeringen '!$D$11:$D$89,0)</f>
        <v>0</v>
      </c>
      <c r="N458" s="38">
        <f t="shared" si="209"/>
        <v>0</v>
      </c>
      <c r="P458" s="43">
        <f t="shared" si="225"/>
        <v>0</v>
      </c>
      <c r="Q458" s="43">
        <f t="shared" si="225"/>
        <v>0</v>
      </c>
      <c r="R458" s="43">
        <f t="shared" si="225"/>
        <v>0</v>
      </c>
      <c r="S458" s="43">
        <f t="shared" si="225"/>
        <v>0</v>
      </c>
      <c r="T458" s="43">
        <f t="shared" si="225"/>
        <v>0</v>
      </c>
      <c r="V458" s="43">
        <f t="shared" si="204"/>
        <v>0</v>
      </c>
      <c r="W458" s="43">
        <f t="shared" si="205"/>
        <v>0</v>
      </c>
      <c r="X458" s="43">
        <f t="shared" si="206"/>
        <v>0</v>
      </c>
      <c r="Y458" s="43">
        <f t="shared" si="207"/>
        <v>0</v>
      </c>
      <c r="Z458" s="43">
        <f t="shared" si="208"/>
        <v>0</v>
      </c>
      <c r="AB458" s="43">
        <f t="shared" si="210"/>
        <v>0</v>
      </c>
      <c r="AC458" s="43">
        <f t="shared" si="211"/>
        <v>0</v>
      </c>
      <c r="AD458" s="43">
        <f t="shared" si="212"/>
        <v>0</v>
      </c>
      <c r="AE458" s="43">
        <f t="shared" si="213"/>
        <v>0</v>
      </c>
      <c r="AF458" s="43">
        <f t="shared" si="214"/>
        <v>0</v>
      </c>
      <c r="AH458" s="43">
        <f t="shared" si="215"/>
        <v>9194</v>
      </c>
      <c r="AI458" s="43">
        <f t="shared" si="216"/>
        <v>9194</v>
      </c>
      <c r="AJ458" s="43">
        <f t="shared" si="217"/>
        <v>9194</v>
      </c>
      <c r="AK458" s="43">
        <f t="shared" si="218"/>
        <v>9194</v>
      </c>
      <c r="AL458" s="43">
        <f t="shared" si="219"/>
        <v>9194</v>
      </c>
      <c r="AN458" s="47">
        <f t="shared" si="220"/>
        <v>376.95400000000001</v>
      </c>
      <c r="AO458" s="47">
        <f t="shared" si="221"/>
        <v>468.89399999999995</v>
      </c>
      <c r="AP458" s="47">
        <f t="shared" si="222"/>
        <v>468.89399999999995</v>
      </c>
      <c r="AQ458" s="47">
        <f t="shared" si="223"/>
        <v>505.67</v>
      </c>
      <c r="AR458" s="43">
        <f t="shared" si="224"/>
        <v>349.37200000000001</v>
      </c>
      <c r="AS458" s="349"/>
      <c r="AT458" s="350"/>
      <c r="AU458" s="121"/>
      <c r="AV458" s="121"/>
      <c r="AW458" s="121"/>
      <c r="AX458" s="121"/>
    </row>
    <row r="459" spans="1:50" s="89" customFormat="1">
      <c r="A459" s="3"/>
      <c r="B459" s="37">
        <f>'13. Desinvesteringen'!B742</f>
        <v>723</v>
      </c>
      <c r="C459" s="331"/>
      <c r="D459" s="331"/>
      <c r="E459" s="331"/>
      <c r="F459" s="354">
        <f>'5. Input GAW-waarde desinv.'!D418</f>
        <v>24947</v>
      </c>
      <c r="G459" s="175">
        <f>'13. Desinvesteringen'!D742</f>
        <v>2010</v>
      </c>
      <c r="H459" s="175">
        <f>'13. Desinvesteringen'!G742</f>
        <v>2025</v>
      </c>
      <c r="I459" s="37" t="str">
        <f>'13. Desinvesteringen'!C742</f>
        <v>06 Utiliteitsgebouwen</v>
      </c>
      <c r="J459" s="165">
        <f>'13. Desinvesteringen'!F742</f>
        <v>0</v>
      </c>
      <c r="K459" s="38">
        <f>_xlfn.XLOOKUP(I459,'3. Input (des)investeringen '!$B$11:$B$89,'3. Input (des)investeringen '!$E$11:$E$89)</f>
        <v>0</v>
      </c>
      <c r="L459" s="331"/>
      <c r="M459" s="38">
        <f>_xlfn.XLOOKUP(I459,'3. Input (des)investeringen '!$B$11:$B$89,'3. Input (des)investeringen '!$D$11:$D$89,0)</f>
        <v>30</v>
      </c>
      <c r="N459" s="38">
        <f t="shared" si="209"/>
        <v>18.5</v>
      </c>
      <c r="P459" s="43">
        <f t="shared" ref="P459:T468" si="231">IF($M459&gt;0, IF(OR($G459&gt;P$50,$G459+$M459&lt;P$50),0,
VDB($F459,0,$N459,MAX(0,P$50-2022),MIN($N459,P$50-2021),$F$23,FALSE))*(1-$F$26), 0)</f>
        <v>1577.7291891891894</v>
      </c>
      <c r="Q459" s="43">
        <f t="shared" si="231"/>
        <v>1466.8617326515707</v>
      </c>
      <c r="R459" s="43">
        <f t="shared" si="231"/>
        <v>1363.7849622490278</v>
      </c>
      <c r="S459" s="43">
        <f t="shared" si="231"/>
        <v>1267.9514243612582</v>
      </c>
      <c r="T459" s="43">
        <f t="shared" si="231"/>
        <v>1178.8521350818185</v>
      </c>
      <c r="V459" s="43">
        <f t="shared" si="204"/>
        <v>134.84864864864866</v>
      </c>
      <c r="W459" s="43">
        <f t="shared" si="205"/>
        <v>134.84864864864866</v>
      </c>
      <c r="X459" s="43">
        <f t="shared" si="206"/>
        <v>134.84864864864866</v>
      </c>
      <c r="Y459" s="43">
        <f t="shared" si="207"/>
        <v>134.84864864864866</v>
      </c>
      <c r="Z459" s="43">
        <f t="shared" si="208"/>
        <v>134.84864864864866</v>
      </c>
      <c r="AB459" s="43">
        <f t="shared" si="210"/>
        <v>1712.5778378378379</v>
      </c>
      <c r="AC459" s="43">
        <f t="shared" si="211"/>
        <v>1601.7103813002193</v>
      </c>
      <c r="AD459" s="43">
        <f t="shared" si="212"/>
        <v>1498.6336108976764</v>
      </c>
      <c r="AE459" s="43">
        <f t="shared" si="213"/>
        <v>1402.8000730099068</v>
      </c>
      <c r="AF459" s="43">
        <f t="shared" si="214"/>
        <v>1313.700783730467</v>
      </c>
      <c r="AH459" s="43">
        <f t="shared" si="215"/>
        <v>23234.422162162162</v>
      </c>
      <c r="AI459" s="43">
        <f t="shared" si="216"/>
        <v>21632.711780861944</v>
      </c>
      <c r="AJ459" s="43">
        <f t="shared" si="217"/>
        <v>20134.078169964268</v>
      </c>
      <c r="AK459" s="43">
        <f t="shared" si="218"/>
        <v>18731.27809695436</v>
      </c>
      <c r="AL459" s="43">
        <f t="shared" si="219"/>
        <v>17417.577313223894</v>
      </c>
      <c r="AN459" s="47">
        <f t="shared" si="220"/>
        <v>2665.1891464864866</v>
      </c>
      <c r="AO459" s="47">
        <f t="shared" si="221"/>
        <v>2704.9786821241787</v>
      </c>
      <c r="AP459" s="47">
        <f t="shared" si="222"/>
        <v>2525.4715975658537</v>
      </c>
      <c r="AQ459" s="47">
        <f t="shared" si="223"/>
        <v>2433.0203683423965</v>
      </c>
      <c r="AR459" s="43">
        <f t="shared" si="224"/>
        <v>1975.568721632975</v>
      </c>
      <c r="AS459" s="349"/>
      <c r="AT459" s="350"/>
      <c r="AU459" s="121"/>
      <c r="AV459" s="121"/>
      <c r="AW459" s="121"/>
      <c r="AX459" s="121"/>
    </row>
    <row r="460" spans="1:50" s="89" customFormat="1">
      <c r="A460" s="3"/>
      <c r="B460" s="37">
        <f>'13. Desinvesteringen'!B743</f>
        <v>724</v>
      </c>
      <c r="C460" s="331"/>
      <c r="D460" s="331"/>
      <c r="E460" s="331"/>
      <c r="F460" s="354">
        <f>'5. Input GAW-waarde desinv.'!D419</f>
        <v>42726</v>
      </c>
      <c r="G460" s="175">
        <f>'13. Desinvesteringen'!D743</f>
        <v>2005</v>
      </c>
      <c r="H460" s="175">
        <f>'13. Desinvesteringen'!G743</f>
        <v>2025</v>
      </c>
      <c r="I460" s="37" t="str">
        <f>'13. Desinvesteringen'!C743</f>
        <v>06 Utiliteitsgebouwen</v>
      </c>
      <c r="J460" s="165">
        <f>'13. Desinvesteringen'!F743</f>
        <v>0</v>
      </c>
      <c r="K460" s="38">
        <f>_xlfn.XLOOKUP(I460,'3. Input (des)investeringen '!$B$11:$B$89,'3. Input (des)investeringen '!$E$11:$E$89)</f>
        <v>0</v>
      </c>
      <c r="L460" s="331"/>
      <c r="M460" s="38">
        <f>_xlfn.XLOOKUP(I460,'3. Input (des)investeringen '!$B$11:$B$89,'3. Input (des)investeringen '!$D$11:$D$89,0)</f>
        <v>30</v>
      </c>
      <c r="N460" s="38">
        <f t="shared" si="209"/>
        <v>13.5</v>
      </c>
      <c r="P460" s="43">
        <f t="shared" si="231"/>
        <v>3702.9200000000005</v>
      </c>
      <c r="Q460" s="43">
        <f t="shared" si="231"/>
        <v>3346.3425185185183</v>
      </c>
      <c r="R460" s="43">
        <f t="shared" si="231"/>
        <v>3024.1021278463645</v>
      </c>
      <c r="S460" s="43">
        <f t="shared" si="231"/>
        <v>2732.8922933130111</v>
      </c>
      <c r="T460" s="43">
        <f t="shared" si="231"/>
        <v>2699.6992695075901</v>
      </c>
      <c r="V460" s="43">
        <f t="shared" si="204"/>
        <v>316.48888888888888</v>
      </c>
      <c r="W460" s="43">
        <f t="shared" si="205"/>
        <v>316.48888888888888</v>
      </c>
      <c r="X460" s="43">
        <f t="shared" si="206"/>
        <v>316.48888888888888</v>
      </c>
      <c r="Y460" s="43">
        <f t="shared" si="207"/>
        <v>316.48888888888888</v>
      </c>
      <c r="Z460" s="43">
        <f t="shared" si="208"/>
        <v>316.48888888888888</v>
      </c>
      <c r="AB460" s="43">
        <f t="shared" si="210"/>
        <v>4019.4088888888896</v>
      </c>
      <c r="AC460" s="43">
        <f t="shared" si="211"/>
        <v>3662.8314074074074</v>
      </c>
      <c r="AD460" s="43">
        <f t="shared" si="212"/>
        <v>3340.5910167352536</v>
      </c>
      <c r="AE460" s="43">
        <f t="shared" si="213"/>
        <v>3049.3811822019002</v>
      </c>
      <c r="AF460" s="43">
        <f t="shared" si="214"/>
        <v>3016.1881583964791</v>
      </c>
      <c r="AH460" s="43">
        <f t="shared" si="215"/>
        <v>38706.591111111113</v>
      </c>
      <c r="AI460" s="43">
        <f t="shared" si="216"/>
        <v>35043.759703703705</v>
      </c>
      <c r="AJ460" s="43">
        <f t="shared" si="217"/>
        <v>31703.168686968453</v>
      </c>
      <c r="AK460" s="43">
        <f t="shared" si="218"/>
        <v>28653.787504766551</v>
      </c>
      <c r="AL460" s="43">
        <f t="shared" si="219"/>
        <v>25637.599346370072</v>
      </c>
      <c r="AN460" s="47">
        <f t="shared" si="220"/>
        <v>5606.3791244444456</v>
      </c>
      <c r="AO460" s="47">
        <f t="shared" si="221"/>
        <v>5450.0631522962958</v>
      </c>
      <c r="AP460" s="47">
        <f t="shared" si="222"/>
        <v>4957.4526197706446</v>
      </c>
      <c r="AQ460" s="47">
        <f t="shared" si="223"/>
        <v>4625.3394949640606</v>
      </c>
      <c r="AR460" s="43">
        <f t="shared" si="224"/>
        <v>3990.416933558542</v>
      </c>
      <c r="AS460" s="349"/>
      <c r="AT460" s="350"/>
      <c r="AU460" s="121"/>
      <c r="AV460" s="121"/>
      <c r="AW460" s="121"/>
      <c r="AX460" s="121"/>
    </row>
    <row r="461" spans="1:50" s="89" customFormat="1">
      <c r="A461" s="3"/>
      <c r="B461" s="37">
        <f>'13. Desinvesteringen'!B744</f>
        <v>725</v>
      </c>
      <c r="C461" s="331"/>
      <c r="D461" s="331"/>
      <c r="E461" s="331"/>
      <c r="F461" s="354">
        <f>'5. Input GAW-waarde desinv.'!D420</f>
        <v>0</v>
      </c>
      <c r="G461" s="175">
        <f>'13. Desinvesteringen'!D744</f>
        <v>1970</v>
      </c>
      <c r="H461" s="175">
        <f>'13. Desinvesteringen'!G744</f>
        <v>2025</v>
      </c>
      <c r="I461" s="37" t="str">
        <f>'13. Desinvesteringen'!C744</f>
        <v>08 Inrichting gebouwen</v>
      </c>
      <c r="J461" s="165">
        <f>'13. Desinvesteringen'!F744</f>
        <v>0</v>
      </c>
      <c r="K461" s="38">
        <f>_xlfn.XLOOKUP(I461,'3. Input (des)investeringen '!$B$11:$B$89,'3. Input (des)investeringen '!$E$11:$E$89)</f>
        <v>0</v>
      </c>
      <c r="L461" s="331"/>
      <c r="M461" s="38">
        <f>_xlfn.XLOOKUP(I461,'3. Input (des)investeringen '!$B$11:$B$89,'3. Input (des)investeringen '!$D$11:$D$89,0)</f>
        <v>10</v>
      </c>
      <c r="N461" s="38">
        <f t="shared" si="209"/>
        <v>0</v>
      </c>
      <c r="P461" s="43">
        <f t="shared" si="231"/>
        <v>0</v>
      </c>
      <c r="Q461" s="43">
        <f t="shared" si="231"/>
        <v>0</v>
      </c>
      <c r="R461" s="43">
        <f t="shared" si="231"/>
        <v>0</v>
      </c>
      <c r="S461" s="43">
        <f t="shared" si="231"/>
        <v>0</v>
      </c>
      <c r="T461" s="43">
        <f t="shared" si="231"/>
        <v>0</v>
      </c>
      <c r="V461" s="43">
        <f t="shared" si="204"/>
        <v>0</v>
      </c>
      <c r="W461" s="43">
        <f t="shared" si="205"/>
        <v>0</v>
      </c>
      <c r="X461" s="43">
        <f t="shared" si="206"/>
        <v>0</v>
      </c>
      <c r="Y461" s="43">
        <f t="shared" si="207"/>
        <v>0</v>
      </c>
      <c r="Z461" s="43">
        <f t="shared" si="208"/>
        <v>0</v>
      </c>
      <c r="AB461" s="43">
        <f t="shared" si="210"/>
        <v>0</v>
      </c>
      <c r="AC461" s="43">
        <f t="shared" si="211"/>
        <v>0</v>
      </c>
      <c r="AD461" s="43">
        <f t="shared" si="212"/>
        <v>0</v>
      </c>
      <c r="AE461" s="43">
        <f t="shared" si="213"/>
        <v>0</v>
      </c>
      <c r="AF461" s="43">
        <f t="shared" si="214"/>
        <v>0</v>
      </c>
      <c r="AH461" s="43">
        <f t="shared" si="215"/>
        <v>0</v>
      </c>
      <c r="AI461" s="43">
        <f t="shared" si="216"/>
        <v>0</v>
      </c>
      <c r="AJ461" s="43">
        <f t="shared" si="217"/>
        <v>0</v>
      </c>
      <c r="AK461" s="43">
        <f t="shared" si="218"/>
        <v>0</v>
      </c>
      <c r="AL461" s="43">
        <f t="shared" si="219"/>
        <v>0</v>
      </c>
      <c r="AN461" s="47">
        <f t="shared" si="220"/>
        <v>0</v>
      </c>
      <c r="AO461" s="47">
        <f t="shared" si="221"/>
        <v>0</v>
      </c>
      <c r="AP461" s="47">
        <f t="shared" si="222"/>
        <v>0</v>
      </c>
      <c r="AQ461" s="47">
        <f t="shared" si="223"/>
        <v>0</v>
      </c>
      <c r="AR461" s="43">
        <f t="shared" si="224"/>
        <v>0</v>
      </c>
      <c r="AS461" s="349"/>
      <c r="AT461" s="350"/>
      <c r="AU461" s="121"/>
      <c r="AV461" s="121"/>
      <c r="AW461" s="121"/>
      <c r="AX461" s="121"/>
    </row>
    <row r="462" spans="1:50" s="89" customFormat="1">
      <c r="A462" s="3"/>
      <c r="B462" s="37">
        <f>'13. Desinvesteringen'!B745</f>
        <v>726</v>
      </c>
      <c r="C462" s="331"/>
      <c r="D462" s="331"/>
      <c r="E462" s="331"/>
      <c r="F462" s="354">
        <f>'5. Input GAW-waarde desinv.'!D421</f>
        <v>0</v>
      </c>
      <c r="G462" s="175">
        <f>'13. Desinvesteringen'!D745</f>
        <v>1970</v>
      </c>
      <c r="H462" s="175">
        <f>'13. Desinvesteringen'!G745</f>
        <v>2025</v>
      </c>
      <c r="I462" s="37" t="str">
        <f>'13. Desinvesteringen'!C745</f>
        <v>15 Compressorstations (TT-BT-AT)</v>
      </c>
      <c r="J462" s="165">
        <f>'13. Desinvesteringen'!F745</f>
        <v>0</v>
      </c>
      <c r="K462" s="38">
        <f>_xlfn.XLOOKUP(I462,'3. Input (des)investeringen '!$B$11:$B$89,'3. Input (des)investeringen '!$E$11:$E$89)</f>
        <v>1</v>
      </c>
      <c r="L462" s="331"/>
      <c r="M462" s="38">
        <f>_xlfn.XLOOKUP(I462,'3. Input (des)investeringen '!$B$11:$B$89,'3. Input (des)investeringen '!$D$11:$D$89,0)</f>
        <v>30</v>
      </c>
      <c r="N462" s="38">
        <f t="shared" si="209"/>
        <v>0</v>
      </c>
      <c r="P462" s="43">
        <f t="shared" si="231"/>
        <v>0</v>
      </c>
      <c r="Q462" s="43">
        <f t="shared" si="231"/>
        <v>0</v>
      </c>
      <c r="R462" s="43">
        <f t="shared" si="231"/>
        <v>0</v>
      </c>
      <c r="S462" s="43">
        <f t="shared" si="231"/>
        <v>0</v>
      </c>
      <c r="T462" s="43">
        <f t="shared" si="231"/>
        <v>0</v>
      </c>
      <c r="V462" s="43">
        <f t="shared" si="204"/>
        <v>0</v>
      </c>
      <c r="W462" s="43">
        <f t="shared" si="205"/>
        <v>0</v>
      </c>
      <c r="X462" s="43">
        <f t="shared" si="206"/>
        <v>0</v>
      </c>
      <c r="Y462" s="43">
        <f t="shared" si="207"/>
        <v>0</v>
      </c>
      <c r="Z462" s="43">
        <f t="shared" si="208"/>
        <v>0</v>
      </c>
      <c r="AB462" s="43">
        <f t="shared" si="210"/>
        <v>0</v>
      </c>
      <c r="AC462" s="43">
        <f t="shared" si="211"/>
        <v>0</v>
      </c>
      <c r="AD462" s="43">
        <f t="shared" si="212"/>
        <v>0</v>
      </c>
      <c r="AE462" s="43">
        <f t="shared" si="213"/>
        <v>0</v>
      </c>
      <c r="AF462" s="43">
        <f t="shared" si="214"/>
        <v>0</v>
      </c>
      <c r="AH462" s="43">
        <f t="shared" si="215"/>
        <v>0</v>
      </c>
      <c r="AI462" s="43">
        <f t="shared" si="216"/>
        <v>0</v>
      </c>
      <c r="AJ462" s="43">
        <f t="shared" si="217"/>
        <v>0</v>
      </c>
      <c r="AK462" s="43">
        <f t="shared" si="218"/>
        <v>0</v>
      </c>
      <c r="AL462" s="43">
        <f t="shared" si="219"/>
        <v>0</v>
      </c>
      <c r="AN462" s="47">
        <f t="shared" si="220"/>
        <v>0</v>
      </c>
      <c r="AO462" s="47">
        <f t="shared" si="221"/>
        <v>0</v>
      </c>
      <c r="AP462" s="47">
        <f t="shared" si="222"/>
        <v>0</v>
      </c>
      <c r="AQ462" s="47">
        <f t="shared" si="223"/>
        <v>0</v>
      </c>
      <c r="AR462" s="43">
        <f t="shared" si="224"/>
        <v>0</v>
      </c>
      <c r="AS462" s="349"/>
      <c r="AT462" s="350"/>
      <c r="AU462" s="121"/>
      <c r="AV462" s="121"/>
      <c r="AW462" s="121"/>
      <c r="AX462" s="121"/>
    </row>
    <row r="463" spans="1:50" s="89" customFormat="1">
      <c r="A463" s="3"/>
      <c r="B463" s="37">
        <f>'13. Desinvesteringen'!B746</f>
        <v>727</v>
      </c>
      <c r="C463" s="331"/>
      <c r="D463" s="331"/>
      <c r="E463" s="331"/>
      <c r="F463" s="354">
        <f>'5. Input GAW-waarde desinv.'!D422</f>
        <v>0</v>
      </c>
      <c r="G463" s="175">
        <f>'13. Desinvesteringen'!D746</f>
        <v>1970</v>
      </c>
      <c r="H463" s="175">
        <f>'13. Desinvesteringen'!G746</f>
        <v>2025</v>
      </c>
      <c r="I463" s="37" t="str">
        <f>'13. Desinvesteringen'!C746</f>
        <v>15 Compressorstations (KC)</v>
      </c>
      <c r="J463" s="165">
        <f>'13. Desinvesteringen'!F746</f>
        <v>0</v>
      </c>
      <c r="K463" s="38">
        <f>_xlfn.XLOOKUP(I463,'3. Input (des)investeringen '!$B$11:$B$89,'3. Input (des)investeringen '!$E$11:$E$89)</f>
        <v>0</v>
      </c>
      <c r="L463" s="331"/>
      <c r="M463" s="38">
        <f>_xlfn.XLOOKUP(I463,'3. Input (des)investeringen '!$B$11:$B$89,'3. Input (des)investeringen '!$D$11:$D$89,0)</f>
        <v>30</v>
      </c>
      <c r="N463" s="38">
        <f t="shared" si="209"/>
        <v>0</v>
      </c>
      <c r="P463" s="43">
        <f t="shared" si="231"/>
        <v>0</v>
      </c>
      <c r="Q463" s="43">
        <f t="shared" si="231"/>
        <v>0</v>
      </c>
      <c r="R463" s="43">
        <f t="shared" si="231"/>
        <v>0</v>
      </c>
      <c r="S463" s="43">
        <f t="shared" si="231"/>
        <v>0</v>
      </c>
      <c r="T463" s="43">
        <f t="shared" si="231"/>
        <v>0</v>
      </c>
      <c r="V463" s="43">
        <f t="shared" si="204"/>
        <v>0</v>
      </c>
      <c r="W463" s="43">
        <f t="shared" si="205"/>
        <v>0</v>
      </c>
      <c r="X463" s="43">
        <f t="shared" si="206"/>
        <v>0</v>
      </c>
      <c r="Y463" s="43">
        <f t="shared" si="207"/>
        <v>0</v>
      </c>
      <c r="Z463" s="43">
        <f t="shared" si="208"/>
        <v>0</v>
      </c>
      <c r="AB463" s="43">
        <f t="shared" si="210"/>
        <v>0</v>
      </c>
      <c r="AC463" s="43">
        <f t="shared" si="211"/>
        <v>0</v>
      </c>
      <c r="AD463" s="43">
        <f t="shared" si="212"/>
        <v>0</v>
      </c>
      <c r="AE463" s="43">
        <f t="shared" si="213"/>
        <v>0</v>
      </c>
      <c r="AF463" s="43">
        <f t="shared" si="214"/>
        <v>0</v>
      </c>
      <c r="AH463" s="43">
        <f t="shared" si="215"/>
        <v>0</v>
      </c>
      <c r="AI463" s="43">
        <f t="shared" si="216"/>
        <v>0</v>
      </c>
      <c r="AJ463" s="43">
        <f t="shared" si="217"/>
        <v>0</v>
      </c>
      <c r="AK463" s="43">
        <f t="shared" si="218"/>
        <v>0</v>
      </c>
      <c r="AL463" s="43">
        <f t="shared" si="219"/>
        <v>0</v>
      </c>
      <c r="AN463" s="47">
        <f t="shared" si="220"/>
        <v>0</v>
      </c>
      <c r="AO463" s="47">
        <f t="shared" si="221"/>
        <v>0</v>
      </c>
      <c r="AP463" s="47">
        <f t="shared" si="222"/>
        <v>0</v>
      </c>
      <c r="AQ463" s="47">
        <f t="shared" si="223"/>
        <v>0</v>
      </c>
      <c r="AR463" s="43">
        <f t="shared" si="224"/>
        <v>0</v>
      </c>
      <c r="AS463" s="349"/>
      <c r="AT463" s="350"/>
      <c r="AU463" s="121"/>
      <c r="AV463" s="121"/>
      <c r="AW463" s="121"/>
      <c r="AX463" s="121"/>
    </row>
    <row r="464" spans="1:50" s="89" customFormat="1">
      <c r="A464" s="3"/>
      <c r="B464" s="37">
        <f>'13. Desinvesteringen'!B747</f>
        <v>728</v>
      </c>
      <c r="C464" s="331"/>
      <c r="D464" s="331"/>
      <c r="E464" s="331"/>
      <c r="F464" s="354">
        <f>'5. Input GAW-waarde desinv.'!D423</f>
        <v>0</v>
      </c>
      <c r="G464" s="175">
        <f>'13. Desinvesteringen'!D747</f>
        <v>1971</v>
      </c>
      <c r="H464" s="175">
        <f>'13. Desinvesteringen'!G747</f>
        <v>2025</v>
      </c>
      <c r="I464" s="37" t="str">
        <f>'13. Desinvesteringen'!C747</f>
        <v>15 Compressorstations (TT-BT-AT)</v>
      </c>
      <c r="J464" s="165">
        <f>'13. Desinvesteringen'!F747</f>
        <v>0</v>
      </c>
      <c r="K464" s="38">
        <f>_xlfn.XLOOKUP(I464,'3. Input (des)investeringen '!$B$11:$B$89,'3. Input (des)investeringen '!$E$11:$E$89)</f>
        <v>1</v>
      </c>
      <c r="L464" s="331"/>
      <c r="M464" s="38">
        <f>_xlfn.XLOOKUP(I464,'3. Input (des)investeringen '!$B$11:$B$89,'3. Input (des)investeringen '!$D$11:$D$89,0)</f>
        <v>30</v>
      </c>
      <c r="N464" s="38">
        <f t="shared" si="209"/>
        <v>0</v>
      </c>
      <c r="P464" s="43">
        <f t="shared" si="231"/>
        <v>0</v>
      </c>
      <c r="Q464" s="43">
        <f t="shared" si="231"/>
        <v>0</v>
      </c>
      <c r="R464" s="43">
        <f t="shared" si="231"/>
        <v>0</v>
      </c>
      <c r="S464" s="43">
        <f t="shared" si="231"/>
        <v>0</v>
      </c>
      <c r="T464" s="43">
        <f t="shared" si="231"/>
        <v>0</v>
      </c>
      <c r="V464" s="43">
        <f t="shared" si="204"/>
        <v>0</v>
      </c>
      <c r="W464" s="43">
        <f t="shared" si="205"/>
        <v>0</v>
      </c>
      <c r="X464" s="43">
        <f t="shared" si="206"/>
        <v>0</v>
      </c>
      <c r="Y464" s="43">
        <f t="shared" si="207"/>
        <v>0</v>
      </c>
      <c r="Z464" s="43">
        <f t="shared" si="208"/>
        <v>0</v>
      </c>
      <c r="AB464" s="43">
        <f t="shared" si="210"/>
        <v>0</v>
      </c>
      <c r="AC464" s="43">
        <f t="shared" si="211"/>
        <v>0</v>
      </c>
      <c r="AD464" s="43">
        <f t="shared" si="212"/>
        <v>0</v>
      </c>
      <c r="AE464" s="43">
        <f t="shared" si="213"/>
        <v>0</v>
      </c>
      <c r="AF464" s="43">
        <f t="shared" si="214"/>
        <v>0</v>
      </c>
      <c r="AH464" s="43">
        <f t="shared" si="215"/>
        <v>0</v>
      </c>
      <c r="AI464" s="43">
        <f t="shared" si="216"/>
        <v>0</v>
      </c>
      <c r="AJ464" s="43">
        <f t="shared" si="217"/>
        <v>0</v>
      </c>
      <c r="AK464" s="43">
        <f t="shared" si="218"/>
        <v>0</v>
      </c>
      <c r="AL464" s="43">
        <f t="shared" si="219"/>
        <v>0</v>
      </c>
      <c r="AN464" s="47">
        <f t="shared" si="220"/>
        <v>0</v>
      </c>
      <c r="AO464" s="47">
        <f t="shared" si="221"/>
        <v>0</v>
      </c>
      <c r="AP464" s="47">
        <f t="shared" si="222"/>
        <v>0</v>
      </c>
      <c r="AQ464" s="47">
        <f t="shared" si="223"/>
        <v>0</v>
      </c>
      <c r="AR464" s="43">
        <f t="shared" si="224"/>
        <v>0</v>
      </c>
      <c r="AS464" s="349"/>
      <c r="AT464" s="350"/>
      <c r="AU464" s="121"/>
      <c r="AV464" s="121"/>
      <c r="AW464" s="121"/>
      <c r="AX464" s="121"/>
    </row>
    <row r="465" spans="1:50" s="89" customFormat="1">
      <c r="A465" s="3"/>
      <c r="B465" s="37">
        <f>'13. Desinvesteringen'!B748</f>
        <v>729</v>
      </c>
      <c r="C465" s="331"/>
      <c r="D465" s="331"/>
      <c r="E465" s="331"/>
      <c r="F465" s="354">
        <f>'5. Input GAW-waarde desinv.'!D424</f>
        <v>0</v>
      </c>
      <c r="G465" s="175">
        <f>'13. Desinvesteringen'!D748</f>
        <v>1971</v>
      </c>
      <c r="H465" s="175">
        <f>'13. Desinvesteringen'!G748</f>
        <v>2025</v>
      </c>
      <c r="I465" s="37" t="str">
        <f>'13. Desinvesteringen'!C748</f>
        <v>15 Compressorstations (KC)</v>
      </c>
      <c r="J465" s="165">
        <f>'13. Desinvesteringen'!F748</f>
        <v>0</v>
      </c>
      <c r="K465" s="38">
        <f>_xlfn.XLOOKUP(I465,'3. Input (des)investeringen '!$B$11:$B$89,'3. Input (des)investeringen '!$E$11:$E$89)</f>
        <v>0</v>
      </c>
      <c r="L465" s="331"/>
      <c r="M465" s="38">
        <f>_xlfn.XLOOKUP(I465,'3. Input (des)investeringen '!$B$11:$B$89,'3. Input (des)investeringen '!$D$11:$D$89,0)</f>
        <v>30</v>
      </c>
      <c r="N465" s="38">
        <f t="shared" si="209"/>
        <v>0</v>
      </c>
      <c r="P465" s="43">
        <f t="shared" si="231"/>
        <v>0</v>
      </c>
      <c r="Q465" s="43">
        <f t="shared" si="231"/>
        <v>0</v>
      </c>
      <c r="R465" s="43">
        <f t="shared" si="231"/>
        <v>0</v>
      </c>
      <c r="S465" s="43">
        <f t="shared" si="231"/>
        <v>0</v>
      </c>
      <c r="T465" s="43">
        <f t="shared" si="231"/>
        <v>0</v>
      </c>
      <c r="V465" s="43">
        <f t="shared" si="204"/>
        <v>0</v>
      </c>
      <c r="W465" s="43">
        <f t="shared" si="205"/>
        <v>0</v>
      </c>
      <c r="X465" s="43">
        <f t="shared" si="206"/>
        <v>0</v>
      </c>
      <c r="Y465" s="43">
        <f t="shared" si="207"/>
        <v>0</v>
      </c>
      <c r="Z465" s="43">
        <f t="shared" si="208"/>
        <v>0</v>
      </c>
      <c r="AB465" s="43">
        <f t="shared" si="210"/>
        <v>0</v>
      </c>
      <c r="AC465" s="43">
        <f t="shared" si="211"/>
        <v>0</v>
      </c>
      <c r="AD465" s="43">
        <f t="shared" si="212"/>
        <v>0</v>
      </c>
      <c r="AE465" s="43">
        <f t="shared" si="213"/>
        <v>0</v>
      </c>
      <c r="AF465" s="43">
        <f t="shared" si="214"/>
        <v>0</v>
      </c>
      <c r="AH465" s="43">
        <f t="shared" si="215"/>
        <v>0</v>
      </c>
      <c r="AI465" s="43">
        <f t="shared" si="216"/>
        <v>0</v>
      </c>
      <c r="AJ465" s="43">
        <f t="shared" si="217"/>
        <v>0</v>
      </c>
      <c r="AK465" s="43">
        <f t="shared" si="218"/>
        <v>0</v>
      </c>
      <c r="AL465" s="43">
        <f t="shared" si="219"/>
        <v>0</v>
      </c>
      <c r="AN465" s="47">
        <f t="shared" si="220"/>
        <v>0</v>
      </c>
      <c r="AO465" s="47">
        <f t="shared" si="221"/>
        <v>0</v>
      </c>
      <c r="AP465" s="47">
        <f t="shared" si="222"/>
        <v>0</v>
      </c>
      <c r="AQ465" s="47">
        <f t="shared" si="223"/>
        <v>0</v>
      </c>
      <c r="AR465" s="43">
        <f t="shared" si="224"/>
        <v>0</v>
      </c>
      <c r="AS465" s="349"/>
      <c r="AT465" s="350"/>
      <c r="AU465" s="121"/>
      <c r="AV465" s="121"/>
      <c r="AW465" s="121"/>
      <c r="AX465" s="121"/>
    </row>
    <row r="466" spans="1:50" s="89" customFormat="1">
      <c r="A466" s="3"/>
      <c r="B466" s="37">
        <f>'13. Desinvesteringen'!B749</f>
        <v>730</v>
      </c>
      <c r="C466" s="331"/>
      <c r="D466" s="331"/>
      <c r="E466" s="331"/>
      <c r="F466" s="354">
        <f>'5. Input GAW-waarde desinv.'!D425</f>
        <v>0</v>
      </c>
      <c r="G466" s="175">
        <f>'13. Desinvesteringen'!D749</f>
        <v>1972</v>
      </c>
      <c r="H466" s="175">
        <f>'13. Desinvesteringen'!G749</f>
        <v>2025</v>
      </c>
      <c r="I466" s="37" t="str">
        <f>'13. Desinvesteringen'!C749</f>
        <v>15 Compressorstations (TT-BT-AT)</v>
      </c>
      <c r="J466" s="165">
        <f>'13. Desinvesteringen'!F749</f>
        <v>0</v>
      </c>
      <c r="K466" s="38">
        <f>_xlfn.XLOOKUP(I466,'3. Input (des)investeringen '!$B$11:$B$89,'3. Input (des)investeringen '!$E$11:$E$89)</f>
        <v>1</v>
      </c>
      <c r="L466" s="331"/>
      <c r="M466" s="38">
        <f>_xlfn.XLOOKUP(I466,'3. Input (des)investeringen '!$B$11:$B$89,'3. Input (des)investeringen '!$D$11:$D$89,0)</f>
        <v>30</v>
      </c>
      <c r="N466" s="38">
        <f t="shared" si="209"/>
        <v>0</v>
      </c>
      <c r="P466" s="43">
        <f t="shared" si="231"/>
        <v>0</v>
      </c>
      <c r="Q466" s="43">
        <f t="shared" si="231"/>
        <v>0</v>
      </c>
      <c r="R466" s="43">
        <f t="shared" si="231"/>
        <v>0</v>
      </c>
      <c r="S466" s="43">
        <f t="shared" si="231"/>
        <v>0</v>
      </c>
      <c r="T466" s="43">
        <f t="shared" si="231"/>
        <v>0</v>
      </c>
      <c r="V466" s="43">
        <f t="shared" si="204"/>
        <v>0</v>
      </c>
      <c r="W466" s="43">
        <f t="shared" si="205"/>
        <v>0</v>
      </c>
      <c r="X466" s="43">
        <f t="shared" si="206"/>
        <v>0</v>
      </c>
      <c r="Y466" s="43">
        <f t="shared" si="207"/>
        <v>0</v>
      </c>
      <c r="Z466" s="43">
        <f t="shared" si="208"/>
        <v>0</v>
      </c>
      <c r="AB466" s="43">
        <f t="shared" si="210"/>
        <v>0</v>
      </c>
      <c r="AC466" s="43">
        <f t="shared" si="211"/>
        <v>0</v>
      </c>
      <c r="AD466" s="43">
        <f t="shared" si="212"/>
        <v>0</v>
      </c>
      <c r="AE466" s="43">
        <f t="shared" si="213"/>
        <v>0</v>
      </c>
      <c r="AF466" s="43">
        <f t="shared" si="214"/>
        <v>0</v>
      </c>
      <c r="AH466" s="43">
        <f t="shared" si="215"/>
        <v>0</v>
      </c>
      <c r="AI466" s="43">
        <f t="shared" si="216"/>
        <v>0</v>
      </c>
      <c r="AJ466" s="43">
        <f t="shared" si="217"/>
        <v>0</v>
      </c>
      <c r="AK466" s="43">
        <f t="shared" si="218"/>
        <v>0</v>
      </c>
      <c r="AL466" s="43">
        <f t="shared" si="219"/>
        <v>0</v>
      </c>
      <c r="AN466" s="47">
        <f t="shared" si="220"/>
        <v>0</v>
      </c>
      <c r="AO466" s="47">
        <f t="shared" si="221"/>
        <v>0</v>
      </c>
      <c r="AP466" s="47">
        <f t="shared" si="222"/>
        <v>0</v>
      </c>
      <c r="AQ466" s="47">
        <f t="shared" si="223"/>
        <v>0</v>
      </c>
      <c r="AR466" s="43">
        <f t="shared" si="224"/>
        <v>0</v>
      </c>
      <c r="AS466" s="349"/>
      <c r="AT466" s="350"/>
      <c r="AU466" s="121"/>
      <c r="AV466" s="121"/>
      <c r="AW466" s="121"/>
      <c r="AX466" s="121"/>
    </row>
    <row r="467" spans="1:50" s="89" customFormat="1">
      <c r="A467" s="3"/>
      <c r="B467" s="37">
        <f>'13. Desinvesteringen'!B750</f>
        <v>731</v>
      </c>
      <c r="C467" s="331"/>
      <c r="D467" s="331"/>
      <c r="E467" s="331"/>
      <c r="F467" s="354">
        <f>'5. Input GAW-waarde desinv.'!D426</f>
        <v>0</v>
      </c>
      <c r="G467" s="175">
        <f>'13. Desinvesteringen'!D750</f>
        <v>1972</v>
      </c>
      <c r="H467" s="175">
        <f>'13. Desinvesteringen'!G750</f>
        <v>2025</v>
      </c>
      <c r="I467" s="37" t="str">
        <f>'13. Desinvesteringen'!C750</f>
        <v>15 Compressorstations (KC)</v>
      </c>
      <c r="J467" s="165">
        <f>'13. Desinvesteringen'!F750</f>
        <v>0</v>
      </c>
      <c r="K467" s="38">
        <f>_xlfn.XLOOKUP(I467,'3. Input (des)investeringen '!$B$11:$B$89,'3. Input (des)investeringen '!$E$11:$E$89)</f>
        <v>0</v>
      </c>
      <c r="L467" s="331"/>
      <c r="M467" s="38">
        <f>_xlfn.XLOOKUP(I467,'3. Input (des)investeringen '!$B$11:$B$89,'3. Input (des)investeringen '!$D$11:$D$89,0)</f>
        <v>30</v>
      </c>
      <c r="N467" s="38">
        <f t="shared" si="209"/>
        <v>0</v>
      </c>
      <c r="P467" s="43">
        <f t="shared" si="231"/>
        <v>0</v>
      </c>
      <c r="Q467" s="43">
        <f t="shared" si="231"/>
        <v>0</v>
      </c>
      <c r="R467" s="43">
        <f t="shared" si="231"/>
        <v>0</v>
      </c>
      <c r="S467" s="43">
        <f t="shared" si="231"/>
        <v>0</v>
      </c>
      <c r="T467" s="43">
        <f t="shared" si="231"/>
        <v>0</v>
      </c>
      <c r="V467" s="43">
        <f t="shared" si="204"/>
        <v>0</v>
      </c>
      <c r="W467" s="43">
        <f t="shared" si="205"/>
        <v>0</v>
      </c>
      <c r="X467" s="43">
        <f t="shared" si="206"/>
        <v>0</v>
      </c>
      <c r="Y467" s="43">
        <f t="shared" si="207"/>
        <v>0</v>
      </c>
      <c r="Z467" s="43">
        <f t="shared" si="208"/>
        <v>0</v>
      </c>
      <c r="AB467" s="43">
        <f t="shared" si="210"/>
        <v>0</v>
      </c>
      <c r="AC467" s="43">
        <f t="shared" si="211"/>
        <v>0</v>
      </c>
      <c r="AD467" s="43">
        <f t="shared" si="212"/>
        <v>0</v>
      </c>
      <c r="AE467" s="43">
        <f t="shared" si="213"/>
        <v>0</v>
      </c>
      <c r="AF467" s="43">
        <f t="shared" si="214"/>
        <v>0</v>
      </c>
      <c r="AH467" s="43">
        <f t="shared" si="215"/>
        <v>0</v>
      </c>
      <c r="AI467" s="43">
        <f t="shared" si="216"/>
        <v>0</v>
      </c>
      <c r="AJ467" s="43">
        <f t="shared" si="217"/>
        <v>0</v>
      </c>
      <c r="AK467" s="43">
        <f t="shared" si="218"/>
        <v>0</v>
      </c>
      <c r="AL467" s="43">
        <f t="shared" si="219"/>
        <v>0</v>
      </c>
      <c r="AN467" s="47">
        <f t="shared" si="220"/>
        <v>0</v>
      </c>
      <c r="AO467" s="47">
        <f t="shared" si="221"/>
        <v>0</v>
      </c>
      <c r="AP467" s="47">
        <f t="shared" si="222"/>
        <v>0</v>
      </c>
      <c r="AQ467" s="47">
        <f t="shared" si="223"/>
        <v>0</v>
      </c>
      <c r="AR467" s="43">
        <f t="shared" si="224"/>
        <v>0</v>
      </c>
      <c r="AS467" s="349"/>
      <c r="AT467" s="350"/>
      <c r="AU467" s="121"/>
      <c r="AV467" s="121"/>
      <c r="AW467" s="121"/>
      <c r="AX467" s="121"/>
    </row>
    <row r="468" spans="1:50" s="89" customFormat="1">
      <c r="A468" s="3"/>
      <c r="B468" s="37">
        <f>'13. Desinvesteringen'!B751</f>
        <v>732</v>
      </c>
      <c r="C468" s="331"/>
      <c r="D468" s="331"/>
      <c r="E468" s="331"/>
      <c r="F468" s="354">
        <f>'5. Input GAW-waarde desinv.'!D427</f>
        <v>323324</v>
      </c>
      <c r="G468" s="175">
        <f>'13. Desinvesteringen'!D751</f>
        <v>2007</v>
      </c>
      <c r="H468" s="175">
        <f>'13. Desinvesteringen'!G751</f>
        <v>2025</v>
      </c>
      <c r="I468" s="37" t="str">
        <f>'13. Desinvesteringen'!C751</f>
        <v>15 Compressorstations (TT-BT-AT)</v>
      </c>
      <c r="J468" s="165">
        <f>'13. Desinvesteringen'!F751</f>
        <v>0</v>
      </c>
      <c r="K468" s="38">
        <f>_xlfn.XLOOKUP(I468,'3. Input (des)investeringen '!$B$11:$B$89,'3. Input (des)investeringen '!$E$11:$E$89)</f>
        <v>1</v>
      </c>
      <c r="L468" s="331"/>
      <c r="M468" s="38">
        <f>_xlfn.XLOOKUP(I468,'3. Input (des)investeringen '!$B$11:$B$89,'3. Input (des)investeringen '!$D$11:$D$89,0)</f>
        <v>30</v>
      </c>
      <c r="N468" s="38">
        <f t="shared" si="209"/>
        <v>15.5</v>
      </c>
      <c r="P468" s="43">
        <f t="shared" si="231"/>
        <v>24405.747096774197</v>
      </c>
      <c r="Q468" s="43">
        <f t="shared" si="231"/>
        <v>22358.813469302815</v>
      </c>
      <c r="R468" s="43">
        <f t="shared" si="231"/>
        <v>20483.558146070962</v>
      </c>
      <c r="S468" s="43">
        <f t="shared" si="231"/>
        <v>18765.582301561786</v>
      </c>
      <c r="T468" s="43">
        <f t="shared" si="231"/>
        <v>17824.165129242629</v>
      </c>
      <c r="V468" s="43">
        <f t="shared" si="204"/>
        <v>2085.9612903225807</v>
      </c>
      <c r="W468" s="43">
        <f t="shared" si="205"/>
        <v>2085.9612903225807</v>
      </c>
      <c r="X468" s="43">
        <f t="shared" si="206"/>
        <v>2085.9612903225807</v>
      </c>
      <c r="Y468" s="43">
        <f t="shared" si="207"/>
        <v>2085.9612903225807</v>
      </c>
      <c r="Z468" s="43">
        <f t="shared" si="208"/>
        <v>2085.9612903225807</v>
      </c>
      <c r="AB468" s="43">
        <f t="shared" si="210"/>
        <v>26491.708387096776</v>
      </c>
      <c r="AC468" s="43">
        <f t="shared" si="211"/>
        <v>24444.774759625398</v>
      </c>
      <c r="AD468" s="43">
        <f t="shared" si="212"/>
        <v>22569.519436393544</v>
      </c>
      <c r="AE468" s="43">
        <f t="shared" si="213"/>
        <v>20851.543591884365</v>
      </c>
      <c r="AF468" s="43">
        <f t="shared" si="214"/>
        <v>19910.126419565211</v>
      </c>
      <c r="AH468" s="43">
        <f t="shared" si="215"/>
        <v>296832.29161290324</v>
      </c>
      <c r="AI468" s="43">
        <f t="shared" si="216"/>
        <v>272387.51685327786</v>
      </c>
      <c r="AJ468" s="43">
        <f t="shared" si="217"/>
        <v>249817.99741688432</v>
      </c>
      <c r="AK468" s="43">
        <f t="shared" si="218"/>
        <v>228966.45382499995</v>
      </c>
      <c r="AL468" s="43">
        <f t="shared" si="219"/>
        <v>209056.32740543474</v>
      </c>
      <c r="AN468" s="47">
        <f t="shared" si="220"/>
        <v>38661.832343225811</v>
      </c>
      <c r="AO468" s="47">
        <f t="shared" si="221"/>
        <v>38336.538119142569</v>
      </c>
      <c r="AP468" s="47">
        <f t="shared" si="222"/>
        <v>35310.237304654642</v>
      </c>
      <c r="AQ468" s="47">
        <f t="shared" si="223"/>
        <v>33444.69855225936</v>
      </c>
      <c r="AR468" s="43">
        <f t="shared" si="224"/>
        <v>27854.266860971729</v>
      </c>
      <c r="AS468" s="349"/>
      <c r="AT468" s="350"/>
      <c r="AU468" s="121"/>
      <c r="AV468" s="121"/>
      <c r="AW468" s="121"/>
      <c r="AX468" s="121"/>
    </row>
    <row r="469" spans="1:50" s="89" customFormat="1">
      <c r="A469" s="3"/>
      <c r="B469" s="37">
        <f>'13. Desinvesteringen'!B752</f>
        <v>733</v>
      </c>
      <c r="C469" s="331"/>
      <c r="D469" s="331"/>
      <c r="E469" s="331"/>
      <c r="F469" s="354">
        <f>'5. Input GAW-waarde desinv.'!D428</f>
        <v>23561</v>
      </c>
      <c r="G469" s="175">
        <f>'13. Desinvesteringen'!D752</f>
        <v>2010</v>
      </c>
      <c r="H469" s="175">
        <f>'13. Desinvesteringen'!G752</f>
        <v>2025</v>
      </c>
      <c r="I469" s="37" t="str">
        <f>'13. Desinvesteringen'!C752</f>
        <v>15 Compressorstations (KC)</v>
      </c>
      <c r="J469" s="165">
        <f>'13. Desinvesteringen'!F752</f>
        <v>0</v>
      </c>
      <c r="K469" s="38">
        <f>_xlfn.XLOOKUP(I469,'3. Input (des)investeringen '!$B$11:$B$89,'3. Input (des)investeringen '!$E$11:$E$89)</f>
        <v>0</v>
      </c>
      <c r="L469" s="331"/>
      <c r="M469" s="38">
        <f>_xlfn.XLOOKUP(I469,'3. Input (des)investeringen '!$B$11:$B$89,'3. Input (des)investeringen '!$D$11:$D$89,0)</f>
        <v>30</v>
      </c>
      <c r="N469" s="38">
        <f t="shared" si="209"/>
        <v>18.5</v>
      </c>
      <c r="P469" s="43">
        <f t="shared" ref="P469:T478" si="232">IF($M469&gt;0, IF(OR($G469&gt;P$50,$G469+$M469&lt;P$50),0,
VDB($F469,0,$N469,MAX(0,P$50-2022),MIN($N469,P$50-2021),$F$23,FALSE))*(1-$F$26), 0)</f>
        <v>1490.0740540540542</v>
      </c>
      <c r="Q469" s="43">
        <f t="shared" si="232"/>
        <v>1385.3661475529584</v>
      </c>
      <c r="R469" s="43">
        <f t="shared" si="232"/>
        <v>1288.0160939411289</v>
      </c>
      <c r="S469" s="43">
        <f t="shared" si="232"/>
        <v>1197.5068549074279</v>
      </c>
      <c r="T469" s="43">
        <f t="shared" si="232"/>
        <v>1113.3577245625816</v>
      </c>
      <c r="V469" s="43">
        <f t="shared" si="204"/>
        <v>127.35675675675678</v>
      </c>
      <c r="W469" s="43">
        <f t="shared" si="205"/>
        <v>127.35675675675678</v>
      </c>
      <c r="X469" s="43">
        <f t="shared" si="206"/>
        <v>127.35675675675678</v>
      </c>
      <c r="Y469" s="43">
        <f t="shared" si="207"/>
        <v>127.35675675675678</v>
      </c>
      <c r="Z469" s="43">
        <f t="shared" si="208"/>
        <v>127.35675675675678</v>
      </c>
      <c r="AB469" s="43">
        <f t="shared" si="210"/>
        <v>1617.430810810811</v>
      </c>
      <c r="AC469" s="43">
        <f t="shared" si="211"/>
        <v>1512.7229043097152</v>
      </c>
      <c r="AD469" s="43">
        <f t="shared" si="212"/>
        <v>1415.3728506978857</v>
      </c>
      <c r="AE469" s="43">
        <f t="shared" si="213"/>
        <v>1324.8636116641846</v>
      </c>
      <c r="AF469" s="43">
        <f t="shared" si="214"/>
        <v>1240.7144813193383</v>
      </c>
      <c r="AH469" s="43">
        <f t="shared" si="215"/>
        <v>21943.569189189187</v>
      </c>
      <c r="AI469" s="43">
        <f t="shared" si="216"/>
        <v>20430.846284879473</v>
      </c>
      <c r="AJ469" s="43">
        <f t="shared" si="217"/>
        <v>19015.473434181589</v>
      </c>
      <c r="AK469" s="43">
        <f t="shared" si="218"/>
        <v>17690.609822517406</v>
      </c>
      <c r="AL469" s="43">
        <f t="shared" si="219"/>
        <v>16449.895341198069</v>
      </c>
      <c r="AN469" s="47">
        <f t="shared" si="220"/>
        <v>2517.1171475675678</v>
      </c>
      <c r="AO469" s="47">
        <f t="shared" si="221"/>
        <v>2554.6960648385684</v>
      </c>
      <c r="AP469" s="47">
        <f t="shared" si="222"/>
        <v>2385.1619958411466</v>
      </c>
      <c r="AQ469" s="47">
        <f t="shared" si="223"/>
        <v>2297.8471519026421</v>
      </c>
      <c r="AR469" s="43">
        <f t="shared" si="224"/>
        <v>1865.8105042848649</v>
      </c>
      <c r="AS469" s="349"/>
      <c r="AT469" s="350"/>
      <c r="AU469" s="121"/>
      <c r="AV469" s="121"/>
      <c r="AW469" s="121"/>
      <c r="AX469" s="121"/>
    </row>
    <row r="470" spans="1:50" s="89" customFormat="1">
      <c r="A470" s="3"/>
      <c r="B470" s="37">
        <f>'13. Desinvesteringen'!B753</f>
        <v>734</v>
      </c>
      <c r="C470" s="331"/>
      <c r="D470" s="331"/>
      <c r="E470" s="331"/>
      <c r="F470" s="354">
        <f>'5. Input GAW-waarde desinv.'!D429</f>
        <v>744081</v>
      </c>
      <c r="G470" s="175">
        <f>'13. Desinvesteringen'!D753</f>
        <v>2010</v>
      </c>
      <c r="H470" s="175">
        <f>'13. Desinvesteringen'!G753</f>
        <v>2025</v>
      </c>
      <c r="I470" s="37" t="str">
        <f>'13. Desinvesteringen'!C753</f>
        <v>15 Compressorstations (TT-BT-AT)</v>
      </c>
      <c r="J470" s="165">
        <f>'13. Desinvesteringen'!F753</f>
        <v>0</v>
      </c>
      <c r="K470" s="38">
        <f>_xlfn.XLOOKUP(I470,'3. Input (des)investeringen '!$B$11:$B$89,'3. Input (des)investeringen '!$E$11:$E$89)</f>
        <v>1</v>
      </c>
      <c r="L470" s="331"/>
      <c r="M470" s="38">
        <f>_xlfn.XLOOKUP(I470,'3. Input (des)investeringen '!$B$11:$B$89,'3. Input (des)investeringen '!$D$11:$D$89,0)</f>
        <v>30</v>
      </c>
      <c r="N470" s="38">
        <f t="shared" si="209"/>
        <v>18.5</v>
      </c>
      <c r="P470" s="43">
        <f t="shared" si="232"/>
        <v>47058.095675675679</v>
      </c>
      <c r="Q470" s="43">
        <f t="shared" si="232"/>
        <v>43751.310574141709</v>
      </c>
      <c r="R470" s="43">
        <f t="shared" si="232"/>
        <v>40676.894155418246</v>
      </c>
      <c r="S470" s="43">
        <f t="shared" si="232"/>
        <v>37818.517809361831</v>
      </c>
      <c r="T470" s="43">
        <f t="shared" si="232"/>
        <v>35161.00034167694</v>
      </c>
      <c r="V470" s="43">
        <f t="shared" si="204"/>
        <v>4022.0594594594595</v>
      </c>
      <c r="W470" s="43">
        <f t="shared" si="205"/>
        <v>4022.0594594594595</v>
      </c>
      <c r="X470" s="43">
        <f t="shared" si="206"/>
        <v>4022.0594594594595</v>
      </c>
      <c r="Y470" s="43">
        <f t="shared" si="207"/>
        <v>4022.0594594594595</v>
      </c>
      <c r="Z470" s="43">
        <f t="shared" si="208"/>
        <v>4022.0594594594595</v>
      </c>
      <c r="AB470" s="43">
        <f t="shared" si="210"/>
        <v>51080.155135135137</v>
      </c>
      <c r="AC470" s="43">
        <f t="shared" si="211"/>
        <v>47773.370033601168</v>
      </c>
      <c r="AD470" s="43">
        <f t="shared" si="212"/>
        <v>44698.953614877704</v>
      </c>
      <c r="AE470" s="43">
        <f t="shared" si="213"/>
        <v>41840.577268821289</v>
      </c>
      <c r="AF470" s="43">
        <f t="shared" si="214"/>
        <v>39183.059801136398</v>
      </c>
      <c r="AH470" s="43">
        <f t="shared" si="215"/>
        <v>693000.84486486483</v>
      </c>
      <c r="AI470" s="43">
        <f t="shared" si="216"/>
        <v>645227.47483126365</v>
      </c>
      <c r="AJ470" s="43">
        <f t="shared" si="217"/>
        <v>600528.521216386</v>
      </c>
      <c r="AK470" s="43">
        <f t="shared" si="218"/>
        <v>558687.94394756469</v>
      </c>
      <c r="AL470" s="43">
        <f t="shared" si="219"/>
        <v>519504.88414642832</v>
      </c>
      <c r="AN470" s="47">
        <f t="shared" si="220"/>
        <v>79493.18977459459</v>
      </c>
      <c r="AO470" s="47">
        <f t="shared" si="221"/>
        <v>80679.971249995608</v>
      </c>
      <c r="AP470" s="47">
        <f t="shared" si="222"/>
        <v>75325.908196913384</v>
      </c>
      <c r="AQ470" s="47">
        <f t="shared" si="223"/>
        <v>72568.414185937349</v>
      </c>
      <c r="AR470" s="43">
        <f t="shared" si="224"/>
        <v>58924.245398700674</v>
      </c>
      <c r="AS470" s="349"/>
      <c r="AT470" s="350"/>
      <c r="AU470" s="121"/>
      <c r="AV470" s="121"/>
      <c r="AW470" s="121"/>
      <c r="AX470" s="121"/>
    </row>
    <row r="471" spans="1:50" s="89" customFormat="1">
      <c r="A471" s="3"/>
      <c r="B471" s="37">
        <f>'13. Desinvesteringen'!B754</f>
        <v>735</v>
      </c>
      <c r="C471" s="331"/>
      <c r="D471" s="331"/>
      <c r="E471" s="331"/>
      <c r="F471" s="354">
        <f>'5. Input GAW-waarde desinv.'!D430</f>
        <v>153272</v>
      </c>
      <c r="G471" s="175">
        <f>'13. Desinvesteringen'!D754</f>
        <v>2011</v>
      </c>
      <c r="H471" s="175">
        <f>'13. Desinvesteringen'!G754</f>
        <v>2025</v>
      </c>
      <c r="I471" s="37" t="str">
        <f>'13. Desinvesteringen'!C754</f>
        <v>15 Compressorstations (TT-BT-AT)</v>
      </c>
      <c r="J471" s="165">
        <f>'13. Desinvesteringen'!F754</f>
        <v>0</v>
      </c>
      <c r="K471" s="38">
        <f>_xlfn.XLOOKUP(I471,'3. Input (des)investeringen '!$B$11:$B$89,'3. Input (des)investeringen '!$E$11:$E$89)</f>
        <v>1</v>
      </c>
      <c r="L471" s="331"/>
      <c r="M471" s="38">
        <f>_xlfn.XLOOKUP(I471,'3. Input (des)investeringen '!$B$11:$B$89,'3. Input (des)investeringen '!$D$11:$D$89,0)</f>
        <v>30</v>
      </c>
      <c r="N471" s="38">
        <f t="shared" si="209"/>
        <v>19.5</v>
      </c>
      <c r="P471" s="43">
        <f t="shared" si="232"/>
        <v>9196.32</v>
      </c>
      <c r="Q471" s="43">
        <f t="shared" si="232"/>
        <v>8583.232</v>
      </c>
      <c r="R471" s="43">
        <f t="shared" si="232"/>
        <v>8011.0165333333334</v>
      </c>
      <c r="S471" s="43">
        <f t="shared" si="232"/>
        <v>7476.9487644444453</v>
      </c>
      <c r="T471" s="43">
        <f t="shared" si="232"/>
        <v>6978.4855134814816</v>
      </c>
      <c r="V471" s="43">
        <f t="shared" si="204"/>
        <v>786.01025641025649</v>
      </c>
      <c r="W471" s="43">
        <f t="shared" si="205"/>
        <v>786.01025641025649</v>
      </c>
      <c r="X471" s="43">
        <f t="shared" si="206"/>
        <v>786.01025641025649</v>
      </c>
      <c r="Y471" s="43">
        <f t="shared" si="207"/>
        <v>786.01025641025649</v>
      </c>
      <c r="Z471" s="43">
        <f t="shared" si="208"/>
        <v>786.01025641025649</v>
      </c>
      <c r="AB471" s="43">
        <f t="shared" si="210"/>
        <v>9982.330256410256</v>
      </c>
      <c r="AC471" s="43">
        <f t="shared" si="211"/>
        <v>9369.2422564102562</v>
      </c>
      <c r="AD471" s="43">
        <f t="shared" si="212"/>
        <v>8797.0267897435897</v>
      </c>
      <c r="AE471" s="43">
        <f t="shared" si="213"/>
        <v>8262.9590208547015</v>
      </c>
      <c r="AF471" s="43">
        <f t="shared" si="214"/>
        <v>7764.4957698917378</v>
      </c>
      <c r="AH471" s="43">
        <f t="shared" si="215"/>
        <v>143289.66974358974</v>
      </c>
      <c r="AI471" s="43">
        <f t="shared" si="216"/>
        <v>133920.42748717949</v>
      </c>
      <c r="AJ471" s="43">
        <f t="shared" si="217"/>
        <v>125123.40069743591</v>
      </c>
      <c r="AK471" s="43">
        <f t="shared" si="218"/>
        <v>116860.44167658121</v>
      </c>
      <c r="AL471" s="43">
        <f t="shared" si="219"/>
        <v>109095.94590668946</v>
      </c>
      <c r="AN471" s="47">
        <f t="shared" si="220"/>
        <v>15857.206715897435</v>
      </c>
      <c r="AO471" s="47">
        <f t="shared" si="221"/>
        <v>16199.184058256411</v>
      </c>
      <c r="AP471" s="47">
        <f t="shared" si="222"/>
        <v>15178.32022531282</v>
      </c>
      <c r="AQ471" s="47">
        <f t="shared" si="223"/>
        <v>14690.283313066668</v>
      </c>
      <c r="AR471" s="43">
        <f t="shared" si="224"/>
        <v>11910.141714345937</v>
      </c>
      <c r="AS471" s="349"/>
      <c r="AT471" s="350"/>
      <c r="AU471" s="121"/>
      <c r="AV471" s="121"/>
      <c r="AW471" s="121"/>
      <c r="AX471" s="121"/>
    </row>
    <row r="472" spans="1:50" s="89" customFormat="1">
      <c r="A472" s="3"/>
      <c r="B472" s="37">
        <f>'13. Desinvesteringen'!B755</f>
        <v>736</v>
      </c>
      <c r="C472" s="331"/>
      <c r="D472" s="331"/>
      <c r="E472" s="331"/>
      <c r="F472" s="354">
        <f>'5. Input GAW-waarde desinv.'!D431</f>
        <v>0</v>
      </c>
      <c r="G472" s="175">
        <f>'13. Desinvesteringen'!D755</f>
        <v>1977</v>
      </c>
      <c r="H472" s="175">
        <f>'13. Desinvesteringen'!G755</f>
        <v>2025</v>
      </c>
      <c r="I472" s="37" t="str">
        <f>'13. Desinvesteringen'!C755</f>
        <v>16 LNG installaties</v>
      </c>
      <c r="J472" s="165">
        <f>'13. Desinvesteringen'!F755</f>
        <v>0</v>
      </c>
      <c r="K472" s="38">
        <f>_xlfn.XLOOKUP(I472,'3. Input (des)investeringen '!$B$11:$B$89,'3. Input (des)investeringen '!$E$11:$E$89)</f>
        <v>0</v>
      </c>
      <c r="L472" s="331"/>
      <c r="M472" s="38">
        <f>_xlfn.XLOOKUP(I472,'3. Input (des)investeringen '!$B$11:$B$89,'3. Input (des)investeringen '!$D$11:$D$89,0)</f>
        <v>30</v>
      </c>
      <c r="N472" s="38">
        <f t="shared" si="209"/>
        <v>0</v>
      </c>
      <c r="P472" s="43">
        <f t="shared" si="232"/>
        <v>0</v>
      </c>
      <c r="Q472" s="43">
        <f t="shared" si="232"/>
        <v>0</v>
      </c>
      <c r="R472" s="43">
        <f t="shared" si="232"/>
        <v>0</v>
      </c>
      <c r="S472" s="43">
        <f t="shared" si="232"/>
        <v>0</v>
      </c>
      <c r="T472" s="43">
        <f t="shared" si="232"/>
        <v>0</v>
      </c>
      <c r="V472" s="43">
        <f t="shared" si="204"/>
        <v>0</v>
      </c>
      <c r="W472" s="43">
        <f t="shared" si="205"/>
        <v>0</v>
      </c>
      <c r="X472" s="43">
        <f t="shared" si="206"/>
        <v>0</v>
      </c>
      <c r="Y472" s="43">
        <f t="shared" si="207"/>
        <v>0</v>
      </c>
      <c r="Z472" s="43">
        <f t="shared" si="208"/>
        <v>0</v>
      </c>
      <c r="AB472" s="43">
        <f t="shared" si="210"/>
        <v>0</v>
      </c>
      <c r="AC472" s="43">
        <f t="shared" si="211"/>
        <v>0</v>
      </c>
      <c r="AD472" s="43">
        <f t="shared" si="212"/>
        <v>0</v>
      </c>
      <c r="AE472" s="43">
        <f t="shared" si="213"/>
        <v>0</v>
      </c>
      <c r="AF472" s="43">
        <f t="shared" si="214"/>
        <v>0</v>
      </c>
      <c r="AH472" s="43">
        <f t="shared" si="215"/>
        <v>0</v>
      </c>
      <c r="AI472" s="43">
        <f t="shared" si="216"/>
        <v>0</v>
      </c>
      <c r="AJ472" s="43">
        <f t="shared" si="217"/>
        <v>0</v>
      </c>
      <c r="AK472" s="43">
        <f t="shared" si="218"/>
        <v>0</v>
      </c>
      <c r="AL472" s="43">
        <f t="shared" si="219"/>
        <v>0</v>
      </c>
      <c r="AN472" s="47">
        <f t="shared" si="220"/>
        <v>0</v>
      </c>
      <c r="AO472" s="47">
        <f t="shared" si="221"/>
        <v>0</v>
      </c>
      <c r="AP472" s="47">
        <f t="shared" si="222"/>
        <v>0</v>
      </c>
      <c r="AQ472" s="47">
        <f t="shared" si="223"/>
        <v>0</v>
      </c>
      <c r="AR472" s="43">
        <f t="shared" si="224"/>
        <v>0</v>
      </c>
      <c r="AS472" s="349"/>
      <c r="AT472" s="350"/>
      <c r="AU472" s="121"/>
      <c r="AV472" s="121"/>
      <c r="AW472" s="121"/>
      <c r="AX472" s="121"/>
    </row>
    <row r="473" spans="1:50" s="89" customFormat="1">
      <c r="A473" s="3"/>
      <c r="B473" s="37">
        <f>'13. Desinvesteringen'!B756</f>
        <v>737</v>
      </c>
      <c r="C473" s="331"/>
      <c r="D473" s="331"/>
      <c r="E473" s="331"/>
      <c r="F473" s="354">
        <f>'5. Input GAW-waarde desinv.'!D432</f>
        <v>0</v>
      </c>
      <c r="G473" s="175">
        <f>'13. Desinvesteringen'!D756</f>
        <v>1978</v>
      </c>
      <c r="H473" s="175">
        <f>'13. Desinvesteringen'!G756</f>
        <v>2025</v>
      </c>
      <c r="I473" s="37" t="str">
        <f>'13. Desinvesteringen'!C756</f>
        <v>17 Mengstations</v>
      </c>
      <c r="J473" s="165">
        <f>'13. Desinvesteringen'!F756</f>
        <v>0</v>
      </c>
      <c r="K473" s="38">
        <f>_xlfn.XLOOKUP(I473,'3. Input (des)investeringen '!$B$11:$B$89,'3. Input (des)investeringen '!$E$11:$E$89)</f>
        <v>0</v>
      </c>
      <c r="L473" s="331"/>
      <c r="M473" s="38">
        <f>_xlfn.XLOOKUP(I473,'3. Input (des)investeringen '!$B$11:$B$89,'3. Input (des)investeringen '!$D$11:$D$89,0)</f>
        <v>30</v>
      </c>
      <c r="N473" s="38">
        <f t="shared" si="209"/>
        <v>0</v>
      </c>
      <c r="P473" s="43">
        <f t="shared" si="232"/>
        <v>0</v>
      </c>
      <c r="Q473" s="43">
        <f t="shared" si="232"/>
        <v>0</v>
      </c>
      <c r="R473" s="43">
        <f t="shared" si="232"/>
        <v>0</v>
      </c>
      <c r="S473" s="43">
        <f t="shared" si="232"/>
        <v>0</v>
      </c>
      <c r="T473" s="43">
        <f t="shared" si="232"/>
        <v>0</v>
      </c>
      <c r="V473" s="43">
        <f t="shared" si="204"/>
        <v>0</v>
      </c>
      <c r="W473" s="43">
        <f t="shared" si="205"/>
        <v>0</v>
      </c>
      <c r="X473" s="43">
        <f t="shared" si="206"/>
        <v>0</v>
      </c>
      <c r="Y473" s="43">
        <f t="shared" si="207"/>
        <v>0</v>
      </c>
      <c r="Z473" s="43">
        <f t="shared" si="208"/>
        <v>0</v>
      </c>
      <c r="AB473" s="43">
        <f t="shared" si="210"/>
        <v>0</v>
      </c>
      <c r="AC473" s="43">
        <f t="shared" si="211"/>
        <v>0</v>
      </c>
      <c r="AD473" s="43">
        <f t="shared" si="212"/>
        <v>0</v>
      </c>
      <c r="AE473" s="43">
        <f t="shared" si="213"/>
        <v>0</v>
      </c>
      <c r="AF473" s="43">
        <f t="shared" si="214"/>
        <v>0</v>
      </c>
      <c r="AH473" s="43">
        <f t="shared" si="215"/>
        <v>0</v>
      </c>
      <c r="AI473" s="43">
        <f t="shared" si="216"/>
        <v>0</v>
      </c>
      <c r="AJ473" s="43">
        <f t="shared" si="217"/>
        <v>0</v>
      </c>
      <c r="AK473" s="43">
        <f t="shared" si="218"/>
        <v>0</v>
      </c>
      <c r="AL473" s="43">
        <f t="shared" si="219"/>
        <v>0</v>
      </c>
      <c r="AN473" s="47">
        <f t="shared" si="220"/>
        <v>0</v>
      </c>
      <c r="AO473" s="47">
        <f t="shared" si="221"/>
        <v>0</v>
      </c>
      <c r="AP473" s="47">
        <f t="shared" si="222"/>
        <v>0</v>
      </c>
      <c r="AQ473" s="47">
        <f t="shared" si="223"/>
        <v>0</v>
      </c>
      <c r="AR473" s="43">
        <f t="shared" si="224"/>
        <v>0</v>
      </c>
      <c r="AS473" s="349"/>
      <c r="AT473" s="350"/>
      <c r="AU473" s="121"/>
      <c r="AV473" s="121"/>
      <c r="AW473" s="121"/>
      <c r="AX473" s="121"/>
    </row>
    <row r="474" spans="1:50" s="89" customFormat="1">
      <c r="A474" s="3"/>
      <c r="B474" s="37">
        <f>'13. Desinvesteringen'!B757</f>
        <v>738</v>
      </c>
      <c r="C474" s="331"/>
      <c r="D474" s="331"/>
      <c r="E474" s="331"/>
      <c r="F474" s="354">
        <f>'5. Input GAW-waarde desinv.'!D433</f>
        <v>0</v>
      </c>
      <c r="G474" s="175">
        <f>'13. Desinvesteringen'!D757</f>
        <v>1979</v>
      </c>
      <c r="H474" s="175">
        <f>'13. Desinvesteringen'!G757</f>
        <v>2025</v>
      </c>
      <c r="I474" s="37" t="str">
        <f>'13. Desinvesteringen'!C757</f>
        <v>17 Mengstations</v>
      </c>
      <c r="J474" s="165">
        <f>'13. Desinvesteringen'!F757</f>
        <v>0</v>
      </c>
      <c r="K474" s="38">
        <f>_xlfn.XLOOKUP(I474,'3. Input (des)investeringen '!$B$11:$B$89,'3. Input (des)investeringen '!$E$11:$E$89)</f>
        <v>0</v>
      </c>
      <c r="L474" s="331"/>
      <c r="M474" s="38">
        <f>_xlfn.XLOOKUP(I474,'3. Input (des)investeringen '!$B$11:$B$89,'3. Input (des)investeringen '!$D$11:$D$89,0)</f>
        <v>30</v>
      </c>
      <c r="N474" s="38">
        <f t="shared" si="209"/>
        <v>0</v>
      </c>
      <c r="P474" s="43">
        <f t="shared" si="232"/>
        <v>0</v>
      </c>
      <c r="Q474" s="43">
        <f t="shared" si="232"/>
        <v>0</v>
      </c>
      <c r="R474" s="43">
        <f t="shared" si="232"/>
        <v>0</v>
      </c>
      <c r="S474" s="43">
        <f t="shared" si="232"/>
        <v>0</v>
      </c>
      <c r="T474" s="43">
        <f t="shared" si="232"/>
        <v>0</v>
      </c>
      <c r="V474" s="43">
        <f t="shared" si="204"/>
        <v>0</v>
      </c>
      <c r="W474" s="43">
        <f t="shared" si="205"/>
        <v>0</v>
      </c>
      <c r="X474" s="43">
        <f t="shared" si="206"/>
        <v>0</v>
      </c>
      <c r="Y474" s="43">
        <f t="shared" si="207"/>
        <v>0</v>
      </c>
      <c r="Z474" s="43">
        <f t="shared" si="208"/>
        <v>0</v>
      </c>
      <c r="AB474" s="43">
        <f t="shared" si="210"/>
        <v>0</v>
      </c>
      <c r="AC474" s="43">
        <f t="shared" si="211"/>
        <v>0</v>
      </c>
      <c r="AD474" s="43">
        <f t="shared" si="212"/>
        <v>0</v>
      </c>
      <c r="AE474" s="43">
        <f t="shared" si="213"/>
        <v>0</v>
      </c>
      <c r="AF474" s="43">
        <f t="shared" si="214"/>
        <v>0</v>
      </c>
      <c r="AH474" s="43">
        <f t="shared" si="215"/>
        <v>0</v>
      </c>
      <c r="AI474" s="43">
        <f t="shared" si="216"/>
        <v>0</v>
      </c>
      <c r="AJ474" s="43">
        <f t="shared" si="217"/>
        <v>0</v>
      </c>
      <c r="AK474" s="43">
        <f t="shared" si="218"/>
        <v>0</v>
      </c>
      <c r="AL474" s="43">
        <f t="shared" si="219"/>
        <v>0</v>
      </c>
      <c r="AN474" s="47">
        <f t="shared" si="220"/>
        <v>0</v>
      </c>
      <c r="AO474" s="47">
        <f t="shared" si="221"/>
        <v>0</v>
      </c>
      <c r="AP474" s="47">
        <f t="shared" si="222"/>
        <v>0</v>
      </c>
      <c r="AQ474" s="47">
        <f t="shared" si="223"/>
        <v>0</v>
      </c>
      <c r="AR474" s="43">
        <f t="shared" si="224"/>
        <v>0</v>
      </c>
      <c r="AS474" s="349"/>
      <c r="AT474" s="350"/>
      <c r="AU474" s="121"/>
      <c r="AV474" s="121"/>
      <c r="AW474" s="121"/>
      <c r="AX474" s="121"/>
    </row>
    <row r="475" spans="1:50" s="89" customFormat="1">
      <c r="A475" s="3"/>
      <c r="B475" s="37">
        <f>'13. Desinvesteringen'!B758</f>
        <v>739</v>
      </c>
      <c r="C475" s="331"/>
      <c r="D475" s="331"/>
      <c r="E475" s="331"/>
      <c r="F475" s="354">
        <f>'5. Input GAW-waarde desinv.'!D434</f>
        <v>0</v>
      </c>
      <c r="G475" s="175">
        <f>'13. Desinvesteringen'!D758</f>
        <v>1990</v>
      </c>
      <c r="H475" s="175">
        <f>'13. Desinvesteringen'!G758</f>
        <v>2025</v>
      </c>
      <c r="I475" s="37" t="str">
        <f>'13. Desinvesteringen'!C758</f>
        <v>17 Mengstations</v>
      </c>
      <c r="J475" s="165">
        <f>'13. Desinvesteringen'!F758</f>
        <v>0</v>
      </c>
      <c r="K475" s="38">
        <f>_xlfn.XLOOKUP(I475,'3. Input (des)investeringen '!$B$11:$B$89,'3. Input (des)investeringen '!$E$11:$E$89)</f>
        <v>0</v>
      </c>
      <c r="L475" s="331"/>
      <c r="M475" s="38">
        <f>_xlfn.XLOOKUP(I475,'3. Input (des)investeringen '!$B$11:$B$89,'3. Input (des)investeringen '!$D$11:$D$89,0)</f>
        <v>30</v>
      </c>
      <c r="N475" s="38">
        <f t="shared" si="209"/>
        <v>0</v>
      </c>
      <c r="P475" s="43">
        <f t="shared" si="232"/>
        <v>0</v>
      </c>
      <c r="Q475" s="43">
        <f t="shared" si="232"/>
        <v>0</v>
      </c>
      <c r="R475" s="43">
        <f t="shared" si="232"/>
        <v>0</v>
      </c>
      <c r="S475" s="43">
        <f t="shared" si="232"/>
        <v>0</v>
      </c>
      <c r="T475" s="43">
        <f t="shared" si="232"/>
        <v>0</v>
      </c>
      <c r="V475" s="43">
        <f t="shared" ref="V475:V506" si="233">IF($M475&gt;0, IF(OR($G475&gt;V$50,$G475+$M475&lt;V$50),0,
VDB($F475,0,$N475,MAX(0,P$50-2022),MIN($N475,P$50-2021),1,FALSE))*$F$26, 0)</f>
        <v>0</v>
      </c>
      <c r="W475" s="43">
        <f t="shared" ref="W475:W506" si="234">IF($M475&gt;0, IF(OR($G475&gt;W$50,$G475+$M475&lt;W$50),0,
VDB($F475,0,$N475,MAX(0,Q$50-2022),MIN($N475,Q$50-2021),1,FALSE))*$F$26, 0)</f>
        <v>0</v>
      </c>
      <c r="X475" s="43">
        <f t="shared" ref="X475:X506" si="235">IF($M475&gt;0, IF(OR($G475&gt;X$50,$G475+$M475&lt;X$50),0,
VDB($F475,0,$N475,MAX(0,R$50-2022),MIN($N475,R$50-2021),1,FALSE))*$F$26, 0)</f>
        <v>0</v>
      </c>
      <c r="Y475" s="43">
        <f t="shared" ref="Y475:Y506" si="236">IF($M475&gt;0, IF(OR($G475&gt;Y$50,$G475+$M475&lt;Y$50),0,
VDB($F475,0,$N475,MAX(0,S$50-2022),MIN($N475,S$50-2021),1,FALSE))*$F$26, 0)</f>
        <v>0</v>
      </c>
      <c r="Z475" s="43">
        <f t="shared" ref="Z475:Z506" si="237">IF($M475&gt;0, IF(OR($G475&gt;Z$50,$G475+$M475&lt;Z$50),0,
VDB($F475,0,$N475,MAX(0,T$50-2022),MIN($N475,T$50-2021),1,FALSE))*$F$26, 0)</f>
        <v>0</v>
      </c>
      <c r="AB475" s="43">
        <f t="shared" si="210"/>
        <v>0</v>
      </c>
      <c r="AC475" s="43">
        <f t="shared" si="211"/>
        <v>0</v>
      </c>
      <c r="AD475" s="43">
        <f t="shared" si="212"/>
        <v>0</v>
      </c>
      <c r="AE475" s="43">
        <f t="shared" si="213"/>
        <v>0</v>
      </c>
      <c r="AF475" s="43">
        <f t="shared" si="214"/>
        <v>0</v>
      </c>
      <c r="AH475" s="43">
        <f t="shared" si="215"/>
        <v>0</v>
      </c>
      <c r="AI475" s="43">
        <f t="shared" si="216"/>
        <v>0</v>
      </c>
      <c r="AJ475" s="43">
        <f t="shared" si="217"/>
        <v>0</v>
      </c>
      <c r="AK475" s="43">
        <f t="shared" si="218"/>
        <v>0</v>
      </c>
      <c r="AL475" s="43">
        <f t="shared" si="219"/>
        <v>0</v>
      </c>
      <c r="AN475" s="47">
        <f t="shared" si="220"/>
        <v>0</v>
      </c>
      <c r="AO475" s="47">
        <f t="shared" si="221"/>
        <v>0</v>
      </c>
      <c r="AP475" s="47">
        <f t="shared" si="222"/>
        <v>0</v>
      </c>
      <c r="AQ475" s="47">
        <f t="shared" si="223"/>
        <v>0</v>
      </c>
      <c r="AR475" s="43">
        <f t="shared" si="224"/>
        <v>0</v>
      </c>
      <c r="AS475" s="349"/>
      <c r="AT475" s="350"/>
      <c r="AU475" s="121"/>
      <c r="AV475" s="121"/>
      <c r="AW475" s="121"/>
      <c r="AX475" s="121"/>
    </row>
    <row r="476" spans="1:50" s="89" customFormat="1">
      <c r="A476" s="3"/>
      <c r="B476" s="37">
        <f>'13. Desinvesteringen'!B759</f>
        <v>740</v>
      </c>
      <c r="C476" s="331"/>
      <c r="D476" s="331"/>
      <c r="E476" s="331"/>
      <c r="F476" s="354">
        <f>'5. Input GAW-waarde desinv.'!D435</f>
        <v>14109</v>
      </c>
      <c r="G476" s="175">
        <f>'13. Desinvesteringen'!D759</f>
        <v>1992</v>
      </c>
      <c r="H476" s="175">
        <f>'13. Desinvesteringen'!G759</f>
        <v>2025</v>
      </c>
      <c r="I476" s="37" t="str">
        <f>'13. Desinvesteringen'!C759</f>
        <v>17 Mengstations</v>
      </c>
      <c r="J476" s="165">
        <f>'13. Desinvesteringen'!F759</f>
        <v>0</v>
      </c>
      <c r="K476" s="38">
        <f>_xlfn.XLOOKUP(I476,'3. Input (des)investeringen '!$B$11:$B$89,'3. Input (des)investeringen '!$E$11:$E$89)</f>
        <v>0</v>
      </c>
      <c r="L476" s="331"/>
      <c r="M476" s="38">
        <f>_xlfn.XLOOKUP(I476,'3. Input (des)investeringen '!$B$11:$B$89,'3. Input (des)investeringen '!$D$11:$D$89,0)</f>
        <v>30</v>
      </c>
      <c r="N476" s="38">
        <f t="shared" si="209"/>
        <v>0.5</v>
      </c>
      <c r="P476" s="43">
        <f t="shared" si="232"/>
        <v>12698.1</v>
      </c>
      <c r="Q476" s="43">
        <f t="shared" si="232"/>
        <v>0</v>
      </c>
      <c r="R476" s="43">
        <f t="shared" si="232"/>
        <v>0</v>
      </c>
      <c r="S476" s="43">
        <f t="shared" si="232"/>
        <v>0</v>
      </c>
      <c r="T476" s="43">
        <f t="shared" si="232"/>
        <v>0</v>
      </c>
      <c r="V476" s="43">
        <f t="shared" si="233"/>
        <v>1410.9</v>
      </c>
      <c r="W476" s="43">
        <f t="shared" si="234"/>
        <v>0</v>
      </c>
      <c r="X476" s="43">
        <f t="shared" si="235"/>
        <v>0</v>
      </c>
      <c r="Y476" s="43">
        <f t="shared" si="236"/>
        <v>0</v>
      </c>
      <c r="Z476" s="43">
        <f t="shared" si="237"/>
        <v>0</v>
      </c>
      <c r="AB476" s="43">
        <f t="shared" si="210"/>
        <v>14109</v>
      </c>
      <c r="AC476" s="43">
        <f t="shared" si="211"/>
        <v>0</v>
      </c>
      <c r="AD476" s="43">
        <f t="shared" si="212"/>
        <v>0</v>
      </c>
      <c r="AE476" s="43">
        <f t="shared" si="213"/>
        <v>0</v>
      </c>
      <c r="AF476" s="43">
        <f t="shared" si="214"/>
        <v>0</v>
      </c>
      <c r="AH476" s="43">
        <f t="shared" si="215"/>
        <v>0</v>
      </c>
      <c r="AI476" s="43">
        <f t="shared" si="216"/>
        <v>0</v>
      </c>
      <c r="AJ476" s="43">
        <f t="shared" si="217"/>
        <v>0</v>
      </c>
      <c r="AK476" s="43">
        <f t="shared" si="218"/>
        <v>0</v>
      </c>
      <c r="AL476" s="43">
        <f t="shared" si="219"/>
        <v>0</v>
      </c>
      <c r="AN476" s="47">
        <f t="shared" si="220"/>
        <v>14109</v>
      </c>
      <c r="AO476" s="47">
        <f t="shared" si="221"/>
        <v>0</v>
      </c>
      <c r="AP476" s="47">
        <f t="shared" si="222"/>
        <v>0</v>
      </c>
      <c r="AQ476" s="47">
        <f t="shared" si="223"/>
        <v>0</v>
      </c>
      <c r="AR476" s="43">
        <f t="shared" si="224"/>
        <v>0</v>
      </c>
      <c r="AS476" s="349"/>
      <c r="AT476" s="350"/>
      <c r="AU476" s="121"/>
      <c r="AV476" s="121"/>
      <c r="AW476" s="121"/>
      <c r="AX476" s="121"/>
    </row>
    <row r="477" spans="1:50" s="89" customFormat="1">
      <c r="A477" s="3"/>
      <c r="B477" s="37">
        <f>'13. Desinvesteringen'!B760</f>
        <v>741</v>
      </c>
      <c r="C477" s="331"/>
      <c r="D477" s="331"/>
      <c r="E477" s="331"/>
      <c r="F477" s="354">
        <f>'5. Input GAW-waarde desinv.'!D436</f>
        <v>410</v>
      </c>
      <c r="G477" s="175">
        <f>'13. Desinvesteringen'!D760</f>
        <v>2003</v>
      </c>
      <c r="H477" s="175">
        <f>'13. Desinvesteringen'!G760</f>
        <v>2025</v>
      </c>
      <c r="I477" s="37" t="str">
        <f>'13. Desinvesteringen'!C760</f>
        <v>17 Mengstations</v>
      </c>
      <c r="J477" s="165">
        <f>'13. Desinvesteringen'!F760</f>
        <v>0</v>
      </c>
      <c r="K477" s="38">
        <f>_xlfn.XLOOKUP(I477,'3. Input (des)investeringen '!$B$11:$B$89,'3. Input (des)investeringen '!$E$11:$E$89)</f>
        <v>0</v>
      </c>
      <c r="L477" s="331"/>
      <c r="M477" s="38">
        <f>_xlfn.XLOOKUP(I477,'3. Input (des)investeringen '!$B$11:$B$89,'3. Input (des)investeringen '!$D$11:$D$89,0)</f>
        <v>30</v>
      </c>
      <c r="N477" s="38">
        <f t="shared" si="209"/>
        <v>11.5</v>
      </c>
      <c r="P477" s="43">
        <f t="shared" si="232"/>
        <v>41.713043478260872</v>
      </c>
      <c r="Q477" s="43">
        <f t="shared" si="232"/>
        <v>36.997655954631384</v>
      </c>
      <c r="R477" s="43">
        <f t="shared" si="232"/>
        <v>32.81531223802088</v>
      </c>
      <c r="S477" s="43">
        <f t="shared" si="232"/>
        <v>30.291057450480814</v>
      </c>
      <c r="T477" s="43">
        <f t="shared" si="232"/>
        <v>30.291057450480814</v>
      </c>
      <c r="V477" s="43">
        <f t="shared" si="233"/>
        <v>3.5652173913043477</v>
      </c>
      <c r="W477" s="43">
        <f t="shared" si="234"/>
        <v>3.5652173913043477</v>
      </c>
      <c r="X477" s="43">
        <f t="shared" si="235"/>
        <v>3.5652173913043477</v>
      </c>
      <c r="Y477" s="43">
        <f t="shared" si="236"/>
        <v>3.5652173913043477</v>
      </c>
      <c r="Z477" s="43">
        <f t="shared" si="237"/>
        <v>3.5652173913043477</v>
      </c>
      <c r="AB477" s="43">
        <f t="shared" si="210"/>
        <v>45.278260869565216</v>
      </c>
      <c r="AC477" s="43">
        <f t="shared" si="211"/>
        <v>40.562873345935728</v>
      </c>
      <c r="AD477" s="43">
        <f t="shared" si="212"/>
        <v>36.380529629325224</v>
      </c>
      <c r="AE477" s="43">
        <f t="shared" si="213"/>
        <v>33.856274841785165</v>
      </c>
      <c r="AF477" s="43">
        <f t="shared" si="214"/>
        <v>33.856274841785165</v>
      </c>
      <c r="AH477" s="43">
        <f t="shared" si="215"/>
        <v>364.7217391304348</v>
      </c>
      <c r="AI477" s="43">
        <f t="shared" si="216"/>
        <v>324.15886578449908</v>
      </c>
      <c r="AJ477" s="43">
        <f t="shared" si="217"/>
        <v>287.77833615517386</v>
      </c>
      <c r="AK477" s="43">
        <f t="shared" si="218"/>
        <v>253.9220613133887</v>
      </c>
      <c r="AL477" s="43">
        <f t="shared" si="219"/>
        <v>220.06578647160353</v>
      </c>
      <c r="AN477" s="47">
        <f t="shared" si="220"/>
        <v>60.23185217391304</v>
      </c>
      <c r="AO477" s="47">
        <f t="shared" si="221"/>
        <v>57.094975500945182</v>
      </c>
      <c r="AP477" s="47">
        <f t="shared" si="222"/>
        <v>51.057224773239092</v>
      </c>
      <c r="AQ477" s="47">
        <f t="shared" si="223"/>
        <v>47.821988214021545</v>
      </c>
      <c r="AR477" s="43">
        <f t="shared" si="224"/>
        <v>42.218774727706098</v>
      </c>
      <c r="AS477" s="349"/>
      <c r="AT477" s="350"/>
      <c r="AU477" s="121"/>
      <c r="AV477" s="121"/>
      <c r="AW477" s="121"/>
      <c r="AX477" s="121"/>
    </row>
    <row r="478" spans="1:50" s="89" customFormat="1">
      <c r="A478" s="3"/>
      <c r="B478" s="37">
        <f>'13. Desinvesteringen'!B761</f>
        <v>742</v>
      </c>
      <c r="C478" s="331"/>
      <c r="D478" s="331"/>
      <c r="E478" s="331"/>
      <c r="F478" s="354">
        <f>'5. Input GAW-waarde desinv.'!D437</f>
        <v>298590</v>
      </c>
      <c r="G478" s="175">
        <f>'13. Desinvesteringen'!D761</f>
        <v>2011</v>
      </c>
      <c r="H478" s="175">
        <f>'13. Desinvesteringen'!G761</f>
        <v>2025</v>
      </c>
      <c r="I478" s="37" t="str">
        <f>'13. Desinvesteringen'!C761</f>
        <v>17 Mengstations</v>
      </c>
      <c r="J478" s="165">
        <f>'13. Desinvesteringen'!F761</f>
        <v>0</v>
      </c>
      <c r="K478" s="38">
        <f>_xlfn.XLOOKUP(I478,'3. Input (des)investeringen '!$B$11:$B$89,'3. Input (des)investeringen '!$E$11:$E$89)</f>
        <v>0</v>
      </c>
      <c r="L478" s="331"/>
      <c r="M478" s="38">
        <f>_xlfn.XLOOKUP(I478,'3. Input (des)investeringen '!$B$11:$B$89,'3. Input (des)investeringen '!$D$11:$D$89,0)</f>
        <v>30</v>
      </c>
      <c r="N478" s="38">
        <f t="shared" si="209"/>
        <v>19.5</v>
      </c>
      <c r="P478" s="43">
        <f t="shared" si="232"/>
        <v>17915.400000000001</v>
      </c>
      <c r="Q478" s="43">
        <f t="shared" si="232"/>
        <v>16721.04</v>
      </c>
      <c r="R478" s="43">
        <f t="shared" si="232"/>
        <v>15606.303999999998</v>
      </c>
      <c r="S478" s="43">
        <f t="shared" si="232"/>
        <v>14565.883733333332</v>
      </c>
      <c r="T478" s="43">
        <f t="shared" si="232"/>
        <v>13594.824817777777</v>
      </c>
      <c r="V478" s="43">
        <f t="shared" si="233"/>
        <v>1531.2307692307693</v>
      </c>
      <c r="W478" s="43">
        <f t="shared" si="234"/>
        <v>1531.2307692307695</v>
      </c>
      <c r="X478" s="43">
        <f t="shared" si="235"/>
        <v>1531.2307692307695</v>
      </c>
      <c r="Y478" s="43">
        <f t="shared" si="236"/>
        <v>1531.2307692307695</v>
      </c>
      <c r="Z478" s="43">
        <f t="shared" si="237"/>
        <v>1531.2307692307695</v>
      </c>
      <c r="AB478" s="43">
        <f t="shared" si="210"/>
        <v>19446.630769230771</v>
      </c>
      <c r="AC478" s="43">
        <f t="shared" si="211"/>
        <v>18252.27076923077</v>
      </c>
      <c r="AD478" s="43">
        <f t="shared" si="212"/>
        <v>17137.53476923077</v>
      </c>
      <c r="AE478" s="43">
        <f t="shared" si="213"/>
        <v>16097.114502564102</v>
      </c>
      <c r="AF478" s="43">
        <f t="shared" si="214"/>
        <v>15126.055587008546</v>
      </c>
      <c r="AH478" s="43">
        <f t="shared" si="215"/>
        <v>279143.36923076923</v>
      </c>
      <c r="AI478" s="43">
        <f t="shared" si="216"/>
        <v>260891.09846153847</v>
      </c>
      <c r="AJ478" s="43">
        <f t="shared" si="217"/>
        <v>243753.56369230768</v>
      </c>
      <c r="AK478" s="43">
        <f t="shared" si="218"/>
        <v>227656.44918974358</v>
      </c>
      <c r="AL478" s="43">
        <f t="shared" si="219"/>
        <v>212530.39360273504</v>
      </c>
      <c r="AN478" s="47">
        <f t="shared" si="220"/>
        <v>30891.50890769231</v>
      </c>
      <c r="AO478" s="47">
        <f t="shared" si="221"/>
        <v>31557.716790769231</v>
      </c>
      <c r="AP478" s="47">
        <f t="shared" si="222"/>
        <v>29568.966517538458</v>
      </c>
      <c r="AQ478" s="47">
        <f t="shared" si="223"/>
        <v>28618.219207999999</v>
      </c>
      <c r="AR478" s="43">
        <f t="shared" si="224"/>
        <v>23202.210543912479</v>
      </c>
      <c r="AS478" s="349"/>
      <c r="AT478" s="350"/>
      <c r="AU478" s="121"/>
      <c r="AV478" s="121"/>
      <c r="AW478" s="121"/>
      <c r="AX478" s="121"/>
    </row>
    <row r="479" spans="1:50" s="89" customFormat="1">
      <c r="A479" s="3"/>
      <c r="B479" s="37">
        <f>'13. Desinvesteringen'!B762</f>
        <v>743</v>
      </c>
      <c r="C479" s="331"/>
      <c r="D479" s="331"/>
      <c r="E479" s="331"/>
      <c r="F479" s="354">
        <f>'5. Input GAW-waarde desinv.'!D438</f>
        <v>936661</v>
      </c>
      <c r="G479" s="175">
        <f>'13. Desinvesteringen'!D762</f>
        <v>2013</v>
      </c>
      <c r="H479" s="175">
        <f>'13. Desinvesteringen'!G762</f>
        <v>2025</v>
      </c>
      <c r="I479" s="37" t="str">
        <f>'13. Desinvesteringen'!C762</f>
        <v>17 Mengstations</v>
      </c>
      <c r="J479" s="165">
        <f>'13. Desinvesteringen'!F762</f>
        <v>0</v>
      </c>
      <c r="K479" s="38">
        <f>_xlfn.XLOOKUP(I479,'3. Input (des)investeringen '!$B$11:$B$89,'3. Input (des)investeringen '!$E$11:$E$89)</f>
        <v>0</v>
      </c>
      <c r="L479" s="331"/>
      <c r="M479" s="38">
        <f>_xlfn.XLOOKUP(I479,'3. Input (des)investeringen '!$B$11:$B$89,'3. Input (des)investeringen '!$D$11:$D$89,0)</f>
        <v>30</v>
      </c>
      <c r="N479" s="38">
        <f t="shared" si="209"/>
        <v>21.5</v>
      </c>
      <c r="P479" s="43">
        <f t="shared" ref="P479:T488" si="238">IF($M479&gt;0, IF(OR($G479&gt;P$50,$G479+$M479&lt;P$50),0,
VDB($F479,0,$N479,MAX(0,P$50-2022),MIN($N479,P$50-2021),$F$23,FALSE))*(1-$F$26), 0)</f>
        <v>50971.784651162794</v>
      </c>
      <c r="Q479" s="43">
        <f t="shared" si="238"/>
        <v>47889.769765278528</v>
      </c>
      <c r="R479" s="43">
        <f t="shared" si="238"/>
        <v>44994.109267843087</v>
      </c>
      <c r="S479" s="43">
        <f t="shared" si="238"/>
        <v>42273.535219089783</v>
      </c>
      <c r="T479" s="43">
        <f t="shared" si="238"/>
        <v>39717.460996540169</v>
      </c>
      <c r="V479" s="43">
        <f t="shared" si="233"/>
        <v>4356.5627906976742</v>
      </c>
      <c r="W479" s="43">
        <f t="shared" si="234"/>
        <v>4356.5627906976752</v>
      </c>
      <c r="X479" s="43">
        <f t="shared" si="235"/>
        <v>4356.5627906976752</v>
      </c>
      <c r="Y479" s="43">
        <f t="shared" si="236"/>
        <v>4356.5627906976752</v>
      </c>
      <c r="Z479" s="43">
        <f t="shared" si="237"/>
        <v>4356.5627906976752</v>
      </c>
      <c r="AB479" s="43">
        <f t="shared" si="210"/>
        <v>55328.347441860467</v>
      </c>
      <c r="AC479" s="43">
        <f t="shared" si="211"/>
        <v>52246.332555976202</v>
      </c>
      <c r="AD479" s="43">
        <f t="shared" si="212"/>
        <v>49350.67205854076</v>
      </c>
      <c r="AE479" s="43">
        <f t="shared" si="213"/>
        <v>46630.098009787456</v>
      </c>
      <c r="AF479" s="43">
        <f t="shared" si="214"/>
        <v>44074.023787237842</v>
      </c>
      <c r="AH479" s="43">
        <f t="shared" si="215"/>
        <v>881332.65255813953</v>
      </c>
      <c r="AI479" s="43">
        <f t="shared" si="216"/>
        <v>829086.32000216329</v>
      </c>
      <c r="AJ479" s="43">
        <f t="shared" si="217"/>
        <v>779735.64794362255</v>
      </c>
      <c r="AK479" s="43">
        <f t="shared" si="218"/>
        <v>733105.54993383505</v>
      </c>
      <c r="AL479" s="43">
        <f t="shared" si="219"/>
        <v>689031.52614659723</v>
      </c>
      <c r="AN479" s="47">
        <f t="shared" si="220"/>
        <v>91462.986196744198</v>
      </c>
      <c r="AO479" s="47">
        <f t="shared" si="221"/>
        <v>94529.734876086528</v>
      </c>
      <c r="AP479" s="47">
        <f t="shared" si="222"/>
        <v>89117.190103665518</v>
      </c>
      <c r="AQ479" s="47">
        <f t="shared" si="223"/>
        <v>86950.903256148391</v>
      </c>
      <c r="AR479" s="43">
        <f t="shared" si="224"/>
        <v>70257.221780808541</v>
      </c>
      <c r="AS479" s="349"/>
      <c r="AT479" s="350"/>
      <c r="AU479" s="121"/>
      <c r="AV479" s="121"/>
      <c r="AW479" s="121"/>
      <c r="AX479" s="121"/>
    </row>
    <row r="480" spans="1:50" s="89" customFormat="1">
      <c r="A480" s="3"/>
      <c r="B480" s="37">
        <f>'13. Desinvesteringen'!B763</f>
        <v>744</v>
      </c>
      <c r="C480" s="331"/>
      <c r="D480" s="331"/>
      <c r="E480" s="331"/>
      <c r="F480" s="354">
        <f>'5. Input GAW-waarde desinv.'!D439</f>
        <v>104558</v>
      </c>
      <c r="G480" s="175">
        <f>'13. Desinvesteringen'!D763</f>
        <v>2016</v>
      </c>
      <c r="H480" s="175">
        <f>'13. Desinvesteringen'!G763</f>
        <v>2025</v>
      </c>
      <c r="I480" s="37" t="str">
        <f>'13. Desinvesteringen'!C763</f>
        <v>17 Mengstations</v>
      </c>
      <c r="J480" s="165">
        <f>'13. Desinvesteringen'!F763</f>
        <v>0</v>
      </c>
      <c r="K480" s="38">
        <f>_xlfn.XLOOKUP(I480,'3. Input (des)investeringen '!$B$11:$B$89,'3. Input (des)investeringen '!$E$11:$E$89)</f>
        <v>0</v>
      </c>
      <c r="L480" s="331"/>
      <c r="M480" s="38">
        <f>_xlfn.XLOOKUP(I480,'3. Input (des)investeringen '!$B$11:$B$89,'3. Input (des)investeringen '!$D$11:$D$89,0)</f>
        <v>30</v>
      </c>
      <c r="N480" s="38">
        <f t="shared" si="209"/>
        <v>24.5</v>
      </c>
      <c r="P480" s="43">
        <f t="shared" si="238"/>
        <v>4993.1779591836739</v>
      </c>
      <c r="Q480" s="43">
        <f t="shared" si="238"/>
        <v>4728.2338225739286</v>
      </c>
      <c r="R480" s="43">
        <f t="shared" si="238"/>
        <v>4477.347946274087</v>
      </c>
      <c r="S480" s="43">
        <f t="shared" si="238"/>
        <v>4239.774381777911</v>
      </c>
      <c r="T480" s="43">
        <f t="shared" si="238"/>
        <v>4014.8067615203076</v>
      </c>
      <c r="V480" s="43">
        <f t="shared" si="233"/>
        <v>426.76734693877552</v>
      </c>
      <c r="W480" s="43">
        <f t="shared" si="234"/>
        <v>426.76734693877552</v>
      </c>
      <c r="X480" s="43">
        <f t="shared" si="235"/>
        <v>426.76734693877552</v>
      </c>
      <c r="Y480" s="43">
        <f t="shared" si="236"/>
        <v>426.76734693877552</v>
      </c>
      <c r="Z480" s="43">
        <f t="shared" si="237"/>
        <v>426.76734693877552</v>
      </c>
      <c r="AB480" s="43">
        <f t="shared" si="210"/>
        <v>5419.9453061224494</v>
      </c>
      <c r="AC480" s="43">
        <f t="shared" si="211"/>
        <v>5155.0011695127041</v>
      </c>
      <c r="AD480" s="43">
        <f t="shared" si="212"/>
        <v>4904.1152932128625</v>
      </c>
      <c r="AE480" s="43">
        <f t="shared" si="213"/>
        <v>4666.5417287166865</v>
      </c>
      <c r="AF480" s="43">
        <f t="shared" si="214"/>
        <v>4441.5741084590827</v>
      </c>
      <c r="AH480" s="43">
        <f t="shared" si="215"/>
        <v>99138.054693877551</v>
      </c>
      <c r="AI480" s="43">
        <f t="shared" si="216"/>
        <v>93983.053524364848</v>
      </c>
      <c r="AJ480" s="43">
        <f t="shared" si="217"/>
        <v>89078.938231151988</v>
      </c>
      <c r="AK480" s="43">
        <f t="shared" si="218"/>
        <v>84412.396502435295</v>
      </c>
      <c r="AL480" s="43">
        <f t="shared" si="219"/>
        <v>79970.82239397621</v>
      </c>
      <c r="AN480" s="47">
        <f t="shared" si="220"/>
        <v>9484.6055485714296</v>
      </c>
      <c r="AO480" s="47">
        <f t="shared" si="221"/>
        <v>9948.1368992553107</v>
      </c>
      <c r="AP480" s="47">
        <f t="shared" si="222"/>
        <v>9447.1411430016124</v>
      </c>
      <c r="AQ480" s="47">
        <f t="shared" si="223"/>
        <v>9309.2235363506279</v>
      </c>
      <c r="AR480" s="43">
        <f t="shared" si="224"/>
        <v>7480.4653594301781</v>
      </c>
      <c r="AS480" s="349"/>
      <c r="AT480" s="350"/>
      <c r="AU480" s="121"/>
      <c r="AV480" s="121"/>
      <c r="AW480" s="121"/>
      <c r="AX480" s="121"/>
    </row>
    <row r="481" spans="1:50" s="89" customFormat="1">
      <c r="A481" s="3"/>
      <c r="B481" s="37">
        <f>'13. Desinvesteringen'!B764</f>
        <v>745</v>
      </c>
      <c r="C481" s="331"/>
      <c r="D481" s="331"/>
      <c r="E481" s="331"/>
      <c r="F481" s="354">
        <f>'5. Input GAW-waarde desinv.'!D440</f>
        <v>88806</v>
      </c>
      <c r="G481" s="175">
        <f>'13. Desinvesteringen'!D764</f>
        <v>2018</v>
      </c>
      <c r="H481" s="175">
        <f>'13. Desinvesteringen'!G764</f>
        <v>2025</v>
      </c>
      <c r="I481" s="37" t="str">
        <f>'13. Desinvesteringen'!C764</f>
        <v>17 Mengstations</v>
      </c>
      <c r="J481" s="165">
        <f>'13. Desinvesteringen'!F764</f>
        <v>0</v>
      </c>
      <c r="K481" s="38">
        <f>_xlfn.XLOOKUP(I481,'3. Input (des)investeringen '!$B$11:$B$89,'3. Input (des)investeringen '!$E$11:$E$89)</f>
        <v>0</v>
      </c>
      <c r="L481" s="331"/>
      <c r="M481" s="38">
        <f>_xlfn.XLOOKUP(I481,'3. Input (des)investeringen '!$B$11:$B$89,'3. Input (des)investeringen '!$D$11:$D$89,0)</f>
        <v>30</v>
      </c>
      <c r="N481" s="38">
        <f t="shared" si="209"/>
        <v>26.5</v>
      </c>
      <c r="P481" s="43">
        <f t="shared" si="238"/>
        <v>3920.8686792452831</v>
      </c>
      <c r="Q481" s="43">
        <f t="shared" si="238"/>
        <v>3728.524177999288</v>
      </c>
      <c r="R481" s="43">
        <f t="shared" si="238"/>
        <v>3545.6154447389458</v>
      </c>
      <c r="S481" s="43">
        <f t="shared" si="238"/>
        <v>3371.6795927328844</v>
      </c>
      <c r="T481" s="43">
        <f t="shared" si="238"/>
        <v>3206.2764429007052</v>
      </c>
      <c r="V481" s="43">
        <f t="shared" si="233"/>
        <v>335.11698113207552</v>
      </c>
      <c r="W481" s="43">
        <f t="shared" si="234"/>
        <v>335.11698113207552</v>
      </c>
      <c r="X481" s="43">
        <f t="shared" si="235"/>
        <v>335.11698113207552</v>
      </c>
      <c r="Y481" s="43">
        <f t="shared" si="236"/>
        <v>335.11698113207552</v>
      </c>
      <c r="Z481" s="43">
        <f t="shared" si="237"/>
        <v>335.11698113207552</v>
      </c>
      <c r="AB481" s="43">
        <f t="shared" si="210"/>
        <v>4255.9856603773587</v>
      </c>
      <c r="AC481" s="43">
        <f t="shared" si="211"/>
        <v>4063.6411591313636</v>
      </c>
      <c r="AD481" s="43">
        <f t="shared" si="212"/>
        <v>3880.7324258710214</v>
      </c>
      <c r="AE481" s="43">
        <f t="shared" si="213"/>
        <v>3706.79657386496</v>
      </c>
      <c r="AF481" s="43">
        <f t="shared" si="214"/>
        <v>3541.3934240327808</v>
      </c>
      <c r="AH481" s="43">
        <f t="shared" si="215"/>
        <v>84550.014339622634</v>
      </c>
      <c r="AI481" s="43">
        <f t="shared" si="216"/>
        <v>80486.373180491268</v>
      </c>
      <c r="AJ481" s="43">
        <f t="shared" si="217"/>
        <v>76605.640754620254</v>
      </c>
      <c r="AK481" s="43">
        <f t="shared" si="218"/>
        <v>72898.844180755288</v>
      </c>
      <c r="AL481" s="43">
        <f t="shared" si="219"/>
        <v>69357.450756722508</v>
      </c>
      <c r="AN481" s="47">
        <f t="shared" si="220"/>
        <v>7722.5362483018871</v>
      </c>
      <c r="AO481" s="47">
        <f t="shared" si="221"/>
        <v>8168.4461913364175</v>
      </c>
      <c r="AP481" s="47">
        <f t="shared" si="222"/>
        <v>7787.6201043566543</v>
      </c>
      <c r="AQ481" s="47">
        <f t="shared" si="223"/>
        <v>7716.2330038065011</v>
      </c>
      <c r="AR481" s="43">
        <f t="shared" si="224"/>
        <v>6176.9765527882355</v>
      </c>
      <c r="AS481" s="349"/>
      <c r="AT481" s="350"/>
      <c r="AU481" s="121"/>
      <c r="AV481" s="121"/>
      <c r="AW481" s="121"/>
      <c r="AX481" s="121"/>
    </row>
    <row r="482" spans="1:50" s="89" customFormat="1">
      <c r="A482" s="3"/>
      <c r="B482" s="37">
        <f>'13. Desinvesteringen'!B765</f>
        <v>746</v>
      </c>
      <c r="C482" s="331"/>
      <c r="D482" s="331"/>
      <c r="E482" s="331"/>
      <c r="F482" s="354">
        <f>'5. Input GAW-waarde desinv.'!D441</f>
        <v>0</v>
      </c>
      <c r="G482" s="175">
        <f>'13. Desinvesteringen'!D765</f>
        <v>1964</v>
      </c>
      <c r="H482" s="175">
        <f>'13. Desinvesteringen'!G765</f>
        <v>2025</v>
      </c>
      <c r="I482" s="37" t="str">
        <f>'13. Desinvesteringen'!C765</f>
        <v>21 Hoofdtransportleiding</v>
      </c>
      <c r="J482" s="165">
        <f>'13. Desinvesteringen'!F765</f>
        <v>0</v>
      </c>
      <c r="K482" s="38">
        <f>_xlfn.XLOOKUP(I482,'3. Input (des)investeringen '!$B$11:$B$89,'3. Input (des)investeringen '!$E$11:$E$89)</f>
        <v>1</v>
      </c>
      <c r="L482" s="331"/>
      <c r="M482" s="38">
        <f>_xlfn.XLOOKUP(I482,'3. Input (des)investeringen '!$B$11:$B$89,'3. Input (des)investeringen '!$D$11:$D$89,0)</f>
        <v>55</v>
      </c>
      <c r="N482" s="38">
        <f t="shared" si="209"/>
        <v>0</v>
      </c>
      <c r="P482" s="43">
        <f t="shared" si="238"/>
        <v>0</v>
      </c>
      <c r="Q482" s="43">
        <f t="shared" si="238"/>
        <v>0</v>
      </c>
      <c r="R482" s="43">
        <f t="shared" si="238"/>
        <v>0</v>
      </c>
      <c r="S482" s="43">
        <f t="shared" si="238"/>
        <v>0</v>
      </c>
      <c r="T482" s="43">
        <f t="shared" si="238"/>
        <v>0</v>
      </c>
      <c r="V482" s="43">
        <f t="shared" si="233"/>
        <v>0</v>
      </c>
      <c r="W482" s="43">
        <f t="shared" si="234"/>
        <v>0</v>
      </c>
      <c r="X482" s="43">
        <f t="shared" si="235"/>
        <v>0</v>
      </c>
      <c r="Y482" s="43">
        <f t="shared" si="236"/>
        <v>0</v>
      </c>
      <c r="Z482" s="43">
        <f t="shared" si="237"/>
        <v>0</v>
      </c>
      <c r="AB482" s="43">
        <f t="shared" si="210"/>
        <v>0</v>
      </c>
      <c r="AC482" s="43">
        <f t="shared" si="211"/>
        <v>0</v>
      </c>
      <c r="AD482" s="43">
        <f t="shared" si="212"/>
        <v>0</v>
      </c>
      <c r="AE482" s="43">
        <f t="shared" si="213"/>
        <v>0</v>
      </c>
      <c r="AF482" s="43">
        <f t="shared" si="214"/>
        <v>0</v>
      </c>
      <c r="AH482" s="43">
        <f t="shared" si="215"/>
        <v>0</v>
      </c>
      <c r="AI482" s="43">
        <f t="shared" si="216"/>
        <v>0</v>
      </c>
      <c r="AJ482" s="43">
        <f t="shared" si="217"/>
        <v>0</v>
      </c>
      <c r="AK482" s="43">
        <f t="shared" si="218"/>
        <v>0</v>
      </c>
      <c r="AL482" s="43">
        <f t="shared" si="219"/>
        <v>0</v>
      </c>
      <c r="AN482" s="47">
        <f t="shared" si="220"/>
        <v>0</v>
      </c>
      <c r="AO482" s="47">
        <f t="shared" si="221"/>
        <v>0</v>
      </c>
      <c r="AP482" s="47">
        <f t="shared" si="222"/>
        <v>0</v>
      </c>
      <c r="AQ482" s="47">
        <f t="shared" si="223"/>
        <v>0</v>
      </c>
      <c r="AR482" s="43">
        <f t="shared" si="224"/>
        <v>0</v>
      </c>
      <c r="AS482" s="349"/>
      <c r="AT482" s="350"/>
      <c r="AU482" s="121"/>
      <c r="AV482" s="121"/>
      <c r="AW482" s="121"/>
      <c r="AX482" s="121"/>
    </row>
    <row r="483" spans="1:50" s="89" customFormat="1">
      <c r="A483" s="3"/>
      <c r="B483" s="37">
        <f>'13. Desinvesteringen'!B766</f>
        <v>747</v>
      </c>
      <c r="C483" s="331"/>
      <c r="D483" s="331"/>
      <c r="E483" s="331"/>
      <c r="F483" s="354">
        <f>'5. Input GAW-waarde desinv.'!D442</f>
        <v>0</v>
      </c>
      <c r="G483" s="175">
        <f>'13. Desinvesteringen'!D766</f>
        <v>1966</v>
      </c>
      <c r="H483" s="175">
        <f>'13. Desinvesteringen'!G766</f>
        <v>2025</v>
      </c>
      <c r="I483" s="37" t="str">
        <f>'13. Desinvesteringen'!C766</f>
        <v>21 Hoofdtransportleiding</v>
      </c>
      <c r="J483" s="165">
        <f>'13. Desinvesteringen'!F766</f>
        <v>0</v>
      </c>
      <c r="K483" s="38">
        <f>_xlfn.XLOOKUP(I483,'3. Input (des)investeringen '!$B$11:$B$89,'3. Input (des)investeringen '!$E$11:$E$89)</f>
        <v>1</v>
      </c>
      <c r="L483" s="331"/>
      <c r="M483" s="38">
        <f>_xlfn.XLOOKUP(I483,'3. Input (des)investeringen '!$B$11:$B$89,'3. Input (des)investeringen '!$D$11:$D$89,0)</f>
        <v>55</v>
      </c>
      <c r="N483" s="38">
        <f t="shared" si="209"/>
        <v>0</v>
      </c>
      <c r="P483" s="43">
        <f t="shared" si="238"/>
        <v>0</v>
      </c>
      <c r="Q483" s="43">
        <f t="shared" si="238"/>
        <v>0</v>
      </c>
      <c r="R483" s="43">
        <f t="shared" si="238"/>
        <v>0</v>
      </c>
      <c r="S483" s="43">
        <f t="shared" si="238"/>
        <v>0</v>
      </c>
      <c r="T483" s="43">
        <f t="shared" si="238"/>
        <v>0</v>
      </c>
      <c r="V483" s="43">
        <f t="shared" si="233"/>
        <v>0</v>
      </c>
      <c r="W483" s="43">
        <f t="shared" si="234"/>
        <v>0</v>
      </c>
      <c r="X483" s="43">
        <f t="shared" si="235"/>
        <v>0</v>
      </c>
      <c r="Y483" s="43">
        <f t="shared" si="236"/>
        <v>0</v>
      </c>
      <c r="Z483" s="43">
        <f t="shared" si="237"/>
        <v>0</v>
      </c>
      <c r="AB483" s="43">
        <f t="shared" si="210"/>
        <v>0</v>
      </c>
      <c r="AC483" s="43">
        <f t="shared" si="211"/>
        <v>0</v>
      </c>
      <c r="AD483" s="43">
        <f t="shared" si="212"/>
        <v>0</v>
      </c>
      <c r="AE483" s="43">
        <f t="shared" si="213"/>
        <v>0</v>
      </c>
      <c r="AF483" s="43">
        <f t="shared" si="214"/>
        <v>0</v>
      </c>
      <c r="AH483" s="43">
        <f t="shared" si="215"/>
        <v>0</v>
      </c>
      <c r="AI483" s="43">
        <f t="shared" si="216"/>
        <v>0</v>
      </c>
      <c r="AJ483" s="43">
        <f t="shared" si="217"/>
        <v>0</v>
      </c>
      <c r="AK483" s="43">
        <f t="shared" si="218"/>
        <v>0</v>
      </c>
      <c r="AL483" s="43">
        <f t="shared" si="219"/>
        <v>0</v>
      </c>
      <c r="AN483" s="47">
        <f t="shared" si="220"/>
        <v>0</v>
      </c>
      <c r="AO483" s="47">
        <f t="shared" si="221"/>
        <v>0</v>
      </c>
      <c r="AP483" s="47">
        <f t="shared" si="222"/>
        <v>0</v>
      </c>
      <c r="AQ483" s="47">
        <f t="shared" si="223"/>
        <v>0</v>
      </c>
      <c r="AR483" s="43">
        <f t="shared" si="224"/>
        <v>0</v>
      </c>
      <c r="AS483" s="349"/>
      <c r="AT483" s="350"/>
      <c r="AU483" s="121"/>
      <c r="AV483" s="121"/>
      <c r="AW483" s="121"/>
      <c r="AX483" s="121"/>
    </row>
    <row r="484" spans="1:50" s="89" customFormat="1">
      <c r="A484" s="3"/>
      <c r="B484" s="37">
        <f>'13. Desinvesteringen'!B767</f>
        <v>748</v>
      </c>
      <c r="C484" s="331"/>
      <c r="D484" s="331"/>
      <c r="E484" s="331"/>
      <c r="F484" s="354">
        <f>'5. Input GAW-waarde desinv.'!D443</f>
        <v>1187</v>
      </c>
      <c r="G484" s="175">
        <f>'13. Desinvesteringen'!D767</f>
        <v>1968</v>
      </c>
      <c r="H484" s="175">
        <f>'13. Desinvesteringen'!G767</f>
        <v>2025</v>
      </c>
      <c r="I484" s="37" t="str">
        <f>'13. Desinvesteringen'!C767</f>
        <v>21 Hoofdtransportleiding</v>
      </c>
      <c r="J484" s="165">
        <f>'13. Desinvesteringen'!F767</f>
        <v>0</v>
      </c>
      <c r="K484" s="38">
        <f>_xlfn.XLOOKUP(I484,'3. Input (des)investeringen '!$B$11:$B$89,'3. Input (des)investeringen '!$E$11:$E$89)</f>
        <v>1</v>
      </c>
      <c r="L484" s="331"/>
      <c r="M484" s="38">
        <f>_xlfn.XLOOKUP(I484,'3. Input (des)investeringen '!$B$11:$B$89,'3. Input (des)investeringen '!$D$11:$D$89,0)</f>
        <v>55</v>
      </c>
      <c r="N484" s="38">
        <f t="shared" si="209"/>
        <v>1.5</v>
      </c>
      <c r="P484" s="43">
        <f t="shared" si="238"/>
        <v>925.86</v>
      </c>
      <c r="Q484" s="43">
        <f t="shared" si="238"/>
        <v>142.44</v>
      </c>
      <c r="R484" s="43">
        <f t="shared" si="238"/>
        <v>0</v>
      </c>
      <c r="S484" s="43">
        <f t="shared" si="238"/>
        <v>0</v>
      </c>
      <c r="T484" s="43">
        <f t="shared" si="238"/>
        <v>0</v>
      </c>
      <c r="V484" s="43">
        <f t="shared" si="233"/>
        <v>79.13333333333334</v>
      </c>
      <c r="W484" s="43">
        <f t="shared" si="234"/>
        <v>39.56666666666667</v>
      </c>
      <c r="X484" s="43">
        <f t="shared" si="235"/>
        <v>0</v>
      </c>
      <c r="Y484" s="43">
        <f t="shared" si="236"/>
        <v>0</v>
      </c>
      <c r="Z484" s="43">
        <f t="shared" si="237"/>
        <v>0</v>
      </c>
      <c r="AB484" s="43">
        <f t="shared" si="210"/>
        <v>1004.9933333333333</v>
      </c>
      <c r="AC484" s="43">
        <f t="shared" si="211"/>
        <v>182.00666666666666</v>
      </c>
      <c r="AD484" s="43">
        <f t="shared" si="212"/>
        <v>0</v>
      </c>
      <c r="AE484" s="43">
        <f t="shared" si="213"/>
        <v>0</v>
      </c>
      <c r="AF484" s="43">
        <f t="shared" si="214"/>
        <v>0</v>
      </c>
      <c r="AH484" s="43">
        <f t="shared" si="215"/>
        <v>182.00666666666666</v>
      </c>
      <c r="AI484" s="43">
        <f t="shared" si="216"/>
        <v>0</v>
      </c>
      <c r="AJ484" s="43">
        <f t="shared" si="217"/>
        <v>0</v>
      </c>
      <c r="AK484" s="43">
        <f t="shared" si="218"/>
        <v>0</v>
      </c>
      <c r="AL484" s="43">
        <f t="shared" si="219"/>
        <v>0</v>
      </c>
      <c r="AN484" s="47">
        <f t="shared" si="220"/>
        <v>1012.4556066666667</v>
      </c>
      <c r="AO484" s="47">
        <f t="shared" si="221"/>
        <v>182.00666666666666</v>
      </c>
      <c r="AP484" s="47">
        <f t="shared" si="222"/>
        <v>0</v>
      </c>
      <c r="AQ484" s="47">
        <f t="shared" si="223"/>
        <v>0</v>
      </c>
      <c r="AR484" s="43">
        <f t="shared" si="224"/>
        <v>0</v>
      </c>
      <c r="AS484" s="349"/>
      <c r="AT484" s="350"/>
      <c r="AU484" s="121"/>
      <c r="AV484" s="121"/>
      <c r="AW484" s="121"/>
      <c r="AX484" s="121"/>
    </row>
    <row r="485" spans="1:50" s="89" customFormat="1">
      <c r="A485" s="3"/>
      <c r="B485" s="37">
        <f>'13. Desinvesteringen'!B768</f>
        <v>749</v>
      </c>
      <c r="C485" s="331"/>
      <c r="D485" s="331"/>
      <c r="E485" s="331"/>
      <c r="F485" s="354">
        <f>'5. Input GAW-waarde desinv.'!D444</f>
        <v>22413</v>
      </c>
      <c r="G485" s="175">
        <f>'13. Desinvesteringen'!D768</f>
        <v>1970</v>
      </c>
      <c r="H485" s="175">
        <f>'13. Desinvesteringen'!G768</f>
        <v>2025</v>
      </c>
      <c r="I485" s="37" t="str">
        <f>'13. Desinvesteringen'!C768</f>
        <v>21 Hoofdtransportleiding</v>
      </c>
      <c r="J485" s="165">
        <f>'13. Desinvesteringen'!F768</f>
        <v>0</v>
      </c>
      <c r="K485" s="38">
        <f>_xlfn.XLOOKUP(I485,'3. Input (des)investeringen '!$B$11:$B$89,'3. Input (des)investeringen '!$E$11:$E$89)</f>
        <v>1</v>
      </c>
      <c r="L485" s="331"/>
      <c r="M485" s="38">
        <f>_xlfn.XLOOKUP(I485,'3. Input (des)investeringen '!$B$11:$B$89,'3. Input (des)investeringen '!$D$11:$D$89,0)</f>
        <v>55</v>
      </c>
      <c r="N485" s="38">
        <f t="shared" si="209"/>
        <v>3.5</v>
      </c>
      <c r="P485" s="43">
        <f t="shared" si="238"/>
        <v>7492.3457142857151</v>
      </c>
      <c r="Q485" s="43">
        <f t="shared" si="238"/>
        <v>5071.7417142857139</v>
      </c>
      <c r="R485" s="43">
        <f t="shared" si="238"/>
        <v>5071.7417142857139</v>
      </c>
      <c r="S485" s="43">
        <f t="shared" si="238"/>
        <v>2535.8708571428569</v>
      </c>
      <c r="T485" s="43">
        <f t="shared" si="238"/>
        <v>0</v>
      </c>
      <c r="V485" s="43">
        <f t="shared" si="233"/>
        <v>640.37142857142862</v>
      </c>
      <c r="W485" s="43">
        <f t="shared" si="234"/>
        <v>640.37142857142862</v>
      </c>
      <c r="X485" s="43">
        <f t="shared" si="235"/>
        <v>640.37142857142862</v>
      </c>
      <c r="Y485" s="43">
        <f t="shared" si="236"/>
        <v>320.18571428571431</v>
      </c>
      <c r="Z485" s="43">
        <f t="shared" si="237"/>
        <v>0</v>
      </c>
      <c r="AB485" s="43">
        <f t="shared" si="210"/>
        <v>8132.7171428571437</v>
      </c>
      <c r="AC485" s="43">
        <f t="shared" si="211"/>
        <v>5712.1131428571425</v>
      </c>
      <c r="AD485" s="43">
        <f t="shared" si="212"/>
        <v>5712.1131428571425</v>
      </c>
      <c r="AE485" s="43">
        <f t="shared" si="213"/>
        <v>2856.0565714285713</v>
      </c>
      <c r="AF485" s="43">
        <f t="shared" si="214"/>
        <v>0</v>
      </c>
      <c r="AH485" s="43">
        <f t="shared" si="215"/>
        <v>14280.282857142856</v>
      </c>
      <c r="AI485" s="43">
        <f t="shared" si="216"/>
        <v>8568.1697142857138</v>
      </c>
      <c r="AJ485" s="43">
        <f t="shared" si="217"/>
        <v>2856.0565714285713</v>
      </c>
      <c r="AK485" s="43">
        <f t="shared" si="218"/>
        <v>0</v>
      </c>
      <c r="AL485" s="43">
        <f t="shared" si="219"/>
        <v>0</v>
      </c>
      <c r="AN485" s="47">
        <f t="shared" si="220"/>
        <v>8718.20874</v>
      </c>
      <c r="AO485" s="47">
        <f t="shared" si="221"/>
        <v>6149.0897982857141</v>
      </c>
      <c r="AP485" s="47">
        <f t="shared" si="222"/>
        <v>5857.7720279999994</v>
      </c>
      <c r="AQ485" s="47">
        <f t="shared" si="223"/>
        <v>2856.0565714285713</v>
      </c>
      <c r="AR485" s="43">
        <f t="shared" si="224"/>
        <v>0</v>
      </c>
      <c r="AS485" s="349"/>
      <c r="AT485" s="350"/>
      <c r="AU485" s="121"/>
      <c r="AV485" s="121"/>
      <c r="AW485" s="121"/>
      <c r="AX485" s="121"/>
    </row>
    <row r="486" spans="1:50" s="89" customFormat="1">
      <c r="A486" s="3"/>
      <c r="B486" s="37">
        <f>'13. Desinvesteringen'!B769</f>
        <v>750</v>
      </c>
      <c r="C486" s="331"/>
      <c r="D486" s="331"/>
      <c r="E486" s="331"/>
      <c r="F486" s="354">
        <f>'5. Input GAW-waarde desinv.'!D445</f>
        <v>1097</v>
      </c>
      <c r="G486" s="175">
        <f>'13. Desinvesteringen'!D769</f>
        <v>1971</v>
      </c>
      <c r="H486" s="175">
        <f>'13. Desinvesteringen'!G769</f>
        <v>2025</v>
      </c>
      <c r="I486" s="37" t="str">
        <f>'13. Desinvesteringen'!C769</f>
        <v>21 Hoofdtransportleiding</v>
      </c>
      <c r="J486" s="165">
        <f>'13. Desinvesteringen'!F769</f>
        <v>0</v>
      </c>
      <c r="K486" s="38">
        <f>_xlfn.XLOOKUP(I486,'3. Input (des)investeringen '!$B$11:$B$89,'3. Input (des)investeringen '!$E$11:$E$89)</f>
        <v>1</v>
      </c>
      <c r="L486" s="331"/>
      <c r="M486" s="38">
        <f>_xlfn.XLOOKUP(I486,'3. Input (des)investeringen '!$B$11:$B$89,'3. Input (des)investeringen '!$D$11:$D$89,0)</f>
        <v>55</v>
      </c>
      <c r="N486" s="38">
        <f t="shared" si="209"/>
        <v>4.5</v>
      </c>
      <c r="P486" s="43">
        <f t="shared" si="238"/>
        <v>285.22000000000003</v>
      </c>
      <c r="Q486" s="43">
        <f t="shared" si="238"/>
        <v>202.82311111111113</v>
      </c>
      <c r="R486" s="43">
        <f t="shared" si="238"/>
        <v>199.70275555555554</v>
      </c>
      <c r="S486" s="43">
        <f t="shared" si="238"/>
        <v>199.70275555555554</v>
      </c>
      <c r="T486" s="43">
        <f t="shared" si="238"/>
        <v>99.85137777777777</v>
      </c>
      <c r="V486" s="43">
        <f t="shared" si="233"/>
        <v>24.37777777777778</v>
      </c>
      <c r="W486" s="43">
        <f t="shared" si="234"/>
        <v>24.37777777777778</v>
      </c>
      <c r="X486" s="43">
        <f t="shared" si="235"/>
        <v>24.37777777777778</v>
      </c>
      <c r="Y486" s="43">
        <f t="shared" si="236"/>
        <v>24.37777777777778</v>
      </c>
      <c r="Z486" s="43">
        <f t="shared" si="237"/>
        <v>12.18888888888889</v>
      </c>
      <c r="AB486" s="43">
        <f t="shared" si="210"/>
        <v>309.59777777777782</v>
      </c>
      <c r="AC486" s="43">
        <f t="shared" si="211"/>
        <v>227.20088888888893</v>
      </c>
      <c r="AD486" s="43">
        <f t="shared" si="212"/>
        <v>224.08053333333334</v>
      </c>
      <c r="AE486" s="43">
        <f t="shared" si="213"/>
        <v>224.08053333333334</v>
      </c>
      <c r="AF486" s="43">
        <f t="shared" si="214"/>
        <v>112.04026666666667</v>
      </c>
      <c r="AH486" s="43">
        <f t="shared" si="215"/>
        <v>787.40222222222224</v>
      </c>
      <c r="AI486" s="43">
        <f t="shared" si="216"/>
        <v>560.20133333333331</v>
      </c>
      <c r="AJ486" s="43">
        <f t="shared" si="217"/>
        <v>336.12079999999997</v>
      </c>
      <c r="AK486" s="43">
        <f t="shared" si="218"/>
        <v>112.04026666666664</v>
      </c>
      <c r="AL486" s="43">
        <f t="shared" si="219"/>
        <v>0</v>
      </c>
      <c r="AN486" s="47">
        <f t="shared" si="220"/>
        <v>341.88126888888894</v>
      </c>
      <c r="AO486" s="47">
        <f t="shared" si="221"/>
        <v>255.77115688888892</v>
      </c>
      <c r="AP486" s="47">
        <f t="shared" si="222"/>
        <v>241.22269413333333</v>
      </c>
      <c r="AQ486" s="47">
        <f t="shared" si="223"/>
        <v>230.24274800000001</v>
      </c>
      <c r="AR486" s="43">
        <f t="shared" si="224"/>
        <v>112.04026666666667</v>
      </c>
      <c r="AS486" s="349"/>
      <c r="AT486" s="350"/>
      <c r="AU486" s="121"/>
      <c r="AV486" s="121"/>
      <c r="AW486" s="121"/>
      <c r="AX486" s="121"/>
    </row>
    <row r="487" spans="1:50" s="89" customFormat="1">
      <c r="A487" s="3"/>
      <c r="B487" s="37">
        <f>'13. Desinvesteringen'!B770</f>
        <v>751</v>
      </c>
      <c r="C487" s="331"/>
      <c r="D487" s="331"/>
      <c r="E487" s="331"/>
      <c r="F487" s="354">
        <f>'5. Input GAW-waarde desinv.'!D446</f>
        <v>75827</v>
      </c>
      <c r="G487" s="175">
        <f>'13. Desinvesteringen'!D770</f>
        <v>1972</v>
      </c>
      <c r="H487" s="175">
        <f>'13. Desinvesteringen'!G770</f>
        <v>2025</v>
      </c>
      <c r="I487" s="37" t="str">
        <f>'13. Desinvesteringen'!C770</f>
        <v>21 Hoofdtransportleiding</v>
      </c>
      <c r="J487" s="165">
        <f>'13. Desinvesteringen'!F770</f>
        <v>0</v>
      </c>
      <c r="K487" s="38">
        <f>_xlfn.XLOOKUP(I487,'3. Input (des)investeringen '!$B$11:$B$89,'3. Input (des)investeringen '!$E$11:$E$89)</f>
        <v>1</v>
      </c>
      <c r="L487" s="331"/>
      <c r="M487" s="38">
        <f>_xlfn.XLOOKUP(I487,'3. Input (des)investeringen '!$B$11:$B$89,'3. Input (des)investeringen '!$D$11:$D$89,0)</f>
        <v>55</v>
      </c>
      <c r="N487" s="38">
        <f t="shared" si="209"/>
        <v>5.5</v>
      </c>
      <c r="P487" s="43">
        <f t="shared" si="238"/>
        <v>16130.470909090907</v>
      </c>
      <c r="Q487" s="43">
        <f t="shared" si="238"/>
        <v>12317.814148760332</v>
      </c>
      <c r="R487" s="43">
        <f t="shared" si="238"/>
        <v>11370.289983471073</v>
      </c>
      <c r="S487" s="43">
        <f t="shared" si="238"/>
        <v>11370.289983471073</v>
      </c>
      <c r="T487" s="43">
        <f t="shared" si="238"/>
        <v>11370.289983471073</v>
      </c>
      <c r="V487" s="43">
        <f t="shared" si="233"/>
        <v>1378.6727272727276</v>
      </c>
      <c r="W487" s="43">
        <f t="shared" si="234"/>
        <v>1378.6727272727273</v>
      </c>
      <c r="X487" s="43">
        <f t="shared" si="235"/>
        <v>1378.6727272727273</v>
      </c>
      <c r="Y487" s="43">
        <f t="shared" si="236"/>
        <v>1378.6727272727273</v>
      </c>
      <c r="Z487" s="43">
        <f t="shared" si="237"/>
        <v>1378.6727272727273</v>
      </c>
      <c r="AB487" s="43">
        <f t="shared" si="210"/>
        <v>17509.143636363635</v>
      </c>
      <c r="AC487" s="43">
        <f t="shared" si="211"/>
        <v>13696.486876033059</v>
      </c>
      <c r="AD487" s="43">
        <f t="shared" si="212"/>
        <v>12748.962710743801</v>
      </c>
      <c r="AE487" s="43">
        <f t="shared" si="213"/>
        <v>12748.962710743801</v>
      </c>
      <c r="AF487" s="43">
        <f t="shared" si="214"/>
        <v>12748.962710743801</v>
      </c>
      <c r="AH487" s="43">
        <f t="shared" si="215"/>
        <v>58317.856363636369</v>
      </c>
      <c r="AI487" s="43">
        <f t="shared" si="216"/>
        <v>44621.369487603311</v>
      </c>
      <c r="AJ487" s="43">
        <f t="shared" si="217"/>
        <v>31872.406776859512</v>
      </c>
      <c r="AK487" s="43">
        <f t="shared" si="218"/>
        <v>19123.444066115713</v>
      </c>
      <c r="AL487" s="43">
        <f t="shared" si="219"/>
        <v>6374.4813553719123</v>
      </c>
      <c r="AN487" s="47">
        <f t="shared" si="220"/>
        <v>19900.175747272726</v>
      </c>
      <c r="AO487" s="47">
        <f t="shared" si="221"/>
        <v>15972.176719900828</v>
      </c>
      <c r="AP487" s="47">
        <f t="shared" si="222"/>
        <v>14374.455456363636</v>
      </c>
      <c r="AQ487" s="47">
        <f t="shared" si="223"/>
        <v>13800.752134380165</v>
      </c>
      <c r="AR487" s="43">
        <f t="shared" si="224"/>
        <v>12991.193002247934</v>
      </c>
      <c r="AS487" s="349"/>
      <c r="AT487" s="350"/>
      <c r="AU487" s="121"/>
      <c r="AV487" s="121"/>
      <c r="AW487" s="121"/>
      <c r="AX487" s="121"/>
    </row>
    <row r="488" spans="1:50" s="89" customFormat="1">
      <c r="A488" s="3"/>
      <c r="B488" s="37">
        <f>'13. Desinvesteringen'!B771</f>
        <v>752</v>
      </c>
      <c r="C488" s="331"/>
      <c r="D488" s="331"/>
      <c r="E488" s="331"/>
      <c r="F488" s="354">
        <f>'5. Input GAW-waarde desinv.'!D447</f>
        <v>72643</v>
      </c>
      <c r="G488" s="175">
        <f>'13. Desinvesteringen'!D771</f>
        <v>1973</v>
      </c>
      <c r="H488" s="175">
        <f>'13. Desinvesteringen'!G771</f>
        <v>2025</v>
      </c>
      <c r="I488" s="37" t="str">
        <f>'13. Desinvesteringen'!C771</f>
        <v>21 Hoofdtransportleiding</v>
      </c>
      <c r="J488" s="165">
        <f>'13. Desinvesteringen'!F771</f>
        <v>0</v>
      </c>
      <c r="K488" s="38">
        <f>_xlfn.XLOOKUP(I488,'3. Input (des)investeringen '!$B$11:$B$89,'3. Input (des)investeringen '!$E$11:$E$89)</f>
        <v>1</v>
      </c>
      <c r="L488" s="331"/>
      <c r="M488" s="38">
        <f>_xlfn.XLOOKUP(I488,'3. Input (des)investeringen '!$B$11:$B$89,'3. Input (des)investeringen '!$D$11:$D$89,0)</f>
        <v>55</v>
      </c>
      <c r="N488" s="38">
        <f t="shared" si="209"/>
        <v>6.5</v>
      </c>
      <c r="P488" s="43">
        <f t="shared" si="238"/>
        <v>13075.74</v>
      </c>
      <c r="Q488" s="43">
        <f t="shared" si="238"/>
        <v>10460.592000000001</v>
      </c>
      <c r="R488" s="43">
        <f t="shared" si="238"/>
        <v>9298.3040000000019</v>
      </c>
      <c r="S488" s="43">
        <f t="shared" si="238"/>
        <v>9298.3040000000019</v>
      </c>
      <c r="T488" s="43">
        <f t="shared" si="238"/>
        <v>9298.3040000000019</v>
      </c>
      <c r="V488" s="43">
        <f t="shared" si="233"/>
        <v>1117.5846153846155</v>
      </c>
      <c r="W488" s="43">
        <f t="shared" si="234"/>
        <v>1117.5846153846155</v>
      </c>
      <c r="X488" s="43">
        <f t="shared" si="235"/>
        <v>1117.5846153846155</v>
      </c>
      <c r="Y488" s="43">
        <f t="shared" si="236"/>
        <v>1117.5846153846155</v>
      </c>
      <c r="Z488" s="43">
        <f t="shared" si="237"/>
        <v>1117.5846153846155</v>
      </c>
      <c r="AB488" s="43">
        <f t="shared" si="210"/>
        <v>14193.324615384616</v>
      </c>
      <c r="AC488" s="43">
        <f t="shared" si="211"/>
        <v>11578.176615384617</v>
      </c>
      <c r="AD488" s="43">
        <f t="shared" si="212"/>
        <v>10415.888615384618</v>
      </c>
      <c r="AE488" s="43">
        <f t="shared" si="213"/>
        <v>10415.888615384618</v>
      </c>
      <c r="AF488" s="43">
        <f t="shared" si="214"/>
        <v>10415.888615384618</v>
      </c>
      <c r="AH488" s="43">
        <f t="shared" si="215"/>
        <v>58449.675384615388</v>
      </c>
      <c r="AI488" s="43">
        <f t="shared" si="216"/>
        <v>46871.49876923077</v>
      </c>
      <c r="AJ488" s="43">
        <f t="shared" si="217"/>
        <v>36455.610153846152</v>
      </c>
      <c r="AK488" s="43">
        <f t="shared" si="218"/>
        <v>26039.721538461534</v>
      </c>
      <c r="AL488" s="43">
        <f t="shared" si="219"/>
        <v>15623.832923076916</v>
      </c>
      <c r="AN488" s="47">
        <f t="shared" si="220"/>
        <v>16589.761306153847</v>
      </c>
      <c r="AO488" s="47">
        <f t="shared" si="221"/>
        <v>13968.623052615385</v>
      </c>
      <c r="AP488" s="47">
        <f t="shared" si="222"/>
        <v>12275.124733230772</v>
      </c>
      <c r="AQ488" s="47">
        <f t="shared" si="223"/>
        <v>11848.073300000002</v>
      </c>
      <c r="AR488" s="43">
        <f t="shared" si="224"/>
        <v>11009.594266461541</v>
      </c>
      <c r="AS488" s="349"/>
      <c r="AT488" s="350"/>
      <c r="AU488" s="121"/>
      <c r="AV488" s="121"/>
      <c r="AW488" s="121"/>
      <c r="AX488" s="121"/>
    </row>
    <row r="489" spans="1:50" s="89" customFormat="1">
      <c r="A489" s="3"/>
      <c r="B489" s="37">
        <f>'13. Desinvesteringen'!B772</f>
        <v>753</v>
      </c>
      <c r="C489" s="331"/>
      <c r="D489" s="331"/>
      <c r="E489" s="331"/>
      <c r="F489" s="354">
        <f>'5. Input GAW-waarde desinv.'!D448</f>
        <v>9985</v>
      </c>
      <c r="G489" s="175">
        <f>'13. Desinvesteringen'!D772</f>
        <v>1975</v>
      </c>
      <c r="H489" s="175">
        <f>'13. Desinvesteringen'!G772</f>
        <v>2025</v>
      </c>
      <c r="I489" s="37" t="str">
        <f>'13. Desinvesteringen'!C772</f>
        <v>21 Hoofdtransportleiding</v>
      </c>
      <c r="J489" s="165">
        <f>'13. Desinvesteringen'!F772</f>
        <v>0</v>
      </c>
      <c r="K489" s="38">
        <f>_xlfn.XLOOKUP(I489,'3. Input (des)investeringen '!$B$11:$B$89,'3. Input (des)investeringen '!$E$11:$E$89)</f>
        <v>1</v>
      </c>
      <c r="L489" s="331"/>
      <c r="M489" s="38">
        <f>_xlfn.XLOOKUP(I489,'3. Input (des)investeringen '!$B$11:$B$89,'3. Input (des)investeringen '!$D$11:$D$89,0)</f>
        <v>55</v>
      </c>
      <c r="N489" s="38">
        <f t="shared" si="209"/>
        <v>8.5</v>
      </c>
      <c r="P489" s="43">
        <f t="shared" ref="P489:T498" si="239">IF($M489&gt;0, IF(OR($G489&gt;P$50,$G489+$M489&lt;P$50),0,
VDB($F489,0,$N489,MAX(0,P$50-2022),MIN($N489,P$50-2021),$F$23,FALSE))*(1-$F$26), 0)</f>
        <v>1374.4058823529413</v>
      </c>
      <c r="Q489" s="43">
        <f t="shared" si="239"/>
        <v>1164.2026297577856</v>
      </c>
      <c r="R489" s="43">
        <f t="shared" si="239"/>
        <v>991.98330582911899</v>
      </c>
      <c r="S489" s="43">
        <f t="shared" si="239"/>
        <v>991.98330582911899</v>
      </c>
      <c r="T489" s="43">
        <f t="shared" si="239"/>
        <v>991.98330582911899</v>
      </c>
      <c r="V489" s="43">
        <f t="shared" si="233"/>
        <v>117.47058823529413</v>
      </c>
      <c r="W489" s="43">
        <f t="shared" si="234"/>
        <v>117.47058823529413</v>
      </c>
      <c r="X489" s="43">
        <f t="shared" si="235"/>
        <v>117.47058823529413</v>
      </c>
      <c r="Y489" s="43">
        <f t="shared" si="236"/>
        <v>117.47058823529413</v>
      </c>
      <c r="Z489" s="43">
        <f t="shared" si="237"/>
        <v>117.47058823529413</v>
      </c>
      <c r="AB489" s="43">
        <f t="shared" si="210"/>
        <v>1491.8764705882354</v>
      </c>
      <c r="AC489" s="43">
        <f t="shared" si="211"/>
        <v>1281.6732179930798</v>
      </c>
      <c r="AD489" s="43">
        <f t="shared" si="212"/>
        <v>1109.4538940644131</v>
      </c>
      <c r="AE489" s="43">
        <f t="shared" si="213"/>
        <v>1109.4538940644131</v>
      </c>
      <c r="AF489" s="43">
        <f t="shared" si="214"/>
        <v>1109.4538940644131</v>
      </c>
      <c r="AH489" s="43">
        <f t="shared" si="215"/>
        <v>8493.123529411765</v>
      </c>
      <c r="AI489" s="43">
        <f t="shared" si="216"/>
        <v>7211.4503114186855</v>
      </c>
      <c r="AJ489" s="43">
        <f t="shared" si="217"/>
        <v>6101.9964173542721</v>
      </c>
      <c r="AK489" s="43">
        <f t="shared" si="218"/>
        <v>4992.5425232898588</v>
      </c>
      <c r="AL489" s="43">
        <f t="shared" si="219"/>
        <v>3883.0886292254454</v>
      </c>
      <c r="AN489" s="47">
        <f t="shared" si="220"/>
        <v>1840.0945352941178</v>
      </c>
      <c r="AO489" s="47">
        <f t="shared" si="221"/>
        <v>1649.4571838754327</v>
      </c>
      <c r="AP489" s="47">
        <f t="shared" si="222"/>
        <v>1420.655711349481</v>
      </c>
      <c r="AQ489" s="47">
        <f t="shared" si="223"/>
        <v>1384.0437328453554</v>
      </c>
      <c r="AR489" s="43">
        <f t="shared" si="224"/>
        <v>1257.01126197498</v>
      </c>
      <c r="AS489" s="349"/>
      <c r="AT489" s="350"/>
      <c r="AU489" s="121"/>
      <c r="AV489" s="121"/>
      <c r="AW489" s="121"/>
      <c r="AX489" s="121"/>
    </row>
    <row r="490" spans="1:50" s="89" customFormat="1">
      <c r="A490" s="3"/>
      <c r="B490" s="37">
        <f>'13. Desinvesteringen'!B773</f>
        <v>754</v>
      </c>
      <c r="C490" s="331"/>
      <c r="D490" s="331"/>
      <c r="E490" s="331"/>
      <c r="F490" s="354">
        <f>'5. Input GAW-waarde desinv.'!D449</f>
        <v>50722</v>
      </c>
      <c r="G490" s="175">
        <f>'13. Desinvesteringen'!D773</f>
        <v>1978</v>
      </c>
      <c r="H490" s="175">
        <f>'13. Desinvesteringen'!G773</f>
        <v>2025</v>
      </c>
      <c r="I490" s="37" t="str">
        <f>'13. Desinvesteringen'!C773</f>
        <v>21 Hoofdtransportleiding</v>
      </c>
      <c r="J490" s="165">
        <f>'13. Desinvesteringen'!F773</f>
        <v>0</v>
      </c>
      <c r="K490" s="38">
        <f>_xlfn.XLOOKUP(I490,'3. Input (des)investeringen '!$B$11:$B$89,'3. Input (des)investeringen '!$E$11:$E$89)</f>
        <v>1</v>
      </c>
      <c r="L490" s="331"/>
      <c r="M490" s="38">
        <f>_xlfn.XLOOKUP(I490,'3. Input (des)investeringen '!$B$11:$B$89,'3. Input (des)investeringen '!$D$11:$D$89,0)</f>
        <v>55</v>
      </c>
      <c r="N490" s="38">
        <f t="shared" si="209"/>
        <v>11.5</v>
      </c>
      <c r="P490" s="43">
        <f t="shared" si="239"/>
        <v>5160.4121739130433</v>
      </c>
      <c r="Q490" s="43">
        <f t="shared" si="239"/>
        <v>4577.0612325141783</v>
      </c>
      <c r="R490" s="43">
        <f t="shared" si="239"/>
        <v>4059.6543105777923</v>
      </c>
      <c r="S490" s="43">
        <f t="shared" si="239"/>
        <v>3747.3732097641164</v>
      </c>
      <c r="T490" s="43">
        <f t="shared" si="239"/>
        <v>3747.3732097641164</v>
      </c>
      <c r="V490" s="43">
        <f t="shared" si="233"/>
        <v>441.06086956521744</v>
      </c>
      <c r="W490" s="43">
        <f t="shared" si="234"/>
        <v>441.06086956521744</v>
      </c>
      <c r="X490" s="43">
        <f t="shared" si="235"/>
        <v>441.06086956521744</v>
      </c>
      <c r="Y490" s="43">
        <f t="shared" si="236"/>
        <v>441.06086956521744</v>
      </c>
      <c r="Z490" s="43">
        <f t="shared" si="237"/>
        <v>441.06086956521744</v>
      </c>
      <c r="AB490" s="43">
        <f t="shared" si="210"/>
        <v>5601.4730434782605</v>
      </c>
      <c r="AC490" s="43">
        <f t="shared" si="211"/>
        <v>5018.1221020793955</v>
      </c>
      <c r="AD490" s="43">
        <f t="shared" si="212"/>
        <v>4500.71518014301</v>
      </c>
      <c r="AE490" s="43">
        <f t="shared" si="213"/>
        <v>4188.4340793293341</v>
      </c>
      <c r="AF490" s="43">
        <f t="shared" si="214"/>
        <v>4188.4340793293341</v>
      </c>
      <c r="AH490" s="43">
        <f t="shared" si="215"/>
        <v>45120.526956521739</v>
      </c>
      <c r="AI490" s="43">
        <f t="shared" si="216"/>
        <v>40102.404854442342</v>
      </c>
      <c r="AJ490" s="43">
        <f t="shared" si="217"/>
        <v>35601.689674299334</v>
      </c>
      <c r="AK490" s="43">
        <f t="shared" si="218"/>
        <v>31413.25559497</v>
      </c>
      <c r="AL490" s="43">
        <f t="shared" si="219"/>
        <v>27224.821515640666</v>
      </c>
      <c r="AN490" s="47">
        <f t="shared" si="220"/>
        <v>7451.4146486956515</v>
      </c>
      <c r="AO490" s="47">
        <f t="shared" si="221"/>
        <v>7063.3447496559547</v>
      </c>
      <c r="AP490" s="47">
        <f t="shared" si="222"/>
        <v>6316.4013535322756</v>
      </c>
      <c r="AQ490" s="47">
        <f t="shared" si="223"/>
        <v>5916.1631370526839</v>
      </c>
      <c r="AR490" s="43">
        <f t="shared" si="224"/>
        <v>5222.9772969236792</v>
      </c>
      <c r="AS490" s="349"/>
      <c r="AT490" s="350"/>
      <c r="AU490" s="121"/>
      <c r="AV490" s="121"/>
      <c r="AW490" s="121"/>
      <c r="AX490" s="121"/>
    </row>
    <row r="491" spans="1:50" s="89" customFormat="1">
      <c r="A491" s="3"/>
      <c r="B491" s="37">
        <f>'13. Desinvesteringen'!B774</f>
        <v>755</v>
      </c>
      <c r="C491" s="331"/>
      <c r="D491" s="331"/>
      <c r="E491" s="331"/>
      <c r="F491" s="354">
        <f>'5. Input GAW-waarde desinv.'!D450</f>
        <v>54089</v>
      </c>
      <c r="G491" s="175">
        <f>'13. Desinvesteringen'!D774</f>
        <v>1979</v>
      </c>
      <c r="H491" s="175">
        <f>'13. Desinvesteringen'!G774</f>
        <v>2025</v>
      </c>
      <c r="I491" s="37" t="str">
        <f>'13. Desinvesteringen'!C774</f>
        <v>21 Hoofdtransportleiding</v>
      </c>
      <c r="J491" s="165">
        <f>'13. Desinvesteringen'!F774</f>
        <v>0</v>
      </c>
      <c r="K491" s="38">
        <f>_xlfn.XLOOKUP(I491,'3. Input (des)investeringen '!$B$11:$B$89,'3. Input (des)investeringen '!$E$11:$E$89)</f>
        <v>1</v>
      </c>
      <c r="L491" s="331"/>
      <c r="M491" s="38">
        <f>_xlfn.XLOOKUP(I491,'3. Input (des)investeringen '!$B$11:$B$89,'3. Input (des)investeringen '!$D$11:$D$89,0)</f>
        <v>55</v>
      </c>
      <c r="N491" s="38">
        <f t="shared" si="209"/>
        <v>12.5</v>
      </c>
      <c r="P491" s="43">
        <f t="shared" si="239"/>
        <v>5062.7304000000004</v>
      </c>
      <c r="Q491" s="43">
        <f t="shared" si="239"/>
        <v>4536.2064384000005</v>
      </c>
      <c r="R491" s="43">
        <f t="shared" si="239"/>
        <v>4064.4409688064002</v>
      </c>
      <c r="S491" s="43">
        <f t="shared" si="239"/>
        <v>3685.9707571361687</v>
      </c>
      <c r="T491" s="43">
        <f t="shared" si="239"/>
        <v>3685.9707571361687</v>
      </c>
      <c r="V491" s="43">
        <f t="shared" si="233"/>
        <v>432.71199999999999</v>
      </c>
      <c r="W491" s="43">
        <f t="shared" si="234"/>
        <v>432.71199999999999</v>
      </c>
      <c r="X491" s="43">
        <f t="shared" si="235"/>
        <v>432.71199999999999</v>
      </c>
      <c r="Y491" s="43">
        <f t="shared" si="236"/>
        <v>432.71199999999999</v>
      </c>
      <c r="Z491" s="43">
        <f t="shared" si="237"/>
        <v>432.71199999999999</v>
      </c>
      <c r="AB491" s="43">
        <f t="shared" si="210"/>
        <v>5495.4423999999999</v>
      </c>
      <c r="AC491" s="43">
        <f t="shared" si="211"/>
        <v>4968.9184384</v>
      </c>
      <c r="AD491" s="43">
        <f t="shared" si="212"/>
        <v>4497.1529688064002</v>
      </c>
      <c r="AE491" s="43">
        <f t="shared" si="213"/>
        <v>4118.6827571361682</v>
      </c>
      <c r="AF491" s="43">
        <f t="shared" si="214"/>
        <v>4118.6827571361682</v>
      </c>
      <c r="AH491" s="43">
        <f t="shared" si="215"/>
        <v>48593.5576</v>
      </c>
      <c r="AI491" s="43">
        <f t="shared" si="216"/>
        <v>43624.639161600004</v>
      </c>
      <c r="AJ491" s="43">
        <f t="shared" si="217"/>
        <v>39127.4861927936</v>
      </c>
      <c r="AK491" s="43">
        <f t="shared" si="218"/>
        <v>35008.803435657435</v>
      </c>
      <c r="AL491" s="43">
        <f t="shared" si="219"/>
        <v>30890.120678521267</v>
      </c>
      <c r="AN491" s="47">
        <f t="shared" si="220"/>
        <v>7487.7782616000004</v>
      </c>
      <c r="AO491" s="47">
        <f t="shared" si="221"/>
        <v>7193.7750356416</v>
      </c>
      <c r="AP491" s="47">
        <f t="shared" si="222"/>
        <v>6492.6547646388735</v>
      </c>
      <c r="AQ491" s="47">
        <f t="shared" si="223"/>
        <v>6044.1669460973271</v>
      </c>
      <c r="AR491" s="43">
        <f t="shared" si="224"/>
        <v>5292.5073429199765</v>
      </c>
      <c r="AS491" s="349"/>
      <c r="AT491" s="350"/>
      <c r="AU491" s="121"/>
      <c r="AV491" s="121"/>
      <c r="AW491" s="121"/>
      <c r="AX491" s="121"/>
    </row>
    <row r="492" spans="1:50" s="89" customFormat="1">
      <c r="A492" s="3"/>
      <c r="B492" s="37">
        <f>'13. Desinvesteringen'!B775</f>
        <v>756</v>
      </c>
      <c r="C492" s="331"/>
      <c r="D492" s="331"/>
      <c r="E492" s="331"/>
      <c r="F492" s="354">
        <f>'5. Input GAW-waarde desinv.'!D451</f>
        <v>143516</v>
      </c>
      <c r="G492" s="175">
        <f>'13. Desinvesteringen'!D775</f>
        <v>1980</v>
      </c>
      <c r="H492" s="175">
        <f>'13. Desinvesteringen'!G775</f>
        <v>2025</v>
      </c>
      <c r="I492" s="37" t="str">
        <f>'13. Desinvesteringen'!C775</f>
        <v>21 Hoofdtransportleiding</v>
      </c>
      <c r="J492" s="165">
        <f>'13. Desinvesteringen'!F775</f>
        <v>0</v>
      </c>
      <c r="K492" s="38">
        <f>_xlfn.XLOOKUP(I492,'3. Input (des)investeringen '!$B$11:$B$89,'3. Input (des)investeringen '!$E$11:$E$89)</f>
        <v>1</v>
      </c>
      <c r="L492" s="331"/>
      <c r="M492" s="38">
        <f>_xlfn.XLOOKUP(I492,'3. Input (des)investeringen '!$B$11:$B$89,'3. Input (des)investeringen '!$D$11:$D$89,0)</f>
        <v>55</v>
      </c>
      <c r="N492" s="38">
        <f t="shared" si="209"/>
        <v>13.5</v>
      </c>
      <c r="P492" s="43">
        <f t="shared" si="239"/>
        <v>12438.053333333333</v>
      </c>
      <c r="Q492" s="43">
        <f t="shared" si="239"/>
        <v>11240.314864197531</v>
      </c>
      <c r="R492" s="43">
        <f t="shared" si="239"/>
        <v>10157.914173571104</v>
      </c>
      <c r="S492" s="43">
        <f t="shared" si="239"/>
        <v>9179.744660560551</v>
      </c>
      <c r="T492" s="43">
        <f t="shared" si="239"/>
        <v>9068.2497861407883</v>
      </c>
      <c r="V492" s="43">
        <f t="shared" si="233"/>
        <v>1063.0814814814817</v>
      </c>
      <c r="W492" s="43">
        <f t="shared" si="234"/>
        <v>1063.0814814814817</v>
      </c>
      <c r="X492" s="43">
        <f t="shared" si="235"/>
        <v>1063.0814814814817</v>
      </c>
      <c r="Y492" s="43">
        <f t="shared" si="236"/>
        <v>1063.0814814814817</v>
      </c>
      <c r="Z492" s="43">
        <f t="shared" si="237"/>
        <v>1063.0814814814817</v>
      </c>
      <c r="AB492" s="43">
        <f t="shared" si="210"/>
        <v>13501.134814814815</v>
      </c>
      <c r="AC492" s="43">
        <f t="shared" si="211"/>
        <v>12303.396345679013</v>
      </c>
      <c r="AD492" s="43">
        <f t="shared" si="212"/>
        <v>11220.995655052586</v>
      </c>
      <c r="AE492" s="43">
        <f t="shared" si="213"/>
        <v>10242.826142042033</v>
      </c>
      <c r="AF492" s="43">
        <f t="shared" si="214"/>
        <v>10131.33126762227</v>
      </c>
      <c r="AH492" s="43">
        <f t="shared" si="215"/>
        <v>130014.86518518519</v>
      </c>
      <c r="AI492" s="43">
        <f t="shared" si="216"/>
        <v>117711.46883950618</v>
      </c>
      <c r="AJ492" s="43">
        <f t="shared" si="217"/>
        <v>106490.4731844536</v>
      </c>
      <c r="AK492" s="43">
        <f t="shared" si="218"/>
        <v>96247.647042411569</v>
      </c>
      <c r="AL492" s="43">
        <f t="shared" si="219"/>
        <v>86116.315774789298</v>
      </c>
      <c r="AN492" s="47">
        <f t="shared" si="220"/>
        <v>18831.744287407408</v>
      </c>
      <c r="AO492" s="47">
        <f t="shared" si="221"/>
        <v>18306.68125649383</v>
      </c>
      <c r="AP492" s="47">
        <f t="shared" si="222"/>
        <v>16652.00978745972</v>
      </c>
      <c r="AQ492" s="47">
        <f t="shared" si="223"/>
        <v>15536.446729374669</v>
      </c>
      <c r="AR492" s="43">
        <f t="shared" si="224"/>
        <v>13403.751267064265</v>
      </c>
      <c r="AS492" s="349"/>
      <c r="AT492" s="350"/>
      <c r="AU492" s="121"/>
      <c r="AV492" s="121"/>
      <c r="AW492" s="121"/>
      <c r="AX492" s="121"/>
    </row>
    <row r="493" spans="1:50" s="89" customFormat="1">
      <c r="A493" s="3"/>
      <c r="B493" s="37">
        <f>'13. Desinvesteringen'!B776</f>
        <v>757</v>
      </c>
      <c r="C493" s="331"/>
      <c r="D493" s="331"/>
      <c r="E493" s="331"/>
      <c r="F493" s="354">
        <f>'5. Input GAW-waarde desinv.'!D452</f>
        <v>168982</v>
      </c>
      <c r="G493" s="175">
        <f>'13. Desinvesteringen'!D776</f>
        <v>1984</v>
      </c>
      <c r="H493" s="175">
        <f>'13. Desinvesteringen'!G776</f>
        <v>2025</v>
      </c>
      <c r="I493" s="37" t="str">
        <f>'13. Desinvesteringen'!C776</f>
        <v>21 Hoofdtransportleiding</v>
      </c>
      <c r="J493" s="165">
        <f>'13. Desinvesteringen'!F776</f>
        <v>0</v>
      </c>
      <c r="K493" s="38">
        <f>_xlfn.XLOOKUP(I493,'3. Input (des)investeringen '!$B$11:$B$89,'3. Input (des)investeringen '!$E$11:$E$89)</f>
        <v>1</v>
      </c>
      <c r="L493" s="331"/>
      <c r="M493" s="38">
        <f>_xlfn.XLOOKUP(I493,'3. Input (des)investeringen '!$B$11:$B$89,'3. Input (des)investeringen '!$D$11:$D$89,0)</f>
        <v>55</v>
      </c>
      <c r="N493" s="38">
        <f t="shared" si="209"/>
        <v>17.5</v>
      </c>
      <c r="P493" s="43">
        <f t="shared" si="239"/>
        <v>11297.653714285714</v>
      </c>
      <c r="Q493" s="43">
        <f t="shared" si="239"/>
        <v>10458.399438367347</v>
      </c>
      <c r="R493" s="43">
        <f t="shared" si="239"/>
        <v>9681.4897658029149</v>
      </c>
      <c r="S493" s="43">
        <f t="shared" si="239"/>
        <v>8962.2933832004146</v>
      </c>
      <c r="T493" s="43">
        <f t="shared" si="239"/>
        <v>8296.5230175912402</v>
      </c>
      <c r="V493" s="43">
        <f t="shared" si="233"/>
        <v>965.61142857142863</v>
      </c>
      <c r="W493" s="43">
        <f t="shared" si="234"/>
        <v>965.61142857142863</v>
      </c>
      <c r="X493" s="43">
        <f t="shared" si="235"/>
        <v>965.61142857142863</v>
      </c>
      <c r="Y493" s="43">
        <f t="shared" si="236"/>
        <v>965.61142857142863</v>
      </c>
      <c r="Z493" s="43">
        <f t="shared" si="237"/>
        <v>965.61142857142863</v>
      </c>
      <c r="AB493" s="43">
        <f t="shared" si="210"/>
        <v>12263.265142857143</v>
      </c>
      <c r="AC493" s="43">
        <f t="shared" si="211"/>
        <v>11424.010866938776</v>
      </c>
      <c r="AD493" s="43">
        <f t="shared" si="212"/>
        <v>10647.101194374343</v>
      </c>
      <c r="AE493" s="43">
        <f t="shared" si="213"/>
        <v>9927.904811771843</v>
      </c>
      <c r="AF493" s="43">
        <f t="shared" si="214"/>
        <v>9262.1344461626686</v>
      </c>
      <c r="AH493" s="43">
        <f t="shared" si="215"/>
        <v>156718.73485714284</v>
      </c>
      <c r="AI493" s="43">
        <f t="shared" si="216"/>
        <v>145294.72399020407</v>
      </c>
      <c r="AJ493" s="43">
        <f t="shared" si="217"/>
        <v>134647.62279582972</v>
      </c>
      <c r="AK493" s="43">
        <f t="shared" si="218"/>
        <v>124719.71798405788</v>
      </c>
      <c r="AL493" s="43">
        <f t="shared" si="219"/>
        <v>115457.5835378952</v>
      </c>
      <c r="AN493" s="47">
        <f t="shared" si="220"/>
        <v>18688.733271999998</v>
      </c>
      <c r="AO493" s="47">
        <f t="shared" si="221"/>
        <v>18834.041790439183</v>
      </c>
      <c r="AP493" s="47">
        <f t="shared" si="222"/>
        <v>17514.12995696166</v>
      </c>
      <c r="AQ493" s="47">
        <f t="shared" si="223"/>
        <v>16787.489300895028</v>
      </c>
      <c r="AR493" s="43">
        <f t="shared" si="224"/>
        <v>13649.522620602685</v>
      </c>
      <c r="AS493" s="349"/>
      <c r="AT493" s="350"/>
      <c r="AU493" s="121"/>
      <c r="AV493" s="121"/>
      <c r="AW493" s="121"/>
      <c r="AX493" s="121"/>
    </row>
    <row r="494" spans="1:50" s="89" customFormat="1">
      <c r="A494" s="3"/>
      <c r="B494" s="37">
        <f>'13. Desinvesteringen'!B777</f>
        <v>758</v>
      </c>
      <c r="C494" s="331"/>
      <c r="D494" s="331"/>
      <c r="E494" s="331"/>
      <c r="F494" s="354">
        <f>'5. Input GAW-waarde desinv.'!D453</f>
        <v>18167</v>
      </c>
      <c r="G494" s="175">
        <f>'13. Desinvesteringen'!D777</f>
        <v>1985</v>
      </c>
      <c r="H494" s="175">
        <f>'13. Desinvesteringen'!G777</f>
        <v>2025</v>
      </c>
      <c r="I494" s="37" t="str">
        <f>'13. Desinvesteringen'!C777</f>
        <v>21 Hoofdtransportleiding</v>
      </c>
      <c r="J494" s="165">
        <f>'13. Desinvesteringen'!F777</f>
        <v>0</v>
      </c>
      <c r="K494" s="38">
        <f>_xlfn.XLOOKUP(I494,'3. Input (des)investeringen '!$B$11:$B$89,'3. Input (des)investeringen '!$E$11:$E$89)</f>
        <v>1</v>
      </c>
      <c r="L494" s="331"/>
      <c r="M494" s="38">
        <f>_xlfn.XLOOKUP(I494,'3. Input (des)investeringen '!$B$11:$B$89,'3. Input (des)investeringen '!$D$11:$D$89,0)</f>
        <v>55</v>
      </c>
      <c r="N494" s="38">
        <f t="shared" si="209"/>
        <v>18.5</v>
      </c>
      <c r="P494" s="43">
        <f t="shared" si="239"/>
        <v>1148.94</v>
      </c>
      <c r="Q494" s="43">
        <f t="shared" si="239"/>
        <v>1068.2036756756759</v>
      </c>
      <c r="R494" s="43">
        <f t="shared" si="239"/>
        <v>993.14071468224984</v>
      </c>
      <c r="S494" s="43">
        <f t="shared" si="239"/>
        <v>923.35244824511881</v>
      </c>
      <c r="T494" s="43">
        <f t="shared" si="239"/>
        <v>858.46822215221846</v>
      </c>
      <c r="V494" s="43">
        <f t="shared" si="233"/>
        <v>98.2</v>
      </c>
      <c r="W494" s="43">
        <f t="shared" si="234"/>
        <v>98.2</v>
      </c>
      <c r="X494" s="43">
        <f t="shared" si="235"/>
        <v>98.2</v>
      </c>
      <c r="Y494" s="43">
        <f t="shared" si="236"/>
        <v>98.2</v>
      </c>
      <c r="Z494" s="43">
        <f t="shared" si="237"/>
        <v>98.2</v>
      </c>
      <c r="AB494" s="43">
        <f t="shared" si="210"/>
        <v>1247.1400000000001</v>
      </c>
      <c r="AC494" s="43">
        <f t="shared" si="211"/>
        <v>1166.4036756756759</v>
      </c>
      <c r="AD494" s="43">
        <f t="shared" si="212"/>
        <v>1091.3407146822499</v>
      </c>
      <c r="AE494" s="43">
        <f t="shared" si="213"/>
        <v>1021.5524482451189</v>
      </c>
      <c r="AF494" s="43">
        <f t="shared" si="214"/>
        <v>956.6682221522185</v>
      </c>
      <c r="AH494" s="43">
        <f t="shared" si="215"/>
        <v>16919.86</v>
      </c>
      <c r="AI494" s="43">
        <f t="shared" si="216"/>
        <v>15753.456324324325</v>
      </c>
      <c r="AJ494" s="43">
        <f t="shared" si="217"/>
        <v>14662.115609642075</v>
      </c>
      <c r="AK494" s="43">
        <f t="shared" si="218"/>
        <v>13640.563161396956</v>
      </c>
      <c r="AL494" s="43">
        <f t="shared" si="219"/>
        <v>12683.894939244738</v>
      </c>
      <c r="AN494" s="47">
        <f t="shared" si="220"/>
        <v>1940.8542600000001</v>
      </c>
      <c r="AO494" s="47">
        <f t="shared" si="221"/>
        <v>1969.8299482162165</v>
      </c>
      <c r="AP494" s="47">
        <f t="shared" si="222"/>
        <v>1839.1086107739957</v>
      </c>
      <c r="AQ494" s="47">
        <f t="shared" si="223"/>
        <v>1771.7834221219514</v>
      </c>
      <c r="AR494" s="43">
        <f t="shared" si="224"/>
        <v>1438.6562298435185</v>
      </c>
      <c r="AS494" s="349"/>
      <c r="AT494" s="350"/>
      <c r="AU494" s="121"/>
      <c r="AV494" s="121"/>
      <c r="AW494" s="121"/>
      <c r="AX494" s="121"/>
    </row>
    <row r="495" spans="1:50" s="89" customFormat="1">
      <c r="A495" s="3"/>
      <c r="B495" s="37">
        <f>'13. Desinvesteringen'!B778</f>
        <v>759</v>
      </c>
      <c r="C495" s="331"/>
      <c r="D495" s="331"/>
      <c r="E495" s="331"/>
      <c r="F495" s="354">
        <f>'5. Input GAW-waarde desinv.'!D454</f>
        <v>7986</v>
      </c>
      <c r="G495" s="175">
        <f>'13. Desinvesteringen'!D778</f>
        <v>1996</v>
      </c>
      <c r="H495" s="175">
        <f>'13. Desinvesteringen'!G778</f>
        <v>2025</v>
      </c>
      <c r="I495" s="37" t="str">
        <f>'13. Desinvesteringen'!C778</f>
        <v>21 Hoofdtransportleiding</v>
      </c>
      <c r="J495" s="165">
        <f>'13. Desinvesteringen'!F778</f>
        <v>0</v>
      </c>
      <c r="K495" s="38">
        <f>_xlfn.XLOOKUP(I495,'3. Input (des)investeringen '!$B$11:$B$89,'3. Input (des)investeringen '!$E$11:$E$89)</f>
        <v>1</v>
      </c>
      <c r="L495" s="331"/>
      <c r="M495" s="38">
        <f>_xlfn.XLOOKUP(I495,'3. Input (des)investeringen '!$B$11:$B$89,'3. Input (des)investeringen '!$D$11:$D$89,0)</f>
        <v>55</v>
      </c>
      <c r="N495" s="38">
        <f t="shared" si="209"/>
        <v>29.5</v>
      </c>
      <c r="P495" s="43">
        <f t="shared" si="239"/>
        <v>316.73288135593219</v>
      </c>
      <c r="Q495" s="43">
        <f t="shared" si="239"/>
        <v>302.77516116058604</v>
      </c>
      <c r="R495" s="43">
        <f t="shared" si="239"/>
        <v>289.43252693995004</v>
      </c>
      <c r="S495" s="43">
        <f t="shared" si="239"/>
        <v>276.67787321039293</v>
      </c>
      <c r="T495" s="43">
        <f t="shared" si="239"/>
        <v>264.48528896722308</v>
      </c>
      <c r="V495" s="43">
        <f t="shared" si="233"/>
        <v>27.07118644067797</v>
      </c>
      <c r="W495" s="43">
        <f t="shared" si="234"/>
        <v>27.07118644067797</v>
      </c>
      <c r="X495" s="43">
        <f t="shared" si="235"/>
        <v>27.07118644067797</v>
      </c>
      <c r="Y495" s="43">
        <f t="shared" si="236"/>
        <v>27.07118644067797</v>
      </c>
      <c r="Z495" s="43">
        <f t="shared" si="237"/>
        <v>27.07118644067797</v>
      </c>
      <c r="AB495" s="43">
        <f t="shared" si="210"/>
        <v>343.80406779661018</v>
      </c>
      <c r="AC495" s="43">
        <f t="shared" si="211"/>
        <v>329.84634760126403</v>
      </c>
      <c r="AD495" s="43">
        <f t="shared" si="212"/>
        <v>316.50371338062803</v>
      </c>
      <c r="AE495" s="43">
        <f t="shared" si="213"/>
        <v>303.74905965107092</v>
      </c>
      <c r="AF495" s="43">
        <f t="shared" si="214"/>
        <v>291.55647540790108</v>
      </c>
      <c r="AH495" s="43">
        <f t="shared" si="215"/>
        <v>7642.1959322033899</v>
      </c>
      <c r="AI495" s="43">
        <f t="shared" si="216"/>
        <v>7312.349584602126</v>
      </c>
      <c r="AJ495" s="43">
        <f t="shared" si="217"/>
        <v>6995.8458712214979</v>
      </c>
      <c r="AK495" s="43">
        <f t="shared" si="218"/>
        <v>6692.0968115704272</v>
      </c>
      <c r="AL495" s="43">
        <f t="shared" si="219"/>
        <v>6400.5403361625258</v>
      </c>
      <c r="AN495" s="47">
        <f t="shared" si="220"/>
        <v>657.13410101694922</v>
      </c>
      <c r="AO495" s="47">
        <f t="shared" si="221"/>
        <v>702.77617641597249</v>
      </c>
      <c r="AP495" s="47">
        <f t="shared" si="222"/>
        <v>673.29185281292439</v>
      </c>
      <c r="AQ495" s="47">
        <f t="shared" si="223"/>
        <v>671.81438428744445</v>
      </c>
      <c r="AR495" s="43">
        <f t="shared" si="224"/>
        <v>534.777008182077</v>
      </c>
      <c r="AS495" s="349"/>
      <c r="AT495" s="350"/>
      <c r="AU495" s="121"/>
      <c r="AV495" s="121"/>
      <c r="AW495" s="121"/>
      <c r="AX495" s="121"/>
    </row>
    <row r="496" spans="1:50" s="89" customFormat="1">
      <c r="A496" s="3"/>
      <c r="B496" s="37">
        <f>'13. Desinvesteringen'!B779</f>
        <v>760</v>
      </c>
      <c r="C496" s="331"/>
      <c r="D496" s="331"/>
      <c r="E496" s="331"/>
      <c r="F496" s="354">
        <f>'5. Input GAW-waarde desinv.'!D455</f>
        <v>11808</v>
      </c>
      <c r="G496" s="175">
        <f>'13. Desinvesteringen'!D779</f>
        <v>2005</v>
      </c>
      <c r="H496" s="175">
        <f>'13. Desinvesteringen'!G779</f>
        <v>2025</v>
      </c>
      <c r="I496" s="37" t="str">
        <f>'13. Desinvesteringen'!C779</f>
        <v>21 Hoofdtransportleiding</v>
      </c>
      <c r="J496" s="165">
        <f>'13. Desinvesteringen'!F779</f>
        <v>0</v>
      </c>
      <c r="K496" s="38">
        <f>_xlfn.XLOOKUP(I496,'3. Input (des)investeringen '!$B$11:$B$89,'3. Input (des)investeringen '!$E$11:$E$89)</f>
        <v>1</v>
      </c>
      <c r="L496" s="331"/>
      <c r="M496" s="38">
        <f>_xlfn.XLOOKUP(I496,'3. Input (des)investeringen '!$B$11:$B$89,'3. Input (des)investeringen '!$D$11:$D$89,0)</f>
        <v>55</v>
      </c>
      <c r="N496" s="38">
        <f t="shared" si="209"/>
        <v>38.5</v>
      </c>
      <c r="P496" s="43">
        <f t="shared" si="239"/>
        <v>358.84051948051956</v>
      </c>
      <c r="Q496" s="43">
        <f t="shared" si="239"/>
        <v>346.72382661494356</v>
      </c>
      <c r="R496" s="43">
        <f t="shared" si="239"/>
        <v>335.01626883314026</v>
      </c>
      <c r="S496" s="43">
        <f t="shared" si="239"/>
        <v>323.704031184229</v>
      </c>
      <c r="T496" s="43">
        <f t="shared" si="239"/>
        <v>312.77376519619014</v>
      </c>
      <c r="V496" s="43">
        <f t="shared" si="233"/>
        <v>30.67012987012987</v>
      </c>
      <c r="W496" s="43">
        <f t="shared" si="234"/>
        <v>30.67012987012987</v>
      </c>
      <c r="X496" s="43">
        <f t="shared" si="235"/>
        <v>30.67012987012987</v>
      </c>
      <c r="Y496" s="43">
        <f t="shared" si="236"/>
        <v>30.67012987012987</v>
      </c>
      <c r="Z496" s="43">
        <f t="shared" si="237"/>
        <v>30.67012987012987</v>
      </c>
      <c r="AB496" s="43">
        <f t="shared" si="210"/>
        <v>389.51064935064943</v>
      </c>
      <c r="AC496" s="43">
        <f t="shared" si="211"/>
        <v>377.39395648507343</v>
      </c>
      <c r="AD496" s="43">
        <f t="shared" si="212"/>
        <v>365.68639870327013</v>
      </c>
      <c r="AE496" s="43">
        <f t="shared" si="213"/>
        <v>354.37416105435886</v>
      </c>
      <c r="AF496" s="43">
        <f t="shared" si="214"/>
        <v>343.44389506632001</v>
      </c>
      <c r="AH496" s="43">
        <f t="shared" si="215"/>
        <v>11418.48935064935</v>
      </c>
      <c r="AI496" s="43">
        <f t="shared" si="216"/>
        <v>11041.095394164277</v>
      </c>
      <c r="AJ496" s="43">
        <f t="shared" si="217"/>
        <v>10675.408995461006</v>
      </c>
      <c r="AK496" s="43">
        <f t="shared" si="218"/>
        <v>10321.034834406648</v>
      </c>
      <c r="AL496" s="43">
        <f t="shared" si="219"/>
        <v>9977.5909393403272</v>
      </c>
      <c r="AN496" s="47">
        <f t="shared" si="220"/>
        <v>857.6687127272728</v>
      </c>
      <c r="AO496" s="47">
        <f t="shared" si="221"/>
        <v>940.4898215874515</v>
      </c>
      <c r="AP496" s="47">
        <f t="shared" si="222"/>
        <v>910.13225747178137</v>
      </c>
      <c r="AQ496" s="47">
        <f t="shared" si="223"/>
        <v>922.03107694672451</v>
      </c>
      <c r="AR496" s="43">
        <f t="shared" si="224"/>
        <v>722.59235076125242</v>
      </c>
      <c r="AS496" s="349"/>
      <c r="AT496" s="350"/>
      <c r="AU496" s="121"/>
      <c r="AV496" s="121"/>
      <c r="AW496" s="121"/>
      <c r="AX496" s="121"/>
    </row>
    <row r="497" spans="1:50" s="89" customFormat="1">
      <c r="A497" s="3"/>
      <c r="B497" s="37">
        <f>'13. Desinvesteringen'!B780</f>
        <v>761</v>
      </c>
      <c r="C497" s="331"/>
      <c r="D497" s="331"/>
      <c r="E497" s="331"/>
      <c r="F497" s="354">
        <f>'5. Input GAW-waarde desinv.'!D456</f>
        <v>89571</v>
      </c>
      <c r="G497" s="175">
        <f>'13. Desinvesteringen'!D780</f>
        <v>2010</v>
      </c>
      <c r="H497" s="175">
        <f>'13. Desinvesteringen'!G780</f>
        <v>2025</v>
      </c>
      <c r="I497" s="37" t="str">
        <f>'13. Desinvesteringen'!C780</f>
        <v>21 Hoofdtransportleiding</v>
      </c>
      <c r="J497" s="165">
        <f>'13. Desinvesteringen'!F780</f>
        <v>0</v>
      </c>
      <c r="K497" s="38">
        <f>_xlfn.XLOOKUP(I497,'3. Input (des)investeringen '!$B$11:$B$89,'3. Input (des)investeringen '!$E$11:$E$89)</f>
        <v>1</v>
      </c>
      <c r="L497" s="331"/>
      <c r="M497" s="38">
        <f>_xlfn.XLOOKUP(I497,'3. Input (des)investeringen '!$B$11:$B$89,'3. Input (des)investeringen '!$D$11:$D$89,0)</f>
        <v>55</v>
      </c>
      <c r="N497" s="38">
        <f t="shared" si="209"/>
        <v>43.5</v>
      </c>
      <c r="P497" s="43">
        <f t="shared" si="239"/>
        <v>2409.1510344827589</v>
      </c>
      <c r="Q497" s="43">
        <f t="shared" si="239"/>
        <v>2337.1534173602849</v>
      </c>
      <c r="R497" s="43">
        <f t="shared" si="239"/>
        <v>2267.307453163311</v>
      </c>
      <c r="S497" s="43">
        <f t="shared" si="239"/>
        <v>2199.5488396204996</v>
      </c>
      <c r="T497" s="43">
        <f t="shared" si="239"/>
        <v>2133.8151961375879</v>
      </c>
      <c r="V497" s="43">
        <f t="shared" si="233"/>
        <v>205.91034482758619</v>
      </c>
      <c r="W497" s="43">
        <f t="shared" si="234"/>
        <v>205.91034482758624</v>
      </c>
      <c r="X497" s="43">
        <f t="shared" si="235"/>
        <v>205.91034482758624</v>
      </c>
      <c r="Y497" s="43">
        <f t="shared" si="236"/>
        <v>205.91034482758624</v>
      </c>
      <c r="Z497" s="43">
        <f t="shared" si="237"/>
        <v>205.91034482758624</v>
      </c>
      <c r="AB497" s="43">
        <f t="shared" si="210"/>
        <v>2615.0613793103448</v>
      </c>
      <c r="AC497" s="43">
        <f t="shared" si="211"/>
        <v>2543.0637621878714</v>
      </c>
      <c r="AD497" s="43">
        <f t="shared" si="212"/>
        <v>2473.2177979908975</v>
      </c>
      <c r="AE497" s="43">
        <f t="shared" si="213"/>
        <v>2405.459184448086</v>
      </c>
      <c r="AF497" s="43">
        <f t="shared" si="214"/>
        <v>2339.7255409651743</v>
      </c>
      <c r="AH497" s="43">
        <f t="shared" si="215"/>
        <v>86955.93862068966</v>
      </c>
      <c r="AI497" s="43">
        <f t="shared" si="216"/>
        <v>84412.874858501789</v>
      </c>
      <c r="AJ497" s="43">
        <f t="shared" si="217"/>
        <v>81939.657060510886</v>
      </c>
      <c r="AK497" s="43">
        <f t="shared" si="218"/>
        <v>79534.197876062797</v>
      </c>
      <c r="AL497" s="43">
        <f t="shared" si="219"/>
        <v>77194.472335097627</v>
      </c>
      <c r="AN497" s="47">
        <f t="shared" si="220"/>
        <v>6180.2548627586211</v>
      </c>
      <c r="AO497" s="47">
        <f t="shared" si="221"/>
        <v>6848.1203799714622</v>
      </c>
      <c r="AP497" s="47">
        <f t="shared" si="222"/>
        <v>6652.1403080769524</v>
      </c>
      <c r="AQ497" s="47">
        <f t="shared" si="223"/>
        <v>6779.8400676315396</v>
      </c>
      <c r="AR497" s="43">
        <f t="shared" si="224"/>
        <v>5273.1154896988846</v>
      </c>
      <c r="AS497" s="349"/>
      <c r="AT497" s="350"/>
      <c r="AU497" s="121"/>
      <c r="AV497" s="121"/>
      <c r="AW497" s="121"/>
      <c r="AX497" s="121"/>
    </row>
    <row r="498" spans="1:50" s="89" customFormat="1">
      <c r="A498" s="3"/>
      <c r="B498" s="37">
        <f>'13. Desinvesteringen'!B781</f>
        <v>762</v>
      </c>
      <c r="C498" s="331"/>
      <c r="D498" s="331"/>
      <c r="E498" s="331"/>
      <c r="F498" s="354">
        <f>'5. Input GAW-waarde desinv.'!D457</f>
        <v>5680</v>
      </c>
      <c r="G498" s="175">
        <f>'13. Desinvesteringen'!D781</f>
        <v>2015</v>
      </c>
      <c r="H498" s="175">
        <f>'13. Desinvesteringen'!G781</f>
        <v>2025</v>
      </c>
      <c r="I498" s="37" t="str">
        <f>'13. Desinvesteringen'!C781</f>
        <v>21 Hoofdtransportleiding</v>
      </c>
      <c r="J498" s="165">
        <f>'13. Desinvesteringen'!F781</f>
        <v>0</v>
      </c>
      <c r="K498" s="38">
        <f>_xlfn.XLOOKUP(I498,'3. Input (des)investeringen '!$B$11:$B$89,'3. Input (des)investeringen '!$E$11:$E$89)</f>
        <v>1</v>
      </c>
      <c r="L498" s="331"/>
      <c r="M498" s="38">
        <f>_xlfn.XLOOKUP(I498,'3. Input (des)investeringen '!$B$11:$B$89,'3. Input (des)investeringen '!$D$11:$D$89,0)</f>
        <v>55</v>
      </c>
      <c r="N498" s="38">
        <f t="shared" si="209"/>
        <v>48.5</v>
      </c>
      <c r="P498" s="43">
        <f t="shared" si="239"/>
        <v>137.02268041237113</v>
      </c>
      <c r="Q498" s="43">
        <f t="shared" si="239"/>
        <v>133.3499075353385</v>
      </c>
      <c r="R498" s="43">
        <f t="shared" si="239"/>
        <v>129.77558011686554</v>
      </c>
      <c r="S498" s="43">
        <f t="shared" si="239"/>
        <v>126.29705941270213</v>
      </c>
      <c r="T498" s="43">
        <f t="shared" si="239"/>
        <v>122.91177740782561</v>
      </c>
      <c r="V498" s="43">
        <f t="shared" si="233"/>
        <v>11.711340206185568</v>
      </c>
      <c r="W498" s="43">
        <f t="shared" si="234"/>
        <v>11.711340206185568</v>
      </c>
      <c r="X498" s="43">
        <f t="shared" si="235"/>
        <v>11.711340206185568</v>
      </c>
      <c r="Y498" s="43">
        <f t="shared" si="236"/>
        <v>11.711340206185568</v>
      </c>
      <c r="Z498" s="43">
        <f t="shared" si="237"/>
        <v>11.711340206185568</v>
      </c>
      <c r="AB498" s="43">
        <f t="shared" si="210"/>
        <v>148.73402061855671</v>
      </c>
      <c r="AC498" s="43">
        <f t="shared" si="211"/>
        <v>145.06124774152408</v>
      </c>
      <c r="AD498" s="43">
        <f t="shared" si="212"/>
        <v>141.48692032305109</v>
      </c>
      <c r="AE498" s="43">
        <f t="shared" si="213"/>
        <v>138.00839961888769</v>
      </c>
      <c r="AF498" s="43">
        <f t="shared" si="214"/>
        <v>134.62311761401116</v>
      </c>
      <c r="AH498" s="43">
        <f t="shared" si="215"/>
        <v>5531.2659793814437</v>
      </c>
      <c r="AI498" s="43">
        <f t="shared" si="216"/>
        <v>5386.2047316399194</v>
      </c>
      <c r="AJ498" s="43">
        <f t="shared" si="217"/>
        <v>5244.7178113168684</v>
      </c>
      <c r="AK498" s="43">
        <f t="shared" si="218"/>
        <v>5106.7094116979806</v>
      </c>
      <c r="AL498" s="43">
        <f t="shared" si="219"/>
        <v>4972.0862940839697</v>
      </c>
      <c r="AN498" s="47">
        <f t="shared" si="220"/>
        <v>375.51592577319593</v>
      </c>
      <c r="AO498" s="47">
        <f t="shared" si="221"/>
        <v>419.75768905515997</v>
      </c>
      <c r="AP498" s="47">
        <f t="shared" si="222"/>
        <v>408.96752870021135</v>
      </c>
      <c r="AQ498" s="47">
        <f t="shared" si="223"/>
        <v>418.87741726227659</v>
      </c>
      <c r="AR498" s="43">
        <f t="shared" si="224"/>
        <v>323.56239678920201</v>
      </c>
      <c r="AS498" s="349"/>
      <c r="AT498" s="350"/>
      <c r="AU498" s="121"/>
      <c r="AV498" s="121"/>
      <c r="AW498" s="121"/>
      <c r="AX498" s="121"/>
    </row>
    <row r="499" spans="1:50" s="89" customFormat="1">
      <c r="A499" s="3"/>
      <c r="B499" s="37">
        <f>'13. Desinvesteringen'!B782</f>
        <v>763</v>
      </c>
      <c r="C499" s="331"/>
      <c r="D499" s="331"/>
      <c r="E499" s="331"/>
      <c r="F499" s="354">
        <f>'5. Input GAW-waarde desinv.'!D458</f>
        <v>101239</v>
      </c>
      <c r="G499" s="175">
        <f>'13. Desinvesteringen'!D782</f>
        <v>2016</v>
      </c>
      <c r="H499" s="175">
        <f>'13. Desinvesteringen'!G782</f>
        <v>2025</v>
      </c>
      <c r="I499" s="37" t="str">
        <f>'13. Desinvesteringen'!C782</f>
        <v>21 Hoofdtransportleiding</v>
      </c>
      <c r="J499" s="165">
        <f>'13. Desinvesteringen'!F782</f>
        <v>0</v>
      </c>
      <c r="K499" s="38">
        <f>_xlfn.XLOOKUP(I499,'3. Input (des)investeringen '!$B$11:$B$89,'3. Input (des)investeringen '!$E$11:$E$89)</f>
        <v>1</v>
      </c>
      <c r="L499" s="331"/>
      <c r="M499" s="38">
        <f>_xlfn.XLOOKUP(I499,'3. Input (des)investeringen '!$B$11:$B$89,'3. Input (des)investeringen '!$D$11:$D$89,0)</f>
        <v>55</v>
      </c>
      <c r="N499" s="38">
        <f t="shared" si="209"/>
        <v>49.5</v>
      </c>
      <c r="P499" s="43">
        <f t="shared" ref="P499:T514" si="240">IF($M499&gt;0, IF(OR($G499&gt;P$50,$G499+$M499&lt;P$50),0,
VDB($F499,0,$N499,MAX(0,P$50-2022),MIN($N499,P$50-2021),$F$23,FALSE))*(1-$F$26), 0)</f>
        <v>2392.9218181818187</v>
      </c>
      <c r="Q499" s="43">
        <f t="shared" si="240"/>
        <v>2330.0774067952248</v>
      </c>
      <c r="R499" s="43">
        <f t="shared" si="240"/>
        <v>2268.8834546975727</v>
      </c>
      <c r="S499" s="43">
        <f t="shared" si="240"/>
        <v>2209.2966164933941</v>
      </c>
      <c r="T499" s="43">
        <f t="shared" si="240"/>
        <v>2151.2746851511433</v>
      </c>
      <c r="V499" s="43">
        <f t="shared" si="233"/>
        <v>204.52323232323235</v>
      </c>
      <c r="W499" s="43">
        <f t="shared" si="234"/>
        <v>204.52323232323232</v>
      </c>
      <c r="X499" s="43">
        <f t="shared" si="235"/>
        <v>204.52323232323232</v>
      </c>
      <c r="Y499" s="43">
        <f t="shared" si="236"/>
        <v>204.52323232323232</v>
      </c>
      <c r="Z499" s="43">
        <f t="shared" si="237"/>
        <v>204.52323232323232</v>
      </c>
      <c r="AB499" s="43">
        <f t="shared" si="210"/>
        <v>2597.4450505050509</v>
      </c>
      <c r="AC499" s="43">
        <f t="shared" si="211"/>
        <v>2534.6006391184569</v>
      </c>
      <c r="AD499" s="43">
        <f t="shared" si="212"/>
        <v>2473.4066870208048</v>
      </c>
      <c r="AE499" s="43">
        <f t="shared" si="213"/>
        <v>2413.8198488166263</v>
      </c>
      <c r="AF499" s="43">
        <f t="shared" si="214"/>
        <v>2355.7979174743755</v>
      </c>
      <c r="AH499" s="43">
        <f t="shared" si="215"/>
        <v>98641.554949494952</v>
      </c>
      <c r="AI499" s="43">
        <f t="shared" si="216"/>
        <v>96106.954310376488</v>
      </c>
      <c r="AJ499" s="43">
        <f t="shared" si="217"/>
        <v>93633.547623355684</v>
      </c>
      <c r="AK499" s="43">
        <f t="shared" si="218"/>
        <v>91219.72777453906</v>
      </c>
      <c r="AL499" s="43">
        <f t="shared" si="219"/>
        <v>88863.929857064679</v>
      </c>
      <c r="AN499" s="47">
        <f t="shared" si="220"/>
        <v>6641.7488034343442</v>
      </c>
      <c r="AO499" s="47">
        <f t="shared" si="221"/>
        <v>7436.055308947658</v>
      </c>
      <c r="AP499" s="47">
        <f t="shared" si="222"/>
        <v>7248.7176158119437</v>
      </c>
      <c r="AQ499" s="47">
        <f t="shared" si="223"/>
        <v>7430.9048764162744</v>
      </c>
      <c r="AR499" s="43">
        <f t="shared" si="224"/>
        <v>5732.6272520428338</v>
      </c>
      <c r="AS499" s="349"/>
      <c r="AT499" s="350"/>
      <c r="AU499" s="121"/>
      <c r="AV499" s="121"/>
      <c r="AW499" s="121"/>
      <c r="AX499" s="121"/>
    </row>
    <row r="500" spans="1:50" s="89" customFormat="1">
      <c r="A500" s="3"/>
      <c r="B500" s="37">
        <f>'13. Desinvesteringen'!B783</f>
        <v>764</v>
      </c>
      <c r="C500" s="331"/>
      <c r="D500" s="331"/>
      <c r="E500" s="331"/>
      <c r="F500" s="354">
        <f>'5. Input GAW-waarde desinv.'!D459</f>
        <v>53910</v>
      </c>
      <c r="G500" s="175">
        <f>'13. Desinvesteringen'!D783</f>
        <v>2018</v>
      </c>
      <c r="H500" s="175">
        <f>'13. Desinvesteringen'!G783</f>
        <v>2025</v>
      </c>
      <c r="I500" s="37" t="str">
        <f>'13. Desinvesteringen'!C783</f>
        <v>21 Hoofdtransportleiding</v>
      </c>
      <c r="J500" s="165">
        <f>'13. Desinvesteringen'!F783</f>
        <v>0</v>
      </c>
      <c r="K500" s="38">
        <f>_xlfn.XLOOKUP(I500,'3. Input (des)investeringen '!$B$11:$B$89,'3. Input (des)investeringen '!$E$11:$E$89)</f>
        <v>1</v>
      </c>
      <c r="L500" s="331"/>
      <c r="M500" s="38">
        <f>_xlfn.XLOOKUP(I500,'3. Input (des)investeringen '!$B$11:$B$89,'3. Input (des)investeringen '!$D$11:$D$89,0)</f>
        <v>55</v>
      </c>
      <c r="N500" s="38">
        <f t="shared" si="209"/>
        <v>51.5</v>
      </c>
      <c r="P500" s="43">
        <f t="shared" si="240"/>
        <v>1224.7514563106797</v>
      </c>
      <c r="Q500" s="43">
        <f t="shared" si="240"/>
        <v>1193.8354001319635</v>
      </c>
      <c r="R500" s="43">
        <f t="shared" si="240"/>
        <v>1163.699749254846</v>
      </c>
      <c r="S500" s="43">
        <f t="shared" si="240"/>
        <v>1134.3248041280247</v>
      </c>
      <c r="T500" s="43">
        <f t="shared" si="240"/>
        <v>1105.6913624704241</v>
      </c>
      <c r="V500" s="43">
        <f t="shared" si="233"/>
        <v>104.67961165048544</v>
      </c>
      <c r="W500" s="43">
        <f t="shared" si="234"/>
        <v>104.67961165048544</v>
      </c>
      <c r="X500" s="43">
        <f t="shared" si="235"/>
        <v>104.67961165048544</v>
      </c>
      <c r="Y500" s="43">
        <f t="shared" si="236"/>
        <v>104.67961165048544</v>
      </c>
      <c r="Z500" s="43">
        <f t="shared" si="237"/>
        <v>104.67961165048544</v>
      </c>
      <c r="AB500" s="43">
        <f t="shared" si="210"/>
        <v>1329.4310679611651</v>
      </c>
      <c r="AC500" s="43">
        <f t="shared" si="211"/>
        <v>1298.5150117824489</v>
      </c>
      <c r="AD500" s="43">
        <f t="shared" si="212"/>
        <v>1268.3793609053314</v>
      </c>
      <c r="AE500" s="43">
        <f t="shared" si="213"/>
        <v>1239.0044157785101</v>
      </c>
      <c r="AF500" s="43">
        <f t="shared" si="214"/>
        <v>1210.3709741209095</v>
      </c>
      <c r="AH500" s="43">
        <f t="shared" si="215"/>
        <v>52580.568932038834</v>
      </c>
      <c r="AI500" s="43">
        <f t="shared" si="216"/>
        <v>51282.053920256381</v>
      </c>
      <c r="AJ500" s="43">
        <f t="shared" si="217"/>
        <v>50013.67455935105</v>
      </c>
      <c r="AK500" s="43">
        <f t="shared" si="218"/>
        <v>48774.670143572541</v>
      </c>
      <c r="AL500" s="43">
        <f t="shared" si="219"/>
        <v>47564.299169451631</v>
      </c>
      <c r="AN500" s="47">
        <f t="shared" si="220"/>
        <v>3485.2343941747577</v>
      </c>
      <c r="AO500" s="47">
        <f t="shared" si="221"/>
        <v>3913.8997617155246</v>
      </c>
      <c r="AP500" s="47">
        <f t="shared" si="222"/>
        <v>3819.0767634322347</v>
      </c>
      <c r="AQ500" s="47">
        <f t="shared" si="223"/>
        <v>3921.6112736749997</v>
      </c>
      <c r="AR500" s="43">
        <f t="shared" si="224"/>
        <v>3017.8143425600715</v>
      </c>
      <c r="AS500" s="349"/>
      <c r="AT500" s="350"/>
      <c r="AU500" s="121"/>
      <c r="AV500" s="121"/>
      <c r="AW500" s="121"/>
      <c r="AX500" s="121"/>
    </row>
    <row r="501" spans="1:50" s="89" customFormat="1">
      <c r="A501" s="3"/>
      <c r="B501" s="37">
        <f>'13. Desinvesteringen'!B784</f>
        <v>765</v>
      </c>
      <c r="C501" s="331"/>
      <c r="D501" s="331"/>
      <c r="E501" s="331"/>
      <c r="F501" s="354">
        <f>'5. Input GAW-waarde desinv.'!D460</f>
        <v>45</v>
      </c>
      <c r="G501" s="175">
        <f>'13. Desinvesteringen'!D784</f>
        <v>2021</v>
      </c>
      <c r="H501" s="175">
        <f>'13. Desinvesteringen'!G784</f>
        <v>2025</v>
      </c>
      <c r="I501" s="37" t="str">
        <f>'13. Desinvesteringen'!C784</f>
        <v>21 Hoofdtransportleiding</v>
      </c>
      <c r="J501" s="165">
        <f>'13. Desinvesteringen'!F784</f>
        <v>0</v>
      </c>
      <c r="K501" s="38">
        <f>_xlfn.XLOOKUP(I501,'3. Input (des)investeringen '!$B$11:$B$89,'3. Input (des)investeringen '!$E$11:$E$89)</f>
        <v>1</v>
      </c>
      <c r="L501" s="331"/>
      <c r="M501" s="38">
        <f>_xlfn.XLOOKUP(I501,'3. Input (des)investeringen '!$B$11:$B$89,'3. Input (des)investeringen '!$D$11:$D$89,0)</f>
        <v>55</v>
      </c>
      <c r="N501" s="38">
        <f t="shared" si="209"/>
        <v>54.5</v>
      </c>
      <c r="P501" s="43">
        <f t="shared" si="240"/>
        <v>0.96605504587155966</v>
      </c>
      <c r="Q501" s="43">
        <f t="shared" si="240"/>
        <v>0.94301153101590784</v>
      </c>
      <c r="R501" s="43">
        <f t="shared" si="240"/>
        <v>0.92051767798250084</v>
      </c>
      <c r="S501" s="43">
        <f t="shared" si="240"/>
        <v>0.89856037557190915</v>
      </c>
      <c r="T501" s="43">
        <f t="shared" si="240"/>
        <v>0.87712682532890951</v>
      </c>
      <c r="V501" s="43">
        <f t="shared" si="233"/>
        <v>8.2568807339449546E-2</v>
      </c>
      <c r="W501" s="43">
        <f t="shared" si="234"/>
        <v>8.2568807339449546E-2</v>
      </c>
      <c r="X501" s="43">
        <f t="shared" si="235"/>
        <v>8.2568807339449546E-2</v>
      </c>
      <c r="Y501" s="43">
        <f t="shared" si="236"/>
        <v>8.2568807339449546E-2</v>
      </c>
      <c r="Z501" s="43">
        <f t="shared" si="237"/>
        <v>8.2568807339449546E-2</v>
      </c>
      <c r="AB501" s="43">
        <f t="shared" si="210"/>
        <v>1.0486238532110093</v>
      </c>
      <c r="AC501" s="43">
        <f t="shared" si="211"/>
        <v>1.0255803383553574</v>
      </c>
      <c r="AD501" s="43">
        <f t="shared" si="212"/>
        <v>1.0030864853219503</v>
      </c>
      <c r="AE501" s="43">
        <f t="shared" si="213"/>
        <v>0.98112918291135864</v>
      </c>
      <c r="AF501" s="43">
        <f t="shared" si="214"/>
        <v>0.959695632668359</v>
      </c>
      <c r="AH501" s="43">
        <f t="shared" si="215"/>
        <v>43.951376146788988</v>
      </c>
      <c r="AI501" s="43">
        <f t="shared" si="216"/>
        <v>42.925795808433634</v>
      </c>
      <c r="AJ501" s="43">
        <f t="shared" si="217"/>
        <v>41.922709323111683</v>
      </c>
      <c r="AK501" s="43">
        <f t="shared" si="218"/>
        <v>40.941580140200323</v>
      </c>
      <c r="AL501" s="43">
        <f t="shared" si="219"/>
        <v>39.981884507531966</v>
      </c>
      <c r="AN501" s="47">
        <f t="shared" si="220"/>
        <v>2.8506302752293577</v>
      </c>
      <c r="AO501" s="47">
        <f t="shared" si="221"/>
        <v>3.2147959245854727</v>
      </c>
      <c r="AP501" s="47">
        <f t="shared" si="222"/>
        <v>3.1411446608006459</v>
      </c>
      <c r="AQ501" s="47">
        <f t="shared" si="223"/>
        <v>3.2329160906223766</v>
      </c>
      <c r="AR501" s="43">
        <f t="shared" si="224"/>
        <v>2.4790072439545736</v>
      </c>
      <c r="AS501" s="349"/>
      <c r="AT501" s="350"/>
      <c r="AU501" s="121"/>
      <c r="AV501" s="121"/>
      <c r="AW501" s="121"/>
      <c r="AX501" s="121"/>
    </row>
    <row r="502" spans="1:50" s="89" customFormat="1">
      <c r="A502" s="3"/>
      <c r="B502" s="37">
        <f>'13. Desinvesteringen'!B785</f>
        <v>766</v>
      </c>
      <c r="C502" s="331"/>
      <c r="D502" s="331"/>
      <c r="E502" s="331"/>
      <c r="F502" s="354">
        <f>'5. Input GAW-waarde desinv.'!D461</f>
        <v>0</v>
      </c>
      <c r="G502" s="175">
        <f>'13. Desinvesteringen'!D785</f>
        <v>2022</v>
      </c>
      <c r="H502" s="175">
        <f>'13. Desinvesteringen'!G785</f>
        <v>2025</v>
      </c>
      <c r="I502" s="37" t="str">
        <f>'13. Desinvesteringen'!C785</f>
        <v>21 Hoofdtransportleiding</v>
      </c>
      <c r="J502" s="165">
        <f>'13. Desinvesteringen'!F785</f>
        <v>0</v>
      </c>
      <c r="K502" s="38">
        <f>_xlfn.XLOOKUP(I502,'3. Input (des)investeringen '!$B$11:$B$89,'3. Input (des)investeringen '!$E$11:$E$89)</f>
        <v>1</v>
      </c>
      <c r="L502" s="331"/>
      <c r="M502" s="38">
        <f>_xlfn.XLOOKUP(I502,'3. Input (des)investeringen '!$B$11:$B$89,'3. Input (des)investeringen '!$D$11:$D$89,0)</f>
        <v>55</v>
      </c>
      <c r="N502" s="38">
        <f t="shared" si="209"/>
        <v>55</v>
      </c>
      <c r="P502" s="174">
        <v>2312.907267</v>
      </c>
      <c r="Q502" s="174">
        <v>4571.1458169999996</v>
      </c>
      <c r="R502" s="174">
        <v>4463.1005530000002</v>
      </c>
      <c r="S502" s="174">
        <v>4357.6090850000001</v>
      </c>
      <c r="T502" s="174">
        <v>4254.6110520000002</v>
      </c>
      <c r="V502" s="174">
        <v>197.68438180000001</v>
      </c>
      <c r="W502" s="174">
        <v>395.36876360000002</v>
      </c>
      <c r="X502" s="174">
        <v>395.36876360000002</v>
      </c>
      <c r="Y502" s="174">
        <v>395.36876360000002</v>
      </c>
      <c r="Z502" s="174">
        <v>395.36876360000002</v>
      </c>
      <c r="AB502" s="43">
        <f t="shared" si="210"/>
        <v>2510.5916488000003</v>
      </c>
      <c r="AC502" s="43">
        <f t="shared" si="211"/>
        <v>4966.5145806</v>
      </c>
      <c r="AD502" s="43">
        <f t="shared" si="212"/>
        <v>4858.4693166000006</v>
      </c>
      <c r="AE502" s="43">
        <f t="shared" si="213"/>
        <v>4752.9778486000005</v>
      </c>
      <c r="AF502" s="43">
        <f t="shared" si="214"/>
        <v>4649.9798156000006</v>
      </c>
      <c r="AH502" s="174">
        <v>214942.2283509</v>
      </c>
      <c r="AI502" s="174">
        <v>209975.71377</v>
      </c>
      <c r="AJ502" s="174">
        <v>205117.2444538</v>
      </c>
      <c r="AK502" s="174">
        <v>200364.26660520001</v>
      </c>
      <c r="AL502" s="174">
        <v>195714.28678950001</v>
      </c>
      <c r="AN502" s="47">
        <f t="shared" si="220"/>
        <v>11323.223011186901</v>
      </c>
      <c r="AO502" s="47">
        <f t="shared" si="221"/>
        <v>15675.27598287</v>
      </c>
      <c r="AP502" s="47">
        <f t="shared" si="222"/>
        <v>15319.448783743799</v>
      </c>
      <c r="AQ502" s="47">
        <f t="shared" si="223"/>
        <v>15773.012511886001</v>
      </c>
      <c r="AR502" s="43">
        <f t="shared" si="224"/>
        <v>12087.122713601002</v>
      </c>
      <c r="AS502" s="349"/>
      <c r="AT502" s="350"/>
      <c r="AU502" s="121"/>
      <c r="AV502" s="121"/>
      <c r="AW502" s="121"/>
      <c r="AX502" s="121"/>
    </row>
    <row r="503" spans="1:50" s="89" customFormat="1">
      <c r="A503" s="3"/>
      <c r="B503" s="37">
        <f>'13. Desinvesteringen'!B786</f>
        <v>767</v>
      </c>
      <c r="C503" s="331"/>
      <c r="D503" s="331"/>
      <c r="E503" s="331"/>
      <c r="F503" s="354">
        <f>'5. Input GAW-waarde desinv.'!D462</f>
        <v>0</v>
      </c>
      <c r="G503" s="175">
        <f>'13. Desinvesteringen'!D786</f>
        <v>1966</v>
      </c>
      <c r="H503" s="175">
        <f>'13. Desinvesteringen'!G786</f>
        <v>2025</v>
      </c>
      <c r="I503" s="37" t="str">
        <f>'13. Desinvesteringen'!C786</f>
        <v>32 M&amp;R stations</v>
      </c>
      <c r="J503" s="165">
        <f>'13. Desinvesteringen'!F786</f>
        <v>0</v>
      </c>
      <c r="K503" s="38">
        <f>_xlfn.XLOOKUP(I503,'3. Input (des)investeringen '!$B$11:$B$89,'3. Input (des)investeringen '!$E$11:$E$89)</f>
        <v>1</v>
      </c>
      <c r="L503" s="331"/>
      <c r="M503" s="38">
        <f>_xlfn.XLOOKUP(I503,'3. Input (des)investeringen '!$B$11:$B$89,'3. Input (des)investeringen '!$D$11:$D$89,0)</f>
        <v>30</v>
      </c>
      <c r="N503" s="38">
        <f t="shared" si="209"/>
        <v>0</v>
      </c>
      <c r="P503" s="43">
        <f t="shared" si="240"/>
        <v>0</v>
      </c>
      <c r="Q503" s="43">
        <f t="shared" si="240"/>
        <v>0</v>
      </c>
      <c r="R503" s="43">
        <f t="shared" si="240"/>
        <v>0</v>
      </c>
      <c r="S503" s="43">
        <f t="shared" si="240"/>
        <v>0</v>
      </c>
      <c r="T503" s="43">
        <f t="shared" si="240"/>
        <v>0</v>
      </c>
      <c r="V503" s="43">
        <f t="shared" si="233"/>
        <v>0</v>
      </c>
      <c r="W503" s="43">
        <f t="shared" si="234"/>
        <v>0</v>
      </c>
      <c r="X503" s="43">
        <f t="shared" si="235"/>
        <v>0</v>
      </c>
      <c r="Y503" s="43">
        <f t="shared" si="236"/>
        <v>0</v>
      </c>
      <c r="Z503" s="43">
        <f t="shared" si="237"/>
        <v>0</v>
      </c>
      <c r="AB503" s="43">
        <f t="shared" si="210"/>
        <v>0</v>
      </c>
      <c r="AC503" s="43">
        <f t="shared" si="211"/>
        <v>0</v>
      </c>
      <c r="AD503" s="43">
        <f t="shared" si="212"/>
        <v>0</v>
      </c>
      <c r="AE503" s="43">
        <f t="shared" si="213"/>
        <v>0</v>
      </c>
      <c r="AF503" s="43">
        <f t="shared" si="214"/>
        <v>0</v>
      </c>
      <c r="AH503" s="43">
        <f t="shared" si="215"/>
        <v>0</v>
      </c>
      <c r="AI503" s="43">
        <f t="shared" si="216"/>
        <v>0</v>
      </c>
      <c r="AJ503" s="43">
        <f t="shared" si="217"/>
        <v>0</v>
      </c>
      <c r="AK503" s="43">
        <f t="shared" si="218"/>
        <v>0</v>
      </c>
      <c r="AL503" s="43">
        <f t="shared" si="219"/>
        <v>0</v>
      </c>
      <c r="AN503" s="47">
        <f t="shared" si="220"/>
        <v>0</v>
      </c>
      <c r="AO503" s="47">
        <f t="shared" si="221"/>
        <v>0</v>
      </c>
      <c r="AP503" s="47">
        <f t="shared" si="222"/>
        <v>0</v>
      </c>
      <c r="AQ503" s="47">
        <f t="shared" si="223"/>
        <v>0</v>
      </c>
      <c r="AR503" s="43">
        <f t="shared" si="224"/>
        <v>0</v>
      </c>
      <c r="AS503" s="349"/>
      <c r="AT503" s="350"/>
      <c r="AU503" s="121"/>
      <c r="AV503" s="121"/>
      <c r="AW503" s="121"/>
      <c r="AX503" s="121"/>
    </row>
    <row r="504" spans="1:50" s="89" customFormat="1">
      <c r="A504" s="3"/>
      <c r="B504" s="37">
        <f>'13. Desinvesteringen'!B787</f>
        <v>768</v>
      </c>
      <c r="C504" s="331"/>
      <c r="D504" s="331"/>
      <c r="E504" s="331"/>
      <c r="F504" s="354">
        <f>'5. Input GAW-waarde desinv.'!D463</f>
        <v>17208</v>
      </c>
      <c r="G504" s="175">
        <f>'13. Desinvesteringen'!D787</f>
        <v>2006</v>
      </c>
      <c r="H504" s="175">
        <f>'13. Desinvesteringen'!G787</f>
        <v>2025</v>
      </c>
      <c r="I504" s="37" t="str">
        <f>'13. Desinvesteringen'!C787</f>
        <v>32 M&amp;R stations</v>
      </c>
      <c r="J504" s="165">
        <f>'13. Desinvesteringen'!F787</f>
        <v>0</v>
      </c>
      <c r="K504" s="38">
        <f>_xlfn.XLOOKUP(I504,'3. Input (des)investeringen '!$B$11:$B$89,'3. Input (des)investeringen '!$E$11:$E$89)</f>
        <v>1</v>
      </c>
      <c r="L504" s="331"/>
      <c r="M504" s="38">
        <f>_xlfn.XLOOKUP(I504,'3. Input (des)investeringen '!$B$11:$B$89,'3. Input (des)investeringen '!$D$11:$D$89,0)</f>
        <v>30</v>
      </c>
      <c r="N504" s="38">
        <f t="shared" si="209"/>
        <v>14.5</v>
      </c>
      <c r="P504" s="43">
        <f t="shared" si="240"/>
        <v>1388.5075862068966</v>
      </c>
      <c r="Q504" s="43">
        <f t="shared" si="240"/>
        <v>1264.0206991676575</v>
      </c>
      <c r="R504" s="43">
        <f t="shared" si="240"/>
        <v>1150.6947054491779</v>
      </c>
      <c r="S504" s="43">
        <f t="shared" si="240"/>
        <v>1047.5289732364931</v>
      </c>
      <c r="T504" s="43">
        <f t="shared" si="240"/>
        <v>1012.9950510418834</v>
      </c>
      <c r="V504" s="43">
        <f t="shared" si="233"/>
        <v>118.67586206896551</v>
      </c>
      <c r="W504" s="43">
        <f t="shared" si="234"/>
        <v>118.67586206896551</v>
      </c>
      <c r="X504" s="43">
        <f t="shared" si="235"/>
        <v>118.67586206896551</v>
      </c>
      <c r="Y504" s="43">
        <f t="shared" si="236"/>
        <v>118.67586206896551</v>
      </c>
      <c r="Z504" s="43">
        <f t="shared" si="237"/>
        <v>118.67586206896551</v>
      </c>
      <c r="AB504" s="43">
        <f t="shared" si="210"/>
        <v>1507.183448275862</v>
      </c>
      <c r="AC504" s="43">
        <f t="shared" si="211"/>
        <v>1382.696561236623</v>
      </c>
      <c r="AD504" s="43">
        <f t="shared" si="212"/>
        <v>1269.3705675181434</v>
      </c>
      <c r="AE504" s="43">
        <f t="shared" si="213"/>
        <v>1166.2048353054586</v>
      </c>
      <c r="AF504" s="43">
        <f t="shared" si="214"/>
        <v>1131.6709131108489</v>
      </c>
      <c r="AH504" s="43">
        <f t="shared" si="215"/>
        <v>15700.816551724138</v>
      </c>
      <c r="AI504" s="43">
        <f t="shared" si="216"/>
        <v>14318.119990487514</v>
      </c>
      <c r="AJ504" s="43">
        <f t="shared" si="217"/>
        <v>13048.749422969371</v>
      </c>
      <c r="AK504" s="43">
        <f t="shared" si="218"/>
        <v>11882.544587663913</v>
      </c>
      <c r="AL504" s="43">
        <f t="shared" si="219"/>
        <v>10750.873674553064</v>
      </c>
      <c r="AN504" s="47">
        <f t="shared" si="220"/>
        <v>2150.9169268965516</v>
      </c>
      <c r="AO504" s="47">
        <f t="shared" si="221"/>
        <v>2112.9206807514861</v>
      </c>
      <c r="AP504" s="47">
        <f t="shared" si="222"/>
        <v>1934.8567880895812</v>
      </c>
      <c r="AQ504" s="47">
        <f t="shared" si="223"/>
        <v>1819.7447876269739</v>
      </c>
      <c r="AR504" s="43">
        <f t="shared" si="224"/>
        <v>1540.2041127438654</v>
      </c>
      <c r="AS504" s="349"/>
      <c r="AT504" s="350"/>
      <c r="AU504" s="121"/>
      <c r="AV504" s="121"/>
      <c r="AW504" s="121"/>
      <c r="AX504" s="121"/>
    </row>
    <row r="505" spans="1:50" s="89" customFormat="1">
      <c r="A505" s="3"/>
      <c r="B505" s="37">
        <f>'13. Desinvesteringen'!B788</f>
        <v>769</v>
      </c>
      <c r="C505" s="331"/>
      <c r="D505" s="331"/>
      <c r="E505" s="331"/>
      <c r="F505" s="354">
        <f>'5. Input GAW-waarde desinv.'!D464</f>
        <v>0</v>
      </c>
      <c r="G505" s="175">
        <f>'13. Desinvesteringen'!D788</f>
        <v>1966</v>
      </c>
      <c r="H505" s="175">
        <f>'13. Desinvesteringen'!G788</f>
        <v>2025</v>
      </c>
      <c r="I505" s="37" t="str">
        <f>'13. Desinvesteringen'!C788</f>
        <v>33 Exportstations</v>
      </c>
      <c r="J505" s="165">
        <f>'13. Desinvesteringen'!F788</f>
        <v>0</v>
      </c>
      <c r="K505" s="38">
        <f>_xlfn.XLOOKUP(I505,'3. Input (des)investeringen '!$B$11:$B$89,'3. Input (des)investeringen '!$E$11:$E$89)</f>
        <v>1</v>
      </c>
      <c r="L505" s="331"/>
      <c r="M505" s="38">
        <f>_xlfn.XLOOKUP(I505,'3. Input (des)investeringen '!$B$11:$B$89,'3. Input (des)investeringen '!$D$11:$D$89,0)</f>
        <v>30</v>
      </c>
      <c r="N505" s="38">
        <f t="shared" si="209"/>
        <v>0</v>
      </c>
      <c r="P505" s="43">
        <f t="shared" si="240"/>
        <v>0</v>
      </c>
      <c r="Q505" s="43">
        <f t="shared" si="240"/>
        <v>0</v>
      </c>
      <c r="R505" s="43">
        <f t="shared" si="240"/>
        <v>0</v>
      </c>
      <c r="S505" s="43">
        <f t="shared" si="240"/>
        <v>0</v>
      </c>
      <c r="T505" s="43">
        <f t="shared" si="240"/>
        <v>0</v>
      </c>
      <c r="V505" s="43">
        <f t="shared" si="233"/>
        <v>0</v>
      </c>
      <c r="W505" s="43">
        <f t="shared" si="234"/>
        <v>0</v>
      </c>
      <c r="X505" s="43">
        <f t="shared" si="235"/>
        <v>0</v>
      </c>
      <c r="Y505" s="43">
        <f t="shared" si="236"/>
        <v>0</v>
      </c>
      <c r="Z505" s="43">
        <f t="shared" si="237"/>
        <v>0</v>
      </c>
      <c r="AB505" s="43">
        <f t="shared" si="210"/>
        <v>0</v>
      </c>
      <c r="AC505" s="43">
        <f t="shared" si="211"/>
        <v>0</v>
      </c>
      <c r="AD505" s="43">
        <f t="shared" si="212"/>
        <v>0</v>
      </c>
      <c r="AE505" s="43">
        <f t="shared" si="213"/>
        <v>0</v>
      </c>
      <c r="AF505" s="43">
        <f t="shared" si="214"/>
        <v>0</v>
      </c>
      <c r="AH505" s="43">
        <f t="shared" si="215"/>
        <v>0</v>
      </c>
      <c r="AI505" s="43">
        <f t="shared" si="216"/>
        <v>0</v>
      </c>
      <c r="AJ505" s="43">
        <f t="shared" si="217"/>
        <v>0</v>
      </c>
      <c r="AK505" s="43">
        <f t="shared" si="218"/>
        <v>0</v>
      </c>
      <c r="AL505" s="43">
        <f t="shared" si="219"/>
        <v>0</v>
      </c>
      <c r="AN505" s="47">
        <f t="shared" si="220"/>
        <v>0</v>
      </c>
      <c r="AO505" s="47">
        <f t="shared" si="221"/>
        <v>0</v>
      </c>
      <c r="AP505" s="47">
        <f t="shared" si="222"/>
        <v>0</v>
      </c>
      <c r="AQ505" s="47">
        <f t="shared" si="223"/>
        <v>0</v>
      </c>
      <c r="AR505" s="43">
        <f t="shared" si="224"/>
        <v>0</v>
      </c>
      <c r="AS505" s="349"/>
      <c r="AT505" s="350"/>
      <c r="AU505" s="121"/>
      <c r="AV505" s="121"/>
      <c r="AW505" s="121"/>
      <c r="AX505" s="121"/>
    </row>
    <row r="506" spans="1:50" s="89" customFormat="1">
      <c r="A506" s="3"/>
      <c r="B506" s="37">
        <f>'13. Desinvesteringen'!B789</f>
        <v>770</v>
      </c>
      <c r="C506" s="331"/>
      <c r="D506" s="331"/>
      <c r="E506" s="331"/>
      <c r="F506" s="354">
        <f>'5. Input GAW-waarde desinv.'!D465</f>
        <v>0</v>
      </c>
      <c r="G506" s="175">
        <f>'13. Desinvesteringen'!D789</f>
        <v>1980</v>
      </c>
      <c r="H506" s="175">
        <f>'13. Desinvesteringen'!G789</f>
        <v>2025</v>
      </c>
      <c r="I506" s="37" t="str">
        <f>'13. Desinvesteringen'!C789</f>
        <v>33 Exportstations</v>
      </c>
      <c r="J506" s="165">
        <f>'13. Desinvesteringen'!F789</f>
        <v>0</v>
      </c>
      <c r="K506" s="38">
        <f>_xlfn.XLOOKUP(I506,'3. Input (des)investeringen '!$B$11:$B$89,'3. Input (des)investeringen '!$E$11:$E$89)</f>
        <v>1</v>
      </c>
      <c r="L506" s="331"/>
      <c r="M506" s="38">
        <f>_xlfn.XLOOKUP(I506,'3. Input (des)investeringen '!$B$11:$B$89,'3. Input (des)investeringen '!$D$11:$D$89,0)</f>
        <v>30</v>
      </c>
      <c r="N506" s="38">
        <f t="shared" si="209"/>
        <v>0</v>
      </c>
      <c r="P506" s="43">
        <f t="shared" si="240"/>
        <v>0</v>
      </c>
      <c r="Q506" s="43">
        <f t="shared" si="240"/>
        <v>0</v>
      </c>
      <c r="R506" s="43">
        <f t="shared" si="240"/>
        <v>0</v>
      </c>
      <c r="S506" s="43">
        <f t="shared" si="240"/>
        <v>0</v>
      </c>
      <c r="T506" s="43">
        <f t="shared" si="240"/>
        <v>0</v>
      </c>
      <c r="V506" s="43">
        <f t="shared" si="233"/>
        <v>0</v>
      </c>
      <c r="W506" s="43">
        <f t="shared" si="234"/>
        <v>0</v>
      </c>
      <c r="X506" s="43">
        <f t="shared" si="235"/>
        <v>0</v>
      </c>
      <c r="Y506" s="43">
        <f t="shared" si="236"/>
        <v>0</v>
      </c>
      <c r="Z506" s="43">
        <f t="shared" si="237"/>
        <v>0</v>
      </c>
      <c r="AB506" s="43">
        <f t="shared" si="210"/>
        <v>0</v>
      </c>
      <c r="AC506" s="43">
        <f t="shared" si="211"/>
        <v>0</v>
      </c>
      <c r="AD506" s="43">
        <f t="shared" si="212"/>
        <v>0</v>
      </c>
      <c r="AE506" s="43">
        <f t="shared" si="213"/>
        <v>0</v>
      </c>
      <c r="AF506" s="43">
        <f t="shared" si="214"/>
        <v>0</v>
      </c>
      <c r="AH506" s="43">
        <f t="shared" si="215"/>
        <v>0</v>
      </c>
      <c r="AI506" s="43">
        <f t="shared" si="216"/>
        <v>0</v>
      </c>
      <c r="AJ506" s="43">
        <f t="shared" si="217"/>
        <v>0</v>
      </c>
      <c r="AK506" s="43">
        <f t="shared" si="218"/>
        <v>0</v>
      </c>
      <c r="AL506" s="43">
        <f t="shared" si="219"/>
        <v>0</v>
      </c>
      <c r="AN506" s="47">
        <f t="shared" si="220"/>
        <v>0</v>
      </c>
      <c r="AO506" s="47">
        <f t="shared" si="221"/>
        <v>0</v>
      </c>
      <c r="AP506" s="47">
        <f t="shared" si="222"/>
        <v>0</v>
      </c>
      <c r="AQ506" s="47">
        <f t="shared" si="223"/>
        <v>0</v>
      </c>
      <c r="AR506" s="43">
        <f t="shared" si="224"/>
        <v>0</v>
      </c>
      <c r="AS506" s="349"/>
      <c r="AT506" s="350"/>
      <c r="AU506" s="121"/>
      <c r="AV506" s="121"/>
      <c r="AW506" s="121"/>
      <c r="AX506" s="121"/>
    </row>
    <row r="507" spans="1:50" s="89" customFormat="1">
      <c r="A507" s="3"/>
      <c r="B507" s="37">
        <f>'13. Desinvesteringen'!B790</f>
        <v>771</v>
      </c>
      <c r="C507" s="331"/>
      <c r="D507" s="331"/>
      <c r="E507" s="331"/>
      <c r="F507" s="354">
        <f>'5. Input GAW-waarde desinv.'!D466</f>
        <v>0</v>
      </c>
      <c r="G507" s="175">
        <f>'13. Desinvesteringen'!D790</f>
        <v>1982</v>
      </c>
      <c r="H507" s="175">
        <f>'13. Desinvesteringen'!G790</f>
        <v>2025</v>
      </c>
      <c r="I507" s="37" t="str">
        <f>'13. Desinvesteringen'!C790</f>
        <v>33 Exportstations</v>
      </c>
      <c r="J507" s="165">
        <f>'13. Desinvesteringen'!F790</f>
        <v>0</v>
      </c>
      <c r="K507" s="38">
        <f>_xlfn.XLOOKUP(I507,'3. Input (des)investeringen '!$B$11:$B$89,'3. Input (des)investeringen '!$E$11:$E$89)</f>
        <v>1</v>
      </c>
      <c r="L507" s="331"/>
      <c r="M507" s="38">
        <f>_xlfn.XLOOKUP(I507,'3. Input (des)investeringen '!$B$11:$B$89,'3. Input (des)investeringen '!$D$11:$D$89,0)</f>
        <v>30</v>
      </c>
      <c r="N507" s="38">
        <f t="shared" si="209"/>
        <v>0</v>
      </c>
      <c r="P507" s="43">
        <f t="shared" si="240"/>
        <v>0</v>
      </c>
      <c r="Q507" s="43">
        <f t="shared" si="240"/>
        <v>0</v>
      </c>
      <c r="R507" s="43">
        <f t="shared" si="240"/>
        <v>0</v>
      </c>
      <c r="S507" s="43">
        <f t="shared" si="240"/>
        <v>0</v>
      </c>
      <c r="T507" s="43">
        <f t="shared" si="240"/>
        <v>0</v>
      </c>
      <c r="V507" s="43">
        <f t="shared" ref="V507" si="241">IF($M507&gt;0, IF(OR($G507&gt;V$50,$G507+$M507&lt;V$50),0,
VDB($F507,0,$N507,MAX(0,P$50-2022),MIN($N507,P$50-2021),1,FALSE))*$F$26, 0)</f>
        <v>0</v>
      </c>
      <c r="W507" s="43">
        <f t="shared" ref="W507" si="242">IF($M507&gt;0, IF(OR($G507&gt;W$50,$G507+$M507&lt;W$50),0,
VDB($F507,0,$N507,MAX(0,Q$50-2022),MIN($N507,Q$50-2021),1,FALSE))*$F$26, 0)</f>
        <v>0</v>
      </c>
      <c r="X507" s="43">
        <f t="shared" ref="X507" si="243">IF($M507&gt;0, IF(OR($G507&gt;X$50,$G507+$M507&lt;X$50),0,
VDB($F507,0,$N507,MAX(0,R$50-2022),MIN($N507,R$50-2021),1,FALSE))*$F$26, 0)</f>
        <v>0</v>
      </c>
      <c r="Y507" s="43">
        <f t="shared" ref="Y507" si="244">IF($M507&gt;0, IF(OR($G507&gt;Y$50,$G507+$M507&lt;Y$50),0,
VDB($F507,0,$N507,MAX(0,S$50-2022),MIN($N507,S$50-2021),1,FALSE))*$F$26, 0)</f>
        <v>0</v>
      </c>
      <c r="Z507" s="43">
        <f t="shared" ref="Z507" si="245">IF($M507&gt;0, IF(OR($G507&gt;Z$50,$G507+$M507&lt;Z$50),0,
VDB($F507,0,$N507,MAX(0,T$50-2022),MIN($N507,T$50-2021),1,FALSE))*$F$26, 0)</f>
        <v>0</v>
      </c>
      <c r="AB507" s="43">
        <f t="shared" si="210"/>
        <v>0</v>
      </c>
      <c r="AC507" s="43">
        <f t="shared" si="211"/>
        <v>0</v>
      </c>
      <c r="AD507" s="43">
        <f t="shared" si="212"/>
        <v>0</v>
      </c>
      <c r="AE507" s="43">
        <f t="shared" si="213"/>
        <v>0</v>
      </c>
      <c r="AF507" s="43">
        <f t="shared" si="214"/>
        <v>0</v>
      </c>
      <c r="AH507" s="43">
        <f t="shared" si="215"/>
        <v>0</v>
      </c>
      <c r="AI507" s="43">
        <f t="shared" si="216"/>
        <v>0</v>
      </c>
      <c r="AJ507" s="43">
        <f t="shared" si="217"/>
        <v>0</v>
      </c>
      <c r="AK507" s="43">
        <f t="shared" si="218"/>
        <v>0</v>
      </c>
      <c r="AL507" s="43">
        <f t="shared" si="219"/>
        <v>0</v>
      </c>
      <c r="AN507" s="47">
        <f t="shared" si="220"/>
        <v>0</v>
      </c>
      <c r="AO507" s="47">
        <f t="shared" si="221"/>
        <v>0</v>
      </c>
      <c r="AP507" s="47">
        <f t="shared" si="222"/>
        <v>0</v>
      </c>
      <c r="AQ507" s="47">
        <f t="shared" si="223"/>
        <v>0</v>
      </c>
      <c r="AR507" s="43">
        <f t="shared" si="224"/>
        <v>0</v>
      </c>
      <c r="AS507" s="349"/>
      <c r="AT507" s="350"/>
      <c r="AU507" s="121"/>
      <c r="AV507" s="121"/>
      <c r="AW507" s="121"/>
      <c r="AX507" s="121"/>
    </row>
    <row r="508" spans="1:50" s="89" customFormat="1">
      <c r="A508" s="3"/>
      <c r="B508" s="37">
        <f>'13. Desinvesteringen'!B791</f>
        <v>772</v>
      </c>
      <c r="C508" s="331"/>
      <c r="D508" s="331"/>
      <c r="E508" s="331"/>
      <c r="F508" s="354">
        <f>'5. Input GAW-waarde desinv.'!D467</f>
        <v>14374</v>
      </c>
      <c r="G508" s="175">
        <f>'13. Desinvesteringen'!D791</f>
        <v>1998</v>
      </c>
      <c r="H508" s="175">
        <f>'13. Desinvesteringen'!G791</f>
        <v>2025</v>
      </c>
      <c r="I508" s="37" t="str">
        <f>'13. Desinvesteringen'!C791</f>
        <v>33 Exportstations</v>
      </c>
      <c r="J508" s="165">
        <f>'13. Desinvesteringen'!F791</f>
        <v>0</v>
      </c>
      <c r="K508" s="38">
        <f>_xlfn.XLOOKUP(I508,'3. Input (des)investeringen '!$B$11:$B$89,'3. Input (des)investeringen '!$E$11:$E$89)</f>
        <v>1</v>
      </c>
      <c r="L508" s="331"/>
      <c r="M508" s="38">
        <f>_xlfn.XLOOKUP(I508,'3. Input (des)investeringen '!$B$11:$B$89,'3. Input (des)investeringen '!$D$11:$D$89,0)</f>
        <v>30</v>
      </c>
      <c r="N508" s="38">
        <f t="shared" ref="N508:N512" si="246">IF($M508&gt;0, MAX(0,IF(G508&lt;2022,M508-2021+G508-0.5,M508)), 0)</f>
        <v>6.5</v>
      </c>
      <c r="P508" s="43">
        <f t="shared" si="240"/>
        <v>2587.3200000000002</v>
      </c>
      <c r="Q508" s="43">
        <f t="shared" si="240"/>
        <v>2069.8560000000002</v>
      </c>
      <c r="R508" s="43">
        <f t="shared" si="240"/>
        <v>1839.8720000000001</v>
      </c>
      <c r="S508" s="43">
        <f t="shared" si="240"/>
        <v>1839.8720000000001</v>
      </c>
      <c r="T508" s="43">
        <f t="shared" si="240"/>
        <v>1839.8720000000001</v>
      </c>
      <c r="V508" s="43">
        <f t="shared" ref="V508:V512" si="247">IF($M508&gt;0, IF(OR($G508&gt;V$50,$G508+$M508&lt;V$50),0,
VDB($F508,0,$N508,MAX(0,P$50-2022),MIN($N508,P$50-2021),1,FALSE))*$F$26, 0)</f>
        <v>221.13846153846157</v>
      </c>
      <c r="W508" s="43">
        <f t="shared" ref="W508:W512" si="248">IF($M508&gt;0, IF(OR($G508&gt;W$50,$G508+$M508&lt;W$50),0,
VDB($F508,0,$N508,MAX(0,Q$50-2022),MIN($N508,Q$50-2021),1,FALSE))*$F$26, 0)</f>
        <v>221.13846153846154</v>
      </c>
      <c r="X508" s="43">
        <f t="shared" ref="X508:X512" si="249">IF($M508&gt;0, IF(OR($G508&gt;X$50,$G508+$M508&lt;X$50),0,
VDB($F508,0,$N508,MAX(0,R$50-2022),MIN($N508,R$50-2021),1,FALSE))*$F$26, 0)</f>
        <v>221.13846153846154</v>
      </c>
      <c r="Y508" s="43">
        <f t="shared" ref="Y508:Y512" si="250">IF($M508&gt;0, IF(OR($G508&gt;Y$50,$G508+$M508&lt;Y$50),0,
VDB($F508,0,$N508,MAX(0,S$50-2022),MIN($N508,S$50-2021),1,FALSE))*$F$26, 0)</f>
        <v>221.13846153846154</v>
      </c>
      <c r="Z508" s="43">
        <f t="shared" ref="Z508:Z512" si="251">IF($M508&gt;0, IF(OR($G508&gt;Z$50,$G508+$M508&lt;Z$50),0,
VDB($F508,0,$N508,MAX(0,T$50-2022),MIN($N508,T$50-2021),1,FALSE))*$F$26, 0)</f>
        <v>221.13846153846154</v>
      </c>
      <c r="AB508" s="43">
        <f t="shared" ref="AB508:AB512" si="252">P508+V508</f>
        <v>2808.458461538462</v>
      </c>
      <c r="AC508" s="43">
        <f t="shared" ref="AC508:AC512" si="253">Q508+W508</f>
        <v>2290.9944615384616</v>
      </c>
      <c r="AD508" s="43">
        <f t="shared" ref="AD508:AD512" si="254">R508+X508</f>
        <v>2061.0104615384616</v>
      </c>
      <c r="AE508" s="43">
        <f t="shared" ref="AE508:AE512" si="255">S508+Y508</f>
        <v>2061.0104615384616</v>
      </c>
      <c r="AF508" s="43">
        <f t="shared" ref="AF508:AF512" si="256">T508+Z508</f>
        <v>2061.0104615384616</v>
      </c>
      <c r="AH508" s="43">
        <f t="shared" ref="AH508:AH512" si="257">IF($M508&gt;0, IF($M508&gt;0,IF(OR($G508&gt;AH$50,$G508+$M508&lt;=AH$50),0,IF(AH$50=2022,$F508-AB508,AG508-AB508))), $F508)</f>
        <v>11565.541538461537</v>
      </c>
      <c r="AI508" s="43">
        <f t="shared" ref="AI508:AI512" si="258">IF($M508&gt;0, IF(OR($G508&gt;AI$50,$G508+$M508&lt;=AI$50),0,IF(AI$50=2022,$F508-AC508,AH508-AC508)), AH508)</f>
        <v>9274.547076923076</v>
      </c>
      <c r="AJ508" s="43">
        <f t="shared" ref="AJ508:AJ512" si="259">IF($M508&gt;0, IF(OR($G508&gt;AJ$50,$G508+$M508&lt;=AJ$50),0,IF(AJ$50=2022,$F508-AD508,AI508-AD508)), AI508)</f>
        <v>7213.5366153846144</v>
      </c>
      <c r="AK508" s="43">
        <f t="shared" ref="AK508:AK512" si="260">IF($M508&gt;0, IF(OR($G508&gt;AK$50,$G508+$M508&lt;=AK$50),0,IF(AK$50=2022,$F508-AE508,AJ508-AE508)), AJ508)</f>
        <v>5152.5261538461527</v>
      </c>
      <c r="AL508" s="43">
        <f t="shared" ref="AL508:AL512" si="261">IF($M508&gt;0, IF(OR($G508&gt;AL$50,$G508+$M508&lt;=AL$50),0,IF(AL$50=2022,$F508-AF508,AK508-AF508)), AK508)</f>
        <v>3091.5156923076911</v>
      </c>
      <c r="AN508" s="47">
        <f t="shared" ref="AN508:AN512" si="262">(AB508+AH508*H$17)*IF($K508=1,$F$32,1)</f>
        <v>3282.6456646153852</v>
      </c>
      <c r="AO508" s="47">
        <f t="shared" ref="AO508:AO512" si="263">(AC508+AI508*I$17)*IF($K508=1,$F$32,1)</f>
        <v>2763.9963624615384</v>
      </c>
      <c r="AP508" s="47">
        <f t="shared" ref="AP508:AP512" si="264">(AD508+AJ508*J$17)*IF($K508=1,$F$32,1)</f>
        <v>2428.9008289230769</v>
      </c>
      <c r="AQ508" s="47">
        <f t="shared" ref="AQ508:AQ512" si="265">(AE508+AK508*K$17)*IF($K508=1,$F$32,1)</f>
        <v>2344.3994000000002</v>
      </c>
      <c r="AR508" s="43">
        <f t="shared" ref="AR508:AR512" si="266">(AF508+AL508*L$17)*IF($K508=1,$F$32,1)</f>
        <v>2178.4880578461539</v>
      </c>
      <c r="AS508" s="349"/>
      <c r="AT508" s="350"/>
      <c r="AU508" s="121"/>
      <c r="AV508" s="121"/>
      <c r="AW508" s="121"/>
      <c r="AX508" s="121"/>
    </row>
    <row r="509" spans="1:50" s="89" customFormat="1">
      <c r="A509" s="3"/>
      <c r="B509" s="37">
        <f>'13. Desinvesteringen'!B792</f>
        <v>773</v>
      </c>
      <c r="C509" s="331"/>
      <c r="D509" s="331"/>
      <c r="E509" s="331"/>
      <c r="F509" s="354">
        <f>'5. Input GAW-waarde desinv.'!D468</f>
        <v>100816</v>
      </c>
      <c r="G509" s="175">
        <f>'13. Desinvesteringen'!D792</f>
        <v>2005</v>
      </c>
      <c r="H509" s="175">
        <f>'13. Desinvesteringen'!G792</f>
        <v>2025</v>
      </c>
      <c r="I509" s="37" t="str">
        <f>'13. Desinvesteringen'!C792</f>
        <v>33 Exportstations</v>
      </c>
      <c r="J509" s="165">
        <f>'13. Desinvesteringen'!F792</f>
        <v>0</v>
      </c>
      <c r="K509" s="38">
        <f>_xlfn.XLOOKUP(I509,'3. Input (des)investeringen '!$B$11:$B$89,'3. Input (des)investeringen '!$E$11:$E$89)</f>
        <v>1</v>
      </c>
      <c r="L509" s="331"/>
      <c r="M509" s="38">
        <f>_xlfn.XLOOKUP(I509,'3. Input (des)investeringen '!$B$11:$B$89,'3. Input (des)investeringen '!$D$11:$D$89,0)</f>
        <v>30</v>
      </c>
      <c r="N509" s="38">
        <f t="shared" si="246"/>
        <v>13.5</v>
      </c>
      <c r="P509" s="43">
        <f t="shared" si="240"/>
        <v>8737.3866666666672</v>
      </c>
      <c r="Q509" s="43">
        <f t="shared" si="240"/>
        <v>7896.0086913580244</v>
      </c>
      <c r="R509" s="43">
        <f t="shared" si="240"/>
        <v>7135.6522988568813</v>
      </c>
      <c r="S509" s="43">
        <f t="shared" si="240"/>
        <v>6448.5154108188108</v>
      </c>
      <c r="T509" s="43">
        <f t="shared" si="240"/>
        <v>6370.1933612946959</v>
      </c>
      <c r="V509" s="43">
        <f t="shared" si="247"/>
        <v>746.78518518518524</v>
      </c>
      <c r="W509" s="43">
        <f t="shared" si="248"/>
        <v>746.78518518518524</v>
      </c>
      <c r="X509" s="43">
        <f t="shared" si="249"/>
        <v>746.78518518518524</v>
      </c>
      <c r="Y509" s="43">
        <f t="shared" si="250"/>
        <v>746.78518518518524</v>
      </c>
      <c r="Z509" s="43">
        <f t="shared" si="251"/>
        <v>746.78518518518524</v>
      </c>
      <c r="AB509" s="43">
        <f t="shared" si="252"/>
        <v>9484.1718518518519</v>
      </c>
      <c r="AC509" s="43">
        <f t="shared" si="253"/>
        <v>8642.79387654321</v>
      </c>
      <c r="AD509" s="43">
        <f t="shared" si="254"/>
        <v>7882.4374840420669</v>
      </c>
      <c r="AE509" s="43">
        <f t="shared" si="255"/>
        <v>7195.3005960039964</v>
      </c>
      <c r="AF509" s="43">
        <f t="shared" si="256"/>
        <v>7116.9785464798815</v>
      </c>
      <c r="AH509" s="43">
        <f t="shared" si="257"/>
        <v>91331.828148148154</v>
      </c>
      <c r="AI509" s="43">
        <f t="shared" si="258"/>
        <v>82689.034271604949</v>
      </c>
      <c r="AJ509" s="43">
        <f t="shared" si="259"/>
        <v>74806.596787562885</v>
      </c>
      <c r="AK509" s="43">
        <f t="shared" si="260"/>
        <v>67611.296191558882</v>
      </c>
      <c r="AL509" s="43">
        <f t="shared" si="261"/>
        <v>60494.317645078998</v>
      </c>
      <c r="AN509" s="47">
        <f t="shared" si="262"/>
        <v>13228.776805925927</v>
      </c>
      <c r="AO509" s="47">
        <f t="shared" si="263"/>
        <v>12859.934624395062</v>
      </c>
      <c r="AP509" s="47">
        <f t="shared" si="264"/>
        <v>11697.573920207775</v>
      </c>
      <c r="AQ509" s="47">
        <f t="shared" si="265"/>
        <v>10913.921886539734</v>
      </c>
      <c r="AR509" s="43">
        <f t="shared" si="266"/>
        <v>9415.7626169928844</v>
      </c>
      <c r="AS509" s="349"/>
      <c r="AT509" s="350"/>
      <c r="AU509" s="121"/>
      <c r="AV509" s="121"/>
      <c r="AW509" s="121"/>
      <c r="AX509" s="121"/>
    </row>
    <row r="510" spans="1:50" s="89" customFormat="1">
      <c r="A510" s="3"/>
      <c r="B510" s="37">
        <f>'13. Desinvesteringen'!B793</f>
        <v>774</v>
      </c>
      <c r="C510" s="331"/>
      <c r="D510" s="331"/>
      <c r="E510" s="331"/>
      <c r="F510" s="354">
        <f>'5. Input GAW-waarde desinv.'!D469</f>
        <v>8539</v>
      </c>
      <c r="G510" s="175">
        <f>'13. Desinvesteringen'!D793</f>
        <v>2006</v>
      </c>
      <c r="H510" s="175">
        <f>'13. Desinvesteringen'!G793</f>
        <v>2025</v>
      </c>
      <c r="I510" s="37" t="str">
        <f>'13. Desinvesteringen'!C793</f>
        <v>33 Exportstations</v>
      </c>
      <c r="J510" s="165">
        <f>'13. Desinvesteringen'!F793</f>
        <v>0</v>
      </c>
      <c r="K510" s="38">
        <f>_xlfn.XLOOKUP(I510,'3. Input (des)investeringen '!$B$11:$B$89,'3. Input (des)investeringen '!$E$11:$E$89)</f>
        <v>1</v>
      </c>
      <c r="L510" s="331"/>
      <c r="M510" s="38">
        <f>_xlfn.XLOOKUP(I510,'3. Input (des)investeringen '!$B$11:$B$89,'3. Input (des)investeringen '!$D$11:$D$89,0)</f>
        <v>30</v>
      </c>
      <c r="N510" s="38">
        <f t="shared" si="246"/>
        <v>14.5</v>
      </c>
      <c r="P510" s="43">
        <f t="shared" si="240"/>
        <v>689.00896551724145</v>
      </c>
      <c r="Q510" s="43">
        <f t="shared" si="240"/>
        <v>627.23574791914393</v>
      </c>
      <c r="R510" s="43">
        <f t="shared" si="240"/>
        <v>571.00081879535855</v>
      </c>
      <c r="S510" s="43">
        <f t="shared" si="240"/>
        <v>519.80764193784375</v>
      </c>
      <c r="T510" s="43">
        <f t="shared" si="240"/>
        <v>502.67112626956322</v>
      </c>
      <c r="V510" s="43">
        <f t="shared" si="247"/>
        <v>58.889655172413796</v>
      </c>
      <c r="W510" s="43">
        <f t="shared" si="248"/>
        <v>58.889655172413796</v>
      </c>
      <c r="X510" s="43">
        <f t="shared" si="249"/>
        <v>58.889655172413796</v>
      </c>
      <c r="Y510" s="43">
        <f t="shared" si="250"/>
        <v>58.889655172413796</v>
      </c>
      <c r="Z510" s="43">
        <f t="shared" si="251"/>
        <v>58.889655172413796</v>
      </c>
      <c r="AB510" s="43">
        <f t="shared" si="252"/>
        <v>747.89862068965522</v>
      </c>
      <c r="AC510" s="43">
        <f t="shared" si="253"/>
        <v>686.1254030915577</v>
      </c>
      <c r="AD510" s="43">
        <f t="shared" si="254"/>
        <v>629.89047396777232</v>
      </c>
      <c r="AE510" s="43">
        <f t="shared" si="255"/>
        <v>578.69729711025752</v>
      </c>
      <c r="AF510" s="43">
        <f t="shared" si="256"/>
        <v>561.56078144197704</v>
      </c>
      <c r="AH510" s="43">
        <f t="shared" si="257"/>
        <v>7791.1013793103448</v>
      </c>
      <c r="AI510" s="43">
        <f t="shared" si="258"/>
        <v>7104.9759762187869</v>
      </c>
      <c r="AJ510" s="43">
        <f t="shared" si="259"/>
        <v>6475.085502251015</v>
      </c>
      <c r="AK510" s="43">
        <f t="shared" si="260"/>
        <v>5896.3882051407572</v>
      </c>
      <c r="AL510" s="43">
        <f t="shared" si="261"/>
        <v>5334.82742369878</v>
      </c>
      <c r="AN510" s="47">
        <f t="shared" si="262"/>
        <v>1067.3337772413793</v>
      </c>
      <c r="AO510" s="47">
        <f t="shared" si="263"/>
        <v>1048.4791778787157</v>
      </c>
      <c r="AP510" s="47">
        <f t="shared" si="264"/>
        <v>960.11983458257407</v>
      </c>
      <c r="AQ510" s="47">
        <f t="shared" si="265"/>
        <v>902.99864839299926</v>
      </c>
      <c r="AR510" s="43">
        <f t="shared" si="266"/>
        <v>764.28422354253064</v>
      </c>
      <c r="AS510" s="349"/>
      <c r="AT510" s="350"/>
      <c r="AU510" s="121"/>
      <c r="AV510" s="121"/>
      <c r="AW510" s="121"/>
      <c r="AX510" s="121"/>
    </row>
    <row r="511" spans="1:50" s="89" customFormat="1">
      <c r="A511" s="3"/>
      <c r="B511" s="37">
        <f>'13. Desinvesteringen'!B794</f>
        <v>775</v>
      </c>
      <c r="C511" s="331"/>
      <c r="D511" s="331"/>
      <c r="E511" s="331"/>
      <c r="F511" s="354">
        <f>'5. Input GAW-waarde desinv.'!D470</f>
        <v>14644</v>
      </c>
      <c r="G511" s="175">
        <f>'13. Desinvesteringen'!D794</f>
        <v>2009</v>
      </c>
      <c r="H511" s="175">
        <f>'13. Desinvesteringen'!G794</f>
        <v>2025</v>
      </c>
      <c r="I511" s="37" t="str">
        <f>'13. Desinvesteringen'!C794</f>
        <v>33 Exportstations</v>
      </c>
      <c r="J511" s="165">
        <f>'13. Desinvesteringen'!F794</f>
        <v>0</v>
      </c>
      <c r="K511" s="38">
        <f>_xlfn.XLOOKUP(I511,'3. Input (des)investeringen '!$B$11:$B$89,'3. Input (des)investeringen '!$E$11:$E$89)</f>
        <v>1</v>
      </c>
      <c r="L511" s="331"/>
      <c r="M511" s="38">
        <f>_xlfn.XLOOKUP(I511,'3. Input (des)investeringen '!$B$11:$B$89,'3. Input (des)investeringen '!$D$11:$D$89,0)</f>
        <v>30</v>
      </c>
      <c r="N511" s="38">
        <f t="shared" si="246"/>
        <v>17.5</v>
      </c>
      <c r="P511" s="43">
        <f t="shared" si="240"/>
        <v>979.05600000000015</v>
      </c>
      <c r="Q511" s="43">
        <f t="shared" si="240"/>
        <v>906.32612571428581</v>
      </c>
      <c r="R511" s="43">
        <f t="shared" si="240"/>
        <v>838.99904208979592</v>
      </c>
      <c r="S511" s="43">
        <f t="shared" si="240"/>
        <v>776.67339896312535</v>
      </c>
      <c r="T511" s="43">
        <f t="shared" si="240"/>
        <v>718.9776607544361</v>
      </c>
      <c r="V511" s="43">
        <f t="shared" si="247"/>
        <v>83.68</v>
      </c>
      <c r="W511" s="43">
        <f t="shared" si="248"/>
        <v>83.68</v>
      </c>
      <c r="X511" s="43">
        <f t="shared" si="249"/>
        <v>83.68</v>
      </c>
      <c r="Y511" s="43">
        <f t="shared" si="250"/>
        <v>83.68</v>
      </c>
      <c r="Z511" s="43">
        <f t="shared" si="251"/>
        <v>83.68</v>
      </c>
      <c r="AB511" s="43">
        <f t="shared" si="252"/>
        <v>1062.7360000000001</v>
      </c>
      <c r="AC511" s="43">
        <f t="shared" si="253"/>
        <v>990.00612571428587</v>
      </c>
      <c r="AD511" s="43">
        <f t="shared" si="254"/>
        <v>922.67904208979598</v>
      </c>
      <c r="AE511" s="43">
        <f t="shared" si="255"/>
        <v>860.3533989631253</v>
      </c>
      <c r="AF511" s="43">
        <f t="shared" si="256"/>
        <v>802.65766075443617</v>
      </c>
      <c r="AH511" s="43">
        <f t="shared" si="257"/>
        <v>13581.263999999999</v>
      </c>
      <c r="AI511" s="43">
        <f t="shared" si="258"/>
        <v>12591.257874285713</v>
      </c>
      <c r="AJ511" s="43">
        <f t="shared" si="259"/>
        <v>11668.578832195917</v>
      </c>
      <c r="AK511" s="43">
        <f t="shared" si="260"/>
        <v>10808.225433232792</v>
      </c>
      <c r="AL511" s="43">
        <f t="shared" si="261"/>
        <v>10005.567772478356</v>
      </c>
      <c r="AN511" s="47">
        <f t="shared" si="262"/>
        <v>1619.5678240000002</v>
      </c>
      <c r="AO511" s="47">
        <f t="shared" si="263"/>
        <v>1632.1602773028571</v>
      </c>
      <c r="AP511" s="47">
        <f t="shared" si="264"/>
        <v>1517.7765625317877</v>
      </c>
      <c r="AQ511" s="47">
        <f t="shared" si="265"/>
        <v>1454.8057977909289</v>
      </c>
      <c r="AR511" s="43">
        <f t="shared" si="266"/>
        <v>1182.8692361086137</v>
      </c>
      <c r="AS511" s="349"/>
      <c r="AT511" s="350"/>
      <c r="AU511" s="121"/>
      <c r="AV511" s="121"/>
      <c r="AW511" s="121"/>
      <c r="AX511" s="121"/>
    </row>
    <row r="512" spans="1:50" s="89" customFormat="1">
      <c r="A512" s="3"/>
      <c r="B512" s="37">
        <f>'13. Desinvesteringen'!B795</f>
        <v>776</v>
      </c>
      <c r="C512" s="331"/>
      <c r="D512" s="331"/>
      <c r="E512" s="331"/>
      <c r="F512" s="354">
        <f>'5. Input GAW-waarde desinv.'!D471</f>
        <v>229382</v>
      </c>
      <c r="G512" s="175">
        <f>'13. Desinvesteringen'!D795</f>
        <v>2011</v>
      </c>
      <c r="H512" s="175">
        <f>'13. Desinvesteringen'!G795</f>
        <v>2025</v>
      </c>
      <c r="I512" s="37" t="str">
        <f>'13. Desinvesteringen'!C795</f>
        <v>33 Exportstations</v>
      </c>
      <c r="J512" s="165">
        <f>'13. Desinvesteringen'!F795</f>
        <v>0</v>
      </c>
      <c r="K512" s="38">
        <f>_xlfn.XLOOKUP(I512,'3. Input (des)investeringen '!$B$11:$B$89,'3. Input (des)investeringen '!$E$11:$E$89)</f>
        <v>1</v>
      </c>
      <c r="L512" s="331"/>
      <c r="M512" s="38">
        <f>_xlfn.XLOOKUP(I512,'3. Input (des)investeringen '!$B$11:$B$89,'3. Input (des)investeringen '!$D$11:$D$89,0)</f>
        <v>30</v>
      </c>
      <c r="N512" s="38">
        <f t="shared" si="246"/>
        <v>19.5</v>
      </c>
      <c r="P512" s="43">
        <f t="shared" si="240"/>
        <v>13762.92</v>
      </c>
      <c r="Q512" s="43">
        <f t="shared" si="240"/>
        <v>12845.392000000002</v>
      </c>
      <c r="R512" s="43">
        <f t="shared" si="240"/>
        <v>11989.032533333333</v>
      </c>
      <c r="S512" s="43">
        <f t="shared" si="240"/>
        <v>11189.763697777778</v>
      </c>
      <c r="T512" s="43">
        <f t="shared" si="240"/>
        <v>10443.779451259259</v>
      </c>
      <c r="V512" s="43">
        <f t="shared" si="247"/>
        <v>1176.3179487179486</v>
      </c>
      <c r="W512" s="43">
        <f t="shared" si="248"/>
        <v>1176.3179487179486</v>
      </c>
      <c r="X512" s="43">
        <f t="shared" si="249"/>
        <v>1176.3179487179486</v>
      </c>
      <c r="Y512" s="43">
        <f t="shared" si="250"/>
        <v>1176.3179487179486</v>
      </c>
      <c r="Z512" s="43">
        <f t="shared" si="251"/>
        <v>1176.3179487179486</v>
      </c>
      <c r="AB512" s="43">
        <f t="shared" si="252"/>
        <v>14939.23794871795</v>
      </c>
      <c r="AC512" s="43">
        <f t="shared" si="253"/>
        <v>14021.709948717951</v>
      </c>
      <c r="AD512" s="43">
        <f t="shared" si="254"/>
        <v>13165.350482051283</v>
      </c>
      <c r="AE512" s="43">
        <f t="shared" si="255"/>
        <v>12366.081646495728</v>
      </c>
      <c r="AF512" s="43">
        <f t="shared" si="256"/>
        <v>11620.097399977207</v>
      </c>
      <c r="AH512" s="43">
        <f t="shared" si="257"/>
        <v>214442.76205128204</v>
      </c>
      <c r="AI512" s="43">
        <f t="shared" si="258"/>
        <v>200421.05210256408</v>
      </c>
      <c r="AJ512" s="43">
        <f t="shared" si="259"/>
        <v>187255.70162051279</v>
      </c>
      <c r="AK512" s="43">
        <f t="shared" si="260"/>
        <v>174889.61997401706</v>
      </c>
      <c r="AL512" s="43">
        <f t="shared" si="261"/>
        <v>163269.52257403985</v>
      </c>
      <c r="AN512" s="47">
        <f t="shared" si="262"/>
        <v>23731.391192820513</v>
      </c>
      <c r="AO512" s="47">
        <f t="shared" si="263"/>
        <v>24243.183605948718</v>
      </c>
      <c r="AP512" s="47">
        <f t="shared" si="264"/>
        <v>22715.391264697435</v>
      </c>
      <c r="AQ512" s="47">
        <f t="shared" si="265"/>
        <v>21985.010745066666</v>
      </c>
      <c r="AR512" s="43">
        <f t="shared" si="266"/>
        <v>17824.339257790722</v>
      </c>
      <c r="AS512" s="349"/>
      <c r="AT512" s="350"/>
      <c r="AU512" s="121"/>
      <c r="AV512" s="121"/>
      <c r="AW512" s="121"/>
      <c r="AX512" s="121"/>
    </row>
    <row r="513" spans="1:50" s="89" customFormat="1">
      <c r="A513" s="3"/>
      <c r="B513" s="37">
        <f>'13. Desinvesteringen'!B796</f>
        <v>777</v>
      </c>
      <c r="C513" s="331"/>
      <c r="D513" s="331"/>
      <c r="E513" s="331"/>
      <c r="F513" s="354">
        <f>'5. Input GAW-waarde desinv.'!D472</f>
        <v>122132</v>
      </c>
      <c r="G513" s="175">
        <f>'13. Desinvesteringen'!D796</f>
        <v>2016</v>
      </c>
      <c r="H513" s="175">
        <f>'13. Desinvesteringen'!G796</f>
        <v>2025</v>
      </c>
      <c r="I513" s="37" t="str">
        <f>'13. Desinvesteringen'!C796</f>
        <v>33 Exportstations</v>
      </c>
      <c r="J513" s="165">
        <f>'13. Desinvesteringen'!F796</f>
        <v>0</v>
      </c>
      <c r="K513" s="38">
        <f>_xlfn.XLOOKUP(I513,'3. Input (des)investeringen '!$B$11:$B$89,'3. Input (des)investeringen '!$E$11:$E$89)</f>
        <v>1</v>
      </c>
      <c r="L513" s="331"/>
      <c r="M513" s="38">
        <f>_xlfn.XLOOKUP(I513,'3. Input (des)investeringen '!$B$11:$B$89,'3. Input (des)investeringen '!$D$11:$D$89,0)</f>
        <v>30</v>
      </c>
      <c r="N513" s="38">
        <f t="shared" ref="N513:N518" si="267">IF($M513&gt;0, MAX(0,IF(G513&lt;2022,M513-2021+G513-0.5,M513)), 0)</f>
        <v>24.5</v>
      </c>
      <c r="P513" s="43">
        <f t="shared" si="240"/>
        <v>5832.4261224489801</v>
      </c>
      <c r="Q513" s="43">
        <f t="shared" si="240"/>
        <v>5522.9504506455651</v>
      </c>
      <c r="R513" s="43">
        <f t="shared" si="240"/>
        <v>5229.8959369378408</v>
      </c>
      <c r="S513" s="43">
        <f t="shared" si="240"/>
        <v>4952.3912545697103</v>
      </c>
      <c r="T513" s="43">
        <f t="shared" si="240"/>
        <v>4689.6113104496853</v>
      </c>
      <c r="V513" s="43">
        <f t="shared" ref="V513:V518" si="268">IF($M513&gt;0, IF(OR($G513&gt;V$50,$G513+$M513&lt;V$50),0,
VDB($F513,0,$N513,MAX(0,P$50-2022),MIN($N513,P$50-2021),1,FALSE))*$F$26, 0)</f>
        <v>498.49795918367346</v>
      </c>
      <c r="W513" s="43">
        <f t="shared" ref="W513:W518" si="269">IF($M513&gt;0, IF(OR($G513&gt;W$50,$G513+$M513&lt;W$50),0,
VDB($F513,0,$N513,MAX(0,Q$50-2022),MIN($N513,Q$50-2021),1,FALSE))*$F$26, 0)</f>
        <v>498.49795918367346</v>
      </c>
      <c r="X513" s="43">
        <f t="shared" ref="X513:X518" si="270">IF($M513&gt;0, IF(OR($G513&gt;X$50,$G513+$M513&lt;X$50),0,
VDB($F513,0,$N513,MAX(0,R$50-2022),MIN($N513,R$50-2021),1,FALSE))*$F$26, 0)</f>
        <v>498.49795918367346</v>
      </c>
      <c r="Y513" s="43">
        <f t="shared" ref="Y513:Y518" si="271">IF($M513&gt;0, IF(OR($G513&gt;Y$50,$G513+$M513&lt;Y$50),0,
VDB($F513,0,$N513,MAX(0,S$50-2022),MIN($N513,S$50-2021),1,FALSE))*$F$26, 0)</f>
        <v>498.49795918367346</v>
      </c>
      <c r="Z513" s="43">
        <f t="shared" ref="Z513:Z518" si="272">IF($M513&gt;0, IF(OR($G513&gt;Z$50,$G513+$M513&lt;Z$50),0,
VDB($F513,0,$N513,MAX(0,T$50-2022),MIN($N513,T$50-2021),1,FALSE))*$F$26, 0)</f>
        <v>498.49795918367346</v>
      </c>
      <c r="AB513" s="43">
        <f t="shared" ref="AB513:AB518" si="273">P513+V513</f>
        <v>6330.9240816326537</v>
      </c>
      <c r="AC513" s="43">
        <f t="shared" ref="AC513:AC518" si="274">Q513+W513</f>
        <v>6021.4484098292387</v>
      </c>
      <c r="AD513" s="43">
        <f t="shared" ref="AD513:AD518" si="275">R513+X513</f>
        <v>5728.3938961215144</v>
      </c>
      <c r="AE513" s="43">
        <f t="shared" ref="AE513:AE518" si="276">S513+Y513</f>
        <v>5450.889213753384</v>
      </c>
      <c r="AF513" s="43">
        <f t="shared" ref="AF513:AF518" si="277">T513+Z513</f>
        <v>5188.109269633359</v>
      </c>
      <c r="AH513" s="43">
        <f t="shared" ref="AH513:AH518" si="278">IF($M513&gt;0, IF($M513&gt;0,IF(OR($G513&gt;AH$50,$G513+$M513&lt;=AH$50),0,IF(AH$50=2022,$F513-AB513,AG513-AB513))), $F513)</f>
        <v>115801.07591836735</v>
      </c>
      <c r="AI513" s="43">
        <f t="shared" ref="AI513:AI518" si="279">IF($M513&gt;0, IF(OR($G513&gt;AI$50,$G513+$M513&lt;=AI$50),0,IF(AI$50=2022,$F513-AC513,AH513-AC513)), AH513)</f>
        <v>109779.62750853811</v>
      </c>
      <c r="AJ513" s="43">
        <f t="shared" ref="AJ513:AJ518" si="280">IF($M513&gt;0, IF(OR($G513&gt;AJ$50,$G513+$M513&lt;=AJ$50),0,IF(AJ$50=2022,$F513-AD513,AI513-AD513)), AI513)</f>
        <v>104051.23361241659</v>
      </c>
      <c r="AK513" s="43">
        <f t="shared" ref="AK513:AK518" si="281">IF($M513&gt;0, IF(OR($G513&gt;AK$50,$G513+$M513&lt;=AK$50),0,IF(AK$50=2022,$F513-AE513,AJ513-AE513)), AJ513)</f>
        <v>98600.344398663205</v>
      </c>
      <c r="AL513" s="43">
        <f t="shared" ref="AL513:AL518" si="282">IF($M513&gt;0, IF(OR($G513&gt;AL$50,$G513+$M513&lt;=AL$50),0,IF(AL$50=2022,$F513-AF513,AK513-AF513)), AK513)</f>
        <v>93412.235129029839</v>
      </c>
      <c r="AN513" s="47">
        <f t="shared" ref="AN513:AN518" si="283">(AB513+AH513*H$17)*IF($K513=1,$F$32,1)</f>
        <v>11078.768194285716</v>
      </c>
      <c r="AO513" s="47">
        <f t="shared" ref="AO513:AO518" si="284">(AC513+AI513*I$17)*IF($K513=1,$F$32,1)</f>
        <v>11620.209412764681</v>
      </c>
      <c r="AP513" s="47">
        <f t="shared" ref="AP513:AP518" si="285">(AD513+AJ513*J$17)*IF($K513=1,$F$32,1)</f>
        <v>11035.00681035476</v>
      </c>
      <c r="AQ513" s="47">
        <f t="shared" ref="AQ513:AQ518" si="286">(AE513+AK513*K$17)*IF($K513=1,$F$32,1)</f>
        <v>10873.908155679859</v>
      </c>
      <c r="AR513" s="43">
        <f t="shared" ref="AR513:AR518" si="287">(AF513+AL513*L$17)*IF($K513=1,$F$32,1)</f>
        <v>8737.7742045364921</v>
      </c>
      <c r="AS513" s="349"/>
      <c r="AT513" s="350"/>
      <c r="AU513" s="121"/>
      <c r="AV513" s="121"/>
      <c r="AW513" s="121"/>
      <c r="AX513" s="121"/>
    </row>
    <row r="514" spans="1:50" s="89" customFormat="1">
      <c r="A514" s="3"/>
      <c r="B514" s="37">
        <f>'13. Desinvesteringen'!B797</f>
        <v>778</v>
      </c>
      <c r="C514" s="331"/>
      <c r="D514" s="331"/>
      <c r="E514" s="331"/>
      <c r="F514" s="354">
        <f>'5. Input GAW-waarde desinv.'!D473</f>
        <v>0</v>
      </c>
      <c r="G514" s="175">
        <f>'13. Desinvesteringen'!D797</f>
        <v>2023</v>
      </c>
      <c r="H514" s="175">
        <f>'13. Desinvesteringen'!G797</f>
        <v>2025</v>
      </c>
      <c r="I514" s="37" t="str">
        <f>'13. Desinvesteringen'!C797</f>
        <v>33 Exportstations</v>
      </c>
      <c r="J514" s="165">
        <f>'13. Desinvesteringen'!F797</f>
        <v>0</v>
      </c>
      <c r="K514" s="38">
        <f>_xlfn.XLOOKUP(I514,'3. Input (des)investeringen '!$B$11:$B$89,'3. Input (des)investeringen '!$E$11:$E$89)</f>
        <v>1</v>
      </c>
      <c r="L514" s="331"/>
      <c r="M514" s="38">
        <f>_xlfn.XLOOKUP(I514,'3. Input (des)investeringen '!$B$11:$B$89,'3. Input (des)investeringen '!$D$11:$D$89,0)</f>
        <v>30</v>
      </c>
      <c r="N514" s="38">
        <f t="shared" si="267"/>
        <v>30</v>
      </c>
      <c r="P514" s="43">
        <f t="shared" si="240"/>
        <v>0</v>
      </c>
      <c r="Q514" s="174">
        <v>643.86328500000002</v>
      </c>
      <c r="R514" s="174">
        <v>1259.825828</v>
      </c>
      <c r="S514" s="174">
        <v>1205.233375</v>
      </c>
      <c r="T514" s="174">
        <v>1153.0065959999999</v>
      </c>
      <c r="V514" s="43">
        <f t="shared" si="268"/>
        <v>0</v>
      </c>
      <c r="W514" s="174">
        <v>55.03105</v>
      </c>
      <c r="X514" s="174">
        <v>110.0621</v>
      </c>
      <c r="Y514" s="174">
        <v>110.0621</v>
      </c>
      <c r="Z514" s="174">
        <v>110.0621</v>
      </c>
      <c r="AB514" s="43">
        <f t="shared" si="273"/>
        <v>0</v>
      </c>
      <c r="AC514" s="43">
        <f t="shared" si="274"/>
        <v>698.89433500000007</v>
      </c>
      <c r="AD514" s="43">
        <f t="shared" si="275"/>
        <v>1369.8879280000001</v>
      </c>
      <c r="AE514" s="43">
        <f t="shared" si="276"/>
        <v>1315.2954750000001</v>
      </c>
      <c r="AF514" s="43">
        <f t="shared" si="277"/>
        <v>1263.068696</v>
      </c>
      <c r="AH514" s="43">
        <f t="shared" si="278"/>
        <v>0</v>
      </c>
      <c r="AI514" s="174">
        <v>32319.735669999998</v>
      </c>
      <c r="AJ514" s="174">
        <v>30949.847740000001</v>
      </c>
      <c r="AK514" s="174">
        <v>29634.55226</v>
      </c>
      <c r="AL514" s="174">
        <v>28371.48357</v>
      </c>
      <c r="AN514" s="47">
        <f t="shared" si="283"/>
        <v>0</v>
      </c>
      <c r="AO514" s="47">
        <f t="shared" si="284"/>
        <v>2347.2008541699997</v>
      </c>
      <c r="AP514" s="47">
        <f t="shared" si="285"/>
        <v>2948.3301627400001</v>
      </c>
      <c r="AQ514" s="47">
        <f t="shared" si="286"/>
        <v>2945.1958493000002</v>
      </c>
      <c r="AR514" s="43">
        <f t="shared" si="287"/>
        <v>2341.1850716600002</v>
      </c>
      <c r="AS514" s="349"/>
      <c r="AT514" s="350"/>
      <c r="AU514" s="121"/>
      <c r="AV514" s="121"/>
      <c r="AW514" s="121"/>
      <c r="AX514" s="121"/>
    </row>
    <row r="515" spans="1:50" s="89" customFormat="1">
      <c r="A515" s="3"/>
      <c r="B515" s="37">
        <f>'13. Desinvesteringen'!B798</f>
        <v>779</v>
      </c>
      <c r="C515" s="331"/>
      <c r="D515" s="331"/>
      <c r="E515" s="331"/>
      <c r="F515" s="354">
        <f>'5. Input GAW-waarde desinv.'!D474</f>
        <v>0</v>
      </c>
      <c r="G515" s="175">
        <f>'13. Desinvesteringen'!D798</f>
        <v>1979</v>
      </c>
      <c r="H515" s="175">
        <f>'13. Desinvesteringen'!G798</f>
        <v>2025</v>
      </c>
      <c r="I515" s="37" t="str">
        <f>'13. Desinvesteringen'!C798</f>
        <v>34 Reduceerstations</v>
      </c>
      <c r="J515" s="165">
        <f>'13. Desinvesteringen'!F798</f>
        <v>0</v>
      </c>
      <c r="K515" s="38">
        <f>_xlfn.XLOOKUP(I515,'3. Input (des)investeringen '!$B$11:$B$89,'3. Input (des)investeringen '!$E$11:$E$89)</f>
        <v>1</v>
      </c>
      <c r="L515" s="331"/>
      <c r="M515" s="38">
        <f>_xlfn.XLOOKUP(I515,'3. Input (des)investeringen '!$B$11:$B$89,'3. Input (des)investeringen '!$D$11:$D$89,0)</f>
        <v>30</v>
      </c>
      <c r="N515" s="38">
        <f t="shared" si="267"/>
        <v>0</v>
      </c>
      <c r="P515" s="43">
        <f t="shared" ref="P515:T518" si="288">IF($M515&gt;0, IF(OR($G515&gt;P$50,$G515+$M515&lt;P$50),0,
VDB($F515,0,$N515,MAX(0,P$50-2022),MIN($N515,P$50-2021),$F$23,FALSE))*(1-$F$26), 0)</f>
        <v>0</v>
      </c>
      <c r="Q515" s="43">
        <f t="shared" si="288"/>
        <v>0</v>
      </c>
      <c r="R515" s="43">
        <f t="shared" si="288"/>
        <v>0</v>
      </c>
      <c r="S515" s="43">
        <f t="shared" si="288"/>
        <v>0</v>
      </c>
      <c r="T515" s="43">
        <f t="shared" si="288"/>
        <v>0</v>
      </c>
      <c r="V515" s="43">
        <f t="shared" si="268"/>
        <v>0</v>
      </c>
      <c r="W515" s="43">
        <f t="shared" si="269"/>
        <v>0</v>
      </c>
      <c r="X515" s="43">
        <f t="shared" si="270"/>
        <v>0</v>
      </c>
      <c r="Y515" s="43">
        <f t="shared" si="271"/>
        <v>0</v>
      </c>
      <c r="Z515" s="43">
        <f t="shared" si="272"/>
        <v>0</v>
      </c>
      <c r="AB515" s="43">
        <f t="shared" si="273"/>
        <v>0</v>
      </c>
      <c r="AC515" s="43">
        <f t="shared" si="274"/>
        <v>0</v>
      </c>
      <c r="AD515" s="43">
        <f t="shared" si="275"/>
        <v>0</v>
      </c>
      <c r="AE515" s="43">
        <f t="shared" si="276"/>
        <v>0</v>
      </c>
      <c r="AF515" s="43">
        <f t="shared" si="277"/>
        <v>0</v>
      </c>
      <c r="AH515" s="43">
        <f t="shared" si="278"/>
        <v>0</v>
      </c>
      <c r="AI515" s="43">
        <f t="shared" si="279"/>
        <v>0</v>
      </c>
      <c r="AJ515" s="43">
        <f t="shared" si="280"/>
        <v>0</v>
      </c>
      <c r="AK515" s="43">
        <f t="shared" si="281"/>
        <v>0</v>
      </c>
      <c r="AL515" s="43">
        <f t="shared" si="282"/>
        <v>0</v>
      </c>
      <c r="AN515" s="47">
        <f t="shared" si="283"/>
        <v>0</v>
      </c>
      <c r="AO515" s="47">
        <f t="shared" si="284"/>
        <v>0</v>
      </c>
      <c r="AP515" s="47">
        <f t="shared" si="285"/>
        <v>0</v>
      </c>
      <c r="AQ515" s="47">
        <f t="shared" si="286"/>
        <v>0</v>
      </c>
      <c r="AR515" s="43">
        <f t="shared" si="287"/>
        <v>0</v>
      </c>
      <c r="AS515" s="349"/>
      <c r="AT515" s="350"/>
      <c r="AU515" s="121"/>
      <c r="AV515" s="121"/>
      <c r="AW515" s="121"/>
      <c r="AX515" s="121"/>
    </row>
    <row r="516" spans="1:50" s="89" customFormat="1">
      <c r="A516" s="3"/>
      <c r="B516" s="37">
        <f>'13. Desinvesteringen'!B799</f>
        <v>780</v>
      </c>
      <c r="C516" s="331"/>
      <c r="D516" s="331"/>
      <c r="E516" s="331"/>
      <c r="F516" s="354">
        <f>'5. Input GAW-waarde desinv.'!D475</f>
        <v>92560</v>
      </c>
      <c r="G516" s="175">
        <f>'13. Desinvesteringen'!D799</f>
        <v>1998</v>
      </c>
      <c r="H516" s="175">
        <f>'13. Desinvesteringen'!G799</f>
        <v>2025</v>
      </c>
      <c r="I516" s="37" t="str">
        <f>'13. Desinvesteringen'!C799</f>
        <v>34 Reduceerstations</v>
      </c>
      <c r="J516" s="165">
        <f>'13. Desinvesteringen'!F799</f>
        <v>0</v>
      </c>
      <c r="K516" s="38">
        <f>_xlfn.XLOOKUP(I516,'3. Input (des)investeringen '!$B$11:$B$89,'3. Input (des)investeringen '!$E$11:$E$89)</f>
        <v>1</v>
      </c>
      <c r="L516" s="331"/>
      <c r="M516" s="38">
        <f>_xlfn.XLOOKUP(I516,'3. Input (des)investeringen '!$B$11:$B$89,'3. Input (des)investeringen '!$D$11:$D$89,0)</f>
        <v>30</v>
      </c>
      <c r="N516" s="38">
        <f t="shared" si="267"/>
        <v>6.5</v>
      </c>
      <c r="P516" s="43">
        <f t="shared" si="288"/>
        <v>16660.8</v>
      </c>
      <c r="Q516" s="43">
        <f t="shared" si="288"/>
        <v>13328.640000000001</v>
      </c>
      <c r="R516" s="43">
        <f t="shared" si="288"/>
        <v>11847.68</v>
      </c>
      <c r="S516" s="43">
        <f t="shared" si="288"/>
        <v>11847.68</v>
      </c>
      <c r="T516" s="43">
        <f t="shared" si="288"/>
        <v>11847.68</v>
      </c>
      <c r="V516" s="43">
        <f t="shared" si="268"/>
        <v>1424</v>
      </c>
      <c r="W516" s="43">
        <f t="shared" si="269"/>
        <v>1424</v>
      </c>
      <c r="X516" s="43">
        <f t="shared" si="270"/>
        <v>1424</v>
      </c>
      <c r="Y516" s="43">
        <f t="shared" si="271"/>
        <v>1424</v>
      </c>
      <c r="Z516" s="43">
        <f t="shared" si="272"/>
        <v>1424</v>
      </c>
      <c r="AB516" s="43">
        <f t="shared" si="273"/>
        <v>18084.8</v>
      </c>
      <c r="AC516" s="43">
        <f t="shared" si="274"/>
        <v>14752.640000000001</v>
      </c>
      <c r="AD516" s="43">
        <f t="shared" si="275"/>
        <v>13271.68</v>
      </c>
      <c r="AE516" s="43">
        <f t="shared" si="276"/>
        <v>13271.68</v>
      </c>
      <c r="AF516" s="43">
        <f t="shared" si="277"/>
        <v>13271.68</v>
      </c>
      <c r="AH516" s="43">
        <f t="shared" si="278"/>
        <v>74475.199999999997</v>
      </c>
      <c r="AI516" s="43">
        <f t="shared" si="279"/>
        <v>59722.559999999998</v>
      </c>
      <c r="AJ516" s="43">
        <f t="shared" si="280"/>
        <v>46450.879999999997</v>
      </c>
      <c r="AK516" s="43">
        <f t="shared" si="281"/>
        <v>33179.199999999997</v>
      </c>
      <c r="AL516" s="43">
        <f t="shared" si="282"/>
        <v>19907.519999999997</v>
      </c>
      <c r="AN516" s="47">
        <f t="shared" si="283"/>
        <v>21138.283199999998</v>
      </c>
      <c r="AO516" s="47">
        <f t="shared" si="284"/>
        <v>17798.490560000002</v>
      </c>
      <c r="AP516" s="47">
        <f t="shared" si="285"/>
        <v>15640.67488</v>
      </c>
      <c r="AQ516" s="47">
        <f t="shared" si="286"/>
        <v>15096.536</v>
      </c>
      <c r="AR516" s="43">
        <f t="shared" si="287"/>
        <v>14028.16576</v>
      </c>
      <c r="AS516" s="349"/>
      <c r="AT516" s="350"/>
      <c r="AU516" s="121"/>
      <c r="AV516" s="121"/>
      <c r="AW516" s="121"/>
      <c r="AX516" s="121"/>
    </row>
    <row r="517" spans="1:50" s="89" customFormat="1">
      <c r="A517" s="3"/>
      <c r="B517" s="37">
        <f>'13. Desinvesteringen'!B800</f>
        <v>781</v>
      </c>
      <c r="C517" s="331"/>
      <c r="D517" s="331"/>
      <c r="E517" s="331"/>
      <c r="F517" s="354">
        <f>'5. Input GAW-waarde desinv.'!D476</f>
        <v>135438</v>
      </c>
      <c r="G517" s="175">
        <f>'13. Desinvesteringen'!D800</f>
        <v>2010</v>
      </c>
      <c r="H517" s="175">
        <f>'13. Desinvesteringen'!G800</f>
        <v>2025</v>
      </c>
      <c r="I517" s="37" t="str">
        <f>'13. Desinvesteringen'!C800</f>
        <v>34 Reduceerstations</v>
      </c>
      <c r="J517" s="165">
        <f>'13. Desinvesteringen'!F800</f>
        <v>0</v>
      </c>
      <c r="K517" s="38">
        <f>_xlfn.XLOOKUP(I517,'3. Input (des)investeringen '!$B$11:$B$89,'3. Input (des)investeringen '!$E$11:$E$89)</f>
        <v>1</v>
      </c>
      <c r="L517" s="331"/>
      <c r="M517" s="38">
        <f>_xlfn.XLOOKUP(I517,'3. Input (des)investeringen '!$B$11:$B$89,'3. Input (des)investeringen '!$D$11:$D$89,0)</f>
        <v>30</v>
      </c>
      <c r="N517" s="38">
        <f t="shared" si="267"/>
        <v>18.5</v>
      </c>
      <c r="P517" s="43">
        <f t="shared" si="288"/>
        <v>8565.5383783783782</v>
      </c>
      <c r="Q517" s="43">
        <f t="shared" si="288"/>
        <v>7963.6356815193585</v>
      </c>
      <c r="R517" s="43">
        <f t="shared" si="288"/>
        <v>7404.0288498450245</v>
      </c>
      <c r="S517" s="43">
        <f t="shared" si="288"/>
        <v>6883.7457414775363</v>
      </c>
      <c r="T517" s="43">
        <f t="shared" si="288"/>
        <v>6400.0230677520876</v>
      </c>
      <c r="V517" s="43">
        <f t="shared" si="268"/>
        <v>732.09729729729736</v>
      </c>
      <c r="W517" s="43">
        <f t="shared" si="269"/>
        <v>732.09729729729736</v>
      </c>
      <c r="X517" s="43">
        <f t="shared" si="270"/>
        <v>732.09729729729736</v>
      </c>
      <c r="Y517" s="43">
        <f t="shared" si="271"/>
        <v>732.09729729729736</v>
      </c>
      <c r="Z517" s="43">
        <f t="shared" si="272"/>
        <v>732.09729729729736</v>
      </c>
      <c r="AB517" s="43">
        <f t="shared" si="273"/>
        <v>9297.6356756756759</v>
      </c>
      <c r="AC517" s="43">
        <f t="shared" si="274"/>
        <v>8695.7329788166553</v>
      </c>
      <c r="AD517" s="43">
        <f t="shared" si="275"/>
        <v>8136.1261471423222</v>
      </c>
      <c r="AE517" s="43">
        <f t="shared" si="276"/>
        <v>7615.843038774834</v>
      </c>
      <c r="AF517" s="43">
        <f t="shared" si="277"/>
        <v>7132.1203650493853</v>
      </c>
      <c r="AH517" s="43">
        <f t="shared" si="278"/>
        <v>126140.36432432433</v>
      </c>
      <c r="AI517" s="43">
        <f t="shared" si="279"/>
        <v>117444.63134550767</v>
      </c>
      <c r="AJ517" s="43">
        <f t="shared" si="280"/>
        <v>109308.50519836535</v>
      </c>
      <c r="AK517" s="43">
        <f t="shared" si="281"/>
        <v>101692.66215959052</v>
      </c>
      <c r="AL517" s="43">
        <f t="shared" si="282"/>
        <v>94560.541794541132</v>
      </c>
      <c r="AN517" s="47">
        <f t="shared" si="283"/>
        <v>14469.390612972973</v>
      </c>
      <c r="AO517" s="47">
        <f t="shared" si="284"/>
        <v>14685.409177437547</v>
      </c>
      <c r="AP517" s="47">
        <f t="shared" si="285"/>
        <v>13710.859912258955</v>
      </c>
      <c r="AQ517" s="47">
        <f t="shared" si="286"/>
        <v>13208.939457552311</v>
      </c>
      <c r="AR517" s="43">
        <f t="shared" si="287"/>
        <v>10725.420953241948</v>
      </c>
      <c r="AS517" s="349"/>
      <c r="AT517" s="350"/>
      <c r="AU517" s="121"/>
      <c r="AV517" s="121"/>
      <c r="AW517" s="121"/>
      <c r="AX517" s="121"/>
    </row>
    <row r="518" spans="1:50" s="89" customFormat="1">
      <c r="A518" s="3"/>
      <c r="B518" s="37">
        <f>'13. Desinvesteringen'!B801</f>
        <v>782</v>
      </c>
      <c r="C518" s="331"/>
      <c r="D518" s="331"/>
      <c r="E518" s="331"/>
      <c r="F518" s="354">
        <f>'5. Input GAW-waarde desinv.'!D477</f>
        <v>0</v>
      </c>
      <c r="G518" s="175">
        <f>'13. Desinvesteringen'!D801</f>
        <v>1988</v>
      </c>
      <c r="H518" s="175">
        <f>'13. Desinvesteringen'!G801</f>
        <v>2025</v>
      </c>
      <c r="I518" s="37" t="str">
        <f>'13. Desinvesteringen'!C801</f>
        <v>36 Luchtscheidingsunit</v>
      </c>
      <c r="J518" s="165">
        <f>'13. Desinvesteringen'!F801</f>
        <v>0</v>
      </c>
      <c r="K518" s="38">
        <f>_xlfn.XLOOKUP(I518,'3. Input (des)investeringen '!$B$11:$B$89,'3. Input (des)investeringen '!$E$11:$E$89)</f>
        <v>0</v>
      </c>
      <c r="L518" s="331"/>
      <c r="M518" s="38">
        <f>_xlfn.XLOOKUP(I518,'3. Input (des)investeringen '!$B$11:$B$89,'3. Input (des)investeringen '!$D$11:$D$89,0)</f>
        <v>30</v>
      </c>
      <c r="N518" s="38">
        <f t="shared" si="267"/>
        <v>0</v>
      </c>
      <c r="P518" s="43">
        <f t="shared" si="288"/>
        <v>0</v>
      </c>
      <c r="Q518" s="43">
        <f t="shared" si="288"/>
        <v>0</v>
      </c>
      <c r="R518" s="43">
        <f t="shared" si="288"/>
        <v>0</v>
      </c>
      <c r="S518" s="43">
        <f t="shared" si="288"/>
        <v>0</v>
      </c>
      <c r="T518" s="43">
        <f t="shared" si="288"/>
        <v>0</v>
      </c>
      <c r="V518" s="43">
        <f t="shared" si="268"/>
        <v>0</v>
      </c>
      <c r="W518" s="43">
        <f t="shared" si="269"/>
        <v>0</v>
      </c>
      <c r="X518" s="43">
        <f t="shared" si="270"/>
        <v>0</v>
      </c>
      <c r="Y518" s="43">
        <f t="shared" si="271"/>
        <v>0</v>
      </c>
      <c r="Z518" s="43">
        <f t="shared" si="272"/>
        <v>0</v>
      </c>
      <c r="AB518" s="43">
        <f t="shared" si="273"/>
        <v>0</v>
      </c>
      <c r="AC518" s="43">
        <f t="shared" si="274"/>
        <v>0</v>
      </c>
      <c r="AD518" s="43">
        <f t="shared" si="275"/>
        <v>0</v>
      </c>
      <c r="AE518" s="43">
        <f t="shared" si="276"/>
        <v>0</v>
      </c>
      <c r="AF518" s="43">
        <f t="shared" si="277"/>
        <v>0</v>
      </c>
      <c r="AH518" s="43">
        <f t="shared" si="278"/>
        <v>0</v>
      </c>
      <c r="AI518" s="43">
        <f t="shared" si="279"/>
        <v>0</v>
      </c>
      <c r="AJ518" s="43">
        <f t="shared" si="280"/>
        <v>0</v>
      </c>
      <c r="AK518" s="43">
        <f t="shared" si="281"/>
        <v>0</v>
      </c>
      <c r="AL518" s="43">
        <f t="shared" si="282"/>
        <v>0</v>
      </c>
      <c r="AN518" s="47">
        <f t="shared" si="283"/>
        <v>0</v>
      </c>
      <c r="AO518" s="47">
        <f t="shared" si="284"/>
        <v>0</v>
      </c>
      <c r="AP518" s="47">
        <f t="shared" si="285"/>
        <v>0</v>
      </c>
      <c r="AQ518" s="47">
        <f t="shared" si="286"/>
        <v>0</v>
      </c>
      <c r="AR518" s="43">
        <f t="shared" si="287"/>
        <v>0</v>
      </c>
      <c r="AS518" s="349"/>
      <c r="AT518" s="350"/>
      <c r="AU518" s="121"/>
      <c r="AV518" s="121"/>
      <c r="AW518" s="121"/>
      <c r="AX518" s="121"/>
    </row>
    <row r="520" spans="1:50" s="33" customFormat="1">
      <c r="A520" s="97"/>
      <c r="B520" s="33" t="s">
        <v>957</v>
      </c>
    </row>
    <row r="521" spans="1:50" s="34" customFormat="1">
      <c r="A521" s="98"/>
      <c r="B521" s="34" t="s">
        <v>162</v>
      </c>
      <c r="D521" s="34" t="s">
        <v>204</v>
      </c>
      <c r="H521" s="100">
        <v>2022</v>
      </c>
      <c r="I521" s="100">
        <v>2023</v>
      </c>
      <c r="J521" s="100">
        <v>2024</v>
      </c>
      <c r="K521" s="100">
        <v>2025</v>
      </c>
      <c r="L521" s="100">
        <v>2026</v>
      </c>
      <c r="M521" s="100">
        <v>2027</v>
      </c>
    </row>
    <row r="523" spans="1:50">
      <c r="B523" s="3" t="s">
        <v>958</v>
      </c>
      <c r="D523" s="3" t="s">
        <v>482</v>
      </c>
      <c r="H523" s="10"/>
      <c r="I523" s="47">
        <f>SUMIF($H52:$H518,2022,AO52:AO518)</f>
        <v>408005.86717868451</v>
      </c>
      <c r="J523" s="47">
        <f>SUMIF($H52:$H518,2022,AP52:AP518)</f>
        <v>369237.18762282777</v>
      </c>
      <c r="K523" s="47">
        <f>SUMIF($H52:$H518,2022,AQ52:AQ518)</f>
        <v>349446.46562466322</v>
      </c>
      <c r="L523" s="47">
        <f>SUMIF($H52:$H518,2022,AR52:AR518)</f>
        <v>292409.21892977547</v>
      </c>
      <c r="M523" s="10"/>
    </row>
    <row r="524" spans="1:50">
      <c r="B524" s="3" t="s">
        <v>959</v>
      </c>
      <c r="D524" s="3" t="s">
        <v>482</v>
      </c>
      <c r="H524" s="10"/>
      <c r="I524" s="96"/>
      <c r="J524" s="47">
        <f>SUMIF($H52:$H518,2023,AP52:AP518)</f>
        <v>2131747.5416087345</v>
      </c>
      <c r="K524" s="47">
        <f>SUMIF($H52:$H518,2023,AQ52:AQ518)</f>
        <v>1975002.3147524968</v>
      </c>
      <c r="L524" s="47">
        <f>SUMIF($H52:$H518,2023,AR52:AR518)</f>
        <v>1561981.9729548893</v>
      </c>
      <c r="M524" s="10"/>
    </row>
    <row r="525" spans="1:50">
      <c r="B525" s="3" t="s">
        <v>960</v>
      </c>
      <c r="D525" s="3" t="s">
        <v>482</v>
      </c>
      <c r="H525" s="10"/>
      <c r="I525" s="96"/>
      <c r="J525" s="96"/>
      <c r="K525" s="47">
        <f>SUMIF($H52:$H518,2024,AQ52:AQ518)</f>
        <v>6031281.446131777</v>
      </c>
      <c r="L525" s="47">
        <f>SUMIF($H52:$H518,2024,AR52:AR518)</f>
        <v>5103069.9292933596</v>
      </c>
      <c r="M525" s="10"/>
    </row>
    <row r="526" spans="1:50">
      <c r="B526" s="3" t="s">
        <v>961</v>
      </c>
      <c r="D526" s="3" t="s">
        <v>482</v>
      </c>
      <c r="H526" s="10"/>
      <c r="I526" s="96"/>
      <c r="J526" s="96"/>
      <c r="K526" s="96"/>
      <c r="L526" s="47">
        <f>SUMIF($H52:$H518,2025,AR52:AR518)</f>
        <v>615344.36264593131</v>
      </c>
      <c r="M526" s="10"/>
    </row>
    <row r="527" spans="1:50">
      <c r="B527" s="3" t="s">
        <v>962</v>
      </c>
      <c r="D527" s="3" t="s">
        <v>482</v>
      </c>
      <c r="H527" s="43">
        <f>SUMIF($H52:$H518,H$521,AH$52:AH518)-SUMIF($H52:$H518,H$521,$J52:$J518)*$F$29</f>
        <v>2854373.1382739237</v>
      </c>
      <c r="I527" s="43">
        <f>SUMIF($H52:$H518,I$521,AI$52:AI518)-SUMIF($H52:$H518,I$521,$J52:$J518)*$F$29</f>
        <v>16950406.364588555</v>
      </c>
      <c r="J527" s="43">
        <f>SUMIF($H52:$H518,J$521,AJ$52:AJ518)-SUMIF($H52:$H518,J$521,$J52:$J518)*$F$29</f>
        <v>41617064.852168538</v>
      </c>
      <c r="K527" s="43">
        <f>SUMIF($H52:$H518,K$521,AK$52:AK518)-SUMIF($H52:$H518,K$521,$J52:$J518)*$F$29</f>
        <v>6520202.3521687984</v>
      </c>
      <c r="L527" s="43">
        <f>SUMIF($H52:$H518,L$521,AL$52:AL518)-SUMIF($H52:$H518,L$521,$J52:$J518)*$F$29</f>
        <v>0</v>
      </c>
      <c r="M527" s="10"/>
    </row>
    <row r="528" spans="1:50">
      <c r="B528" s="3" t="s">
        <v>963</v>
      </c>
      <c r="D528" s="3" t="s">
        <v>482</v>
      </c>
      <c r="H528" s="10"/>
      <c r="I528" s="10"/>
      <c r="J528" s="10"/>
      <c r="K528" s="96"/>
      <c r="L528" s="96"/>
      <c r="M528" s="95">
        <f xml:space="preserve"> K527 * M38 - L526 * M39</f>
        <v>6480102.8314165603</v>
      </c>
    </row>
    <row r="529" spans="11:11">
      <c r="K529" s="227"/>
    </row>
  </sheetData>
  <mergeCells count="3">
    <mergeCell ref="B5:D5"/>
    <mergeCell ref="B7:D7"/>
    <mergeCell ref="B8:D8"/>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FFFFCC"/>
  </sheetPr>
  <dimension ref="A1:XFC1679"/>
  <sheetViews>
    <sheetView showGridLines="0" zoomScale="85" zoomScaleNormal="85" workbookViewId="0">
      <pane ySplit="9" topLeftCell="A10" activePane="bottomLeft" state="frozen"/>
      <selection pane="bottomLeft"/>
    </sheetView>
  </sheetViews>
  <sheetFormatPr defaultRowHeight="12.75"/>
  <cols>
    <col min="1" max="1" width="2.5703125" customWidth="1"/>
    <col min="2" max="2" width="30.28515625" customWidth="1"/>
    <col min="3" max="3" width="3.85546875" customWidth="1"/>
    <col min="4" max="4" width="52" customWidth="1"/>
    <col min="5" max="5" width="33.5703125" bestFit="1" customWidth="1"/>
    <col min="6" max="6" width="37" bestFit="1" customWidth="1"/>
    <col min="7" max="7" width="30" customWidth="1"/>
    <col min="8" max="10" width="13.5703125" customWidth="1"/>
    <col min="13" max="13" width="12.28515625" bestFit="1" customWidth="1"/>
  </cols>
  <sheetData>
    <row r="1" spans="1:1638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row>
    <row r="2" spans="1:16383" ht="18">
      <c r="A2" s="12"/>
      <c r="B2" s="12" t="s">
        <v>964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c r="XEZ2" s="12"/>
      <c r="XFA2" s="12"/>
      <c r="XFB2" s="12"/>
      <c r="XFC2" s="12"/>
    </row>
    <row r="3" spans="1:1638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6383">
      <c r="A4" s="3"/>
      <c r="B4" s="2" t="s">
        <v>893</v>
      </c>
      <c r="C4" s="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row>
    <row r="5" spans="1:16383" ht="18" customHeight="1">
      <c r="A5" s="3"/>
      <c r="B5" s="359" t="s">
        <v>965</v>
      </c>
      <c r="C5" s="359"/>
      <c r="D5" s="359"/>
      <c r="E5" s="359"/>
      <c r="F5" s="359"/>
      <c r="G5" s="359"/>
      <c r="H5" s="359"/>
      <c r="I5" s="359"/>
      <c r="J5" s="359"/>
      <c r="K5" s="359"/>
      <c r="L5" s="359"/>
      <c r="M5" s="359"/>
      <c r="N5" s="359"/>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row>
    <row r="6" spans="1:16383">
      <c r="A6" s="3"/>
      <c r="B6" s="17" t="s">
        <v>158</v>
      </c>
      <c r="C6" s="3"/>
      <c r="D6" s="3"/>
      <c r="E6" s="1"/>
      <c r="F6" s="1"/>
      <c r="G6" s="1"/>
      <c r="H6" s="1"/>
      <c r="I6" s="1"/>
      <c r="J6" s="1"/>
      <c r="K6" s="1"/>
      <c r="L6" s="1"/>
      <c r="M6" s="1"/>
      <c r="N6" s="1"/>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16383">
      <c r="A7" s="3"/>
      <c r="B7" s="359" t="s">
        <v>966</v>
      </c>
      <c r="C7" s="359"/>
      <c r="D7" s="359"/>
      <c r="E7" s="1"/>
      <c r="F7" s="1"/>
      <c r="G7" s="1"/>
      <c r="H7" s="1"/>
      <c r="I7" s="1"/>
      <c r="J7" s="1"/>
      <c r="K7" s="1"/>
      <c r="L7" s="1"/>
      <c r="M7" s="1"/>
      <c r="N7" s="1"/>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row>
    <row r="8" spans="1:16383" s="3" customFormat="1"/>
    <row r="9" spans="1:16383" s="8" customFormat="1">
      <c r="B9" s="8" t="s">
        <v>162</v>
      </c>
      <c r="H9" s="53"/>
      <c r="I9" s="46"/>
      <c r="J9" s="53"/>
      <c r="K9" s="46"/>
      <c r="L9" s="53"/>
      <c r="M9" s="46"/>
      <c r="N9" s="46"/>
      <c r="O9" s="46"/>
      <c r="P9" s="46"/>
      <c r="Q9" s="46"/>
      <c r="R9" s="46"/>
    </row>
    <row r="10" spans="1:16383">
      <c r="A10" s="3"/>
      <c r="B10" s="3"/>
      <c r="D10" s="3"/>
      <c r="E10" s="3"/>
      <c r="F10" s="3"/>
      <c r="G10" s="3"/>
      <c r="H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6383">
      <c r="A11" s="8"/>
      <c r="B11" s="8" t="s">
        <v>967</v>
      </c>
      <c r="C11" s="8"/>
      <c r="D11" s="8" t="s">
        <v>204</v>
      </c>
      <c r="E11" s="111">
        <v>1946</v>
      </c>
      <c r="F11" s="111">
        <v>1947</v>
      </c>
      <c r="G11" s="111">
        <v>1948</v>
      </c>
      <c r="H11" s="111">
        <v>1949</v>
      </c>
      <c r="I11" s="111">
        <v>1950</v>
      </c>
      <c r="J11" s="111">
        <v>1951</v>
      </c>
      <c r="K11" s="111">
        <v>1952</v>
      </c>
      <c r="L11" s="111">
        <v>1953</v>
      </c>
      <c r="M11" s="111">
        <v>1954</v>
      </c>
      <c r="N11" s="111">
        <v>1955</v>
      </c>
      <c r="O11" s="111">
        <v>1956</v>
      </c>
      <c r="P11" s="111">
        <v>1957</v>
      </c>
      <c r="Q11" s="111">
        <v>1958</v>
      </c>
      <c r="R11" s="111">
        <v>1959</v>
      </c>
      <c r="S11" s="111">
        <v>1960</v>
      </c>
      <c r="T11" s="111">
        <v>1961</v>
      </c>
      <c r="U11" s="111">
        <v>1962</v>
      </c>
      <c r="V11" s="111">
        <v>1963</v>
      </c>
      <c r="W11" s="111">
        <v>1964</v>
      </c>
      <c r="X11" s="111">
        <v>1965</v>
      </c>
      <c r="Y11" s="111">
        <v>1966</v>
      </c>
      <c r="Z11" s="111">
        <v>1967</v>
      </c>
      <c r="AA11" s="111">
        <v>1968</v>
      </c>
      <c r="AB11" s="111">
        <v>1969</v>
      </c>
      <c r="AC11" s="111">
        <v>1970</v>
      </c>
      <c r="AD11" s="111">
        <v>1971</v>
      </c>
      <c r="AE11" s="111">
        <v>1972</v>
      </c>
      <c r="AF11" s="111">
        <v>1973</v>
      </c>
      <c r="AG11" s="111">
        <v>1974</v>
      </c>
      <c r="AH11" s="111">
        <v>1975</v>
      </c>
      <c r="AI11" s="111">
        <v>1976</v>
      </c>
      <c r="AJ11" s="111">
        <v>1977</v>
      </c>
      <c r="AK11" s="111">
        <v>1978</v>
      </c>
      <c r="AL11" s="111">
        <v>1979</v>
      </c>
      <c r="AM11" s="111">
        <v>1980</v>
      </c>
      <c r="AN11" s="111">
        <v>1981</v>
      </c>
      <c r="AO11" s="111">
        <v>1982</v>
      </c>
      <c r="AP11" s="111">
        <v>1983</v>
      </c>
      <c r="AQ11" s="111">
        <v>1984</v>
      </c>
      <c r="AR11" s="111">
        <v>1985</v>
      </c>
      <c r="AS11" s="111">
        <v>1986</v>
      </c>
      <c r="AT11" s="111">
        <v>1987</v>
      </c>
      <c r="AU11" s="111">
        <v>1988</v>
      </c>
      <c r="AV11" s="111">
        <v>1989</v>
      </c>
      <c r="AW11" s="111">
        <v>1990</v>
      </c>
      <c r="AX11" s="111">
        <v>1991</v>
      </c>
      <c r="AY11" s="111">
        <v>1992</v>
      </c>
      <c r="AZ11" s="111">
        <v>1993</v>
      </c>
      <c r="BA11" s="111">
        <v>1994</v>
      </c>
      <c r="BB11" s="111">
        <v>1995</v>
      </c>
      <c r="BC11" s="111">
        <v>1996</v>
      </c>
      <c r="BD11" s="111">
        <v>1997</v>
      </c>
      <c r="BE11" s="111">
        <v>1998</v>
      </c>
      <c r="BF11" s="111">
        <v>1999</v>
      </c>
      <c r="BG11" s="111">
        <v>2000</v>
      </c>
      <c r="BH11" s="111">
        <v>2001</v>
      </c>
      <c r="BI11" s="111">
        <v>2002</v>
      </c>
      <c r="BJ11" s="111">
        <v>2003</v>
      </c>
      <c r="BK11" s="111">
        <v>2004</v>
      </c>
      <c r="BL11" s="111">
        <v>2005</v>
      </c>
      <c r="BM11" s="111">
        <v>2006</v>
      </c>
      <c r="BN11" s="111">
        <v>2007</v>
      </c>
      <c r="BO11" s="111">
        <v>2008</v>
      </c>
      <c r="BP11" s="111">
        <v>2009</v>
      </c>
      <c r="BQ11" s="111">
        <v>2010</v>
      </c>
      <c r="BR11" s="111">
        <v>2011</v>
      </c>
      <c r="BS11" s="111">
        <v>2012</v>
      </c>
      <c r="BT11" s="111">
        <v>2013</v>
      </c>
      <c r="BU11" s="111">
        <v>2014</v>
      </c>
      <c r="BV11" s="111">
        <v>2015</v>
      </c>
      <c r="BW11" s="111">
        <v>2016</v>
      </c>
      <c r="BX11" s="111">
        <v>2017</v>
      </c>
      <c r="BY11" s="111">
        <v>2018</v>
      </c>
      <c r="BZ11" s="111">
        <v>2019</v>
      </c>
      <c r="CA11" s="111">
        <v>2020</v>
      </c>
      <c r="CB11" s="111">
        <v>2021</v>
      </c>
      <c r="CC11" s="111">
        <v>2022</v>
      </c>
      <c r="CD11" s="111">
        <v>2023</v>
      </c>
      <c r="CE11" s="111">
        <v>2024</v>
      </c>
      <c r="CF11" s="111">
        <v>2025</v>
      </c>
      <c r="CG11" s="111">
        <v>2026</v>
      </c>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c r="IW11" s="111"/>
      <c r="IX11" s="111"/>
      <c r="IY11" s="111"/>
      <c r="IZ11" s="111"/>
      <c r="JA11" s="111"/>
      <c r="JB11" s="111"/>
      <c r="JC11" s="111"/>
      <c r="JD11" s="111"/>
      <c r="JE11" s="111"/>
      <c r="JF11" s="111"/>
      <c r="JG11" s="111"/>
      <c r="JH11" s="111"/>
      <c r="JI11" s="111"/>
      <c r="JJ11" s="111"/>
      <c r="JK11" s="111"/>
      <c r="JL11" s="111"/>
      <c r="JM11" s="111"/>
      <c r="JN11" s="111"/>
      <c r="JO11" s="111"/>
      <c r="JP11" s="111"/>
      <c r="JQ11" s="111"/>
      <c r="JR11" s="111"/>
      <c r="JS11" s="111"/>
      <c r="JT11" s="111"/>
      <c r="JU11" s="111"/>
      <c r="JV11" s="111"/>
      <c r="JW11" s="111"/>
      <c r="JX11" s="111"/>
      <c r="JY11" s="111"/>
      <c r="JZ11" s="111"/>
      <c r="KA11" s="111"/>
      <c r="KB11" s="111"/>
      <c r="KC11" s="111"/>
      <c r="KD11" s="111"/>
      <c r="KE11" s="111"/>
      <c r="KF11" s="111"/>
      <c r="KG11" s="111"/>
      <c r="KH11" s="111"/>
      <c r="KI11" s="111"/>
      <c r="KJ11" s="111"/>
      <c r="KK11" s="111"/>
      <c r="KL11" s="111"/>
      <c r="KM11" s="111"/>
      <c r="KN11" s="111"/>
      <c r="KO11" s="111"/>
      <c r="KP11" s="111"/>
      <c r="KQ11" s="111"/>
      <c r="KR11" s="111"/>
      <c r="KS11" s="111"/>
      <c r="KT11" s="111"/>
      <c r="KU11" s="111"/>
      <c r="KV11" s="111"/>
      <c r="KW11" s="111"/>
      <c r="KX11" s="111"/>
      <c r="KY11" s="111"/>
      <c r="KZ11" s="111"/>
      <c r="LA11" s="111"/>
      <c r="LB11" s="111"/>
      <c r="LC11" s="111"/>
      <c r="LD11" s="111"/>
      <c r="LE11" s="111"/>
      <c r="LF11" s="111"/>
      <c r="LG11" s="111"/>
      <c r="LH11" s="111"/>
      <c r="LI11" s="111"/>
      <c r="LJ11" s="111"/>
      <c r="LK11" s="111"/>
      <c r="LL11" s="111"/>
      <c r="LM11" s="111"/>
      <c r="LN11" s="111"/>
      <c r="LO11" s="111"/>
      <c r="LP11" s="111"/>
      <c r="LQ11" s="111"/>
      <c r="LR11" s="111"/>
      <c r="LS11" s="111"/>
      <c r="LT11" s="111"/>
      <c r="LU11" s="111"/>
      <c r="LV11" s="111"/>
      <c r="LW11" s="111"/>
      <c r="LX11" s="111"/>
      <c r="LY11" s="111"/>
      <c r="LZ11" s="111"/>
      <c r="MA11" s="111"/>
      <c r="MB11" s="111"/>
      <c r="MC11" s="111"/>
      <c r="MD11" s="111"/>
      <c r="ME11" s="111"/>
      <c r="MF11" s="111"/>
      <c r="MG11" s="111"/>
      <c r="MH11" s="111"/>
      <c r="MI11" s="111"/>
      <c r="MJ11" s="111"/>
      <c r="MK11" s="111"/>
      <c r="ML11" s="111"/>
      <c r="MM11" s="111"/>
      <c r="MN11" s="111"/>
      <c r="MO11" s="111"/>
      <c r="MP11" s="111"/>
      <c r="MQ11" s="111"/>
      <c r="MR11" s="111"/>
      <c r="MS11" s="111"/>
      <c r="MT11" s="111"/>
      <c r="MU11" s="111"/>
      <c r="MV11" s="111"/>
      <c r="MW11" s="111"/>
      <c r="MX11" s="111"/>
      <c r="MY11" s="111"/>
      <c r="MZ11" s="111"/>
      <c r="NA11" s="111"/>
      <c r="NB11" s="111"/>
      <c r="NC11" s="111"/>
      <c r="ND11" s="111"/>
      <c r="NE11" s="111"/>
      <c r="NF11" s="111"/>
      <c r="NG11" s="111"/>
      <c r="NH11" s="111"/>
      <c r="NI11" s="111"/>
      <c r="NJ11" s="111"/>
      <c r="NK11" s="111"/>
      <c r="NL11" s="111"/>
      <c r="NM11" s="111"/>
      <c r="NN11" s="111"/>
      <c r="NO11" s="111"/>
      <c r="NP11" s="111"/>
      <c r="NQ11" s="111"/>
      <c r="NR11" s="111"/>
      <c r="NS11" s="111"/>
      <c r="NT11" s="111"/>
      <c r="NU11" s="111"/>
      <c r="NV11" s="111"/>
      <c r="NW11" s="111"/>
      <c r="NX11" s="111"/>
      <c r="NY11" s="111"/>
      <c r="NZ11" s="111"/>
      <c r="OA11" s="111"/>
      <c r="OB11" s="111"/>
      <c r="OC11" s="111"/>
      <c r="OD11" s="111"/>
      <c r="OE11" s="111"/>
      <c r="OF11" s="111"/>
      <c r="OG11" s="111"/>
      <c r="OH11" s="111"/>
      <c r="OI11" s="111"/>
      <c r="OJ11" s="111"/>
      <c r="OK11" s="111"/>
      <c r="OL11" s="111"/>
      <c r="OM11" s="111"/>
      <c r="ON11" s="111"/>
      <c r="OO11" s="111"/>
      <c r="OP11" s="111"/>
      <c r="OQ11" s="111"/>
      <c r="OR11" s="111"/>
      <c r="OS11" s="111"/>
      <c r="OT11" s="111"/>
      <c r="OU11" s="111"/>
      <c r="OV11" s="111"/>
      <c r="OW11" s="111"/>
      <c r="OX11" s="111"/>
      <c r="OY11" s="111"/>
      <c r="OZ11" s="111"/>
      <c r="PA11" s="111"/>
      <c r="PB11" s="111"/>
      <c r="PC11" s="111"/>
      <c r="PD11" s="111"/>
      <c r="PE11" s="111"/>
      <c r="PF11" s="111"/>
      <c r="PG11" s="111"/>
      <c r="PH11" s="111"/>
      <c r="PI11" s="111"/>
      <c r="PJ11" s="111"/>
      <c r="PK11" s="111"/>
      <c r="PL11" s="111"/>
      <c r="PM11" s="111"/>
      <c r="PN11" s="111"/>
      <c r="PO11" s="111"/>
      <c r="PP11" s="111"/>
      <c r="PQ11" s="111"/>
      <c r="PR11" s="111"/>
      <c r="PS11" s="111"/>
      <c r="PT11" s="111"/>
      <c r="PU11" s="111"/>
      <c r="PV11" s="111"/>
      <c r="PW11" s="111"/>
      <c r="PX11" s="111"/>
      <c r="PY11" s="111"/>
      <c r="PZ11" s="111"/>
      <c r="QA11" s="111"/>
      <c r="QB11" s="111"/>
      <c r="QC11" s="111"/>
      <c r="QD11" s="111"/>
      <c r="QE11" s="111"/>
      <c r="QF11" s="111"/>
      <c r="QG11" s="111"/>
      <c r="QH11" s="111"/>
      <c r="QI11" s="111"/>
      <c r="QJ11" s="111"/>
      <c r="QK11" s="111"/>
      <c r="QL11" s="111"/>
      <c r="QM11" s="111"/>
      <c r="QN11" s="111"/>
      <c r="QO11" s="111"/>
      <c r="QP11" s="111"/>
      <c r="QQ11" s="111"/>
      <c r="QR11" s="111"/>
      <c r="QS11" s="111"/>
      <c r="QT11" s="111"/>
      <c r="QU11" s="111"/>
      <c r="QV11" s="111"/>
      <c r="QW11" s="111"/>
      <c r="QX11" s="111"/>
      <c r="QY11" s="111"/>
      <c r="QZ11" s="111"/>
      <c r="RA11" s="111"/>
      <c r="RB11" s="111"/>
      <c r="RC11" s="111"/>
      <c r="RD11" s="111"/>
      <c r="RE11" s="111"/>
      <c r="RF11" s="111"/>
      <c r="RG11" s="111"/>
      <c r="RH11" s="111"/>
      <c r="RI11" s="111"/>
      <c r="RJ11" s="111"/>
      <c r="RK11" s="111"/>
      <c r="RL11" s="111"/>
      <c r="RM11" s="111"/>
      <c r="RN11" s="111"/>
      <c r="RO11" s="111"/>
      <c r="RP11" s="111"/>
      <c r="RQ11" s="111"/>
      <c r="RR11" s="111"/>
      <c r="RS11" s="111"/>
      <c r="RT11" s="111"/>
      <c r="RU11" s="111"/>
      <c r="RV11" s="111"/>
      <c r="RW11" s="111"/>
      <c r="RX11" s="111"/>
      <c r="RY11" s="111"/>
      <c r="RZ11" s="111"/>
      <c r="SA11" s="111"/>
      <c r="SB11" s="111"/>
      <c r="SC11" s="111"/>
      <c r="SD11" s="111"/>
      <c r="SE11" s="111"/>
      <c r="SF11" s="111"/>
      <c r="SG11" s="111"/>
      <c r="SH11" s="111"/>
      <c r="SI11" s="111"/>
      <c r="SJ11" s="111"/>
      <c r="SK11" s="111"/>
      <c r="SL11" s="111"/>
      <c r="SM11" s="111"/>
      <c r="SN11" s="111"/>
      <c r="SO11" s="111"/>
      <c r="SP11" s="111"/>
      <c r="SQ11" s="111"/>
      <c r="SR11" s="111"/>
      <c r="SS11" s="111"/>
      <c r="ST11" s="111"/>
      <c r="SU11" s="111"/>
      <c r="SV11" s="111"/>
      <c r="SW11" s="111"/>
      <c r="SX11" s="111"/>
      <c r="SY11" s="111"/>
      <c r="SZ11" s="111"/>
      <c r="TA11" s="111"/>
      <c r="TB11" s="111"/>
      <c r="TC11" s="111"/>
      <c r="TD11" s="111"/>
      <c r="TE11" s="111"/>
      <c r="TF11" s="111"/>
      <c r="TG11" s="111"/>
      <c r="TH11" s="111"/>
      <c r="TI11" s="111"/>
      <c r="TJ11" s="111"/>
      <c r="TK11" s="111"/>
      <c r="TL11" s="111"/>
      <c r="TM11" s="111"/>
      <c r="TN11" s="111"/>
      <c r="TO11" s="111"/>
      <c r="TP11" s="111"/>
      <c r="TQ11" s="111"/>
      <c r="TR11" s="111"/>
      <c r="TS11" s="111"/>
      <c r="TT11" s="111"/>
      <c r="TU11" s="111"/>
      <c r="TV11" s="111"/>
      <c r="TW11" s="111"/>
      <c r="TX11" s="111"/>
      <c r="TY11" s="111"/>
      <c r="TZ11" s="111"/>
      <c r="UA11" s="111"/>
      <c r="UB11" s="111"/>
      <c r="UC11" s="111"/>
      <c r="UD11" s="111"/>
      <c r="UE11" s="111"/>
      <c r="UF11" s="111"/>
      <c r="UG11" s="111"/>
      <c r="UH11" s="111"/>
      <c r="UI11" s="111"/>
      <c r="UJ11" s="111"/>
      <c r="UK11" s="111"/>
      <c r="UL11" s="111"/>
      <c r="UM11" s="111"/>
      <c r="UN11" s="111"/>
      <c r="UO11" s="111"/>
      <c r="UP11" s="111"/>
      <c r="UQ11" s="111"/>
      <c r="UR11" s="111"/>
      <c r="US11" s="111"/>
      <c r="UT11" s="111"/>
      <c r="UU11" s="111"/>
      <c r="UV11" s="111"/>
      <c r="UW11" s="111"/>
      <c r="UX11" s="111"/>
      <c r="UY11" s="111"/>
      <c r="UZ11" s="111"/>
      <c r="VA11" s="111"/>
      <c r="VB11" s="111"/>
      <c r="VC11" s="111"/>
      <c r="VD11" s="111"/>
      <c r="VE11" s="111"/>
      <c r="VF11" s="111"/>
      <c r="VG11" s="111"/>
      <c r="VH11" s="111"/>
      <c r="VI11" s="111"/>
      <c r="VJ11" s="111"/>
      <c r="VK11" s="111"/>
      <c r="VL11" s="111"/>
      <c r="VM11" s="111"/>
      <c r="VN11" s="111"/>
      <c r="VO11" s="111"/>
      <c r="VP11" s="111"/>
      <c r="VQ11" s="111"/>
      <c r="VR11" s="111"/>
      <c r="VS11" s="111"/>
      <c r="VT11" s="111"/>
      <c r="VU11" s="111"/>
      <c r="VV11" s="111"/>
      <c r="VW11" s="111"/>
      <c r="VX11" s="111"/>
      <c r="VY11" s="111"/>
      <c r="VZ11" s="111"/>
      <c r="WA11" s="111"/>
      <c r="WB11" s="111"/>
      <c r="WC11" s="111"/>
      <c r="WD11" s="111"/>
      <c r="WE11" s="111"/>
      <c r="WF11" s="111"/>
      <c r="WG11" s="111"/>
      <c r="WH11" s="111"/>
      <c r="WI11" s="111"/>
      <c r="WJ11" s="111"/>
      <c r="WK11" s="111"/>
      <c r="WL11" s="111"/>
      <c r="WM11" s="111"/>
      <c r="WN11" s="111"/>
      <c r="WO11" s="111"/>
      <c r="WP11" s="111"/>
      <c r="WQ11" s="111"/>
      <c r="WR11" s="111"/>
      <c r="WS11" s="111"/>
      <c r="WT11" s="111"/>
      <c r="WU11" s="111"/>
      <c r="WV11" s="111"/>
      <c r="WW11" s="111"/>
      <c r="WX11" s="111"/>
      <c r="WY11" s="111"/>
      <c r="WZ11" s="111"/>
      <c r="XA11" s="111"/>
      <c r="XB11" s="111"/>
      <c r="XC11" s="111"/>
      <c r="XD11" s="111"/>
      <c r="XE11" s="111"/>
      <c r="XF11" s="111"/>
      <c r="XG11" s="111"/>
      <c r="XH11" s="111"/>
      <c r="XI11" s="111"/>
      <c r="XJ11" s="111"/>
      <c r="XK11" s="111"/>
      <c r="XL11" s="111"/>
      <c r="XM11" s="111"/>
      <c r="XN11" s="111"/>
      <c r="XO11" s="111"/>
      <c r="XP11" s="111"/>
      <c r="XQ11" s="111"/>
      <c r="XR11" s="111"/>
      <c r="XS11" s="111"/>
      <c r="XT11" s="111"/>
      <c r="XU11" s="111"/>
      <c r="XV11" s="111"/>
      <c r="XW11" s="111"/>
      <c r="XX11" s="111"/>
      <c r="XY11" s="111"/>
      <c r="XZ11" s="111"/>
      <c r="YA11" s="111"/>
      <c r="YB11" s="111"/>
      <c r="YC11" s="111"/>
      <c r="YD11" s="111"/>
      <c r="YE11" s="111"/>
      <c r="YF11" s="111"/>
      <c r="YG11" s="111"/>
      <c r="YH11" s="111"/>
      <c r="YI11" s="111"/>
      <c r="YJ11" s="111"/>
      <c r="YK11" s="111"/>
      <c r="YL11" s="111"/>
      <c r="YM11" s="111"/>
      <c r="YN11" s="111"/>
      <c r="YO11" s="111"/>
      <c r="YP11" s="111"/>
      <c r="YQ11" s="111"/>
      <c r="YR11" s="111"/>
      <c r="YS11" s="111"/>
      <c r="YT11" s="111"/>
      <c r="YU11" s="111"/>
      <c r="YV11" s="111"/>
      <c r="YW11" s="111"/>
      <c r="YX11" s="111"/>
      <c r="YY11" s="111"/>
      <c r="YZ11" s="111"/>
      <c r="ZA11" s="111"/>
      <c r="ZB11" s="111"/>
      <c r="ZC11" s="111"/>
      <c r="ZD11" s="111"/>
      <c r="ZE11" s="111"/>
      <c r="ZF11" s="111"/>
      <c r="ZG11" s="111"/>
      <c r="ZH11" s="111"/>
      <c r="ZI11" s="111"/>
      <c r="ZJ11" s="111"/>
      <c r="ZK11" s="111"/>
      <c r="ZL11" s="111"/>
      <c r="ZM11" s="111"/>
      <c r="ZN11" s="111"/>
      <c r="ZO11" s="111"/>
      <c r="ZP11" s="111"/>
      <c r="ZQ11" s="111"/>
      <c r="ZR11" s="111"/>
      <c r="ZS11" s="111"/>
      <c r="ZT11" s="111"/>
      <c r="ZU11" s="111"/>
      <c r="ZV11" s="111"/>
      <c r="ZW11" s="111"/>
      <c r="ZX11" s="111"/>
      <c r="ZY11" s="111"/>
      <c r="ZZ11" s="111"/>
      <c r="AAA11" s="111"/>
      <c r="AAB11" s="111"/>
      <c r="AAC11" s="111"/>
      <c r="AAD11" s="111"/>
      <c r="AAE11" s="111"/>
      <c r="AAF11" s="111"/>
      <c r="AAG11" s="111"/>
      <c r="AAH11" s="111"/>
      <c r="AAI11" s="111"/>
      <c r="AAJ11" s="111"/>
      <c r="AAK11" s="111"/>
      <c r="AAL11" s="111"/>
      <c r="AAM11" s="111"/>
      <c r="AAN11" s="111"/>
      <c r="AAO11" s="111"/>
      <c r="AAP11" s="111"/>
      <c r="AAQ11" s="111"/>
      <c r="AAR11" s="111"/>
      <c r="AAS11" s="111"/>
      <c r="AAT11" s="111"/>
      <c r="AAU11" s="111"/>
      <c r="AAV11" s="111"/>
      <c r="AAW11" s="111"/>
      <c r="AAX11" s="111"/>
      <c r="AAY11" s="111"/>
      <c r="AAZ11" s="111"/>
      <c r="ABA11" s="111"/>
      <c r="ABB11" s="111"/>
      <c r="ABC11" s="111"/>
      <c r="ABD11" s="111"/>
      <c r="ABE11" s="111"/>
      <c r="ABF11" s="111"/>
      <c r="ABG11" s="111"/>
      <c r="ABH11" s="111"/>
      <c r="ABI11" s="111"/>
      <c r="ABJ11" s="111"/>
      <c r="ABK11" s="111"/>
      <c r="ABL11" s="111"/>
      <c r="ABM11" s="111"/>
      <c r="ABN11" s="111"/>
      <c r="ABO11" s="111"/>
      <c r="ABP11" s="111"/>
      <c r="ABQ11" s="111"/>
      <c r="ABR11" s="111"/>
      <c r="ABS11" s="111"/>
      <c r="ABT11" s="111"/>
      <c r="ABU11" s="111"/>
      <c r="ABV11" s="111"/>
      <c r="ABW11" s="111"/>
      <c r="ABX11" s="111"/>
      <c r="ABY11" s="111"/>
      <c r="ABZ11" s="111"/>
      <c r="ACA11" s="111"/>
      <c r="ACB11" s="111"/>
      <c r="ACC11" s="111"/>
      <c r="ACD11" s="111"/>
      <c r="ACE11" s="111"/>
      <c r="ACF11" s="111"/>
      <c r="ACG11" s="111"/>
      <c r="ACH11" s="111"/>
      <c r="ACI11" s="111"/>
      <c r="ACJ11" s="111"/>
      <c r="ACK11" s="111"/>
      <c r="ACL11" s="111"/>
      <c r="ACM11" s="111"/>
      <c r="ACN11" s="111"/>
      <c r="ACO11" s="111"/>
      <c r="ACP11" s="111"/>
      <c r="ACQ11" s="111"/>
      <c r="ACR11" s="111"/>
      <c r="ACS11" s="111"/>
      <c r="ACT11" s="111"/>
      <c r="ACU11" s="111"/>
      <c r="ACV11" s="111"/>
      <c r="ACW11" s="111"/>
      <c r="ACX11" s="111"/>
      <c r="ACY11" s="111"/>
      <c r="ACZ11" s="111"/>
      <c r="ADA11" s="111"/>
      <c r="ADB11" s="111"/>
      <c r="ADC11" s="111"/>
      <c r="ADD11" s="111"/>
      <c r="ADE11" s="111"/>
      <c r="ADF11" s="111"/>
      <c r="ADG11" s="111"/>
      <c r="ADH11" s="111"/>
      <c r="ADI11" s="111"/>
      <c r="ADJ11" s="111"/>
      <c r="ADK11" s="111"/>
      <c r="ADL11" s="111"/>
      <c r="ADM11" s="111"/>
      <c r="ADN11" s="111"/>
      <c r="ADO11" s="111"/>
      <c r="ADP11" s="111"/>
      <c r="ADQ11" s="111"/>
      <c r="ADR11" s="111"/>
      <c r="ADS11" s="111"/>
      <c r="ADT11" s="111"/>
      <c r="ADU11" s="111"/>
      <c r="ADV11" s="111"/>
      <c r="ADW11" s="111"/>
      <c r="ADX11" s="111"/>
      <c r="ADY11" s="111"/>
      <c r="ADZ11" s="111"/>
      <c r="AEA11" s="111"/>
      <c r="AEB11" s="111"/>
      <c r="AEC11" s="111"/>
      <c r="AED11" s="111"/>
      <c r="AEE11" s="111"/>
      <c r="AEF11" s="111"/>
      <c r="AEG11" s="111"/>
      <c r="AEH11" s="111"/>
      <c r="AEI11" s="111"/>
      <c r="AEJ11" s="111"/>
      <c r="AEK11" s="111"/>
      <c r="AEL11" s="111"/>
      <c r="AEM11" s="111"/>
      <c r="AEN11" s="111"/>
      <c r="AEO11" s="111"/>
      <c r="AEP11" s="111"/>
      <c r="AEQ11" s="111"/>
      <c r="AER11" s="111"/>
      <c r="AES11" s="111"/>
      <c r="AET11" s="111"/>
      <c r="AEU11" s="111"/>
      <c r="AEV11" s="111"/>
      <c r="AEW11" s="111"/>
      <c r="AEX11" s="111"/>
      <c r="AEY11" s="111"/>
      <c r="AEZ11" s="111"/>
      <c r="AFA11" s="111"/>
      <c r="AFB11" s="111"/>
      <c r="AFC11" s="111"/>
      <c r="AFD11" s="111"/>
      <c r="AFE11" s="111"/>
      <c r="AFF11" s="111"/>
      <c r="AFG11" s="111"/>
      <c r="AFH11" s="111"/>
      <c r="AFI11" s="111"/>
      <c r="AFJ11" s="111"/>
      <c r="AFK11" s="111"/>
      <c r="AFL11" s="111"/>
      <c r="AFM11" s="111"/>
      <c r="AFN11" s="111"/>
      <c r="AFO11" s="111"/>
      <c r="AFP11" s="111"/>
      <c r="AFQ11" s="111"/>
      <c r="AFR11" s="111"/>
      <c r="AFS11" s="111"/>
      <c r="AFT11" s="111"/>
      <c r="AFU11" s="111"/>
      <c r="AFV11" s="111"/>
      <c r="AFW11" s="111"/>
      <c r="AFX11" s="111"/>
      <c r="AFY11" s="111"/>
      <c r="AFZ11" s="111"/>
      <c r="AGA11" s="111"/>
      <c r="AGB11" s="111"/>
      <c r="AGC11" s="111"/>
      <c r="AGD11" s="111"/>
      <c r="AGE11" s="111"/>
      <c r="AGF11" s="111"/>
      <c r="AGG11" s="111"/>
      <c r="AGH11" s="111"/>
      <c r="AGI11" s="111"/>
      <c r="AGJ11" s="111"/>
      <c r="AGK11" s="111"/>
      <c r="AGL11" s="111"/>
      <c r="AGM11" s="111"/>
      <c r="AGN11" s="111"/>
      <c r="AGO11" s="111"/>
      <c r="AGP11" s="111"/>
      <c r="AGQ11" s="111"/>
      <c r="AGR11" s="111"/>
      <c r="AGS11" s="111"/>
      <c r="AGT11" s="111"/>
      <c r="AGU11" s="111"/>
      <c r="AGV11" s="111"/>
      <c r="AGW11" s="111"/>
      <c r="AGX11" s="111"/>
      <c r="AGY11" s="111"/>
      <c r="AGZ11" s="111"/>
      <c r="AHA11" s="111"/>
      <c r="AHB11" s="111"/>
      <c r="AHC11" s="111"/>
      <c r="AHD11" s="111"/>
      <c r="AHE11" s="111"/>
      <c r="AHF11" s="111"/>
      <c r="AHG11" s="111"/>
      <c r="AHH11" s="111"/>
      <c r="AHI11" s="111"/>
      <c r="AHJ11" s="111"/>
      <c r="AHK11" s="111"/>
      <c r="AHL11" s="111"/>
      <c r="AHM11" s="111"/>
      <c r="AHN11" s="111"/>
      <c r="AHO11" s="111"/>
      <c r="AHP11" s="111"/>
      <c r="AHQ11" s="111"/>
      <c r="AHR11" s="111"/>
      <c r="AHS11" s="111"/>
      <c r="AHT11" s="111"/>
      <c r="AHU11" s="111"/>
      <c r="AHV11" s="111"/>
      <c r="AHW11" s="111"/>
      <c r="AHX11" s="111"/>
      <c r="AHY11" s="111"/>
      <c r="AHZ11" s="111"/>
      <c r="AIA11" s="111"/>
      <c r="AIB11" s="111"/>
      <c r="AIC11" s="111"/>
      <c r="AID11" s="111"/>
      <c r="AIE11" s="111"/>
      <c r="AIF11" s="111"/>
      <c r="AIG11" s="111"/>
      <c r="AIH11" s="111"/>
      <c r="AII11" s="111"/>
      <c r="AIJ11" s="111"/>
      <c r="AIK11" s="111"/>
      <c r="AIL11" s="111"/>
      <c r="AIM11" s="111"/>
      <c r="AIN11" s="111"/>
      <c r="AIO11" s="111"/>
      <c r="AIP11" s="111"/>
      <c r="AIQ11" s="111"/>
      <c r="AIR11" s="111"/>
      <c r="AIS11" s="111"/>
      <c r="AIT11" s="111"/>
      <c r="AIU11" s="111"/>
      <c r="AIV11" s="111"/>
      <c r="AIW11" s="111"/>
      <c r="AIX11" s="111"/>
      <c r="AIY11" s="111"/>
      <c r="AIZ11" s="111"/>
      <c r="AJA11" s="111"/>
      <c r="AJB11" s="111"/>
      <c r="AJC11" s="111"/>
      <c r="AJD11" s="111"/>
      <c r="AJE11" s="111"/>
      <c r="AJF11" s="111"/>
      <c r="AJG11" s="111"/>
      <c r="AJH11" s="111"/>
      <c r="AJI11" s="111"/>
      <c r="AJJ11" s="111"/>
      <c r="AJK11" s="111"/>
      <c r="AJL11" s="111"/>
      <c r="AJM11" s="111"/>
      <c r="AJN11" s="111"/>
      <c r="AJO11" s="111"/>
      <c r="AJP11" s="111"/>
      <c r="AJQ11" s="111"/>
      <c r="AJR11" s="111"/>
      <c r="AJS11" s="111"/>
      <c r="AJT11" s="111"/>
      <c r="AJU11" s="111"/>
      <c r="AJV11" s="111"/>
      <c r="AJW11" s="111"/>
      <c r="AJX11" s="111"/>
      <c r="AJY11" s="111"/>
      <c r="AJZ11" s="111"/>
      <c r="AKA11" s="111"/>
      <c r="AKB11" s="111"/>
      <c r="AKC11" s="111"/>
      <c r="AKD11" s="111"/>
      <c r="AKE11" s="111"/>
      <c r="AKF11" s="111"/>
      <c r="AKG11" s="111"/>
      <c r="AKH11" s="111"/>
      <c r="AKI11" s="111"/>
      <c r="AKJ11" s="111"/>
      <c r="AKK11" s="111"/>
      <c r="AKL11" s="111"/>
      <c r="AKM11" s="111"/>
      <c r="AKN11" s="111"/>
      <c r="AKO11" s="111"/>
      <c r="AKP11" s="111"/>
      <c r="AKQ11" s="111"/>
      <c r="AKR11" s="111"/>
      <c r="AKS11" s="111"/>
      <c r="AKT11" s="111"/>
      <c r="AKU11" s="111"/>
      <c r="AKV11" s="111"/>
      <c r="AKW11" s="111"/>
      <c r="AKX11" s="111"/>
      <c r="AKY11" s="111"/>
      <c r="AKZ11" s="111"/>
      <c r="ALA11" s="111"/>
      <c r="ALB11" s="111"/>
      <c r="ALC11" s="111"/>
      <c r="ALD11" s="111"/>
      <c r="ALE11" s="111"/>
      <c r="ALF11" s="111"/>
      <c r="ALG11" s="111"/>
      <c r="ALH11" s="111"/>
      <c r="ALI11" s="111"/>
      <c r="ALJ11" s="111"/>
      <c r="ALK11" s="111"/>
      <c r="ALL11" s="111"/>
      <c r="ALM11" s="111"/>
      <c r="ALN11" s="111"/>
      <c r="ALO11" s="111"/>
      <c r="ALP11" s="111"/>
      <c r="ALQ11" s="111"/>
      <c r="ALR11" s="111"/>
      <c r="ALS11" s="111"/>
      <c r="ALT11" s="111"/>
      <c r="ALU11" s="111"/>
      <c r="ALV11" s="111"/>
      <c r="ALW11" s="111"/>
      <c r="ALX11" s="111"/>
      <c r="ALY11" s="111"/>
      <c r="ALZ11" s="111"/>
      <c r="AMA11" s="111"/>
      <c r="AMB11" s="111"/>
      <c r="AMC11" s="111"/>
      <c r="AMD11" s="111"/>
      <c r="AME11" s="111"/>
      <c r="AMF11" s="111"/>
      <c r="AMG11" s="111"/>
      <c r="AMH11" s="111"/>
      <c r="AMI11" s="111"/>
      <c r="AMJ11" s="111"/>
      <c r="AMK11" s="111"/>
      <c r="AML11" s="111"/>
      <c r="AMM11" s="111"/>
      <c r="AMN11" s="111"/>
      <c r="AMO11" s="111"/>
      <c r="AMP11" s="111"/>
      <c r="AMQ11" s="111"/>
      <c r="AMR11" s="111"/>
      <c r="AMS11" s="111"/>
      <c r="AMT11" s="111"/>
      <c r="AMU11" s="111"/>
      <c r="AMV11" s="111"/>
      <c r="AMW11" s="111"/>
      <c r="AMX11" s="111"/>
      <c r="AMY11" s="111"/>
      <c r="AMZ11" s="111"/>
      <c r="ANA11" s="111"/>
      <c r="ANB11" s="111"/>
      <c r="ANC11" s="111"/>
      <c r="AND11" s="111"/>
      <c r="ANE11" s="111"/>
      <c r="ANF11" s="111"/>
      <c r="ANG11" s="111"/>
      <c r="ANH11" s="111"/>
      <c r="ANI11" s="111"/>
      <c r="ANJ11" s="111"/>
      <c r="ANK11" s="111"/>
      <c r="ANL11" s="111"/>
      <c r="ANM11" s="111"/>
      <c r="ANN11" s="111"/>
      <c r="ANO11" s="111"/>
      <c r="ANP11" s="111"/>
      <c r="ANQ11" s="111"/>
      <c r="ANR11" s="111"/>
      <c r="ANS11" s="111"/>
      <c r="ANT11" s="111"/>
      <c r="ANU11" s="111"/>
      <c r="ANV11" s="111"/>
      <c r="ANW11" s="111"/>
      <c r="ANX11" s="111"/>
      <c r="ANY11" s="111"/>
      <c r="ANZ11" s="111"/>
      <c r="AOA11" s="111"/>
      <c r="AOB11" s="111"/>
      <c r="AOC11" s="111"/>
      <c r="AOD11" s="111"/>
      <c r="AOE11" s="111"/>
      <c r="AOF11" s="111"/>
      <c r="AOG11" s="111"/>
      <c r="AOH11" s="111"/>
      <c r="AOI11" s="111"/>
      <c r="AOJ11" s="111"/>
      <c r="AOK11" s="111"/>
      <c r="AOL11" s="111"/>
      <c r="AOM11" s="111"/>
      <c r="AON11" s="111"/>
      <c r="AOO11" s="111"/>
      <c r="AOP11" s="111"/>
      <c r="AOQ11" s="111"/>
      <c r="AOR11" s="111"/>
      <c r="AOS11" s="111"/>
      <c r="AOT11" s="111"/>
      <c r="AOU11" s="111"/>
      <c r="AOV11" s="111"/>
      <c r="AOW11" s="111"/>
      <c r="AOX11" s="111"/>
      <c r="AOY11" s="111"/>
      <c r="AOZ11" s="111"/>
      <c r="APA11" s="111"/>
      <c r="APB11" s="111"/>
      <c r="APC11" s="111"/>
      <c r="APD11" s="111"/>
      <c r="APE11" s="111"/>
      <c r="APF11" s="111"/>
      <c r="APG11" s="111"/>
      <c r="APH11" s="111"/>
      <c r="API11" s="111"/>
      <c r="APJ11" s="111"/>
      <c r="APK11" s="111"/>
      <c r="APL11" s="111"/>
      <c r="APM11" s="111"/>
      <c r="APN11" s="111"/>
      <c r="APO11" s="111"/>
      <c r="APP11" s="111"/>
      <c r="APQ11" s="111"/>
      <c r="APR11" s="111"/>
      <c r="APS11" s="111"/>
      <c r="APT11" s="111"/>
      <c r="APU11" s="111"/>
      <c r="APV11" s="111"/>
      <c r="APW11" s="111"/>
      <c r="APX11" s="111"/>
      <c r="APY11" s="111"/>
      <c r="APZ11" s="111"/>
      <c r="AQA11" s="111"/>
      <c r="AQB11" s="111"/>
      <c r="AQC11" s="111"/>
      <c r="AQD11" s="111"/>
      <c r="AQE11" s="111"/>
      <c r="AQF11" s="111"/>
      <c r="AQG11" s="111"/>
      <c r="AQH11" s="111"/>
      <c r="AQI11" s="111"/>
      <c r="AQJ11" s="111"/>
      <c r="AQK11" s="111"/>
      <c r="AQL11" s="111"/>
      <c r="AQM11" s="111"/>
      <c r="AQN11" s="111"/>
      <c r="AQO11" s="111"/>
      <c r="AQP11" s="111"/>
      <c r="AQQ11" s="111"/>
      <c r="AQR11" s="111"/>
      <c r="AQS11" s="111"/>
      <c r="AQT11" s="111"/>
      <c r="AQU11" s="111"/>
      <c r="AQV11" s="111"/>
      <c r="AQW11" s="111"/>
      <c r="AQX11" s="111"/>
      <c r="AQY11" s="111"/>
      <c r="AQZ11" s="111"/>
      <c r="ARA11" s="111"/>
      <c r="ARB11" s="111"/>
      <c r="ARC11" s="111"/>
      <c r="ARD11" s="111"/>
      <c r="ARE11" s="111"/>
      <c r="ARF11" s="111"/>
      <c r="ARG11" s="111"/>
      <c r="ARH11" s="111"/>
      <c r="ARI11" s="111"/>
      <c r="ARJ11" s="111"/>
      <c r="ARK11" s="111"/>
      <c r="ARL11" s="111"/>
      <c r="ARM11" s="111"/>
      <c r="ARN11" s="111"/>
      <c r="ARO11" s="111"/>
      <c r="ARP11" s="111"/>
      <c r="ARQ11" s="111"/>
      <c r="ARR11" s="111"/>
      <c r="ARS11" s="111"/>
      <c r="ART11" s="111"/>
      <c r="ARU11" s="111"/>
      <c r="ARV11" s="111"/>
      <c r="ARW11" s="111"/>
      <c r="ARX11" s="111"/>
      <c r="ARY11" s="111"/>
      <c r="ARZ11" s="111"/>
      <c r="ASA11" s="111"/>
      <c r="ASB11" s="111"/>
      <c r="ASC11" s="111"/>
      <c r="ASD11" s="111"/>
      <c r="ASE11" s="111"/>
      <c r="ASF11" s="111"/>
      <c r="ASG11" s="111"/>
      <c r="ASH11" s="111"/>
      <c r="ASI11" s="111"/>
      <c r="ASJ11" s="111"/>
      <c r="ASK11" s="111"/>
      <c r="ASL11" s="111"/>
      <c r="ASM11" s="111"/>
      <c r="ASN11" s="111"/>
      <c r="ASO11" s="111"/>
      <c r="ASP11" s="111"/>
      <c r="ASQ11" s="111"/>
      <c r="ASR11" s="111"/>
      <c r="ASS11" s="111"/>
      <c r="AST11" s="111"/>
      <c r="ASU11" s="111"/>
      <c r="ASV11" s="111"/>
      <c r="ASW11" s="111"/>
      <c r="ASX11" s="111"/>
      <c r="ASY11" s="111"/>
      <c r="ASZ11" s="111"/>
      <c r="ATA11" s="111"/>
      <c r="ATB11" s="111"/>
      <c r="ATC11" s="111"/>
      <c r="ATD11" s="111"/>
      <c r="ATE11" s="111"/>
      <c r="ATF11" s="111"/>
      <c r="ATG11" s="111"/>
      <c r="ATH11" s="111"/>
      <c r="ATI11" s="111"/>
      <c r="ATJ11" s="111"/>
      <c r="ATK11" s="111"/>
      <c r="ATL11" s="111"/>
      <c r="ATM11" s="111"/>
      <c r="ATN11" s="111"/>
      <c r="ATO11" s="111"/>
      <c r="ATP11" s="111"/>
      <c r="ATQ11" s="111"/>
      <c r="ATR11" s="111"/>
      <c r="ATS11" s="111"/>
      <c r="ATT11" s="111"/>
      <c r="ATU11" s="111"/>
      <c r="ATV11" s="111"/>
      <c r="ATW11" s="111"/>
      <c r="ATX11" s="111"/>
      <c r="ATY11" s="111"/>
      <c r="ATZ11" s="111"/>
      <c r="AUA11" s="111"/>
      <c r="AUB11" s="111"/>
      <c r="AUC11" s="111"/>
      <c r="AUD11" s="111"/>
      <c r="AUE11" s="111"/>
      <c r="AUF11" s="111"/>
      <c r="AUG11" s="111"/>
      <c r="AUH11" s="111"/>
      <c r="AUI11" s="111"/>
      <c r="AUJ11" s="111"/>
      <c r="AUK11" s="111"/>
      <c r="AUL11" s="111"/>
      <c r="AUM11" s="111"/>
      <c r="AUN11" s="111"/>
      <c r="AUO11" s="111"/>
      <c r="AUP11" s="111"/>
      <c r="AUQ11" s="111"/>
      <c r="AUR11" s="111"/>
      <c r="AUS11" s="111"/>
      <c r="AUT11" s="111"/>
      <c r="AUU11" s="111"/>
      <c r="AUV11" s="111"/>
      <c r="AUW11" s="111"/>
      <c r="AUX11" s="111"/>
      <c r="AUY11" s="111"/>
      <c r="AUZ11" s="111"/>
      <c r="AVA11" s="111"/>
      <c r="AVB11" s="111"/>
      <c r="AVC11" s="111"/>
      <c r="AVD11" s="111"/>
      <c r="AVE11" s="111"/>
      <c r="AVF11" s="111"/>
      <c r="AVG11" s="111"/>
      <c r="AVH11" s="111"/>
      <c r="AVI11" s="111"/>
      <c r="AVJ11" s="111"/>
      <c r="AVK11" s="111"/>
      <c r="AVL11" s="111"/>
      <c r="AVM11" s="111"/>
      <c r="AVN11" s="111"/>
      <c r="AVO11" s="111"/>
      <c r="AVP11" s="111"/>
      <c r="AVQ11" s="111"/>
      <c r="AVR11" s="111"/>
      <c r="AVS11" s="111"/>
      <c r="AVT11" s="111"/>
      <c r="AVU11" s="111"/>
      <c r="AVV11" s="111"/>
      <c r="AVW11" s="111"/>
      <c r="AVX11" s="111"/>
      <c r="AVY11" s="111"/>
      <c r="AVZ11" s="111"/>
      <c r="AWA11" s="111"/>
      <c r="AWB11" s="111"/>
      <c r="AWC11" s="111"/>
      <c r="AWD11" s="111"/>
      <c r="AWE11" s="111"/>
      <c r="AWF11" s="111"/>
      <c r="AWG11" s="111"/>
      <c r="AWH11" s="111"/>
      <c r="AWI11" s="111"/>
      <c r="AWJ11" s="111"/>
      <c r="AWK11" s="111"/>
      <c r="AWL11" s="111"/>
      <c r="AWM11" s="111"/>
      <c r="AWN11" s="111"/>
      <c r="AWO11" s="111"/>
      <c r="AWP11" s="111"/>
      <c r="AWQ11" s="111"/>
      <c r="AWR11" s="111"/>
      <c r="AWS11" s="111"/>
      <c r="AWT11" s="111"/>
      <c r="AWU11" s="111"/>
      <c r="AWV11" s="111"/>
      <c r="AWW11" s="111"/>
      <c r="AWX11" s="111"/>
      <c r="AWY11" s="111"/>
      <c r="AWZ11" s="111"/>
      <c r="AXA11" s="111"/>
      <c r="AXB11" s="111"/>
      <c r="AXC11" s="111"/>
      <c r="AXD11" s="111"/>
      <c r="AXE11" s="111"/>
      <c r="AXF11" s="111"/>
      <c r="AXG11" s="111"/>
      <c r="AXH11" s="111"/>
      <c r="AXI11" s="111"/>
      <c r="AXJ11" s="111"/>
      <c r="AXK11" s="111"/>
      <c r="AXL11" s="111"/>
      <c r="AXM11" s="111"/>
      <c r="AXN11" s="111"/>
      <c r="AXO11" s="111"/>
      <c r="AXP11" s="111"/>
      <c r="AXQ11" s="111"/>
      <c r="AXR11" s="111"/>
      <c r="AXS11" s="111"/>
      <c r="AXT11" s="111"/>
      <c r="AXU11" s="111"/>
      <c r="AXV11" s="111"/>
      <c r="AXW11" s="111"/>
      <c r="AXX11" s="111"/>
      <c r="AXY11" s="111"/>
      <c r="AXZ11" s="111"/>
      <c r="AYA11" s="111"/>
      <c r="AYB11" s="111"/>
      <c r="AYC11" s="111"/>
      <c r="AYD11" s="111"/>
      <c r="AYE11" s="111"/>
      <c r="AYF11" s="111"/>
      <c r="AYG11" s="111"/>
      <c r="AYH11" s="111"/>
      <c r="AYI11" s="111"/>
      <c r="AYJ11" s="111"/>
      <c r="AYK11" s="111"/>
      <c r="AYL11" s="111"/>
      <c r="AYM11" s="111"/>
      <c r="AYN11" s="111"/>
      <c r="AYO11" s="111"/>
      <c r="AYP11" s="111"/>
      <c r="AYQ11" s="111"/>
      <c r="AYR11" s="111"/>
      <c r="AYS11" s="111"/>
      <c r="AYT11" s="111"/>
      <c r="AYU11" s="111"/>
      <c r="AYV11" s="111"/>
      <c r="AYW11" s="111"/>
      <c r="AYX11" s="111"/>
      <c r="AYY11" s="111"/>
      <c r="AYZ11" s="111"/>
      <c r="AZA11" s="111"/>
      <c r="AZB11" s="111"/>
      <c r="AZC11" s="111"/>
      <c r="AZD11" s="111"/>
      <c r="AZE11" s="111"/>
      <c r="AZF11" s="111"/>
      <c r="AZG11" s="111"/>
      <c r="AZH11" s="111"/>
      <c r="AZI11" s="111"/>
      <c r="AZJ11" s="111"/>
      <c r="AZK11" s="111"/>
      <c r="AZL11" s="111"/>
      <c r="AZM11" s="111"/>
      <c r="AZN11" s="111"/>
      <c r="AZO11" s="111"/>
      <c r="AZP11" s="111"/>
      <c r="AZQ11" s="111"/>
      <c r="AZR11" s="111"/>
      <c r="AZS11" s="111"/>
      <c r="AZT11" s="111"/>
      <c r="AZU11" s="111"/>
      <c r="AZV11" s="111"/>
      <c r="AZW11" s="111"/>
      <c r="AZX11" s="111"/>
      <c r="AZY11" s="111"/>
      <c r="AZZ11" s="111"/>
      <c r="BAA11" s="111"/>
      <c r="BAB11" s="111"/>
      <c r="BAC11" s="111"/>
      <c r="BAD11" s="111"/>
      <c r="BAE11" s="111"/>
      <c r="BAF11" s="111"/>
      <c r="BAG11" s="111"/>
      <c r="BAH11" s="111"/>
      <c r="BAI11" s="111"/>
      <c r="BAJ11" s="111"/>
      <c r="BAK11" s="111"/>
      <c r="BAL11" s="111"/>
      <c r="BAM11" s="111"/>
      <c r="BAN11" s="111"/>
      <c r="BAO11" s="111"/>
      <c r="BAP11" s="111"/>
      <c r="BAQ11" s="111"/>
      <c r="BAR11" s="111"/>
      <c r="BAS11" s="111"/>
      <c r="BAT11" s="111"/>
      <c r="BAU11" s="111"/>
      <c r="BAV11" s="111"/>
      <c r="BAW11" s="111"/>
      <c r="BAX11" s="111"/>
      <c r="BAY11" s="111"/>
      <c r="BAZ11" s="111"/>
      <c r="BBA11" s="111"/>
      <c r="BBB11" s="111"/>
      <c r="BBC11" s="111"/>
      <c r="BBD11" s="111"/>
      <c r="BBE11" s="111"/>
      <c r="BBF11" s="111"/>
      <c r="BBG11" s="111"/>
      <c r="BBH11" s="111"/>
      <c r="BBI11" s="111"/>
      <c r="BBJ11" s="111"/>
      <c r="BBK11" s="111"/>
      <c r="BBL11" s="111"/>
      <c r="BBM11" s="111"/>
      <c r="BBN11" s="111"/>
      <c r="BBO11" s="111"/>
      <c r="BBP11" s="111"/>
      <c r="BBQ11" s="111"/>
      <c r="BBR11" s="111"/>
      <c r="BBS11" s="111"/>
      <c r="BBT11" s="111"/>
      <c r="BBU11" s="111"/>
      <c r="BBV11" s="111"/>
      <c r="BBW11" s="111"/>
      <c r="BBX11" s="111"/>
      <c r="BBY11" s="111"/>
      <c r="BBZ11" s="111"/>
      <c r="BCA11" s="111"/>
      <c r="BCB11" s="111"/>
      <c r="BCC11" s="111"/>
      <c r="BCD11" s="111"/>
      <c r="BCE11" s="111"/>
      <c r="BCF11" s="111"/>
      <c r="BCG11" s="111"/>
      <c r="BCH11" s="111"/>
      <c r="BCI11" s="111"/>
      <c r="BCJ11" s="111"/>
      <c r="BCK11" s="111"/>
      <c r="BCL11" s="111"/>
      <c r="BCM11" s="111"/>
      <c r="BCN11" s="111"/>
      <c r="BCO11" s="111"/>
      <c r="BCP11" s="111"/>
      <c r="BCQ11" s="111"/>
      <c r="BCR11" s="111"/>
      <c r="BCS11" s="111"/>
      <c r="BCT11" s="111"/>
      <c r="BCU11" s="111"/>
      <c r="BCV11" s="111"/>
      <c r="BCW11" s="111"/>
      <c r="BCX11" s="111"/>
      <c r="BCY11" s="111"/>
      <c r="BCZ11" s="111"/>
      <c r="BDA11" s="111"/>
      <c r="BDB11" s="111"/>
      <c r="BDC11" s="111"/>
      <c r="BDD11" s="111"/>
      <c r="BDE11" s="111"/>
      <c r="BDF11" s="111"/>
      <c r="BDG11" s="111"/>
      <c r="BDH11" s="111"/>
      <c r="BDI11" s="111"/>
      <c r="BDJ11" s="111"/>
      <c r="BDK11" s="111"/>
      <c r="BDL11" s="111"/>
      <c r="BDM11" s="111"/>
      <c r="BDN11" s="111"/>
      <c r="BDO11" s="111"/>
      <c r="BDP11" s="111"/>
      <c r="BDQ11" s="111"/>
      <c r="BDR11" s="111"/>
      <c r="BDS11" s="111"/>
      <c r="BDT11" s="111"/>
      <c r="BDU11" s="111"/>
      <c r="BDV11" s="111"/>
      <c r="BDW11" s="111"/>
      <c r="BDX11" s="111"/>
      <c r="BDY11" s="111"/>
      <c r="BDZ11" s="111"/>
      <c r="BEA11" s="111"/>
      <c r="BEB11" s="111"/>
      <c r="BEC11" s="111"/>
      <c r="BED11" s="111"/>
      <c r="BEE11" s="111"/>
      <c r="BEF11" s="111"/>
      <c r="BEG11" s="111"/>
      <c r="BEH11" s="111"/>
      <c r="BEI11" s="111"/>
      <c r="BEJ11" s="111"/>
      <c r="BEK11" s="111"/>
      <c r="BEL11" s="111"/>
      <c r="BEM11" s="111"/>
      <c r="BEN11" s="111"/>
      <c r="BEO11" s="111"/>
      <c r="BEP11" s="111"/>
      <c r="BEQ11" s="111"/>
      <c r="BER11" s="111"/>
      <c r="BES11" s="111"/>
      <c r="BET11" s="111"/>
      <c r="BEU11" s="111"/>
      <c r="BEV11" s="111"/>
      <c r="BEW11" s="111"/>
      <c r="BEX11" s="111"/>
      <c r="BEY11" s="111"/>
      <c r="BEZ11" s="111"/>
      <c r="BFA11" s="111"/>
      <c r="BFB11" s="111"/>
      <c r="BFC11" s="111"/>
      <c r="BFD11" s="111"/>
      <c r="BFE11" s="111"/>
      <c r="BFF11" s="111"/>
      <c r="BFG11" s="111"/>
      <c r="BFH11" s="111"/>
      <c r="BFI11" s="111"/>
      <c r="BFJ11" s="111"/>
      <c r="BFK11" s="111"/>
      <c r="BFL11" s="111"/>
      <c r="BFM11" s="111"/>
      <c r="BFN11" s="111"/>
      <c r="BFO11" s="111"/>
      <c r="BFP11" s="111"/>
      <c r="BFQ11" s="111"/>
      <c r="BFR11" s="111"/>
      <c r="BFS11" s="111"/>
      <c r="BFT11" s="111"/>
      <c r="BFU11" s="111"/>
      <c r="BFV11" s="111"/>
      <c r="BFW11" s="111"/>
      <c r="BFX11" s="111"/>
      <c r="BFY11" s="111"/>
      <c r="BFZ11" s="111"/>
      <c r="BGA11" s="111"/>
      <c r="BGB11" s="111"/>
      <c r="BGC11" s="111"/>
      <c r="BGD11" s="111"/>
      <c r="BGE11" s="111"/>
      <c r="BGF11" s="111"/>
      <c r="BGG11" s="111"/>
      <c r="BGH11" s="111"/>
      <c r="BGI11" s="111"/>
      <c r="BGJ11" s="111"/>
      <c r="BGK11" s="111"/>
      <c r="BGL11" s="111"/>
      <c r="BGM11" s="111"/>
      <c r="BGN11" s="111"/>
      <c r="BGO11" s="111"/>
      <c r="BGP11" s="111"/>
      <c r="BGQ11" s="111"/>
      <c r="BGR11" s="111"/>
      <c r="BGS11" s="111"/>
      <c r="BGT11" s="111"/>
      <c r="BGU11" s="111"/>
      <c r="BGV11" s="111"/>
      <c r="BGW11" s="111"/>
      <c r="BGX11" s="111"/>
      <c r="BGY11" s="111"/>
      <c r="BGZ11" s="111"/>
      <c r="BHA11" s="111"/>
      <c r="BHB11" s="111"/>
      <c r="BHC11" s="111"/>
      <c r="BHD11" s="111"/>
      <c r="BHE11" s="111"/>
      <c r="BHF11" s="111"/>
      <c r="BHG11" s="111"/>
      <c r="BHH11" s="111"/>
      <c r="BHI11" s="111"/>
      <c r="BHJ11" s="111"/>
      <c r="BHK11" s="111"/>
      <c r="BHL11" s="111"/>
      <c r="BHM11" s="111"/>
      <c r="BHN11" s="111"/>
      <c r="BHO11" s="111"/>
      <c r="BHP11" s="111"/>
      <c r="BHQ11" s="111"/>
      <c r="BHR11" s="111"/>
      <c r="BHS11" s="111"/>
      <c r="BHT11" s="111"/>
      <c r="BHU11" s="111"/>
      <c r="BHV11" s="111"/>
      <c r="BHW11" s="111"/>
      <c r="BHX11" s="111"/>
      <c r="BHY11" s="111"/>
      <c r="BHZ11" s="111"/>
      <c r="BIA11" s="111"/>
      <c r="BIB11" s="111"/>
      <c r="BIC11" s="111"/>
      <c r="BID11" s="111"/>
      <c r="BIE11" s="111"/>
      <c r="BIF11" s="111"/>
      <c r="BIG11" s="111"/>
      <c r="BIH11" s="111"/>
      <c r="BII11" s="111"/>
      <c r="BIJ11" s="111"/>
      <c r="BIK11" s="111"/>
      <c r="BIL11" s="111"/>
      <c r="BIM11" s="111"/>
      <c r="BIN11" s="111"/>
      <c r="BIO11" s="111"/>
      <c r="BIP11" s="111"/>
      <c r="BIQ11" s="111"/>
      <c r="BIR11" s="111"/>
      <c r="BIS11" s="111"/>
      <c r="BIT11" s="111"/>
      <c r="BIU11" s="111"/>
      <c r="BIV11" s="111"/>
      <c r="BIW11" s="111"/>
      <c r="BIX11" s="111"/>
      <c r="BIY11" s="111"/>
      <c r="BIZ11" s="111"/>
      <c r="BJA11" s="111"/>
      <c r="BJB11" s="111"/>
      <c r="BJC11" s="111"/>
      <c r="BJD11" s="111"/>
      <c r="BJE11" s="111"/>
      <c r="BJF11" s="111"/>
      <c r="BJG11" s="111"/>
      <c r="BJH11" s="111"/>
      <c r="BJI11" s="111"/>
      <c r="BJJ11" s="111"/>
      <c r="BJK11" s="111"/>
      <c r="BJL11" s="111"/>
      <c r="BJM11" s="111"/>
      <c r="BJN11" s="111"/>
      <c r="BJO11" s="111"/>
      <c r="BJP11" s="111"/>
      <c r="BJQ11" s="111"/>
      <c r="BJR11" s="111"/>
      <c r="BJS11" s="111"/>
      <c r="BJT11" s="111"/>
      <c r="BJU11" s="111"/>
      <c r="BJV11" s="111"/>
      <c r="BJW11" s="111"/>
      <c r="BJX11" s="111"/>
      <c r="BJY11" s="111"/>
      <c r="BJZ11" s="111"/>
      <c r="BKA11" s="111"/>
      <c r="BKB11" s="111"/>
      <c r="BKC11" s="111"/>
      <c r="BKD11" s="111"/>
      <c r="BKE11" s="111"/>
      <c r="BKF11" s="111"/>
      <c r="BKG11" s="111"/>
      <c r="BKH11" s="111"/>
      <c r="BKI11" s="111"/>
      <c r="BKJ11" s="111"/>
      <c r="BKK11" s="111"/>
      <c r="BKL11" s="111"/>
      <c r="BKM11" s="111"/>
      <c r="BKN11" s="111"/>
      <c r="BKO11" s="111"/>
      <c r="BKP11" s="111"/>
      <c r="BKQ11" s="111"/>
      <c r="BKR11" s="111"/>
      <c r="BKS11" s="111"/>
      <c r="BKT11" s="111"/>
      <c r="BKU11" s="111"/>
      <c r="BKV11" s="111"/>
      <c r="BKW11" s="111"/>
      <c r="BKX11" s="111"/>
      <c r="BKY11" s="111"/>
      <c r="BKZ11" s="111"/>
      <c r="BLA11" s="111"/>
      <c r="BLB11" s="111"/>
      <c r="BLC11" s="111"/>
      <c r="BLD11" s="111"/>
      <c r="BLE11" s="111"/>
      <c r="BLF11" s="111"/>
      <c r="BLG11" s="111"/>
      <c r="BLH11" s="111"/>
      <c r="BLI11" s="111"/>
      <c r="BLJ11" s="111"/>
      <c r="BLK11" s="111"/>
      <c r="BLL11" s="111"/>
      <c r="BLM11" s="111"/>
      <c r="BLN11" s="111"/>
      <c r="BLO11" s="111"/>
      <c r="BLP11" s="111"/>
      <c r="BLQ11" s="111"/>
      <c r="BLR11" s="111"/>
      <c r="BLS11" s="111"/>
      <c r="BLT11" s="111"/>
      <c r="BLU11" s="111"/>
      <c r="BLV11" s="111"/>
      <c r="BLW11" s="111"/>
      <c r="BLX11" s="111"/>
      <c r="BLY11" s="111"/>
      <c r="BLZ11" s="111"/>
      <c r="BMA11" s="111"/>
      <c r="BMB11" s="111"/>
      <c r="BMC11" s="111"/>
      <c r="BMD11" s="111"/>
      <c r="BME11" s="111"/>
      <c r="BMF11" s="111"/>
      <c r="BMG11" s="111"/>
      <c r="BMH11" s="111"/>
      <c r="BMI11" s="111"/>
      <c r="BMJ11" s="111"/>
      <c r="BMK11" s="111"/>
      <c r="BML11" s="111"/>
      <c r="BMM11" s="111"/>
      <c r="BMN11" s="111"/>
      <c r="BMO11" s="111"/>
      <c r="BMP11" s="111"/>
      <c r="BMQ11" s="111"/>
      <c r="BMR11" s="111"/>
      <c r="BMS11" s="111"/>
      <c r="BMT11" s="111"/>
      <c r="BMU11" s="111"/>
      <c r="BMV11" s="111"/>
      <c r="BMW11" s="111"/>
      <c r="BMX11" s="111"/>
      <c r="BMY11" s="111"/>
      <c r="BMZ11" s="111"/>
      <c r="BNA11" s="111"/>
      <c r="BNB11" s="111"/>
      <c r="BNC11" s="111"/>
      <c r="BND11" s="111"/>
      <c r="BNE11" s="111"/>
      <c r="BNF11" s="111"/>
      <c r="BNG11" s="111"/>
      <c r="BNH11" s="111"/>
      <c r="BNI11" s="111"/>
      <c r="BNJ11" s="111"/>
      <c r="BNK11" s="111"/>
      <c r="BNL11" s="111"/>
      <c r="BNM11" s="111"/>
      <c r="BNN11" s="111"/>
      <c r="BNO11" s="111"/>
      <c r="BNP11" s="111"/>
      <c r="BNQ11" s="111"/>
      <c r="BNR11" s="111"/>
      <c r="BNS11" s="111"/>
      <c r="BNT11" s="111"/>
      <c r="BNU11" s="111"/>
      <c r="BNV11" s="111"/>
      <c r="BNW11" s="111"/>
      <c r="BNX11" s="111"/>
      <c r="BNY11" s="111"/>
      <c r="BNZ11" s="111"/>
      <c r="BOA11" s="111"/>
      <c r="BOB11" s="111"/>
      <c r="BOC11" s="111"/>
      <c r="BOD11" s="111"/>
      <c r="BOE11" s="111"/>
      <c r="BOF11" s="111"/>
      <c r="BOG11" s="111"/>
      <c r="BOH11" s="111"/>
      <c r="BOI11" s="111"/>
      <c r="BOJ11" s="111"/>
      <c r="BOK11" s="111"/>
      <c r="BOL11" s="111"/>
      <c r="BOM11" s="111"/>
      <c r="BON11" s="111"/>
      <c r="BOO11" s="111"/>
      <c r="BOP11" s="111"/>
      <c r="BOQ11" s="111"/>
      <c r="BOR11" s="111"/>
      <c r="BOS11" s="111"/>
      <c r="BOT11" s="111"/>
      <c r="BOU11" s="111"/>
      <c r="BOV11" s="111"/>
      <c r="BOW11" s="111"/>
      <c r="BOX11" s="111"/>
      <c r="BOY11" s="111"/>
      <c r="BOZ11" s="111"/>
      <c r="BPA11" s="111"/>
      <c r="BPB11" s="111"/>
      <c r="BPC11" s="111"/>
      <c r="BPD11" s="111"/>
      <c r="BPE11" s="111"/>
      <c r="BPF11" s="111"/>
      <c r="BPG11" s="111"/>
      <c r="BPH11" s="111"/>
      <c r="BPI11" s="111"/>
      <c r="BPJ11" s="111"/>
      <c r="BPK11" s="111"/>
      <c r="BPL11" s="111"/>
      <c r="BPM11" s="111"/>
      <c r="BPN11" s="111"/>
      <c r="BPO11" s="111"/>
      <c r="BPP11" s="111"/>
      <c r="BPQ11" s="111"/>
      <c r="BPR11" s="111"/>
      <c r="BPS11" s="111"/>
      <c r="BPT11" s="111"/>
      <c r="BPU11" s="111"/>
      <c r="BPV11" s="111"/>
      <c r="BPW11" s="111"/>
      <c r="BPX11" s="111"/>
      <c r="BPY11" s="111"/>
      <c r="BPZ11" s="111"/>
      <c r="BQA11" s="111"/>
      <c r="BQB11" s="111"/>
      <c r="BQC11" s="111"/>
      <c r="BQD11" s="111"/>
      <c r="BQE11" s="111"/>
      <c r="BQF11" s="111"/>
      <c r="BQG11" s="111"/>
      <c r="BQH11" s="111"/>
      <c r="BQI11" s="111"/>
      <c r="BQJ11" s="111"/>
      <c r="BQK11" s="111"/>
      <c r="BQL11" s="111"/>
      <c r="BQM11" s="111"/>
      <c r="BQN11" s="111"/>
      <c r="BQO11" s="111"/>
      <c r="BQP11" s="111"/>
      <c r="BQQ11" s="111"/>
      <c r="BQR11" s="111"/>
      <c r="BQS11" s="111"/>
      <c r="BQT11" s="111"/>
      <c r="BQU11" s="111"/>
      <c r="BQV11" s="111"/>
      <c r="BQW11" s="111"/>
      <c r="BQX11" s="111"/>
      <c r="BQY11" s="111"/>
      <c r="BQZ11" s="111"/>
      <c r="BRA11" s="111"/>
      <c r="BRB11" s="111"/>
      <c r="BRC11" s="111"/>
      <c r="BRD11" s="111"/>
      <c r="BRE11" s="111"/>
      <c r="BRF11" s="111"/>
      <c r="BRG11" s="111"/>
      <c r="BRH11" s="111"/>
      <c r="BRI11" s="111"/>
      <c r="BRJ11" s="111"/>
      <c r="BRK11" s="111"/>
      <c r="BRL11" s="111"/>
      <c r="BRM11" s="111"/>
      <c r="BRN11" s="111"/>
      <c r="BRO11" s="111"/>
      <c r="BRP11" s="111"/>
      <c r="BRQ11" s="111"/>
      <c r="BRR11" s="111"/>
      <c r="BRS11" s="111"/>
      <c r="BRT11" s="111"/>
      <c r="BRU11" s="111"/>
      <c r="BRV11" s="111"/>
      <c r="BRW11" s="111"/>
      <c r="BRX11" s="111"/>
      <c r="BRY11" s="111"/>
      <c r="BRZ11" s="111"/>
      <c r="BSA11" s="111"/>
      <c r="BSB11" s="111"/>
      <c r="BSC11" s="111"/>
      <c r="BSD11" s="111"/>
      <c r="BSE11" s="111"/>
      <c r="BSF11" s="111"/>
      <c r="BSG11" s="111"/>
      <c r="BSH11" s="111"/>
      <c r="BSI11" s="111"/>
      <c r="BSJ11" s="111"/>
      <c r="BSK11" s="111"/>
      <c r="BSL11" s="111"/>
      <c r="BSM11" s="111"/>
      <c r="BSN11" s="111"/>
      <c r="BSO11" s="111"/>
      <c r="BSP11" s="111"/>
      <c r="BSQ11" s="111"/>
      <c r="BSR11" s="111"/>
      <c r="BSS11" s="111"/>
      <c r="BST11" s="111"/>
      <c r="BSU11" s="111"/>
      <c r="BSV11" s="111"/>
      <c r="BSW11" s="111"/>
      <c r="BSX11" s="111"/>
      <c r="BSY11" s="111"/>
      <c r="BSZ11" s="111"/>
      <c r="BTA11" s="111"/>
      <c r="BTB11" s="111"/>
      <c r="BTC11" s="111"/>
      <c r="BTD11" s="111"/>
      <c r="BTE11" s="111"/>
      <c r="BTF11" s="111"/>
      <c r="BTG11" s="111"/>
      <c r="BTH11" s="111"/>
      <c r="BTI11" s="111"/>
      <c r="BTJ11" s="111"/>
      <c r="BTK11" s="111"/>
      <c r="BTL11" s="111"/>
      <c r="BTM11" s="111"/>
      <c r="BTN11" s="111"/>
      <c r="BTO11" s="111"/>
      <c r="BTP11" s="111"/>
      <c r="BTQ11" s="111"/>
      <c r="BTR11" s="111"/>
      <c r="BTS11" s="111"/>
      <c r="BTT11" s="111"/>
      <c r="BTU11" s="111"/>
      <c r="BTV11" s="111"/>
      <c r="BTW11" s="111"/>
      <c r="BTX11" s="111"/>
      <c r="BTY11" s="111"/>
      <c r="BTZ11" s="111"/>
      <c r="BUA11" s="111"/>
      <c r="BUB11" s="111"/>
      <c r="BUC11" s="111"/>
      <c r="BUD11" s="111"/>
      <c r="BUE11" s="111"/>
      <c r="BUF11" s="111"/>
      <c r="BUG11" s="111"/>
      <c r="BUH11" s="111"/>
      <c r="BUI11" s="111"/>
      <c r="BUJ11" s="111"/>
      <c r="BUK11" s="111"/>
      <c r="BUL11" s="111"/>
      <c r="BUM11" s="111"/>
      <c r="BUN11" s="111"/>
      <c r="BUO11" s="111"/>
      <c r="BUP11" s="111"/>
      <c r="BUQ11" s="111"/>
      <c r="BUR11" s="111"/>
      <c r="BUS11" s="111"/>
      <c r="BUT11" s="111"/>
      <c r="BUU11" s="111"/>
      <c r="BUV11" s="111"/>
      <c r="BUW11" s="111"/>
      <c r="BUX11" s="111"/>
      <c r="BUY11" s="111"/>
      <c r="BUZ11" s="111"/>
      <c r="BVA11" s="111"/>
      <c r="BVB11" s="111"/>
      <c r="BVC11" s="111"/>
      <c r="BVD11" s="111"/>
      <c r="BVE11" s="111"/>
      <c r="BVF11" s="111"/>
      <c r="BVG11" s="111"/>
      <c r="BVH11" s="111"/>
      <c r="BVI11" s="111"/>
      <c r="BVJ11" s="111"/>
      <c r="BVK11" s="111"/>
      <c r="BVL11" s="111"/>
      <c r="BVM11" s="111"/>
      <c r="BVN11" s="111"/>
      <c r="BVO11" s="111"/>
      <c r="BVP11" s="111"/>
      <c r="BVQ11" s="111"/>
      <c r="BVR11" s="111"/>
      <c r="BVS11" s="111"/>
      <c r="BVT11" s="111"/>
      <c r="BVU11" s="111"/>
      <c r="BVV11" s="111"/>
      <c r="BVW11" s="111"/>
      <c r="BVX11" s="111"/>
      <c r="BVY11" s="111"/>
      <c r="BVZ11" s="111"/>
      <c r="BWA11" s="111"/>
      <c r="BWB11" s="111"/>
      <c r="BWC11" s="111"/>
      <c r="BWD11" s="111"/>
      <c r="BWE11" s="111"/>
      <c r="BWF11" s="111"/>
      <c r="BWG11" s="111"/>
      <c r="BWH11" s="111"/>
      <c r="BWI11" s="111"/>
      <c r="BWJ11" s="111"/>
      <c r="BWK11" s="111"/>
      <c r="BWL11" s="111"/>
      <c r="BWM11" s="111"/>
      <c r="BWN11" s="111"/>
      <c r="BWO11" s="111"/>
      <c r="BWP11" s="111"/>
      <c r="BWQ11" s="111"/>
      <c r="BWR11" s="111"/>
      <c r="BWS11" s="111"/>
      <c r="BWT11" s="111"/>
      <c r="BWU11" s="111"/>
      <c r="BWV11" s="111"/>
      <c r="BWW11" s="111"/>
      <c r="BWX11" s="111"/>
      <c r="BWY11" s="111"/>
      <c r="BWZ11" s="111"/>
      <c r="BXA11" s="111"/>
      <c r="BXB11" s="111"/>
      <c r="BXC11" s="111"/>
      <c r="BXD11" s="111"/>
      <c r="BXE11" s="111"/>
      <c r="BXF11" s="111"/>
      <c r="BXG11" s="111"/>
      <c r="BXH11" s="111"/>
      <c r="BXI11" s="111"/>
      <c r="BXJ11" s="111"/>
      <c r="BXK11" s="111"/>
      <c r="BXL11" s="111"/>
      <c r="BXM11" s="111"/>
      <c r="BXN11" s="111"/>
      <c r="BXO11" s="111"/>
      <c r="BXP11" s="111"/>
      <c r="BXQ11" s="111"/>
      <c r="BXR11" s="111"/>
      <c r="BXS11" s="111"/>
      <c r="BXT11" s="111"/>
      <c r="BXU11" s="111"/>
      <c r="BXV11" s="111"/>
      <c r="BXW11" s="111"/>
      <c r="BXX11" s="111"/>
      <c r="BXY11" s="111"/>
      <c r="BXZ11" s="111"/>
      <c r="BYA11" s="111"/>
      <c r="BYB11" s="111"/>
      <c r="BYC11" s="111"/>
      <c r="BYD11" s="111"/>
      <c r="BYE11" s="111"/>
      <c r="BYF11" s="111"/>
      <c r="BYG11" s="111"/>
      <c r="BYH11" s="111"/>
      <c r="BYI11" s="111"/>
      <c r="BYJ11" s="111"/>
      <c r="BYK11" s="111"/>
      <c r="BYL11" s="111"/>
      <c r="BYM11" s="111"/>
      <c r="BYN11" s="111"/>
      <c r="BYO11" s="111"/>
      <c r="BYP11" s="111"/>
      <c r="BYQ11" s="111"/>
      <c r="BYR11" s="111"/>
      <c r="BYS11" s="111"/>
      <c r="BYT11" s="111"/>
      <c r="BYU11" s="111"/>
      <c r="BYV11" s="111"/>
      <c r="BYW11" s="111"/>
      <c r="BYX11" s="111"/>
      <c r="BYY11" s="111"/>
      <c r="BYZ11" s="111"/>
      <c r="BZA11" s="111"/>
      <c r="BZB11" s="111"/>
      <c r="BZC11" s="111"/>
      <c r="BZD11" s="111"/>
      <c r="BZE11" s="111"/>
      <c r="BZF11" s="111"/>
      <c r="BZG11" s="111"/>
      <c r="BZH11" s="111"/>
      <c r="BZI11" s="111"/>
      <c r="BZJ11" s="111"/>
      <c r="BZK11" s="111"/>
      <c r="BZL11" s="111"/>
      <c r="BZM11" s="111"/>
      <c r="BZN11" s="111"/>
      <c r="BZO11" s="111"/>
      <c r="BZP11" s="111"/>
      <c r="BZQ11" s="111"/>
      <c r="BZR11" s="111"/>
      <c r="BZS11" s="111"/>
      <c r="BZT11" s="111"/>
      <c r="BZU11" s="111"/>
      <c r="BZV11" s="111"/>
      <c r="BZW11" s="111"/>
      <c r="BZX11" s="111"/>
      <c r="BZY11" s="111"/>
      <c r="BZZ11" s="111"/>
      <c r="CAA11" s="111"/>
      <c r="CAB11" s="111"/>
      <c r="CAC11" s="111"/>
      <c r="CAD11" s="111"/>
      <c r="CAE11" s="111"/>
      <c r="CAF11" s="111"/>
      <c r="CAG11" s="111"/>
      <c r="CAH11" s="111"/>
      <c r="CAI11" s="111"/>
      <c r="CAJ11" s="111"/>
      <c r="CAK11" s="111"/>
      <c r="CAL11" s="111"/>
      <c r="CAM11" s="111"/>
      <c r="CAN11" s="111"/>
      <c r="CAO11" s="111"/>
      <c r="CAP11" s="111"/>
      <c r="CAQ11" s="111"/>
      <c r="CAR11" s="111"/>
      <c r="CAS11" s="111"/>
      <c r="CAT11" s="111"/>
      <c r="CAU11" s="111"/>
      <c r="CAV11" s="111"/>
      <c r="CAW11" s="111"/>
      <c r="CAX11" s="111"/>
      <c r="CAY11" s="111"/>
      <c r="CAZ11" s="111"/>
      <c r="CBA11" s="111"/>
      <c r="CBB11" s="111"/>
      <c r="CBC11" s="111"/>
      <c r="CBD11" s="111"/>
      <c r="CBE11" s="111"/>
      <c r="CBF11" s="111"/>
      <c r="CBG11" s="111"/>
      <c r="CBH11" s="111"/>
      <c r="CBI11" s="111"/>
      <c r="CBJ11" s="111"/>
      <c r="CBK11" s="111"/>
      <c r="CBL11" s="111"/>
      <c r="CBM11" s="111"/>
      <c r="CBN11" s="111"/>
      <c r="CBO11" s="111"/>
      <c r="CBP11" s="111"/>
      <c r="CBQ11" s="111"/>
      <c r="CBR11" s="111"/>
      <c r="CBS11" s="111"/>
      <c r="CBT11" s="111"/>
      <c r="CBU11" s="111"/>
      <c r="CBV11" s="111"/>
      <c r="CBW11" s="111"/>
      <c r="CBX11" s="111"/>
      <c r="CBY11" s="111"/>
      <c r="CBZ11" s="111"/>
      <c r="CCA11" s="111"/>
      <c r="CCB11" s="111"/>
      <c r="CCC11" s="111"/>
      <c r="CCD11" s="111"/>
      <c r="CCE11" s="111"/>
      <c r="CCF11" s="111"/>
      <c r="CCG11" s="111"/>
      <c r="CCH11" s="111"/>
      <c r="CCI11" s="111"/>
      <c r="CCJ11" s="111"/>
      <c r="CCK11" s="111"/>
      <c r="CCL11" s="111"/>
      <c r="CCM11" s="111"/>
      <c r="CCN11" s="111"/>
      <c r="CCO11" s="111"/>
      <c r="CCP11" s="111"/>
      <c r="CCQ11" s="111"/>
      <c r="CCR11" s="111"/>
      <c r="CCS11" s="111"/>
      <c r="CCT11" s="111"/>
      <c r="CCU11" s="111"/>
      <c r="CCV11" s="111"/>
      <c r="CCW11" s="111"/>
      <c r="CCX11" s="111"/>
      <c r="CCY11" s="111"/>
      <c r="CCZ11" s="111"/>
      <c r="CDA11" s="111"/>
      <c r="CDB11" s="111"/>
      <c r="CDC11" s="111"/>
      <c r="CDD11" s="111"/>
      <c r="CDE11" s="111"/>
      <c r="CDF11" s="111"/>
      <c r="CDG11" s="111"/>
      <c r="CDH11" s="111"/>
      <c r="CDI11" s="111"/>
      <c r="CDJ11" s="111"/>
      <c r="CDK11" s="111"/>
      <c r="CDL11" s="111"/>
      <c r="CDM11" s="111"/>
      <c r="CDN11" s="111"/>
      <c r="CDO11" s="111"/>
      <c r="CDP11" s="111"/>
      <c r="CDQ11" s="111"/>
      <c r="CDR11" s="111"/>
      <c r="CDS11" s="111"/>
      <c r="CDT11" s="111"/>
      <c r="CDU11" s="111"/>
      <c r="CDV11" s="111"/>
      <c r="CDW11" s="111"/>
      <c r="CDX11" s="111"/>
      <c r="CDY11" s="111"/>
      <c r="CDZ11" s="111"/>
      <c r="CEA11" s="111"/>
      <c r="CEB11" s="111"/>
      <c r="CEC11" s="111"/>
      <c r="CED11" s="111"/>
      <c r="CEE11" s="111"/>
      <c r="CEF11" s="111"/>
      <c r="CEG11" s="111"/>
      <c r="CEH11" s="111"/>
      <c r="CEI11" s="111"/>
      <c r="CEJ11" s="111"/>
      <c r="CEK11" s="111"/>
      <c r="CEL11" s="111"/>
      <c r="CEM11" s="111"/>
      <c r="CEN11" s="111"/>
      <c r="CEO11" s="111"/>
      <c r="CEP11" s="111"/>
      <c r="CEQ11" s="111"/>
      <c r="CER11" s="111"/>
      <c r="CES11" s="111"/>
      <c r="CET11" s="111"/>
      <c r="CEU11" s="111"/>
      <c r="CEV11" s="111"/>
      <c r="CEW11" s="111"/>
      <c r="CEX11" s="111"/>
      <c r="CEY11" s="111"/>
      <c r="CEZ11" s="111"/>
      <c r="CFA11" s="111"/>
      <c r="CFB11" s="111"/>
      <c r="CFC11" s="111"/>
      <c r="CFD11" s="111"/>
      <c r="CFE11" s="111"/>
      <c r="CFF11" s="111"/>
      <c r="CFG11" s="111"/>
      <c r="CFH11" s="111"/>
      <c r="CFI11" s="111"/>
      <c r="CFJ11" s="111"/>
      <c r="CFK11" s="111"/>
      <c r="CFL11" s="111"/>
      <c r="CFM11" s="111"/>
      <c r="CFN11" s="111"/>
      <c r="CFO11" s="111"/>
      <c r="CFP11" s="111"/>
      <c r="CFQ11" s="111"/>
      <c r="CFR11" s="111"/>
      <c r="CFS11" s="111"/>
      <c r="CFT11" s="111"/>
      <c r="CFU11" s="111"/>
      <c r="CFV11" s="111"/>
      <c r="CFW11" s="111"/>
      <c r="CFX11" s="111"/>
      <c r="CFY11" s="111"/>
      <c r="CFZ11" s="111"/>
      <c r="CGA11" s="111"/>
      <c r="CGB11" s="111"/>
      <c r="CGC11" s="111"/>
      <c r="CGD11" s="111"/>
      <c r="CGE11" s="111"/>
      <c r="CGF11" s="111"/>
      <c r="CGG11" s="111"/>
      <c r="CGH11" s="111"/>
      <c r="CGI11" s="111"/>
      <c r="CGJ11" s="111"/>
      <c r="CGK11" s="111"/>
      <c r="CGL11" s="111"/>
      <c r="CGM11" s="111"/>
      <c r="CGN11" s="111"/>
      <c r="CGO11" s="111"/>
      <c r="CGP11" s="111"/>
      <c r="CGQ11" s="111"/>
      <c r="CGR11" s="111"/>
      <c r="CGS11" s="111"/>
      <c r="CGT11" s="111"/>
      <c r="CGU11" s="111"/>
      <c r="CGV11" s="111"/>
      <c r="CGW11" s="111"/>
      <c r="CGX11" s="111"/>
      <c r="CGY11" s="111"/>
      <c r="CGZ11" s="111"/>
      <c r="CHA11" s="111"/>
      <c r="CHB11" s="111"/>
      <c r="CHC11" s="111"/>
      <c r="CHD11" s="111"/>
      <c r="CHE11" s="111"/>
      <c r="CHF11" s="111"/>
      <c r="CHG11" s="111"/>
      <c r="CHH11" s="111"/>
      <c r="CHI11" s="111"/>
      <c r="CHJ11" s="111"/>
      <c r="CHK11" s="111"/>
      <c r="CHL11" s="111"/>
      <c r="CHM11" s="111"/>
      <c r="CHN11" s="111"/>
      <c r="CHO11" s="111"/>
      <c r="CHP11" s="111"/>
      <c r="CHQ11" s="111"/>
      <c r="CHR11" s="111"/>
      <c r="CHS11" s="111"/>
      <c r="CHT11" s="111"/>
      <c r="CHU11" s="111"/>
      <c r="CHV11" s="111"/>
      <c r="CHW11" s="111"/>
      <c r="CHX11" s="111"/>
      <c r="CHY11" s="111"/>
      <c r="CHZ11" s="111"/>
      <c r="CIA11" s="111"/>
      <c r="CIB11" s="111"/>
      <c r="CIC11" s="111"/>
      <c r="CID11" s="111"/>
      <c r="CIE11" s="111"/>
      <c r="CIF11" s="111"/>
      <c r="CIG11" s="111"/>
      <c r="CIH11" s="111"/>
      <c r="CII11" s="111"/>
      <c r="CIJ11" s="111"/>
      <c r="CIK11" s="111"/>
      <c r="CIL11" s="111"/>
      <c r="CIM11" s="111"/>
      <c r="CIN11" s="111"/>
      <c r="CIO11" s="111"/>
      <c r="CIP11" s="111"/>
      <c r="CIQ11" s="111"/>
      <c r="CIR11" s="111"/>
      <c r="CIS11" s="111"/>
      <c r="CIT11" s="111"/>
      <c r="CIU11" s="111"/>
      <c r="CIV11" s="111"/>
      <c r="CIW11" s="111"/>
      <c r="CIX11" s="111"/>
      <c r="CIY11" s="111"/>
      <c r="CIZ11" s="111"/>
      <c r="CJA11" s="111"/>
      <c r="CJB11" s="111"/>
      <c r="CJC11" s="111"/>
      <c r="CJD11" s="111"/>
      <c r="CJE11" s="111"/>
      <c r="CJF11" s="111"/>
      <c r="CJG11" s="111"/>
      <c r="CJH11" s="111"/>
      <c r="CJI11" s="111"/>
      <c r="CJJ11" s="111"/>
      <c r="CJK11" s="111"/>
      <c r="CJL11" s="111"/>
      <c r="CJM11" s="111"/>
      <c r="CJN11" s="111"/>
      <c r="CJO11" s="111"/>
      <c r="CJP11" s="111"/>
      <c r="CJQ11" s="111"/>
      <c r="CJR11" s="111"/>
      <c r="CJS11" s="111"/>
      <c r="CJT11" s="111"/>
      <c r="CJU11" s="111"/>
      <c r="CJV11" s="111"/>
      <c r="CJW11" s="111"/>
      <c r="CJX11" s="111"/>
      <c r="CJY11" s="111"/>
      <c r="CJZ11" s="111"/>
      <c r="CKA11" s="111"/>
      <c r="CKB11" s="111"/>
      <c r="CKC11" s="111"/>
      <c r="CKD11" s="111"/>
      <c r="CKE11" s="111"/>
      <c r="CKF11" s="111"/>
      <c r="CKG11" s="111"/>
      <c r="CKH11" s="111"/>
      <c r="CKI11" s="111"/>
      <c r="CKJ11" s="111"/>
      <c r="CKK11" s="111"/>
      <c r="CKL11" s="111"/>
      <c r="CKM11" s="111"/>
      <c r="CKN11" s="111"/>
      <c r="CKO11" s="111"/>
      <c r="CKP11" s="111"/>
      <c r="CKQ11" s="111"/>
      <c r="CKR11" s="111"/>
      <c r="CKS11" s="111"/>
      <c r="CKT11" s="111"/>
      <c r="CKU11" s="111"/>
      <c r="CKV11" s="111"/>
      <c r="CKW11" s="111"/>
      <c r="CKX11" s="111"/>
      <c r="CKY11" s="111"/>
      <c r="CKZ11" s="111"/>
      <c r="CLA11" s="111"/>
      <c r="CLB11" s="111"/>
      <c r="CLC11" s="111"/>
      <c r="CLD11" s="111"/>
      <c r="CLE11" s="111"/>
      <c r="CLF11" s="111"/>
      <c r="CLG11" s="111"/>
      <c r="CLH11" s="111"/>
      <c r="CLI11" s="111"/>
      <c r="CLJ11" s="111"/>
      <c r="CLK11" s="111"/>
      <c r="CLL11" s="111"/>
      <c r="CLM11" s="111"/>
      <c r="CLN11" s="111"/>
      <c r="CLO11" s="111"/>
      <c r="CLP11" s="111"/>
      <c r="CLQ11" s="111"/>
      <c r="CLR11" s="111"/>
      <c r="CLS11" s="111"/>
      <c r="CLT11" s="111"/>
      <c r="CLU11" s="111"/>
      <c r="CLV11" s="111"/>
      <c r="CLW11" s="111"/>
      <c r="CLX11" s="111"/>
      <c r="CLY11" s="111"/>
      <c r="CLZ11" s="111"/>
      <c r="CMA11" s="111"/>
      <c r="CMB11" s="111"/>
      <c r="CMC11" s="111"/>
      <c r="CMD11" s="111"/>
      <c r="CME11" s="111"/>
      <c r="CMF11" s="111"/>
      <c r="CMG11" s="111"/>
      <c r="CMH11" s="111"/>
      <c r="CMI11" s="111"/>
      <c r="CMJ11" s="111"/>
      <c r="CMK11" s="111"/>
      <c r="CML11" s="111"/>
      <c r="CMM11" s="111"/>
      <c r="CMN11" s="111"/>
      <c r="CMO11" s="111"/>
      <c r="CMP11" s="111"/>
      <c r="CMQ11" s="111"/>
      <c r="CMR11" s="111"/>
      <c r="CMS11" s="111"/>
      <c r="CMT11" s="111"/>
      <c r="CMU11" s="111"/>
      <c r="CMV11" s="111"/>
      <c r="CMW11" s="111"/>
      <c r="CMX11" s="111"/>
      <c r="CMY11" s="111"/>
      <c r="CMZ11" s="111"/>
      <c r="CNA11" s="111"/>
      <c r="CNB11" s="111"/>
      <c r="CNC11" s="111"/>
      <c r="CND11" s="111"/>
      <c r="CNE11" s="111"/>
      <c r="CNF11" s="111"/>
      <c r="CNG11" s="111"/>
      <c r="CNH11" s="111"/>
      <c r="CNI11" s="111"/>
      <c r="CNJ11" s="111"/>
      <c r="CNK11" s="111"/>
      <c r="CNL11" s="111"/>
      <c r="CNM11" s="111"/>
      <c r="CNN11" s="111"/>
      <c r="CNO11" s="111"/>
      <c r="CNP11" s="111"/>
      <c r="CNQ11" s="111"/>
      <c r="CNR11" s="111"/>
      <c r="CNS11" s="111"/>
      <c r="CNT11" s="111"/>
      <c r="CNU11" s="111"/>
      <c r="CNV11" s="111"/>
      <c r="CNW11" s="111"/>
      <c r="CNX11" s="111"/>
      <c r="CNY11" s="111"/>
      <c r="CNZ11" s="111"/>
      <c r="COA11" s="111"/>
      <c r="COB11" s="111"/>
      <c r="COC11" s="111"/>
      <c r="COD11" s="111"/>
      <c r="COE11" s="111"/>
      <c r="COF11" s="111"/>
      <c r="COG11" s="111"/>
      <c r="COH11" s="111"/>
      <c r="COI11" s="111"/>
      <c r="COJ11" s="111"/>
      <c r="COK11" s="111"/>
      <c r="COL11" s="111"/>
      <c r="COM11" s="111"/>
      <c r="CON11" s="111"/>
      <c r="COO11" s="111"/>
      <c r="COP11" s="111"/>
      <c r="COQ11" s="111"/>
      <c r="COR11" s="111"/>
      <c r="COS11" s="111"/>
      <c r="COT11" s="111"/>
      <c r="COU11" s="111"/>
      <c r="COV11" s="111"/>
      <c r="COW11" s="111"/>
      <c r="COX11" s="111"/>
      <c r="COY11" s="111"/>
      <c r="COZ11" s="111"/>
      <c r="CPA11" s="111"/>
      <c r="CPB11" s="111"/>
      <c r="CPC11" s="111"/>
      <c r="CPD11" s="111"/>
      <c r="CPE11" s="111"/>
      <c r="CPF11" s="111"/>
      <c r="CPG11" s="111"/>
      <c r="CPH11" s="111"/>
      <c r="CPI11" s="111"/>
      <c r="CPJ11" s="111"/>
      <c r="CPK11" s="111"/>
      <c r="CPL11" s="111"/>
      <c r="CPM11" s="111"/>
      <c r="CPN11" s="111"/>
      <c r="CPO11" s="111"/>
      <c r="CPP11" s="111"/>
      <c r="CPQ11" s="111"/>
      <c r="CPR11" s="111"/>
      <c r="CPS11" s="111"/>
      <c r="CPT11" s="111"/>
      <c r="CPU11" s="111"/>
      <c r="CPV11" s="111"/>
      <c r="CPW11" s="111"/>
      <c r="CPX11" s="111"/>
      <c r="CPY11" s="111"/>
      <c r="CPZ11" s="111"/>
      <c r="CQA11" s="111"/>
      <c r="CQB11" s="111"/>
      <c r="CQC11" s="111"/>
      <c r="CQD11" s="111"/>
      <c r="CQE11" s="111"/>
      <c r="CQF11" s="111"/>
      <c r="CQG11" s="111"/>
      <c r="CQH11" s="111"/>
      <c r="CQI11" s="111"/>
      <c r="CQJ11" s="111"/>
      <c r="CQK11" s="111"/>
      <c r="CQL11" s="111"/>
      <c r="CQM11" s="111"/>
      <c r="CQN11" s="111"/>
      <c r="CQO11" s="111"/>
      <c r="CQP11" s="111"/>
      <c r="CQQ11" s="111"/>
      <c r="CQR11" s="111"/>
      <c r="CQS11" s="111"/>
      <c r="CQT11" s="111"/>
      <c r="CQU11" s="111"/>
      <c r="CQV11" s="111"/>
      <c r="CQW11" s="111"/>
      <c r="CQX11" s="111"/>
      <c r="CQY11" s="111"/>
      <c r="CQZ11" s="111"/>
      <c r="CRA11" s="111"/>
      <c r="CRB11" s="111"/>
      <c r="CRC11" s="111"/>
      <c r="CRD11" s="111"/>
      <c r="CRE11" s="111"/>
      <c r="CRF11" s="111"/>
      <c r="CRG11" s="111"/>
      <c r="CRH11" s="111"/>
      <c r="CRI11" s="111"/>
      <c r="CRJ11" s="111"/>
      <c r="CRK11" s="111"/>
      <c r="CRL11" s="111"/>
      <c r="CRM11" s="111"/>
      <c r="CRN11" s="111"/>
      <c r="CRO11" s="111"/>
      <c r="CRP11" s="111"/>
      <c r="CRQ11" s="111"/>
      <c r="CRR11" s="111"/>
      <c r="CRS11" s="111"/>
      <c r="CRT11" s="111"/>
      <c r="CRU11" s="111"/>
      <c r="CRV11" s="111"/>
      <c r="CRW11" s="111"/>
      <c r="CRX11" s="111"/>
      <c r="CRY11" s="111"/>
      <c r="CRZ11" s="111"/>
      <c r="CSA11" s="111"/>
      <c r="CSB11" s="111"/>
      <c r="CSC11" s="111"/>
      <c r="CSD11" s="111"/>
      <c r="CSE11" s="111"/>
      <c r="CSF11" s="111"/>
      <c r="CSG11" s="111"/>
      <c r="CSH11" s="111"/>
      <c r="CSI11" s="111"/>
      <c r="CSJ11" s="111"/>
      <c r="CSK11" s="111"/>
      <c r="CSL11" s="111"/>
      <c r="CSM11" s="111"/>
      <c r="CSN11" s="111"/>
      <c r="CSO11" s="111"/>
      <c r="CSP11" s="111"/>
      <c r="CSQ11" s="111"/>
      <c r="CSR11" s="111"/>
      <c r="CSS11" s="111"/>
      <c r="CST11" s="111"/>
      <c r="CSU11" s="111"/>
      <c r="CSV11" s="111"/>
      <c r="CSW11" s="111"/>
      <c r="CSX11" s="111"/>
      <c r="CSY11" s="111"/>
      <c r="CSZ11" s="111"/>
      <c r="CTA11" s="111"/>
      <c r="CTB11" s="111"/>
      <c r="CTC11" s="111"/>
      <c r="CTD11" s="111"/>
      <c r="CTE11" s="111"/>
      <c r="CTF11" s="111"/>
      <c r="CTG11" s="111"/>
      <c r="CTH11" s="111"/>
      <c r="CTI11" s="111"/>
      <c r="CTJ11" s="111"/>
      <c r="CTK11" s="111"/>
      <c r="CTL11" s="111"/>
      <c r="CTM11" s="111"/>
      <c r="CTN11" s="111"/>
      <c r="CTO11" s="111"/>
      <c r="CTP11" s="111"/>
      <c r="CTQ11" s="111"/>
      <c r="CTR11" s="111"/>
      <c r="CTS11" s="111"/>
      <c r="CTT11" s="111"/>
      <c r="CTU11" s="111"/>
      <c r="CTV11" s="111"/>
      <c r="CTW11" s="111"/>
      <c r="CTX11" s="111"/>
      <c r="CTY11" s="111"/>
      <c r="CTZ11" s="111"/>
      <c r="CUA11" s="111"/>
      <c r="CUB11" s="111"/>
      <c r="CUC11" s="111"/>
      <c r="CUD11" s="111"/>
      <c r="CUE11" s="111"/>
      <c r="CUF11" s="111"/>
      <c r="CUG11" s="111"/>
      <c r="CUH11" s="111"/>
      <c r="CUI11" s="111"/>
      <c r="CUJ11" s="111"/>
      <c r="CUK11" s="111"/>
      <c r="CUL11" s="111"/>
      <c r="CUM11" s="111"/>
      <c r="CUN11" s="111"/>
      <c r="CUO11" s="111"/>
      <c r="CUP11" s="111"/>
      <c r="CUQ11" s="111"/>
      <c r="CUR11" s="111"/>
      <c r="CUS11" s="111"/>
      <c r="CUT11" s="111"/>
      <c r="CUU11" s="111"/>
      <c r="CUV11" s="111"/>
      <c r="CUW11" s="111"/>
      <c r="CUX11" s="111"/>
      <c r="CUY11" s="111"/>
      <c r="CUZ11" s="111"/>
      <c r="CVA11" s="111"/>
      <c r="CVB11" s="111"/>
      <c r="CVC11" s="111"/>
      <c r="CVD11" s="111"/>
      <c r="CVE11" s="111"/>
      <c r="CVF11" s="111"/>
      <c r="CVG11" s="111"/>
      <c r="CVH11" s="111"/>
      <c r="CVI11" s="111"/>
      <c r="CVJ11" s="111"/>
      <c r="CVK11" s="111"/>
      <c r="CVL11" s="111"/>
      <c r="CVM11" s="111"/>
      <c r="CVN11" s="111"/>
      <c r="CVO11" s="111"/>
      <c r="CVP11" s="111"/>
      <c r="CVQ11" s="111"/>
      <c r="CVR11" s="111"/>
      <c r="CVS11" s="111"/>
      <c r="CVT11" s="111"/>
      <c r="CVU11" s="111"/>
      <c r="CVV11" s="111"/>
      <c r="CVW11" s="111"/>
      <c r="CVX11" s="111"/>
      <c r="CVY11" s="111"/>
      <c r="CVZ11" s="111"/>
      <c r="CWA11" s="111"/>
      <c r="CWB11" s="111"/>
      <c r="CWC11" s="111"/>
      <c r="CWD11" s="111"/>
      <c r="CWE11" s="111"/>
      <c r="CWF11" s="111"/>
      <c r="CWG11" s="111"/>
      <c r="CWH11" s="111"/>
      <c r="CWI11" s="111"/>
      <c r="CWJ11" s="111"/>
      <c r="CWK11" s="111"/>
      <c r="CWL11" s="111"/>
      <c r="CWM11" s="111"/>
      <c r="CWN11" s="111"/>
      <c r="CWO11" s="111"/>
      <c r="CWP11" s="111"/>
      <c r="CWQ11" s="111"/>
      <c r="CWR11" s="111"/>
      <c r="CWS11" s="111"/>
      <c r="CWT11" s="111"/>
      <c r="CWU11" s="111"/>
      <c r="CWV11" s="111"/>
      <c r="CWW11" s="111"/>
      <c r="CWX11" s="111"/>
      <c r="CWY11" s="111"/>
      <c r="CWZ11" s="111"/>
      <c r="CXA11" s="111"/>
      <c r="CXB11" s="111"/>
      <c r="CXC11" s="111"/>
      <c r="CXD11" s="111"/>
      <c r="CXE11" s="111"/>
      <c r="CXF11" s="111"/>
      <c r="CXG11" s="111"/>
      <c r="CXH11" s="111"/>
      <c r="CXI11" s="111"/>
      <c r="CXJ11" s="111"/>
      <c r="CXK11" s="111"/>
      <c r="CXL11" s="111"/>
      <c r="CXM11" s="111"/>
      <c r="CXN11" s="111"/>
      <c r="CXO11" s="111"/>
      <c r="CXP11" s="111"/>
      <c r="CXQ11" s="111"/>
      <c r="CXR11" s="111"/>
      <c r="CXS11" s="111"/>
      <c r="CXT11" s="111"/>
      <c r="CXU11" s="111"/>
      <c r="CXV11" s="111"/>
      <c r="CXW11" s="111"/>
      <c r="CXX11" s="111"/>
      <c r="CXY11" s="111"/>
      <c r="CXZ11" s="111"/>
      <c r="CYA11" s="111"/>
      <c r="CYB11" s="111"/>
      <c r="CYC11" s="111"/>
      <c r="CYD11" s="111"/>
      <c r="CYE11" s="111"/>
      <c r="CYF11" s="111"/>
      <c r="CYG11" s="111"/>
      <c r="CYH11" s="111"/>
      <c r="CYI11" s="111"/>
      <c r="CYJ11" s="111"/>
      <c r="CYK11" s="111"/>
      <c r="CYL11" s="111"/>
      <c r="CYM11" s="111"/>
      <c r="CYN11" s="111"/>
      <c r="CYO11" s="111"/>
      <c r="CYP11" s="111"/>
      <c r="CYQ11" s="111"/>
      <c r="CYR11" s="111"/>
      <c r="CYS11" s="111"/>
      <c r="CYT11" s="111"/>
      <c r="CYU11" s="111"/>
      <c r="CYV11" s="111"/>
      <c r="CYW11" s="111"/>
      <c r="CYX11" s="111"/>
      <c r="CYY11" s="111"/>
      <c r="CYZ11" s="111"/>
      <c r="CZA11" s="111"/>
      <c r="CZB11" s="111"/>
      <c r="CZC11" s="111"/>
      <c r="CZD11" s="111"/>
      <c r="CZE11" s="111"/>
      <c r="CZF11" s="111"/>
      <c r="CZG11" s="111"/>
      <c r="CZH11" s="111"/>
      <c r="CZI11" s="111"/>
      <c r="CZJ11" s="111"/>
      <c r="CZK11" s="111"/>
      <c r="CZL11" s="111"/>
      <c r="CZM11" s="111"/>
      <c r="CZN11" s="111"/>
      <c r="CZO11" s="111"/>
      <c r="CZP11" s="111"/>
      <c r="CZQ11" s="111"/>
      <c r="CZR11" s="111"/>
      <c r="CZS11" s="111"/>
      <c r="CZT11" s="111"/>
      <c r="CZU11" s="111"/>
      <c r="CZV11" s="111"/>
      <c r="CZW11" s="111"/>
      <c r="CZX11" s="111"/>
      <c r="CZY11" s="111"/>
      <c r="CZZ11" s="111"/>
      <c r="DAA11" s="111"/>
      <c r="DAB11" s="111"/>
      <c r="DAC11" s="111"/>
      <c r="DAD11" s="111"/>
      <c r="DAE11" s="111"/>
      <c r="DAF11" s="111"/>
      <c r="DAG11" s="111"/>
      <c r="DAH11" s="111"/>
      <c r="DAI11" s="111"/>
      <c r="DAJ11" s="111"/>
      <c r="DAK11" s="111"/>
      <c r="DAL11" s="111"/>
      <c r="DAM11" s="111"/>
      <c r="DAN11" s="111"/>
      <c r="DAO11" s="111"/>
      <c r="DAP11" s="111"/>
      <c r="DAQ11" s="111"/>
      <c r="DAR11" s="111"/>
      <c r="DAS11" s="111"/>
      <c r="DAT11" s="111"/>
      <c r="DAU11" s="111"/>
      <c r="DAV11" s="111"/>
      <c r="DAW11" s="111"/>
      <c r="DAX11" s="111"/>
      <c r="DAY11" s="111"/>
      <c r="DAZ11" s="111"/>
      <c r="DBA11" s="111"/>
      <c r="DBB11" s="111"/>
      <c r="DBC11" s="111"/>
      <c r="DBD11" s="111"/>
      <c r="DBE11" s="111"/>
      <c r="DBF11" s="111"/>
      <c r="DBG11" s="111"/>
      <c r="DBH11" s="111"/>
      <c r="DBI11" s="111"/>
      <c r="DBJ11" s="111"/>
      <c r="DBK11" s="111"/>
      <c r="DBL11" s="111"/>
      <c r="DBM11" s="111"/>
      <c r="DBN11" s="111"/>
      <c r="DBO11" s="111"/>
      <c r="DBP11" s="111"/>
      <c r="DBQ11" s="111"/>
      <c r="DBR11" s="111"/>
      <c r="DBS11" s="111"/>
      <c r="DBT11" s="111"/>
      <c r="DBU11" s="111"/>
      <c r="DBV11" s="111"/>
      <c r="DBW11" s="111"/>
      <c r="DBX11" s="111"/>
      <c r="DBY11" s="111"/>
      <c r="DBZ11" s="111"/>
      <c r="DCA11" s="111"/>
      <c r="DCB11" s="111"/>
      <c r="DCC11" s="111"/>
      <c r="DCD11" s="111"/>
      <c r="DCE11" s="111"/>
      <c r="DCF11" s="111"/>
      <c r="DCG11" s="111"/>
      <c r="DCH11" s="111"/>
      <c r="DCI11" s="111"/>
      <c r="DCJ11" s="111"/>
      <c r="DCK11" s="111"/>
      <c r="DCL11" s="111"/>
      <c r="DCM11" s="111"/>
      <c r="DCN11" s="111"/>
      <c r="DCO11" s="111"/>
      <c r="DCP11" s="111"/>
      <c r="DCQ11" s="111"/>
      <c r="DCR11" s="111"/>
      <c r="DCS11" s="111"/>
      <c r="DCT11" s="111"/>
      <c r="DCU11" s="111"/>
      <c r="DCV11" s="111"/>
      <c r="DCW11" s="111"/>
      <c r="DCX11" s="111"/>
      <c r="DCY11" s="111"/>
      <c r="DCZ11" s="111"/>
      <c r="DDA11" s="111"/>
      <c r="DDB11" s="111"/>
      <c r="DDC11" s="111"/>
      <c r="DDD11" s="111"/>
      <c r="DDE11" s="111"/>
      <c r="DDF11" s="111"/>
      <c r="DDG11" s="111"/>
      <c r="DDH11" s="111"/>
      <c r="DDI11" s="111"/>
      <c r="DDJ11" s="111"/>
      <c r="DDK11" s="111"/>
      <c r="DDL11" s="111"/>
      <c r="DDM11" s="111"/>
      <c r="DDN11" s="111"/>
      <c r="DDO11" s="111"/>
      <c r="DDP11" s="111"/>
      <c r="DDQ11" s="111"/>
      <c r="DDR11" s="111"/>
      <c r="DDS11" s="111"/>
      <c r="DDT11" s="111"/>
      <c r="DDU11" s="111"/>
      <c r="DDV11" s="111"/>
      <c r="DDW11" s="111"/>
      <c r="DDX11" s="111"/>
      <c r="DDY11" s="111"/>
      <c r="DDZ11" s="111"/>
      <c r="DEA11" s="111"/>
      <c r="DEB11" s="111"/>
      <c r="DEC11" s="111"/>
      <c r="DED11" s="111"/>
      <c r="DEE11" s="111"/>
      <c r="DEF11" s="111"/>
      <c r="DEG11" s="111"/>
      <c r="DEH11" s="111"/>
      <c r="DEI11" s="111"/>
      <c r="DEJ11" s="111"/>
      <c r="DEK11" s="111"/>
      <c r="DEL11" s="111"/>
      <c r="DEM11" s="111"/>
      <c r="DEN11" s="111"/>
      <c r="DEO11" s="111"/>
      <c r="DEP11" s="111"/>
      <c r="DEQ11" s="111"/>
      <c r="DER11" s="111"/>
      <c r="DES11" s="111"/>
      <c r="DET11" s="111"/>
      <c r="DEU11" s="111"/>
      <c r="DEV11" s="111"/>
      <c r="DEW11" s="111"/>
      <c r="DEX11" s="111"/>
      <c r="DEY11" s="111"/>
      <c r="DEZ11" s="111"/>
      <c r="DFA11" s="111"/>
      <c r="DFB11" s="111"/>
      <c r="DFC11" s="111"/>
      <c r="DFD11" s="111"/>
      <c r="DFE11" s="111"/>
      <c r="DFF11" s="111"/>
      <c r="DFG11" s="111"/>
      <c r="DFH11" s="111"/>
      <c r="DFI11" s="111"/>
      <c r="DFJ11" s="111"/>
      <c r="DFK11" s="111"/>
      <c r="DFL11" s="111"/>
      <c r="DFM11" s="111"/>
      <c r="DFN11" s="111"/>
      <c r="DFO11" s="111"/>
      <c r="DFP11" s="111"/>
      <c r="DFQ11" s="111"/>
      <c r="DFR11" s="111"/>
      <c r="DFS11" s="111"/>
      <c r="DFT11" s="111"/>
      <c r="DFU11" s="111"/>
      <c r="DFV11" s="111"/>
      <c r="DFW11" s="111"/>
      <c r="DFX11" s="111"/>
      <c r="DFY11" s="111"/>
      <c r="DFZ11" s="111"/>
      <c r="DGA11" s="111"/>
      <c r="DGB11" s="111"/>
      <c r="DGC11" s="111"/>
      <c r="DGD11" s="111"/>
      <c r="DGE11" s="111"/>
      <c r="DGF11" s="111"/>
      <c r="DGG11" s="111"/>
      <c r="DGH11" s="111"/>
      <c r="DGI11" s="111"/>
      <c r="DGJ11" s="111"/>
      <c r="DGK11" s="111"/>
      <c r="DGL11" s="111"/>
      <c r="DGM11" s="111"/>
      <c r="DGN11" s="111"/>
      <c r="DGO11" s="111"/>
      <c r="DGP11" s="111"/>
      <c r="DGQ11" s="111"/>
      <c r="DGR11" s="111"/>
      <c r="DGS11" s="111"/>
      <c r="DGT11" s="111"/>
      <c r="DGU11" s="111"/>
      <c r="DGV11" s="111"/>
      <c r="DGW11" s="111"/>
      <c r="DGX11" s="111"/>
      <c r="DGY11" s="111"/>
      <c r="DGZ11" s="111"/>
      <c r="DHA11" s="111"/>
      <c r="DHB11" s="111"/>
      <c r="DHC11" s="111"/>
      <c r="DHD11" s="111"/>
      <c r="DHE11" s="111"/>
      <c r="DHF11" s="111"/>
      <c r="DHG11" s="111"/>
      <c r="DHH11" s="111"/>
      <c r="DHI11" s="111"/>
      <c r="DHJ11" s="111"/>
      <c r="DHK11" s="111"/>
      <c r="DHL11" s="111"/>
      <c r="DHM11" s="111"/>
      <c r="DHN11" s="111"/>
      <c r="DHO11" s="111"/>
      <c r="DHP11" s="111"/>
      <c r="DHQ11" s="111"/>
      <c r="DHR11" s="111"/>
      <c r="DHS11" s="111"/>
      <c r="DHT11" s="111"/>
      <c r="DHU11" s="111"/>
      <c r="DHV11" s="111"/>
      <c r="DHW11" s="111"/>
      <c r="DHX11" s="111"/>
      <c r="DHY11" s="111"/>
      <c r="DHZ11" s="111"/>
      <c r="DIA11" s="111"/>
      <c r="DIB11" s="111"/>
      <c r="DIC11" s="111"/>
      <c r="DID11" s="111"/>
      <c r="DIE11" s="111"/>
      <c r="DIF11" s="111"/>
      <c r="DIG11" s="111"/>
      <c r="DIH11" s="111"/>
      <c r="DII11" s="111"/>
      <c r="DIJ11" s="111"/>
      <c r="DIK11" s="111"/>
      <c r="DIL11" s="111"/>
      <c r="DIM11" s="111"/>
      <c r="DIN11" s="111"/>
      <c r="DIO11" s="111"/>
      <c r="DIP11" s="111"/>
      <c r="DIQ11" s="111"/>
      <c r="DIR11" s="111"/>
      <c r="DIS11" s="111"/>
      <c r="DIT11" s="111"/>
      <c r="DIU11" s="111"/>
      <c r="DIV11" s="111"/>
      <c r="DIW11" s="111"/>
      <c r="DIX11" s="111"/>
      <c r="DIY11" s="111"/>
      <c r="DIZ11" s="111"/>
      <c r="DJA11" s="111"/>
      <c r="DJB11" s="111"/>
      <c r="DJC11" s="111"/>
      <c r="DJD11" s="111"/>
      <c r="DJE11" s="111"/>
      <c r="DJF11" s="111"/>
      <c r="DJG11" s="111"/>
      <c r="DJH11" s="111"/>
      <c r="DJI11" s="111"/>
      <c r="DJJ11" s="111"/>
      <c r="DJK11" s="111"/>
      <c r="DJL11" s="111"/>
      <c r="DJM11" s="111"/>
      <c r="DJN11" s="111"/>
      <c r="DJO11" s="111"/>
      <c r="DJP11" s="111"/>
      <c r="DJQ11" s="111"/>
      <c r="DJR11" s="111"/>
      <c r="DJS11" s="111"/>
      <c r="DJT11" s="111"/>
      <c r="DJU11" s="111"/>
      <c r="DJV11" s="111"/>
      <c r="DJW11" s="111"/>
      <c r="DJX11" s="111"/>
      <c r="DJY11" s="111"/>
      <c r="DJZ11" s="111"/>
      <c r="DKA11" s="111"/>
      <c r="DKB11" s="111"/>
      <c r="DKC11" s="111"/>
      <c r="DKD11" s="111"/>
      <c r="DKE11" s="111"/>
      <c r="DKF11" s="111"/>
      <c r="DKG11" s="111"/>
      <c r="DKH11" s="111"/>
      <c r="DKI11" s="111"/>
      <c r="DKJ11" s="111"/>
      <c r="DKK11" s="111"/>
      <c r="DKL11" s="111"/>
      <c r="DKM11" s="111"/>
      <c r="DKN11" s="111"/>
      <c r="DKO11" s="111"/>
      <c r="DKP11" s="111"/>
      <c r="DKQ11" s="111"/>
      <c r="DKR11" s="111"/>
      <c r="DKS11" s="111"/>
      <c r="DKT11" s="111"/>
      <c r="DKU11" s="111"/>
      <c r="DKV11" s="111"/>
      <c r="DKW11" s="111"/>
      <c r="DKX11" s="111"/>
      <c r="DKY11" s="111"/>
      <c r="DKZ11" s="111"/>
      <c r="DLA11" s="111"/>
      <c r="DLB11" s="111"/>
      <c r="DLC11" s="111"/>
      <c r="DLD11" s="111"/>
      <c r="DLE11" s="111"/>
      <c r="DLF11" s="111"/>
      <c r="DLG11" s="111"/>
      <c r="DLH11" s="111"/>
      <c r="DLI11" s="111"/>
      <c r="DLJ11" s="111"/>
      <c r="DLK11" s="111"/>
      <c r="DLL11" s="111"/>
      <c r="DLM11" s="111"/>
      <c r="DLN11" s="111"/>
      <c r="DLO11" s="111"/>
      <c r="DLP11" s="111"/>
      <c r="DLQ11" s="111"/>
      <c r="DLR11" s="111"/>
      <c r="DLS11" s="111"/>
      <c r="DLT11" s="111"/>
      <c r="DLU11" s="111"/>
      <c r="DLV11" s="111"/>
      <c r="DLW11" s="111"/>
      <c r="DLX11" s="111"/>
      <c r="DLY11" s="111"/>
      <c r="DLZ11" s="111"/>
      <c r="DMA11" s="111"/>
      <c r="DMB11" s="111"/>
      <c r="DMC11" s="111"/>
      <c r="DMD11" s="111"/>
      <c r="DME11" s="111"/>
      <c r="DMF11" s="111"/>
      <c r="DMG11" s="111"/>
      <c r="DMH11" s="111"/>
      <c r="DMI11" s="111"/>
      <c r="DMJ11" s="111"/>
      <c r="DMK11" s="111"/>
      <c r="DML11" s="111"/>
      <c r="DMM11" s="111"/>
      <c r="DMN11" s="111"/>
      <c r="DMO11" s="111"/>
      <c r="DMP11" s="111"/>
      <c r="DMQ11" s="111"/>
      <c r="DMR11" s="111"/>
      <c r="DMS11" s="111"/>
      <c r="DMT11" s="111"/>
      <c r="DMU11" s="111"/>
      <c r="DMV11" s="111"/>
      <c r="DMW11" s="111"/>
      <c r="DMX11" s="111"/>
      <c r="DMY11" s="111"/>
      <c r="DMZ11" s="111"/>
      <c r="DNA11" s="111"/>
      <c r="DNB11" s="111"/>
      <c r="DNC11" s="111"/>
      <c r="DND11" s="111"/>
      <c r="DNE11" s="111"/>
      <c r="DNF11" s="111"/>
      <c r="DNG11" s="111"/>
      <c r="DNH11" s="111"/>
      <c r="DNI11" s="111"/>
      <c r="DNJ11" s="111"/>
      <c r="DNK11" s="111"/>
      <c r="DNL11" s="111"/>
      <c r="DNM11" s="111"/>
      <c r="DNN11" s="111"/>
      <c r="DNO11" s="111"/>
      <c r="DNP11" s="111"/>
      <c r="DNQ11" s="111"/>
      <c r="DNR11" s="111"/>
      <c r="DNS11" s="111"/>
      <c r="DNT11" s="111"/>
      <c r="DNU11" s="111"/>
      <c r="DNV11" s="111"/>
      <c r="DNW11" s="111"/>
      <c r="DNX11" s="111"/>
      <c r="DNY11" s="111"/>
      <c r="DNZ11" s="111"/>
      <c r="DOA11" s="111"/>
      <c r="DOB11" s="111"/>
      <c r="DOC11" s="111"/>
      <c r="DOD11" s="111"/>
      <c r="DOE11" s="111"/>
      <c r="DOF11" s="111"/>
      <c r="DOG11" s="111"/>
      <c r="DOH11" s="111"/>
      <c r="DOI11" s="111"/>
      <c r="DOJ11" s="111"/>
      <c r="DOK11" s="111"/>
      <c r="DOL11" s="111"/>
      <c r="DOM11" s="111"/>
      <c r="DON11" s="111"/>
      <c r="DOO11" s="111"/>
      <c r="DOP11" s="111"/>
      <c r="DOQ11" s="111"/>
      <c r="DOR11" s="111"/>
      <c r="DOS11" s="111"/>
      <c r="DOT11" s="111"/>
      <c r="DOU11" s="111"/>
      <c r="DOV11" s="111"/>
      <c r="DOW11" s="111"/>
      <c r="DOX11" s="111"/>
      <c r="DOY11" s="111"/>
      <c r="DOZ11" s="111"/>
      <c r="DPA11" s="111"/>
      <c r="DPB11" s="111"/>
      <c r="DPC11" s="111"/>
      <c r="DPD11" s="111"/>
      <c r="DPE11" s="111"/>
      <c r="DPF11" s="111"/>
      <c r="DPG11" s="111"/>
      <c r="DPH11" s="111"/>
      <c r="DPI11" s="111"/>
      <c r="DPJ11" s="111"/>
      <c r="DPK11" s="111"/>
      <c r="DPL11" s="111"/>
      <c r="DPM11" s="111"/>
      <c r="DPN11" s="111"/>
      <c r="DPO11" s="111"/>
      <c r="DPP11" s="111"/>
      <c r="DPQ11" s="111"/>
      <c r="DPR11" s="111"/>
      <c r="DPS11" s="111"/>
      <c r="DPT11" s="111"/>
      <c r="DPU11" s="111"/>
      <c r="DPV11" s="111"/>
      <c r="DPW11" s="111"/>
      <c r="DPX11" s="111"/>
      <c r="DPY11" s="111"/>
      <c r="DPZ11" s="111"/>
      <c r="DQA11" s="111"/>
      <c r="DQB11" s="111"/>
      <c r="DQC11" s="111"/>
      <c r="DQD11" s="111"/>
      <c r="DQE11" s="111"/>
      <c r="DQF11" s="111"/>
      <c r="DQG11" s="111"/>
      <c r="DQH11" s="111"/>
      <c r="DQI11" s="111"/>
      <c r="DQJ11" s="111"/>
      <c r="DQK11" s="111"/>
      <c r="DQL11" s="111"/>
      <c r="DQM11" s="111"/>
      <c r="DQN11" s="111"/>
      <c r="DQO11" s="111"/>
      <c r="DQP11" s="111"/>
      <c r="DQQ11" s="111"/>
      <c r="DQR11" s="111"/>
      <c r="DQS11" s="111"/>
      <c r="DQT11" s="111"/>
      <c r="DQU11" s="111"/>
      <c r="DQV11" s="111"/>
      <c r="DQW11" s="111"/>
      <c r="DQX11" s="111"/>
      <c r="DQY11" s="111"/>
      <c r="DQZ11" s="111"/>
      <c r="DRA11" s="111"/>
      <c r="DRB11" s="111"/>
      <c r="DRC11" s="111"/>
      <c r="DRD11" s="111"/>
      <c r="DRE11" s="111"/>
      <c r="DRF11" s="111"/>
      <c r="DRG11" s="111"/>
      <c r="DRH11" s="111"/>
      <c r="DRI11" s="111"/>
      <c r="DRJ11" s="111"/>
      <c r="DRK11" s="111"/>
      <c r="DRL11" s="111"/>
      <c r="DRM11" s="111"/>
      <c r="DRN11" s="111"/>
      <c r="DRO11" s="111"/>
      <c r="DRP11" s="111"/>
      <c r="DRQ11" s="111"/>
      <c r="DRR11" s="111"/>
      <c r="DRS11" s="111"/>
      <c r="DRT11" s="111"/>
      <c r="DRU11" s="111"/>
      <c r="DRV11" s="111"/>
      <c r="DRW11" s="111"/>
      <c r="DRX11" s="111"/>
      <c r="DRY11" s="111"/>
      <c r="DRZ11" s="111"/>
      <c r="DSA11" s="111"/>
      <c r="DSB11" s="111"/>
      <c r="DSC11" s="111"/>
      <c r="DSD11" s="111"/>
      <c r="DSE11" s="111"/>
      <c r="DSF11" s="111"/>
      <c r="DSG11" s="111"/>
      <c r="DSH11" s="111"/>
      <c r="DSI11" s="111"/>
      <c r="DSJ11" s="111"/>
      <c r="DSK11" s="111"/>
      <c r="DSL11" s="111"/>
      <c r="DSM11" s="111"/>
      <c r="DSN11" s="111"/>
      <c r="DSO11" s="111"/>
      <c r="DSP11" s="111"/>
      <c r="DSQ11" s="111"/>
      <c r="DSR11" s="111"/>
      <c r="DSS11" s="111"/>
      <c r="DST11" s="111"/>
      <c r="DSU11" s="111"/>
      <c r="DSV11" s="111"/>
      <c r="DSW11" s="111"/>
      <c r="DSX11" s="111"/>
      <c r="DSY11" s="111"/>
      <c r="DSZ11" s="111"/>
      <c r="DTA11" s="111"/>
      <c r="DTB11" s="111"/>
      <c r="DTC11" s="111"/>
      <c r="DTD11" s="111"/>
      <c r="DTE11" s="111"/>
      <c r="DTF11" s="111"/>
      <c r="DTG11" s="111"/>
      <c r="DTH11" s="111"/>
      <c r="DTI11" s="111"/>
      <c r="DTJ11" s="111"/>
      <c r="DTK11" s="111"/>
      <c r="DTL11" s="111"/>
      <c r="DTM11" s="111"/>
      <c r="DTN11" s="111"/>
      <c r="DTO11" s="111"/>
      <c r="DTP11" s="111"/>
      <c r="DTQ11" s="111"/>
      <c r="DTR11" s="111"/>
      <c r="DTS11" s="111"/>
      <c r="DTT11" s="111"/>
      <c r="DTU11" s="111"/>
      <c r="DTV11" s="111"/>
      <c r="DTW11" s="111"/>
      <c r="DTX11" s="111"/>
      <c r="DTY11" s="111"/>
      <c r="DTZ11" s="111"/>
      <c r="DUA11" s="111"/>
      <c r="DUB11" s="111"/>
      <c r="DUC11" s="111"/>
      <c r="DUD11" s="111"/>
      <c r="DUE11" s="111"/>
      <c r="DUF11" s="111"/>
      <c r="DUG11" s="111"/>
      <c r="DUH11" s="111"/>
      <c r="DUI11" s="111"/>
      <c r="DUJ11" s="111"/>
      <c r="DUK11" s="111"/>
      <c r="DUL11" s="111"/>
      <c r="DUM11" s="111"/>
      <c r="DUN11" s="111"/>
      <c r="DUO11" s="111"/>
      <c r="DUP11" s="111"/>
      <c r="DUQ11" s="111"/>
      <c r="DUR11" s="111"/>
      <c r="DUS11" s="111"/>
      <c r="DUT11" s="111"/>
      <c r="DUU11" s="111"/>
      <c r="DUV11" s="111"/>
      <c r="DUW11" s="111"/>
      <c r="DUX11" s="111"/>
      <c r="DUY11" s="111"/>
      <c r="DUZ11" s="111"/>
      <c r="DVA11" s="111"/>
      <c r="DVB11" s="111"/>
      <c r="DVC11" s="111"/>
      <c r="DVD11" s="111"/>
      <c r="DVE11" s="111"/>
      <c r="DVF11" s="111"/>
      <c r="DVG11" s="111"/>
      <c r="DVH11" s="111"/>
      <c r="DVI11" s="111"/>
      <c r="DVJ11" s="111"/>
      <c r="DVK11" s="111"/>
      <c r="DVL11" s="111"/>
      <c r="DVM11" s="111"/>
      <c r="DVN11" s="111"/>
      <c r="DVO11" s="111"/>
      <c r="DVP11" s="111"/>
      <c r="DVQ11" s="111"/>
      <c r="DVR11" s="111"/>
      <c r="DVS11" s="111"/>
      <c r="DVT11" s="111"/>
      <c r="DVU11" s="111"/>
      <c r="DVV11" s="111"/>
      <c r="DVW11" s="111"/>
      <c r="DVX11" s="111"/>
      <c r="DVY11" s="111"/>
      <c r="DVZ11" s="111"/>
      <c r="DWA11" s="111"/>
      <c r="DWB11" s="111"/>
      <c r="DWC11" s="111"/>
      <c r="DWD11" s="111"/>
      <c r="DWE11" s="111"/>
      <c r="DWF11" s="111"/>
      <c r="DWG11" s="111"/>
      <c r="DWH11" s="111"/>
      <c r="DWI11" s="111"/>
      <c r="DWJ11" s="111"/>
      <c r="DWK11" s="111"/>
      <c r="DWL11" s="111"/>
      <c r="DWM11" s="111"/>
      <c r="DWN11" s="111"/>
      <c r="DWO11" s="111"/>
      <c r="DWP11" s="111"/>
      <c r="DWQ11" s="111"/>
      <c r="DWR11" s="111"/>
      <c r="DWS11" s="111"/>
      <c r="DWT11" s="111"/>
      <c r="DWU11" s="111"/>
      <c r="DWV11" s="111"/>
      <c r="DWW11" s="111"/>
      <c r="DWX11" s="111"/>
      <c r="DWY11" s="111"/>
      <c r="DWZ11" s="111"/>
      <c r="DXA11" s="111"/>
      <c r="DXB11" s="111"/>
      <c r="DXC11" s="111"/>
      <c r="DXD11" s="111"/>
      <c r="DXE11" s="111"/>
      <c r="DXF11" s="111"/>
      <c r="DXG11" s="111"/>
      <c r="DXH11" s="111"/>
      <c r="DXI11" s="111"/>
      <c r="DXJ11" s="111"/>
      <c r="DXK11" s="111"/>
      <c r="DXL11" s="111"/>
      <c r="DXM11" s="111"/>
      <c r="DXN11" s="111"/>
      <c r="DXO11" s="111"/>
      <c r="DXP11" s="111"/>
      <c r="DXQ11" s="111"/>
      <c r="DXR11" s="111"/>
      <c r="DXS11" s="111"/>
      <c r="DXT11" s="111"/>
      <c r="DXU11" s="111"/>
      <c r="DXV11" s="111"/>
      <c r="DXW11" s="111"/>
      <c r="DXX11" s="111"/>
      <c r="DXY11" s="111"/>
      <c r="DXZ11" s="111"/>
      <c r="DYA11" s="111"/>
      <c r="DYB11" s="111"/>
      <c r="DYC11" s="111"/>
      <c r="DYD11" s="111"/>
      <c r="DYE11" s="111"/>
      <c r="DYF11" s="111"/>
      <c r="DYG11" s="111"/>
      <c r="DYH11" s="111"/>
      <c r="DYI11" s="111"/>
      <c r="DYJ11" s="111"/>
      <c r="DYK11" s="111"/>
      <c r="DYL11" s="111"/>
      <c r="DYM11" s="111"/>
      <c r="DYN11" s="111"/>
      <c r="DYO11" s="111"/>
      <c r="DYP11" s="111"/>
      <c r="DYQ11" s="111"/>
      <c r="DYR11" s="111"/>
      <c r="DYS11" s="111"/>
      <c r="DYT11" s="111"/>
      <c r="DYU11" s="111"/>
      <c r="DYV11" s="111"/>
      <c r="DYW11" s="111"/>
      <c r="DYX11" s="111"/>
      <c r="DYY11" s="111"/>
      <c r="DYZ11" s="111"/>
      <c r="DZA11" s="111"/>
      <c r="DZB11" s="111"/>
      <c r="DZC11" s="111"/>
      <c r="DZD11" s="111"/>
      <c r="DZE11" s="111"/>
      <c r="DZF11" s="111"/>
      <c r="DZG11" s="111"/>
      <c r="DZH11" s="111"/>
      <c r="DZI11" s="111"/>
      <c r="DZJ11" s="111"/>
      <c r="DZK11" s="111"/>
      <c r="DZL11" s="111"/>
      <c r="DZM11" s="111"/>
      <c r="DZN11" s="111"/>
      <c r="DZO11" s="111"/>
      <c r="DZP11" s="111"/>
      <c r="DZQ11" s="111"/>
      <c r="DZR11" s="111"/>
      <c r="DZS11" s="111"/>
      <c r="DZT11" s="111"/>
      <c r="DZU11" s="111"/>
      <c r="DZV11" s="111"/>
      <c r="DZW11" s="111"/>
      <c r="DZX11" s="111"/>
      <c r="DZY11" s="111"/>
      <c r="DZZ11" s="111"/>
      <c r="EAA11" s="111"/>
      <c r="EAB11" s="111"/>
      <c r="EAC11" s="111"/>
      <c r="EAD11" s="111"/>
      <c r="EAE11" s="111"/>
      <c r="EAF11" s="111"/>
      <c r="EAG11" s="111"/>
      <c r="EAH11" s="111"/>
      <c r="EAI11" s="111"/>
      <c r="EAJ11" s="111"/>
      <c r="EAK11" s="111"/>
      <c r="EAL11" s="111"/>
      <c r="EAM11" s="111"/>
      <c r="EAN11" s="111"/>
      <c r="EAO11" s="111"/>
      <c r="EAP11" s="111"/>
      <c r="EAQ11" s="111"/>
      <c r="EAR11" s="111"/>
      <c r="EAS11" s="111"/>
      <c r="EAT11" s="111"/>
      <c r="EAU11" s="111"/>
      <c r="EAV11" s="111"/>
      <c r="EAW11" s="111"/>
      <c r="EAX11" s="111"/>
      <c r="EAY11" s="111"/>
      <c r="EAZ11" s="111"/>
      <c r="EBA11" s="111"/>
      <c r="EBB11" s="111"/>
      <c r="EBC11" s="111"/>
      <c r="EBD11" s="111"/>
      <c r="EBE11" s="111"/>
      <c r="EBF11" s="111"/>
      <c r="EBG11" s="111"/>
      <c r="EBH11" s="111"/>
      <c r="EBI11" s="111"/>
      <c r="EBJ11" s="111"/>
      <c r="EBK11" s="111"/>
      <c r="EBL11" s="111"/>
      <c r="EBM11" s="111"/>
      <c r="EBN11" s="111"/>
      <c r="EBO11" s="111"/>
      <c r="EBP11" s="111"/>
      <c r="EBQ11" s="111"/>
      <c r="EBR11" s="111"/>
      <c r="EBS11" s="111"/>
      <c r="EBT11" s="111"/>
      <c r="EBU11" s="111"/>
      <c r="EBV11" s="111"/>
      <c r="EBW11" s="111"/>
      <c r="EBX11" s="111"/>
      <c r="EBY11" s="111"/>
      <c r="EBZ11" s="111"/>
      <c r="ECA11" s="111"/>
      <c r="ECB11" s="111"/>
      <c r="ECC11" s="111"/>
      <c r="ECD11" s="111"/>
      <c r="ECE11" s="111"/>
      <c r="ECF11" s="111"/>
      <c r="ECG11" s="111"/>
      <c r="ECH11" s="111"/>
      <c r="ECI11" s="111"/>
      <c r="ECJ11" s="111"/>
      <c r="ECK11" s="111"/>
      <c r="ECL11" s="111"/>
      <c r="ECM11" s="111"/>
      <c r="ECN11" s="111"/>
      <c r="ECO11" s="111"/>
      <c r="ECP11" s="111"/>
      <c r="ECQ11" s="111"/>
      <c r="ECR11" s="111"/>
      <c r="ECS11" s="111"/>
      <c r="ECT11" s="111"/>
      <c r="ECU11" s="111"/>
      <c r="ECV11" s="111"/>
      <c r="ECW11" s="111"/>
      <c r="ECX11" s="111"/>
      <c r="ECY11" s="111"/>
      <c r="ECZ11" s="111"/>
      <c r="EDA11" s="111"/>
      <c r="EDB11" s="111"/>
      <c r="EDC11" s="111"/>
      <c r="EDD11" s="111"/>
      <c r="EDE11" s="111"/>
      <c r="EDF11" s="111"/>
      <c r="EDG11" s="111"/>
      <c r="EDH11" s="111"/>
      <c r="EDI11" s="111"/>
      <c r="EDJ11" s="111"/>
      <c r="EDK11" s="111"/>
      <c r="EDL11" s="111"/>
      <c r="EDM11" s="111"/>
      <c r="EDN11" s="111"/>
      <c r="EDO11" s="111"/>
      <c r="EDP11" s="111"/>
      <c r="EDQ11" s="111"/>
      <c r="EDR11" s="111"/>
      <c r="EDS11" s="111"/>
      <c r="EDT11" s="111"/>
      <c r="EDU11" s="111"/>
      <c r="EDV11" s="111"/>
      <c r="EDW11" s="111"/>
      <c r="EDX11" s="111"/>
      <c r="EDY11" s="111"/>
      <c r="EDZ11" s="111"/>
      <c r="EEA11" s="111"/>
      <c r="EEB11" s="111"/>
      <c r="EEC11" s="111"/>
      <c r="EED11" s="111"/>
      <c r="EEE11" s="111"/>
      <c r="EEF11" s="111"/>
      <c r="EEG11" s="111"/>
      <c r="EEH11" s="111"/>
      <c r="EEI11" s="111"/>
      <c r="EEJ11" s="111"/>
      <c r="EEK11" s="111"/>
      <c r="EEL11" s="111"/>
      <c r="EEM11" s="111"/>
      <c r="EEN11" s="111"/>
      <c r="EEO11" s="111"/>
      <c r="EEP11" s="111"/>
      <c r="EEQ11" s="111"/>
      <c r="EER11" s="111"/>
      <c r="EES11" s="111"/>
      <c r="EET11" s="111"/>
      <c r="EEU11" s="111"/>
      <c r="EEV11" s="111"/>
      <c r="EEW11" s="111"/>
      <c r="EEX11" s="111"/>
      <c r="EEY11" s="111"/>
      <c r="EEZ11" s="111"/>
      <c r="EFA11" s="111"/>
      <c r="EFB11" s="111"/>
      <c r="EFC11" s="111"/>
      <c r="EFD11" s="111"/>
      <c r="EFE11" s="111"/>
      <c r="EFF11" s="111"/>
      <c r="EFG11" s="111"/>
      <c r="EFH11" s="111"/>
      <c r="EFI11" s="111"/>
      <c r="EFJ11" s="111"/>
      <c r="EFK11" s="111"/>
      <c r="EFL11" s="111"/>
      <c r="EFM11" s="111"/>
      <c r="EFN11" s="111"/>
      <c r="EFO11" s="111"/>
      <c r="EFP11" s="111"/>
      <c r="EFQ11" s="111"/>
      <c r="EFR11" s="111"/>
      <c r="EFS11" s="111"/>
      <c r="EFT11" s="111"/>
      <c r="EFU11" s="111"/>
      <c r="EFV11" s="111"/>
      <c r="EFW11" s="111"/>
      <c r="EFX11" s="111"/>
      <c r="EFY11" s="111"/>
      <c r="EFZ11" s="111"/>
      <c r="EGA11" s="111"/>
      <c r="EGB11" s="111"/>
      <c r="EGC11" s="111"/>
      <c r="EGD11" s="111"/>
      <c r="EGE11" s="111"/>
      <c r="EGF11" s="111"/>
      <c r="EGG11" s="111"/>
      <c r="EGH11" s="111"/>
      <c r="EGI11" s="111"/>
      <c r="EGJ11" s="111"/>
      <c r="EGK11" s="111"/>
      <c r="EGL11" s="111"/>
      <c r="EGM11" s="111"/>
      <c r="EGN11" s="111"/>
      <c r="EGO11" s="111"/>
      <c r="EGP11" s="111"/>
      <c r="EGQ11" s="111"/>
      <c r="EGR11" s="111"/>
      <c r="EGS11" s="111"/>
      <c r="EGT11" s="111"/>
      <c r="EGU11" s="111"/>
      <c r="EGV11" s="111"/>
      <c r="EGW11" s="111"/>
      <c r="EGX11" s="111"/>
      <c r="EGY11" s="111"/>
      <c r="EGZ11" s="111"/>
      <c r="EHA11" s="111"/>
      <c r="EHB11" s="111"/>
      <c r="EHC11" s="111"/>
      <c r="EHD11" s="111"/>
      <c r="EHE11" s="111"/>
      <c r="EHF11" s="111"/>
      <c r="EHG11" s="111"/>
      <c r="EHH11" s="111"/>
      <c r="EHI11" s="111"/>
      <c r="EHJ11" s="111"/>
      <c r="EHK11" s="111"/>
      <c r="EHL11" s="111"/>
      <c r="EHM11" s="111"/>
      <c r="EHN11" s="111"/>
      <c r="EHO11" s="111"/>
      <c r="EHP11" s="111"/>
      <c r="EHQ11" s="111"/>
      <c r="EHR11" s="111"/>
      <c r="EHS11" s="111"/>
      <c r="EHT11" s="111"/>
      <c r="EHU11" s="111"/>
      <c r="EHV11" s="111"/>
      <c r="EHW11" s="111"/>
      <c r="EHX11" s="111"/>
      <c r="EHY11" s="111"/>
      <c r="EHZ11" s="111"/>
      <c r="EIA11" s="111"/>
      <c r="EIB11" s="111"/>
      <c r="EIC11" s="111"/>
      <c r="EID11" s="111"/>
      <c r="EIE11" s="111"/>
      <c r="EIF11" s="111"/>
      <c r="EIG11" s="111"/>
      <c r="EIH11" s="111"/>
      <c r="EII11" s="111"/>
      <c r="EIJ11" s="111"/>
      <c r="EIK11" s="111"/>
      <c r="EIL11" s="111"/>
      <c r="EIM11" s="111"/>
      <c r="EIN11" s="111"/>
      <c r="EIO11" s="111"/>
      <c r="EIP11" s="111"/>
      <c r="EIQ11" s="111"/>
      <c r="EIR11" s="111"/>
      <c r="EIS11" s="111"/>
      <c r="EIT11" s="111"/>
      <c r="EIU11" s="111"/>
      <c r="EIV11" s="111"/>
      <c r="EIW11" s="111"/>
      <c r="EIX11" s="111"/>
      <c r="EIY11" s="111"/>
      <c r="EIZ11" s="111"/>
      <c r="EJA11" s="111"/>
      <c r="EJB11" s="111"/>
      <c r="EJC11" s="111"/>
      <c r="EJD11" s="111"/>
      <c r="EJE11" s="111"/>
      <c r="EJF11" s="111"/>
      <c r="EJG11" s="111"/>
      <c r="EJH11" s="111"/>
      <c r="EJI11" s="111"/>
      <c r="EJJ11" s="111"/>
      <c r="EJK11" s="111"/>
      <c r="EJL11" s="111"/>
      <c r="EJM11" s="111"/>
      <c r="EJN11" s="111"/>
      <c r="EJO11" s="111"/>
      <c r="EJP11" s="111"/>
      <c r="EJQ11" s="111"/>
      <c r="EJR11" s="111"/>
      <c r="EJS11" s="111"/>
      <c r="EJT11" s="111"/>
      <c r="EJU11" s="111"/>
      <c r="EJV11" s="111"/>
      <c r="EJW11" s="111"/>
      <c r="EJX11" s="111"/>
      <c r="EJY11" s="111"/>
      <c r="EJZ11" s="111"/>
      <c r="EKA11" s="111"/>
      <c r="EKB11" s="111"/>
      <c r="EKC11" s="111"/>
      <c r="EKD11" s="111"/>
      <c r="EKE11" s="111"/>
      <c r="EKF11" s="111"/>
      <c r="EKG11" s="111"/>
      <c r="EKH11" s="111"/>
      <c r="EKI11" s="111"/>
      <c r="EKJ11" s="111"/>
      <c r="EKK11" s="111"/>
      <c r="EKL11" s="111"/>
      <c r="EKM11" s="111"/>
      <c r="EKN11" s="111"/>
      <c r="EKO11" s="111"/>
      <c r="EKP11" s="111"/>
      <c r="EKQ11" s="111"/>
      <c r="EKR11" s="111"/>
      <c r="EKS11" s="111"/>
      <c r="EKT11" s="111"/>
      <c r="EKU11" s="111"/>
      <c r="EKV11" s="111"/>
      <c r="EKW11" s="111"/>
      <c r="EKX11" s="111"/>
      <c r="EKY11" s="111"/>
      <c r="EKZ11" s="111"/>
      <c r="ELA11" s="111"/>
      <c r="ELB11" s="111"/>
      <c r="ELC11" s="111"/>
      <c r="ELD11" s="111"/>
      <c r="ELE11" s="111"/>
      <c r="ELF11" s="111"/>
      <c r="ELG11" s="111"/>
      <c r="ELH11" s="111"/>
      <c r="ELI11" s="111"/>
      <c r="ELJ11" s="111"/>
      <c r="ELK11" s="111"/>
      <c r="ELL11" s="111"/>
      <c r="ELM11" s="111"/>
      <c r="ELN11" s="111"/>
      <c r="ELO11" s="111"/>
      <c r="ELP11" s="111"/>
      <c r="ELQ11" s="111"/>
      <c r="ELR11" s="111"/>
      <c r="ELS11" s="111"/>
      <c r="ELT11" s="111"/>
      <c r="ELU11" s="111"/>
      <c r="ELV11" s="111"/>
      <c r="ELW11" s="111"/>
      <c r="ELX11" s="111"/>
      <c r="ELY11" s="111"/>
      <c r="ELZ11" s="111"/>
      <c r="EMA11" s="111"/>
      <c r="EMB11" s="111"/>
      <c r="EMC11" s="111"/>
      <c r="EMD11" s="111"/>
      <c r="EME11" s="111"/>
      <c r="EMF11" s="111"/>
      <c r="EMG11" s="111"/>
      <c r="EMH11" s="111"/>
      <c r="EMI11" s="111"/>
      <c r="EMJ11" s="111"/>
      <c r="EMK11" s="111"/>
      <c r="EML11" s="111"/>
      <c r="EMM11" s="111"/>
      <c r="EMN11" s="111"/>
      <c r="EMO11" s="111"/>
      <c r="EMP11" s="111"/>
      <c r="EMQ11" s="111"/>
      <c r="EMR11" s="111"/>
      <c r="EMS11" s="111"/>
      <c r="EMT11" s="111"/>
      <c r="EMU11" s="111"/>
      <c r="EMV11" s="111"/>
      <c r="EMW11" s="111"/>
      <c r="EMX11" s="111"/>
      <c r="EMY11" s="111"/>
      <c r="EMZ11" s="111"/>
      <c r="ENA11" s="111"/>
      <c r="ENB11" s="111"/>
      <c r="ENC11" s="111"/>
      <c r="END11" s="111"/>
      <c r="ENE11" s="111"/>
      <c r="ENF11" s="111"/>
      <c r="ENG11" s="111"/>
      <c r="ENH11" s="111"/>
      <c r="ENI11" s="111"/>
      <c r="ENJ11" s="111"/>
      <c r="ENK11" s="111"/>
      <c r="ENL11" s="111"/>
      <c r="ENM11" s="111"/>
      <c r="ENN11" s="111"/>
      <c r="ENO11" s="111"/>
      <c r="ENP11" s="111"/>
      <c r="ENQ11" s="111"/>
      <c r="ENR11" s="111"/>
      <c r="ENS11" s="111"/>
      <c r="ENT11" s="111"/>
      <c r="ENU11" s="111"/>
      <c r="ENV11" s="111"/>
      <c r="ENW11" s="111"/>
      <c r="ENX11" s="111"/>
      <c r="ENY11" s="111"/>
      <c r="ENZ11" s="111"/>
      <c r="EOA11" s="111"/>
      <c r="EOB11" s="111"/>
      <c r="EOC11" s="111"/>
      <c r="EOD11" s="111"/>
      <c r="EOE11" s="111"/>
      <c r="EOF11" s="111"/>
      <c r="EOG11" s="111"/>
      <c r="EOH11" s="111"/>
      <c r="EOI11" s="111"/>
      <c r="EOJ11" s="111"/>
      <c r="EOK11" s="111"/>
      <c r="EOL11" s="111"/>
      <c r="EOM11" s="111"/>
      <c r="EON11" s="111"/>
      <c r="EOO11" s="111"/>
      <c r="EOP11" s="111"/>
      <c r="EOQ11" s="111"/>
      <c r="EOR11" s="111"/>
      <c r="EOS11" s="111"/>
      <c r="EOT11" s="111"/>
      <c r="EOU11" s="111"/>
      <c r="EOV11" s="111"/>
      <c r="EOW11" s="111"/>
      <c r="EOX11" s="111"/>
      <c r="EOY11" s="111"/>
      <c r="EOZ11" s="111"/>
      <c r="EPA11" s="111"/>
      <c r="EPB11" s="111"/>
      <c r="EPC11" s="111"/>
      <c r="EPD11" s="111"/>
      <c r="EPE11" s="111"/>
      <c r="EPF11" s="111"/>
      <c r="EPG11" s="111"/>
      <c r="EPH11" s="111"/>
      <c r="EPI11" s="111"/>
      <c r="EPJ11" s="111"/>
      <c r="EPK11" s="111"/>
      <c r="EPL11" s="111"/>
      <c r="EPM11" s="111"/>
      <c r="EPN11" s="111"/>
      <c r="EPO11" s="111"/>
      <c r="EPP11" s="111"/>
      <c r="EPQ11" s="111"/>
      <c r="EPR11" s="111"/>
      <c r="EPS11" s="111"/>
      <c r="EPT11" s="111"/>
      <c r="EPU11" s="111"/>
      <c r="EPV11" s="111"/>
      <c r="EPW11" s="111"/>
      <c r="EPX11" s="111"/>
      <c r="EPY11" s="111"/>
      <c r="EPZ11" s="111"/>
      <c r="EQA11" s="111"/>
      <c r="EQB11" s="111"/>
      <c r="EQC11" s="111"/>
      <c r="EQD11" s="111"/>
      <c r="EQE11" s="111"/>
      <c r="EQF11" s="111"/>
      <c r="EQG11" s="111"/>
      <c r="EQH11" s="111"/>
      <c r="EQI11" s="111"/>
      <c r="EQJ11" s="111"/>
      <c r="EQK11" s="111"/>
      <c r="EQL11" s="111"/>
      <c r="EQM11" s="111"/>
      <c r="EQN11" s="111"/>
      <c r="EQO11" s="111"/>
      <c r="EQP11" s="111"/>
      <c r="EQQ11" s="111"/>
      <c r="EQR11" s="111"/>
      <c r="EQS11" s="111"/>
      <c r="EQT11" s="111"/>
      <c r="EQU11" s="111"/>
      <c r="EQV11" s="111"/>
      <c r="EQW11" s="111"/>
      <c r="EQX11" s="111"/>
      <c r="EQY11" s="111"/>
      <c r="EQZ11" s="111"/>
      <c r="ERA11" s="111"/>
      <c r="ERB11" s="111"/>
      <c r="ERC11" s="111"/>
      <c r="ERD11" s="111"/>
      <c r="ERE11" s="111"/>
      <c r="ERF11" s="111"/>
      <c r="ERG11" s="111"/>
      <c r="ERH11" s="111"/>
      <c r="ERI11" s="111"/>
      <c r="ERJ11" s="111"/>
      <c r="ERK11" s="111"/>
      <c r="ERL11" s="111"/>
      <c r="ERM11" s="111"/>
      <c r="ERN11" s="111"/>
      <c r="ERO11" s="111"/>
      <c r="ERP11" s="111"/>
      <c r="ERQ11" s="111"/>
      <c r="ERR11" s="111"/>
      <c r="ERS11" s="111"/>
      <c r="ERT11" s="111"/>
      <c r="ERU11" s="111"/>
      <c r="ERV11" s="111"/>
      <c r="ERW11" s="111"/>
      <c r="ERX11" s="111"/>
      <c r="ERY11" s="111"/>
      <c r="ERZ11" s="111"/>
      <c r="ESA11" s="111"/>
      <c r="ESB11" s="111"/>
      <c r="ESC11" s="111"/>
      <c r="ESD11" s="111"/>
      <c r="ESE11" s="111"/>
      <c r="ESF11" s="111"/>
      <c r="ESG11" s="111"/>
      <c r="ESH11" s="111"/>
      <c r="ESI11" s="111"/>
      <c r="ESJ11" s="111"/>
      <c r="ESK11" s="111"/>
      <c r="ESL11" s="111"/>
      <c r="ESM11" s="111"/>
      <c r="ESN11" s="111"/>
      <c r="ESO11" s="111"/>
      <c r="ESP11" s="111"/>
      <c r="ESQ11" s="111"/>
      <c r="ESR11" s="111"/>
      <c r="ESS11" s="111"/>
      <c r="EST11" s="111"/>
      <c r="ESU11" s="111"/>
      <c r="ESV11" s="111"/>
      <c r="ESW11" s="111"/>
      <c r="ESX11" s="111"/>
      <c r="ESY11" s="111"/>
      <c r="ESZ11" s="111"/>
      <c r="ETA11" s="111"/>
      <c r="ETB11" s="111"/>
      <c r="ETC11" s="111"/>
      <c r="ETD11" s="111"/>
      <c r="ETE11" s="111"/>
      <c r="ETF11" s="111"/>
      <c r="ETG11" s="111"/>
      <c r="ETH11" s="111"/>
      <c r="ETI11" s="111"/>
      <c r="ETJ11" s="111"/>
      <c r="ETK11" s="111"/>
      <c r="ETL11" s="111"/>
      <c r="ETM11" s="111"/>
      <c r="ETN11" s="111"/>
      <c r="ETO11" s="111"/>
      <c r="ETP11" s="111"/>
      <c r="ETQ11" s="111"/>
      <c r="ETR11" s="111"/>
      <c r="ETS11" s="111"/>
      <c r="ETT11" s="111"/>
      <c r="ETU11" s="111"/>
      <c r="ETV11" s="111"/>
      <c r="ETW11" s="111"/>
      <c r="ETX11" s="111"/>
      <c r="ETY11" s="111"/>
      <c r="ETZ11" s="111"/>
      <c r="EUA11" s="111"/>
      <c r="EUB11" s="111"/>
      <c r="EUC11" s="111"/>
      <c r="EUD11" s="111"/>
      <c r="EUE11" s="111"/>
      <c r="EUF11" s="111"/>
      <c r="EUG11" s="111"/>
      <c r="EUH11" s="111"/>
      <c r="EUI11" s="111"/>
      <c r="EUJ11" s="111"/>
      <c r="EUK11" s="111"/>
      <c r="EUL11" s="111"/>
      <c r="EUM11" s="111"/>
      <c r="EUN11" s="111"/>
      <c r="EUO11" s="111"/>
      <c r="EUP11" s="111"/>
      <c r="EUQ11" s="111"/>
      <c r="EUR11" s="111"/>
      <c r="EUS11" s="111"/>
      <c r="EUT11" s="111"/>
      <c r="EUU11" s="111"/>
      <c r="EUV11" s="111"/>
      <c r="EUW11" s="111"/>
      <c r="EUX11" s="111"/>
      <c r="EUY11" s="111"/>
      <c r="EUZ11" s="111"/>
      <c r="EVA11" s="111"/>
      <c r="EVB11" s="111"/>
      <c r="EVC11" s="111"/>
      <c r="EVD11" s="111"/>
      <c r="EVE11" s="111"/>
      <c r="EVF11" s="111"/>
      <c r="EVG11" s="111"/>
      <c r="EVH11" s="111"/>
      <c r="EVI11" s="111"/>
      <c r="EVJ11" s="111"/>
      <c r="EVK11" s="111"/>
      <c r="EVL11" s="111"/>
      <c r="EVM11" s="111"/>
      <c r="EVN11" s="111"/>
      <c r="EVO11" s="111"/>
      <c r="EVP11" s="111"/>
      <c r="EVQ11" s="111"/>
      <c r="EVR11" s="111"/>
      <c r="EVS11" s="111"/>
      <c r="EVT11" s="111"/>
      <c r="EVU11" s="111"/>
      <c r="EVV11" s="111"/>
      <c r="EVW11" s="111"/>
      <c r="EVX11" s="111"/>
      <c r="EVY11" s="111"/>
      <c r="EVZ11" s="111"/>
      <c r="EWA11" s="111"/>
      <c r="EWB11" s="111"/>
      <c r="EWC11" s="111"/>
      <c r="EWD11" s="111"/>
      <c r="EWE11" s="111"/>
      <c r="EWF11" s="111"/>
      <c r="EWG11" s="111"/>
      <c r="EWH11" s="111"/>
      <c r="EWI11" s="111"/>
      <c r="EWJ11" s="111"/>
      <c r="EWK11" s="111"/>
      <c r="EWL11" s="111"/>
      <c r="EWM11" s="111"/>
      <c r="EWN11" s="111"/>
      <c r="EWO11" s="111"/>
      <c r="EWP11" s="111"/>
      <c r="EWQ11" s="111"/>
      <c r="EWR11" s="111"/>
      <c r="EWS11" s="111"/>
      <c r="EWT11" s="111"/>
      <c r="EWU11" s="111"/>
      <c r="EWV11" s="111"/>
      <c r="EWW11" s="111"/>
      <c r="EWX11" s="111"/>
      <c r="EWY11" s="111"/>
      <c r="EWZ11" s="111"/>
      <c r="EXA11" s="111"/>
      <c r="EXB11" s="111"/>
      <c r="EXC11" s="111"/>
      <c r="EXD11" s="111"/>
      <c r="EXE11" s="111"/>
      <c r="EXF11" s="111"/>
      <c r="EXG11" s="111"/>
      <c r="EXH11" s="111"/>
      <c r="EXI11" s="111"/>
      <c r="EXJ11" s="111"/>
      <c r="EXK11" s="111"/>
      <c r="EXL11" s="111"/>
      <c r="EXM11" s="111"/>
      <c r="EXN11" s="111"/>
      <c r="EXO11" s="111"/>
      <c r="EXP11" s="111"/>
      <c r="EXQ11" s="111"/>
      <c r="EXR11" s="111"/>
      <c r="EXS11" s="111"/>
      <c r="EXT11" s="111"/>
      <c r="EXU11" s="111"/>
      <c r="EXV11" s="111"/>
      <c r="EXW11" s="111"/>
      <c r="EXX11" s="111"/>
      <c r="EXY11" s="111"/>
      <c r="EXZ11" s="111"/>
      <c r="EYA11" s="111"/>
      <c r="EYB11" s="111"/>
      <c r="EYC11" s="111"/>
      <c r="EYD11" s="111"/>
      <c r="EYE11" s="111"/>
      <c r="EYF11" s="111"/>
      <c r="EYG11" s="111"/>
      <c r="EYH11" s="111"/>
      <c r="EYI11" s="111"/>
      <c r="EYJ11" s="111"/>
      <c r="EYK11" s="111"/>
      <c r="EYL11" s="111"/>
      <c r="EYM11" s="111"/>
      <c r="EYN11" s="111"/>
      <c r="EYO11" s="111"/>
      <c r="EYP11" s="111"/>
      <c r="EYQ11" s="111"/>
      <c r="EYR11" s="111"/>
      <c r="EYS11" s="111"/>
      <c r="EYT11" s="111"/>
      <c r="EYU11" s="111"/>
      <c r="EYV11" s="111"/>
      <c r="EYW11" s="111"/>
      <c r="EYX11" s="111"/>
      <c r="EYY11" s="111"/>
      <c r="EYZ11" s="111"/>
      <c r="EZA11" s="111"/>
      <c r="EZB11" s="111"/>
      <c r="EZC11" s="111"/>
      <c r="EZD11" s="111"/>
      <c r="EZE11" s="111"/>
      <c r="EZF11" s="111"/>
      <c r="EZG11" s="111"/>
      <c r="EZH11" s="111"/>
      <c r="EZI11" s="111"/>
      <c r="EZJ11" s="111"/>
      <c r="EZK11" s="111"/>
      <c r="EZL11" s="111"/>
      <c r="EZM11" s="111"/>
      <c r="EZN11" s="111"/>
      <c r="EZO11" s="111"/>
      <c r="EZP11" s="111"/>
      <c r="EZQ11" s="111"/>
      <c r="EZR11" s="111"/>
      <c r="EZS11" s="111"/>
      <c r="EZT11" s="111"/>
      <c r="EZU11" s="111"/>
      <c r="EZV11" s="111"/>
      <c r="EZW11" s="111"/>
      <c r="EZX11" s="111"/>
      <c r="EZY11" s="111"/>
      <c r="EZZ11" s="111"/>
      <c r="FAA11" s="111"/>
      <c r="FAB11" s="111"/>
      <c r="FAC11" s="111"/>
      <c r="FAD11" s="111"/>
      <c r="FAE11" s="111"/>
      <c r="FAF11" s="111"/>
      <c r="FAG11" s="111"/>
      <c r="FAH11" s="111"/>
      <c r="FAI11" s="111"/>
      <c r="FAJ11" s="111"/>
      <c r="FAK11" s="111"/>
      <c r="FAL11" s="111"/>
      <c r="FAM11" s="111"/>
      <c r="FAN11" s="111"/>
      <c r="FAO11" s="111"/>
      <c r="FAP11" s="111"/>
      <c r="FAQ11" s="111"/>
      <c r="FAR11" s="111"/>
      <c r="FAS11" s="111"/>
      <c r="FAT11" s="111"/>
      <c r="FAU11" s="111"/>
      <c r="FAV11" s="111"/>
      <c r="FAW11" s="111"/>
      <c r="FAX11" s="111"/>
      <c r="FAY11" s="111"/>
      <c r="FAZ11" s="111"/>
      <c r="FBA11" s="111"/>
      <c r="FBB11" s="111"/>
      <c r="FBC11" s="111"/>
      <c r="FBD11" s="111"/>
      <c r="FBE11" s="111"/>
      <c r="FBF11" s="111"/>
      <c r="FBG11" s="111"/>
      <c r="FBH11" s="111"/>
      <c r="FBI11" s="111"/>
      <c r="FBJ11" s="111"/>
      <c r="FBK11" s="111"/>
      <c r="FBL11" s="111"/>
      <c r="FBM11" s="111"/>
      <c r="FBN11" s="111"/>
      <c r="FBO11" s="111"/>
      <c r="FBP11" s="111"/>
      <c r="FBQ11" s="111"/>
      <c r="FBR11" s="111"/>
      <c r="FBS11" s="111"/>
      <c r="FBT11" s="111"/>
      <c r="FBU11" s="111"/>
      <c r="FBV11" s="111"/>
      <c r="FBW11" s="111"/>
      <c r="FBX11" s="111"/>
      <c r="FBY11" s="111"/>
      <c r="FBZ11" s="111"/>
      <c r="FCA11" s="111"/>
      <c r="FCB11" s="111"/>
      <c r="FCC11" s="111"/>
      <c r="FCD11" s="111"/>
      <c r="FCE11" s="111"/>
      <c r="FCF11" s="111"/>
      <c r="FCG11" s="111"/>
      <c r="FCH11" s="111"/>
      <c r="FCI11" s="111"/>
      <c r="FCJ11" s="111"/>
      <c r="FCK11" s="111"/>
      <c r="FCL11" s="111"/>
      <c r="FCM11" s="111"/>
      <c r="FCN11" s="111"/>
      <c r="FCO11" s="111"/>
      <c r="FCP11" s="111"/>
      <c r="FCQ11" s="111"/>
      <c r="FCR11" s="111"/>
      <c r="FCS11" s="111"/>
      <c r="FCT11" s="111"/>
      <c r="FCU11" s="111"/>
      <c r="FCV11" s="111"/>
      <c r="FCW11" s="111"/>
      <c r="FCX11" s="111"/>
      <c r="FCY11" s="111"/>
      <c r="FCZ11" s="111"/>
      <c r="FDA11" s="111"/>
      <c r="FDB11" s="111"/>
      <c r="FDC11" s="111"/>
      <c r="FDD11" s="111"/>
      <c r="FDE11" s="111"/>
      <c r="FDF11" s="111"/>
      <c r="FDG11" s="111"/>
      <c r="FDH11" s="111"/>
      <c r="FDI11" s="111"/>
      <c r="FDJ11" s="111"/>
      <c r="FDK11" s="111"/>
      <c r="FDL11" s="111"/>
      <c r="FDM11" s="111"/>
      <c r="FDN11" s="111"/>
      <c r="FDO11" s="111"/>
      <c r="FDP11" s="111"/>
      <c r="FDQ11" s="111"/>
      <c r="FDR11" s="111"/>
      <c r="FDS11" s="111"/>
      <c r="FDT11" s="111"/>
      <c r="FDU11" s="111"/>
      <c r="FDV11" s="111"/>
      <c r="FDW11" s="111"/>
      <c r="FDX11" s="111"/>
      <c r="FDY11" s="111"/>
      <c r="FDZ11" s="111"/>
      <c r="FEA11" s="111"/>
      <c r="FEB11" s="111"/>
      <c r="FEC11" s="111"/>
      <c r="FED11" s="111"/>
      <c r="FEE11" s="111"/>
      <c r="FEF11" s="111"/>
      <c r="FEG11" s="111"/>
      <c r="FEH11" s="111"/>
      <c r="FEI11" s="111"/>
      <c r="FEJ11" s="111"/>
      <c r="FEK11" s="111"/>
      <c r="FEL11" s="111"/>
      <c r="FEM11" s="111"/>
      <c r="FEN11" s="111"/>
      <c r="FEO11" s="111"/>
      <c r="FEP11" s="111"/>
      <c r="FEQ11" s="111"/>
      <c r="FER11" s="111"/>
      <c r="FES11" s="111"/>
      <c r="FET11" s="111"/>
      <c r="FEU11" s="111"/>
      <c r="FEV11" s="111"/>
      <c r="FEW11" s="111"/>
      <c r="FEX11" s="111"/>
      <c r="FEY11" s="111"/>
      <c r="FEZ11" s="111"/>
      <c r="FFA11" s="111"/>
      <c r="FFB11" s="111"/>
      <c r="FFC11" s="111"/>
      <c r="FFD11" s="111"/>
      <c r="FFE11" s="111"/>
      <c r="FFF11" s="111"/>
      <c r="FFG11" s="111"/>
      <c r="FFH11" s="111"/>
      <c r="FFI11" s="111"/>
      <c r="FFJ11" s="111"/>
      <c r="FFK11" s="111"/>
      <c r="FFL11" s="111"/>
      <c r="FFM11" s="111"/>
      <c r="FFN11" s="111"/>
      <c r="FFO11" s="111"/>
      <c r="FFP11" s="111"/>
      <c r="FFQ11" s="111"/>
      <c r="FFR11" s="111"/>
      <c r="FFS11" s="111"/>
      <c r="FFT11" s="111"/>
      <c r="FFU11" s="111"/>
      <c r="FFV11" s="111"/>
      <c r="FFW11" s="111"/>
      <c r="FFX11" s="111"/>
      <c r="FFY11" s="111"/>
      <c r="FFZ11" s="111"/>
      <c r="FGA11" s="111"/>
      <c r="FGB11" s="111"/>
      <c r="FGC11" s="111"/>
      <c r="FGD11" s="111"/>
      <c r="FGE11" s="111"/>
      <c r="FGF11" s="111"/>
      <c r="FGG11" s="111"/>
      <c r="FGH11" s="111"/>
      <c r="FGI11" s="111"/>
      <c r="FGJ11" s="111"/>
      <c r="FGK11" s="111"/>
      <c r="FGL11" s="111"/>
      <c r="FGM11" s="111"/>
      <c r="FGN11" s="111"/>
      <c r="FGO11" s="111"/>
      <c r="FGP11" s="111"/>
      <c r="FGQ11" s="111"/>
      <c r="FGR11" s="111"/>
      <c r="FGS11" s="111"/>
      <c r="FGT11" s="111"/>
      <c r="FGU11" s="111"/>
      <c r="FGV11" s="111"/>
      <c r="FGW11" s="111"/>
      <c r="FGX11" s="111"/>
      <c r="FGY11" s="111"/>
      <c r="FGZ11" s="111"/>
      <c r="FHA11" s="111"/>
      <c r="FHB11" s="111"/>
      <c r="FHC11" s="111"/>
      <c r="FHD11" s="111"/>
      <c r="FHE11" s="111"/>
      <c r="FHF11" s="111"/>
      <c r="FHG11" s="111"/>
      <c r="FHH11" s="111"/>
      <c r="FHI11" s="111"/>
      <c r="FHJ11" s="111"/>
      <c r="FHK11" s="111"/>
      <c r="FHL11" s="111"/>
      <c r="FHM11" s="111"/>
      <c r="FHN11" s="111"/>
      <c r="FHO11" s="111"/>
      <c r="FHP11" s="111"/>
      <c r="FHQ11" s="111"/>
      <c r="FHR11" s="111"/>
      <c r="FHS11" s="111"/>
      <c r="FHT11" s="111"/>
      <c r="FHU11" s="111"/>
      <c r="FHV11" s="111"/>
      <c r="FHW11" s="111"/>
      <c r="FHX11" s="111"/>
      <c r="FHY11" s="111"/>
      <c r="FHZ11" s="111"/>
      <c r="FIA11" s="111"/>
      <c r="FIB11" s="111"/>
      <c r="FIC11" s="111"/>
      <c r="FID11" s="111"/>
      <c r="FIE11" s="111"/>
      <c r="FIF11" s="111"/>
      <c r="FIG11" s="111"/>
      <c r="FIH11" s="111"/>
      <c r="FII11" s="111"/>
      <c r="FIJ11" s="111"/>
      <c r="FIK11" s="111"/>
      <c r="FIL11" s="111"/>
      <c r="FIM11" s="111"/>
      <c r="FIN11" s="111"/>
      <c r="FIO11" s="111"/>
      <c r="FIP11" s="111"/>
      <c r="FIQ11" s="111"/>
      <c r="FIR11" s="111"/>
      <c r="FIS11" s="111"/>
      <c r="FIT11" s="111"/>
      <c r="FIU11" s="111"/>
      <c r="FIV11" s="111"/>
      <c r="FIW11" s="111"/>
      <c r="FIX11" s="111"/>
      <c r="FIY11" s="111"/>
      <c r="FIZ11" s="111"/>
      <c r="FJA11" s="111"/>
      <c r="FJB11" s="111"/>
      <c r="FJC11" s="111"/>
      <c r="FJD11" s="111"/>
      <c r="FJE11" s="111"/>
      <c r="FJF11" s="111"/>
      <c r="FJG11" s="111"/>
      <c r="FJH11" s="111"/>
      <c r="FJI11" s="111"/>
      <c r="FJJ11" s="111"/>
      <c r="FJK11" s="111"/>
      <c r="FJL11" s="111"/>
      <c r="FJM11" s="111"/>
      <c r="FJN11" s="111"/>
      <c r="FJO11" s="111"/>
      <c r="FJP11" s="111"/>
      <c r="FJQ11" s="111"/>
      <c r="FJR11" s="111"/>
      <c r="FJS11" s="111"/>
      <c r="FJT11" s="111"/>
      <c r="FJU11" s="111"/>
      <c r="FJV11" s="111"/>
      <c r="FJW11" s="111"/>
      <c r="FJX11" s="111"/>
      <c r="FJY11" s="111"/>
      <c r="FJZ11" s="111"/>
      <c r="FKA11" s="111"/>
      <c r="FKB11" s="111"/>
      <c r="FKC11" s="111"/>
      <c r="FKD11" s="111"/>
      <c r="FKE11" s="111"/>
      <c r="FKF11" s="111"/>
      <c r="FKG11" s="111"/>
      <c r="FKH11" s="111"/>
      <c r="FKI11" s="111"/>
      <c r="FKJ11" s="111"/>
      <c r="FKK11" s="111"/>
      <c r="FKL11" s="111"/>
      <c r="FKM11" s="111"/>
      <c r="FKN11" s="111"/>
      <c r="FKO11" s="111"/>
      <c r="FKP11" s="111"/>
      <c r="FKQ11" s="111"/>
      <c r="FKR11" s="111"/>
      <c r="FKS11" s="111"/>
      <c r="FKT11" s="111"/>
      <c r="FKU11" s="111"/>
      <c r="FKV11" s="111"/>
      <c r="FKW11" s="111"/>
      <c r="FKX11" s="111"/>
      <c r="FKY11" s="111"/>
      <c r="FKZ11" s="111"/>
      <c r="FLA11" s="111"/>
      <c r="FLB11" s="111"/>
      <c r="FLC11" s="111"/>
      <c r="FLD11" s="111"/>
      <c r="FLE11" s="111"/>
      <c r="FLF11" s="111"/>
      <c r="FLG11" s="111"/>
      <c r="FLH11" s="111"/>
      <c r="FLI11" s="111"/>
      <c r="FLJ11" s="111"/>
      <c r="FLK11" s="111"/>
      <c r="FLL11" s="111"/>
      <c r="FLM11" s="111"/>
      <c r="FLN11" s="111"/>
      <c r="FLO11" s="111"/>
      <c r="FLP11" s="111"/>
      <c r="FLQ11" s="111"/>
      <c r="FLR11" s="111"/>
      <c r="FLS11" s="111"/>
      <c r="FLT11" s="111"/>
      <c r="FLU11" s="111"/>
      <c r="FLV11" s="111"/>
      <c r="FLW11" s="111"/>
      <c r="FLX11" s="111"/>
      <c r="FLY11" s="111"/>
      <c r="FLZ11" s="111"/>
      <c r="FMA11" s="111"/>
      <c r="FMB11" s="111"/>
      <c r="FMC11" s="111"/>
      <c r="FMD11" s="111"/>
      <c r="FME11" s="111"/>
      <c r="FMF11" s="111"/>
      <c r="FMG11" s="111"/>
      <c r="FMH11" s="111"/>
      <c r="FMI11" s="111"/>
      <c r="FMJ11" s="111"/>
      <c r="FMK11" s="111"/>
      <c r="FML11" s="111"/>
      <c r="FMM11" s="111"/>
      <c r="FMN11" s="111"/>
      <c r="FMO11" s="111"/>
      <c r="FMP11" s="111"/>
      <c r="FMQ11" s="111"/>
      <c r="FMR11" s="111"/>
      <c r="FMS11" s="111"/>
      <c r="FMT11" s="111"/>
      <c r="FMU11" s="111"/>
      <c r="FMV11" s="111"/>
      <c r="FMW11" s="111"/>
      <c r="FMX11" s="111"/>
      <c r="FMY11" s="111"/>
      <c r="FMZ11" s="111"/>
      <c r="FNA11" s="111"/>
      <c r="FNB11" s="111"/>
      <c r="FNC11" s="111"/>
      <c r="FND11" s="111"/>
      <c r="FNE11" s="111"/>
      <c r="FNF11" s="111"/>
      <c r="FNG11" s="111"/>
      <c r="FNH11" s="111"/>
      <c r="FNI11" s="111"/>
      <c r="FNJ11" s="111"/>
      <c r="FNK11" s="111"/>
      <c r="FNL11" s="111"/>
      <c r="FNM11" s="111"/>
      <c r="FNN11" s="111"/>
      <c r="FNO11" s="111"/>
      <c r="FNP11" s="111"/>
      <c r="FNQ11" s="111"/>
      <c r="FNR11" s="111"/>
      <c r="FNS11" s="111"/>
      <c r="FNT11" s="111"/>
      <c r="FNU11" s="111"/>
      <c r="FNV11" s="111"/>
      <c r="FNW11" s="111"/>
      <c r="FNX11" s="111"/>
      <c r="FNY11" s="111"/>
      <c r="FNZ11" s="111"/>
      <c r="FOA11" s="111"/>
      <c r="FOB11" s="111"/>
      <c r="FOC11" s="111"/>
      <c r="FOD11" s="111"/>
      <c r="FOE11" s="111"/>
      <c r="FOF11" s="111"/>
      <c r="FOG11" s="111"/>
      <c r="FOH11" s="111"/>
      <c r="FOI11" s="111"/>
      <c r="FOJ11" s="111"/>
      <c r="FOK11" s="111"/>
      <c r="FOL11" s="111"/>
      <c r="FOM11" s="111"/>
      <c r="FON11" s="111"/>
      <c r="FOO11" s="111"/>
      <c r="FOP11" s="111"/>
      <c r="FOQ11" s="111"/>
      <c r="FOR11" s="111"/>
      <c r="FOS11" s="111"/>
      <c r="FOT11" s="111"/>
      <c r="FOU11" s="111"/>
      <c r="FOV11" s="111"/>
      <c r="FOW11" s="111"/>
      <c r="FOX11" s="111"/>
      <c r="FOY11" s="111"/>
      <c r="FOZ11" s="111"/>
      <c r="FPA11" s="111"/>
      <c r="FPB11" s="111"/>
      <c r="FPC11" s="111"/>
      <c r="FPD11" s="111"/>
      <c r="FPE11" s="111"/>
      <c r="FPF11" s="111"/>
      <c r="FPG11" s="111"/>
      <c r="FPH11" s="111"/>
      <c r="FPI11" s="111"/>
      <c r="FPJ11" s="111"/>
      <c r="FPK11" s="111"/>
      <c r="FPL11" s="111"/>
      <c r="FPM11" s="111"/>
      <c r="FPN11" s="111"/>
      <c r="FPO11" s="111"/>
      <c r="FPP11" s="111"/>
      <c r="FPQ11" s="111"/>
      <c r="FPR11" s="111"/>
      <c r="FPS11" s="111"/>
      <c r="FPT11" s="111"/>
      <c r="FPU11" s="111"/>
      <c r="FPV11" s="111"/>
      <c r="FPW11" s="111"/>
      <c r="FPX11" s="111"/>
      <c r="FPY11" s="111"/>
      <c r="FPZ11" s="111"/>
      <c r="FQA11" s="111"/>
      <c r="FQB11" s="111"/>
      <c r="FQC11" s="111"/>
      <c r="FQD11" s="111"/>
      <c r="FQE11" s="111"/>
      <c r="FQF11" s="111"/>
      <c r="FQG11" s="111"/>
      <c r="FQH11" s="111"/>
      <c r="FQI11" s="111"/>
      <c r="FQJ11" s="111"/>
      <c r="FQK11" s="111"/>
      <c r="FQL11" s="111"/>
      <c r="FQM11" s="111"/>
      <c r="FQN11" s="111"/>
      <c r="FQO11" s="111"/>
      <c r="FQP11" s="111"/>
      <c r="FQQ11" s="111"/>
      <c r="FQR11" s="111"/>
      <c r="FQS11" s="111"/>
      <c r="FQT11" s="111"/>
      <c r="FQU11" s="111"/>
      <c r="FQV11" s="111"/>
      <c r="FQW11" s="111"/>
      <c r="FQX11" s="111"/>
      <c r="FQY11" s="111"/>
      <c r="FQZ11" s="111"/>
      <c r="FRA11" s="111"/>
      <c r="FRB11" s="111"/>
      <c r="FRC11" s="111"/>
      <c r="FRD11" s="111"/>
      <c r="FRE11" s="111"/>
      <c r="FRF11" s="111"/>
      <c r="FRG11" s="111"/>
      <c r="FRH11" s="111"/>
      <c r="FRI11" s="111"/>
      <c r="FRJ11" s="111"/>
      <c r="FRK11" s="111"/>
      <c r="FRL11" s="111"/>
      <c r="FRM11" s="111"/>
      <c r="FRN11" s="111"/>
      <c r="FRO11" s="111"/>
      <c r="FRP11" s="111"/>
      <c r="FRQ11" s="111"/>
      <c r="FRR11" s="111"/>
      <c r="FRS11" s="111"/>
      <c r="FRT11" s="111"/>
      <c r="FRU11" s="111"/>
      <c r="FRV11" s="111"/>
      <c r="FRW11" s="111"/>
      <c r="FRX11" s="111"/>
      <c r="FRY11" s="111"/>
      <c r="FRZ11" s="111"/>
      <c r="FSA11" s="111"/>
      <c r="FSB11" s="111"/>
      <c r="FSC11" s="111"/>
      <c r="FSD11" s="111"/>
      <c r="FSE11" s="111"/>
      <c r="FSF11" s="111"/>
      <c r="FSG11" s="111"/>
      <c r="FSH11" s="111"/>
      <c r="FSI11" s="111"/>
      <c r="FSJ11" s="111"/>
      <c r="FSK11" s="111"/>
      <c r="FSL11" s="111"/>
      <c r="FSM11" s="111"/>
      <c r="FSN11" s="111"/>
      <c r="FSO11" s="111"/>
      <c r="FSP11" s="111"/>
      <c r="FSQ11" s="111"/>
      <c r="FSR11" s="111"/>
      <c r="FSS11" s="111"/>
      <c r="FST11" s="111"/>
      <c r="FSU11" s="111"/>
      <c r="FSV11" s="111"/>
      <c r="FSW11" s="111"/>
      <c r="FSX11" s="111"/>
      <c r="FSY11" s="111"/>
      <c r="FSZ11" s="111"/>
      <c r="FTA11" s="111"/>
      <c r="FTB11" s="111"/>
      <c r="FTC11" s="111"/>
      <c r="FTD11" s="111"/>
      <c r="FTE11" s="111"/>
      <c r="FTF11" s="111"/>
      <c r="FTG11" s="111"/>
      <c r="FTH11" s="111"/>
      <c r="FTI11" s="111"/>
      <c r="FTJ11" s="111"/>
      <c r="FTK11" s="111"/>
      <c r="FTL11" s="111"/>
      <c r="FTM11" s="111"/>
      <c r="FTN11" s="111"/>
      <c r="FTO11" s="111"/>
      <c r="FTP11" s="111"/>
      <c r="FTQ11" s="111"/>
      <c r="FTR11" s="111"/>
      <c r="FTS11" s="111"/>
      <c r="FTT11" s="111"/>
      <c r="FTU11" s="111"/>
      <c r="FTV11" s="111"/>
      <c r="FTW11" s="111"/>
      <c r="FTX11" s="111"/>
      <c r="FTY11" s="111"/>
      <c r="FTZ11" s="111"/>
      <c r="FUA11" s="111"/>
      <c r="FUB11" s="111"/>
      <c r="FUC11" s="111"/>
      <c r="FUD11" s="111"/>
      <c r="FUE11" s="111"/>
      <c r="FUF11" s="111"/>
      <c r="FUG11" s="111"/>
      <c r="FUH11" s="111"/>
      <c r="FUI11" s="111"/>
      <c r="FUJ11" s="111"/>
      <c r="FUK11" s="111"/>
      <c r="FUL11" s="111"/>
      <c r="FUM11" s="111"/>
      <c r="FUN11" s="111"/>
      <c r="FUO11" s="111"/>
      <c r="FUP11" s="111"/>
      <c r="FUQ11" s="111"/>
      <c r="FUR11" s="111"/>
      <c r="FUS11" s="111"/>
      <c r="FUT11" s="111"/>
      <c r="FUU11" s="111"/>
      <c r="FUV11" s="111"/>
      <c r="FUW11" s="111"/>
      <c r="FUX11" s="111"/>
      <c r="FUY11" s="111"/>
      <c r="FUZ11" s="111"/>
      <c r="FVA11" s="111"/>
      <c r="FVB11" s="111"/>
      <c r="FVC11" s="111"/>
      <c r="FVD11" s="111"/>
      <c r="FVE11" s="111"/>
      <c r="FVF11" s="111"/>
      <c r="FVG11" s="111"/>
      <c r="FVH11" s="111"/>
      <c r="FVI11" s="111"/>
      <c r="FVJ11" s="111"/>
      <c r="FVK11" s="111"/>
      <c r="FVL11" s="111"/>
      <c r="FVM11" s="111"/>
      <c r="FVN11" s="111"/>
      <c r="FVO11" s="111"/>
      <c r="FVP11" s="111"/>
      <c r="FVQ11" s="111"/>
      <c r="FVR11" s="111"/>
      <c r="FVS11" s="111"/>
      <c r="FVT11" s="111"/>
      <c r="FVU11" s="111"/>
      <c r="FVV11" s="111"/>
      <c r="FVW11" s="111"/>
      <c r="FVX11" s="111"/>
      <c r="FVY11" s="111"/>
      <c r="FVZ11" s="111"/>
      <c r="FWA11" s="111"/>
      <c r="FWB11" s="111"/>
      <c r="FWC11" s="111"/>
      <c r="FWD11" s="111"/>
      <c r="FWE11" s="111"/>
      <c r="FWF11" s="111"/>
      <c r="FWG11" s="111"/>
      <c r="FWH11" s="111"/>
      <c r="FWI11" s="111"/>
      <c r="FWJ11" s="111"/>
      <c r="FWK11" s="111"/>
      <c r="FWL11" s="111"/>
      <c r="FWM11" s="111"/>
      <c r="FWN11" s="111"/>
      <c r="FWO11" s="111"/>
      <c r="FWP11" s="111"/>
      <c r="FWQ11" s="111"/>
      <c r="FWR11" s="111"/>
      <c r="FWS11" s="111"/>
      <c r="FWT11" s="111"/>
      <c r="FWU11" s="111"/>
      <c r="FWV11" s="111"/>
      <c r="FWW11" s="111"/>
      <c r="FWX11" s="111"/>
      <c r="FWY11" s="111"/>
      <c r="FWZ11" s="111"/>
      <c r="FXA11" s="111"/>
      <c r="FXB11" s="111"/>
      <c r="FXC11" s="111"/>
      <c r="FXD11" s="111"/>
      <c r="FXE11" s="111"/>
      <c r="FXF11" s="111"/>
      <c r="FXG11" s="111"/>
      <c r="FXH11" s="111"/>
      <c r="FXI11" s="111"/>
      <c r="FXJ11" s="111"/>
      <c r="FXK11" s="111"/>
      <c r="FXL11" s="111"/>
      <c r="FXM11" s="111"/>
      <c r="FXN11" s="111"/>
      <c r="FXO11" s="111"/>
      <c r="FXP11" s="111"/>
      <c r="FXQ11" s="111"/>
      <c r="FXR11" s="111"/>
      <c r="FXS11" s="111"/>
      <c r="FXT11" s="111"/>
      <c r="FXU11" s="111"/>
      <c r="FXV11" s="111"/>
      <c r="FXW11" s="111"/>
      <c r="FXX11" s="111"/>
      <c r="FXY11" s="111"/>
      <c r="FXZ11" s="111"/>
      <c r="FYA11" s="111"/>
      <c r="FYB11" s="111"/>
      <c r="FYC11" s="111"/>
      <c r="FYD11" s="111"/>
      <c r="FYE11" s="111"/>
      <c r="FYF11" s="111"/>
      <c r="FYG11" s="111"/>
      <c r="FYH11" s="111"/>
      <c r="FYI11" s="111"/>
      <c r="FYJ11" s="111"/>
      <c r="FYK11" s="111"/>
      <c r="FYL11" s="111"/>
      <c r="FYM11" s="111"/>
      <c r="FYN11" s="111"/>
      <c r="FYO11" s="111"/>
      <c r="FYP11" s="111"/>
      <c r="FYQ11" s="111"/>
      <c r="FYR11" s="111"/>
      <c r="FYS11" s="111"/>
      <c r="FYT11" s="111"/>
      <c r="FYU11" s="111"/>
      <c r="FYV11" s="111"/>
      <c r="FYW11" s="111"/>
      <c r="FYX11" s="111"/>
      <c r="FYY11" s="111"/>
      <c r="FYZ11" s="111"/>
      <c r="FZA11" s="111"/>
      <c r="FZB11" s="111"/>
      <c r="FZC11" s="111"/>
      <c r="FZD11" s="111"/>
      <c r="FZE11" s="111"/>
      <c r="FZF11" s="111"/>
      <c r="FZG11" s="111"/>
      <c r="FZH11" s="111"/>
      <c r="FZI11" s="111"/>
      <c r="FZJ11" s="111"/>
      <c r="FZK11" s="111"/>
      <c r="FZL11" s="111"/>
      <c r="FZM11" s="111"/>
      <c r="FZN11" s="111"/>
      <c r="FZO11" s="111"/>
      <c r="FZP11" s="111"/>
      <c r="FZQ11" s="111"/>
      <c r="FZR11" s="111"/>
      <c r="FZS11" s="111"/>
      <c r="FZT11" s="111"/>
      <c r="FZU11" s="111"/>
      <c r="FZV11" s="111"/>
      <c r="FZW11" s="111"/>
      <c r="FZX11" s="111"/>
      <c r="FZY11" s="111"/>
      <c r="FZZ11" s="111"/>
      <c r="GAA11" s="111"/>
      <c r="GAB11" s="111"/>
      <c r="GAC11" s="111"/>
      <c r="GAD11" s="111"/>
      <c r="GAE11" s="111"/>
      <c r="GAF11" s="111"/>
      <c r="GAG11" s="111"/>
      <c r="GAH11" s="111"/>
      <c r="GAI11" s="111"/>
      <c r="GAJ11" s="111"/>
      <c r="GAK11" s="111"/>
      <c r="GAL11" s="111"/>
      <c r="GAM11" s="111"/>
      <c r="GAN11" s="111"/>
      <c r="GAO11" s="111"/>
      <c r="GAP11" s="111"/>
      <c r="GAQ11" s="111"/>
      <c r="GAR11" s="111"/>
      <c r="GAS11" s="111"/>
      <c r="GAT11" s="111"/>
      <c r="GAU11" s="111"/>
      <c r="GAV11" s="111"/>
      <c r="GAW11" s="111"/>
      <c r="GAX11" s="111"/>
      <c r="GAY11" s="111"/>
      <c r="GAZ11" s="111"/>
      <c r="GBA11" s="111"/>
      <c r="GBB11" s="111"/>
      <c r="GBC11" s="111"/>
      <c r="GBD11" s="111"/>
      <c r="GBE11" s="111"/>
      <c r="GBF11" s="111"/>
      <c r="GBG11" s="111"/>
      <c r="GBH11" s="111"/>
      <c r="GBI11" s="111"/>
      <c r="GBJ11" s="111"/>
      <c r="GBK11" s="111"/>
      <c r="GBL11" s="111"/>
      <c r="GBM11" s="111"/>
      <c r="GBN11" s="111"/>
      <c r="GBO11" s="111"/>
      <c r="GBP11" s="111"/>
      <c r="GBQ11" s="111"/>
      <c r="GBR11" s="111"/>
      <c r="GBS11" s="111"/>
      <c r="GBT11" s="111"/>
      <c r="GBU11" s="111"/>
      <c r="GBV11" s="111"/>
      <c r="GBW11" s="111"/>
      <c r="GBX11" s="111"/>
      <c r="GBY11" s="111"/>
      <c r="GBZ11" s="111"/>
      <c r="GCA11" s="111"/>
      <c r="GCB11" s="111"/>
      <c r="GCC11" s="111"/>
      <c r="GCD11" s="111"/>
      <c r="GCE11" s="111"/>
      <c r="GCF11" s="111"/>
      <c r="GCG11" s="111"/>
      <c r="GCH11" s="111"/>
      <c r="GCI11" s="111"/>
      <c r="GCJ11" s="111"/>
      <c r="GCK11" s="111"/>
      <c r="GCL11" s="111"/>
      <c r="GCM11" s="111"/>
      <c r="GCN11" s="111"/>
      <c r="GCO11" s="111"/>
      <c r="GCP11" s="111"/>
      <c r="GCQ11" s="111"/>
      <c r="GCR11" s="111"/>
      <c r="GCS11" s="111"/>
      <c r="GCT11" s="111"/>
      <c r="GCU11" s="111"/>
      <c r="GCV11" s="111"/>
      <c r="GCW11" s="111"/>
      <c r="GCX11" s="111"/>
      <c r="GCY11" s="111"/>
      <c r="GCZ11" s="111"/>
      <c r="GDA11" s="111"/>
      <c r="GDB11" s="111"/>
      <c r="GDC11" s="111"/>
      <c r="GDD11" s="111"/>
      <c r="GDE11" s="111"/>
      <c r="GDF11" s="111"/>
      <c r="GDG11" s="111"/>
      <c r="GDH11" s="111"/>
      <c r="GDI11" s="111"/>
      <c r="GDJ11" s="111"/>
      <c r="GDK11" s="111"/>
      <c r="GDL11" s="111"/>
      <c r="GDM11" s="111"/>
      <c r="GDN11" s="111"/>
      <c r="GDO11" s="111"/>
      <c r="GDP11" s="111"/>
      <c r="GDQ11" s="111"/>
      <c r="GDR11" s="111"/>
      <c r="GDS11" s="111"/>
      <c r="GDT11" s="111"/>
      <c r="GDU11" s="111"/>
      <c r="GDV11" s="111"/>
      <c r="GDW11" s="111"/>
      <c r="GDX11" s="111"/>
      <c r="GDY11" s="111"/>
      <c r="GDZ11" s="111"/>
      <c r="GEA11" s="111"/>
      <c r="GEB11" s="111"/>
      <c r="GEC11" s="111"/>
      <c r="GED11" s="111"/>
      <c r="GEE11" s="111"/>
      <c r="GEF11" s="111"/>
      <c r="GEG11" s="111"/>
      <c r="GEH11" s="111"/>
      <c r="GEI11" s="111"/>
      <c r="GEJ11" s="111"/>
      <c r="GEK11" s="111"/>
      <c r="GEL11" s="111"/>
      <c r="GEM11" s="111"/>
      <c r="GEN11" s="111"/>
      <c r="GEO11" s="111"/>
      <c r="GEP11" s="111"/>
      <c r="GEQ11" s="111"/>
      <c r="GER11" s="111"/>
      <c r="GES11" s="111"/>
      <c r="GET11" s="111"/>
      <c r="GEU11" s="111"/>
      <c r="GEV11" s="111"/>
      <c r="GEW11" s="111"/>
      <c r="GEX11" s="111"/>
      <c r="GEY11" s="111"/>
      <c r="GEZ11" s="111"/>
      <c r="GFA11" s="111"/>
      <c r="GFB11" s="111"/>
      <c r="GFC11" s="111"/>
      <c r="GFD11" s="111"/>
      <c r="GFE11" s="111"/>
      <c r="GFF11" s="111"/>
      <c r="GFG11" s="111"/>
      <c r="GFH11" s="111"/>
      <c r="GFI11" s="111"/>
      <c r="GFJ11" s="111"/>
      <c r="GFK11" s="111"/>
      <c r="GFL11" s="111"/>
      <c r="GFM11" s="111"/>
      <c r="GFN11" s="111"/>
      <c r="GFO11" s="111"/>
      <c r="GFP11" s="111"/>
      <c r="GFQ11" s="111"/>
      <c r="GFR11" s="111"/>
      <c r="GFS11" s="111"/>
      <c r="GFT11" s="111"/>
      <c r="GFU11" s="111"/>
      <c r="GFV11" s="111"/>
      <c r="GFW11" s="111"/>
      <c r="GFX11" s="111"/>
      <c r="GFY11" s="111"/>
      <c r="GFZ11" s="111"/>
      <c r="GGA11" s="111"/>
      <c r="GGB11" s="111"/>
      <c r="GGC11" s="111"/>
      <c r="GGD11" s="111"/>
      <c r="GGE11" s="111"/>
      <c r="GGF11" s="111"/>
      <c r="GGG11" s="111"/>
      <c r="GGH11" s="111"/>
      <c r="GGI11" s="111"/>
      <c r="GGJ11" s="111"/>
      <c r="GGK11" s="111"/>
      <c r="GGL11" s="111"/>
      <c r="GGM11" s="111"/>
      <c r="GGN11" s="111"/>
      <c r="GGO11" s="111"/>
      <c r="GGP11" s="111"/>
      <c r="GGQ11" s="111"/>
      <c r="GGR11" s="111"/>
      <c r="GGS11" s="111"/>
      <c r="GGT11" s="111"/>
      <c r="GGU11" s="111"/>
      <c r="GGV11" s="111"/>
      <c r="GGW11" s="111"/>
      <c r="GGX11" s="111"/>
      <c r="GGY11" s="111"/>
      <c r="GGZ11" s="111"/>
      <c r="GHA11" s="111"/>
      <c r="GHB11" s="111"/>
      <c r="GHC11" s="111"/>
      <c r="GHD11" s="111"/>
      <c r="GHE11" s="111"/>
      <c r="GHF11" s="111"/>
      <c r="GHG11" s="111"/>
      <c r="GHH11" s="111"/>
      <c r="GHI11" s="111"/>
      <c r="GHJ11" s="111"/>
      <c r="GHK11" s="111"/>
      <c r="GHL11" s="111"/>
      <c r="GHM11" s="111"/>
      <c r="GHN11" s="111"/>
      <c r="GHO11" s="111"/>
      <c r="GHP11" s="111"/>
      <c r="GHQ11" s="111"/>
      <c r="GHR11" s="111"/>
      <c r="GHS11" s="111"/>
      <c r="GHT11" s="111"/>
      <c r="GHU11" s="111"/>
      <c r="GHV11" s="111"/>
      <c r="GHW11" s="111"/>
      <c r="GHX11" s="111"/>
      <c r="GHY11" s="111"/>
      <c r="GHZ11" s="111"/>
      <c r="GIA11" s="111"/>
      <c r="GIB11" s="111"/>
      <c r="GIC11" s="111"/>
      <c r="GID11" s="111"/>
      <c r="GIE11" s="111"/>
      <c r="GIF11" s="111"/>
      <c r="GIG11" s="111"/>
      <c r="GIH11" s="111"/>
      <c r="GII11" s="111"/>
      <c r="GIJ11" s="111"/>
      <c r="GIK11" s="111"/>
      <c r="GIL11" s="111"/>
      <c r="GIM11" s="111"/>
      <c r="GIN11" s="111"/>
      <c r="GIO11" s="111"/>
      <c r="GIP11" s="111"/>
      <c r="GIQ11" s="111"/>
      <c r="GIR11" s="111"/>
      <c r="GIS11" s="111"/>
      <c r="GIT11" s="111"/>
      <c r="GIU11" s="111"/>
      <c r="GIV11" s="111"/>
      <c r="GIW11" s="111"/>
      <c r="GIX11" s="111"/>
      <c r="GIY11" s="111"/>
      <c r="GIZ11" s="111"/>
      <c r="GJA11" s="111"/>
      <c r="GJB11" s="111"/>
      <c r="GJC11" s="111"/>
      <c r="GJD11" s="111"/>
      <c r="GJE11" s="111"/>
      <c r="GJF11" s="111"/>
      <c r="GJG11" s="111"/>
      <c r="GJH11" s="111"/>
      <c r="GJI11" s="111"/>
      <c r="GJJ11" s="111"/>
      <c r="GJK11" s="111"/>
      <c r="GJL11" s="111"/>
      <c r="GJM11" s="111"/>
      <c r="GJN11" s="111"/>
      <c r="GJO11" s="111"/>
      <c r="GJP11" s="111"/>
      <c r="GJQ11" s="111"/>
      <c r="GJR11" s="111"/>
      <c r="GJS11" s="111"/>
      <c r="GJT11" s="111"/>
      <c r="GJU11" s="111"/>
      <c r="GJV11" s="111"/>
      <c r="GJW11" s="111"/>
      <c r="GJX11" s="111"/>
      <c r="GJY11" s="111"/>
      <c r="GJZ11" s="111"/>
      <c r="GKA11" s="111"/>
      <c r="GKB11" s="111"/>
      <c r="GKC11" s="111"/>
      <c r="GKD11" s="111"/>
      <c r="GKE11" s="111"/>
      <c r="GKF11" s="111"/>
      <c r="GKG11" s="111"/>
      <c r="GKH11" s="111"/>
      <c r="GKI11" s="111"/>
      <c r="GKJ11" s="111"/>
      <c r="GKK11" s="111"/>
      <c r="GKL11" s="111"/>
      <c r="GKM11" s="111"/>
      <c r="GKN11" s="111"/>
      <c r="GKO11" s="111"/>
      <c r="GKP11" s="111"/>
      <c r="GKQ11" s="111"/>
      <c r="GKR11" s="111"/>
      <c r="GKS11" s="111"/>
      <c r="GKT11" s="111"/>
      <c r="GKU11" s="111"/>
      <c r="GKV11" s="111"/>
      <c r="GKW11" s="111"/>
      <c r="GKX11" s="111"/>
      <c r="GKY11" s="111"/>
      <c r="GKZ11" s="111"/>
      <c r="GLA11" s="111"/>
      <c r="GLB11" s="111"/>
      <c r="GLC11" s="111"/>
      <c r="GLD11" s="111"/>
      <c r="GLE11" s="111"/>
      <c r="GLF11" s="111"/>
      <c r="GLG11" s="111"/>
      <c r="GLH11" s="111"/>
      <c r="GLI11" s="111"/>
      <c r="GLJ11" s="111"/>
      <c r="GLK11" s="111"/>
      <c r="GLL11" s="111"/>
      <c r="GLM11" s="111"/>
      <c r="GLN11" s="111"/>
      <c r="GLO11" s="111"/>
      <c r="GLP11" s="111"/>
      <c r="GLQ11" s="111"/>
      <c r="GLR11" s="111"/>
      <c r="GLS11" s="111"/>
      <c r="GLT11" s="111"/>
      <c r="GLU11" s="111"/>
      <c r="GLV11" s="111"/>
      <c r="GLW11" s="111"/>
      <c r="GLX11" s="111"/>
      <c r="GLY11" s="111"/>
      <c r="GLZ11" s="111"/>
      <c r="GMA11" s="111"/>
      <c r="GMB11" s="111"/>
      <c r="GMC11" s="111"/>
      <c r="GMD11" s="111"/>
      <c r="GME11" s="111"/>
      <c r="GMF11" s="111"/>
      <c r="GMG11" s="111"/>
      <c r="GMH11" s="111"/>
      <c r="GMI11" s="111"/>
      <c r="GMJ11" s="111"/>
      <c r="GMK11" s="111"/>
      <c r="GML11" s="111"/>
      <c r="GMM11" s="111"/>
      <c r="GMN11" s="111"/>
      <c r="GMO11" s="111"/>
      <c r="GMP11" s="111"/>
      <c r="GMQ11" s="111"/>
      <c r="GMR11" s="111"/>
      <c r="GMS11" s="111"/>
      <c r="GMT11" s="111"/>
      <c r="GMU11" s="111"/>
      <c r="GMV11" s="111"/>
      <c r="GMW11" s="111"/>
      <c r="GMX11" s="111"/>
      <c r="GMY11" s="111"/>
      <c r="GMZ11" s="111"/>
      <c r="GNA11" s="111"/>
      <c r="GNB11" s="111"/>
      <c r="GNC11" s="111"/>
      <c r="GND11" s="111"/>
      <c r="GNE11" s="111"/>
      <c r="GNF11" s="111"/>
      <c r="GNG11" s="111"/>
      <c r="GNH11" s="111"/>
      <c r="GNI11" s="111"/>
      <c r="GNJ11" s="111"/>
      <c r="GNK11" s="111"/>
      <c r="GNL11" s="111"/>
      <c r="GNM11" s="111"/>
      <c r="GNN11" s="111"/>
      <c r="GNO11" s="111"/>
      <c r="GNP11" s="111"/>
      <c r="GNQ11" s="111"/>
      <c r="GNR11" s="111"/>
      <c r="GNS11" s="111"/>
      <c r="GNT11" s="111"/>
      <c r="GNU11" s="111"/>
      <c r="GNV11" s="111"/>
      <c r="GNW11" s="111"/>
      <c r="GNX11" s="111"/>
      <c r="GNY11" s="111"/>
      <c r="GNZ11" s="111"/>
      <c r="GOA11" s="111"/>
      <c r="GOB11" s="111"/>
      <c r="GOC11" s="111"/>
      <c r="GOD11" s="111"/>
      <c r="GOE11" s="111"/>
      <c r="GOF11" s="111"/>
      <c r="GOG11" s="111"/>
      <c r="GOH11" s="111"/>
      <c r="GOI11" s="111"/>
      <c r="GOJ11" s="111"/>
      <c r="GOK11" s="111"/>
      <c r="GOL11" s="111"/>
      <c r="GOM11" s="111"/>
      <c r="GON11" s="111"/>
      <c r="GOO11" s="111"/>
      <c r="GOP11" s="111"/>
      <c r="GOQ11" s="111"/>
      <c r="GOR11" s="111"/>
      <c r="GOS11" s="111"/>
      <c r="GOT11" s="111"/>
      <c r="GOU11" s="111"/>
      <c r="GOV11" s="111"/>
      <c r="GOW11" s="111"/>
      <c r="GOX11" s="111"/>
      <c r="GOY11" s="111"/>
      <c r="GOZ11" s="111"/>
      <c r="GPA11" s="111"/>
      <c r="GPB11" s="111"/>
      <c r="GPC11" s="111"/>
      <c r="GPD11" s="111"/>
      <c r="GPE11" s="111"/>
      <c r="GPF11" s="111"/>
      <c r="GPG11" s="111"/>
      <c r="GPH11" s="111"/>
      <c r="GPI11" s="111"/>
      <c r="GPJ11" s="111"/>
      <c r="GPK11" s="111"/>
      <c r="GPL11" s="111"/>
      <c r="GPM11" s="111"/>
      <c r="GPN11" s="111"/>
      <c r="GPO11" s="111"/>
      <c r="GPP11" s="111"/>
      <c r="GPQ11" s="111"/>
      <c r="GPR11" s="111"/>
      <c r="GPS11" s="111"/>
      <c r="GPT11" s="111"/>
      <c r="GPU11" s="111"/>
      <c r="GPV11" s="111"/>
      <c r="GPW11" s="111"/>
      <c r="GPX11" s="111"/>
      <c r="GPY11" s="111"/>
      <c r="GPZ11" s="111"/>
      <c r="GQA11" s="111"/>
      <c r="GQB11" s="111"/>
      <c r="GQC11" s="111"/>
      <c r="GQD11" s="111"/>
      <c r="GQE11" s="111"/>
      <c r="GQF11" s="111"/>
      <c r="GQG11" s="111"/>
      <c r="GQH11" s="111"/>
      <c r="GQI11" s="111"/>
      <c r="GQJ11" s="111"/>
      <c r="GQK11" s="111"/>
      <c r="GQL11" s="111"/>
      <c r="GQM11" s="111"/>
      <c r="GQN11" s="111"/>
      <c r="GQO11" s="111"/>
      <c r="GQP11" s="111"/>
      <c r="GQQ11" s="111"/>
      <c r="GQR11" s="111"/>
      <c r="GQS11" s="111"/>
      <c r="GQT11" s="111"/>
      <c r="GQU11" s="111"/>
      <c r="GQV11" s="111"/>
      <c r="GQW11" s="111"/>
      <c r="GQX11" s="111"/>
      <c r="GQY11" s="111"/>
      <c r="GQZ11" s="111"/>
      <c r="GRA11" s="111"/>
      <c r="GRB11" s="111"/>
      <c r="GRC11" s="111"/>
      <c r="GRD11" s="111"/>
      <c r="GRE11" s="111"/>
      <c r="GRF11" s="111"/>
      <c r="GRG11" s="111"/>
      <c r="GRH11" s="111"/>
      <c r="GRI11" s="111"/>
      <c r="GRJ11" s="111"/>
      <c r="GRK11" s="111"/>
      <c r="GRL11" s="111"/>
      <c r="GRM11" s="111"/>
      <c r="GRN11" s="111"/>
      <c r="GRO11" s="111"/>
      <c r="GRP11" s="111"/>
      <c r="GRQ11" s="111"/>
      <c r="GRR11" s="111"/>
      <c r="GRS11" s="111"/>
      <c r="GRT11" s="111"/>
      <c r="GRU11" s="111"/>
      <c r="GRV11" s="111"/>
      <c r="GRW11" s="111"/>
      <c r="GRX11" s="111"/>
      <c r="GRY11" s="111"/>
      <c r="GRZ11" s="111"/>
      <c r="GSA11" s="111"/>
      <c r="GSB11" s="111"/>
      <c r="GSC11" s="111"/>
      <c r="GSD11" s="111"/>
      <c r="GSE11" s="111"/>
      <c r="GSF11" s="111"/>
      <c r="GSG11" s="111"/>
      <c r="GSH11" s="111"/>
      <c r="GSI11" s="111"/>
      <c r="GSJ11" s="111"/>
      <c r="GSK11" s="111"/>
      <c r="GSL11" s="111"/>
      <c r="GSM11" s="111"/>
      <c r="GSN11" s="111"/>
      <c r="GSO11" s="111"/>
      <c r="GSP11" s="111"/>
      <c r="GSQ11" s="111"/>
      <c r="GSR11" s="111"/>
      <c r="GSS11" s="111"/>
      <c r="GST11" s="111"/>
      <c r="GSU11" s="111"/>
      <c r="GSV11" s="111"/>
      <c r="GSW11" s="111"/>
      <c r="GSX11" s="111"/>
      <c r="GSY11" s="111"/>
      <c r="GSZ11" s="111"/>
      <c r="GTA11" s="111"/>
      <c r="GTB11" s="111"/>
      <c r="GTC11" s="111"/>
      <c r="GTD11" s="111"/>
      <c r="GTE11" s="111"/>
      <c r="GTF11" s="111"/>
      <c r="GTG11" s="111"/>
      <c r="GTH11" s="111"/>
      <c r="GTI11" s="111"/>
      <c r="GTJ11" s="111"/>
      <c r="GTK11" s="111"/>
      <c r="GTL11" s="111"/>
      <c r="GTM11" s="111"/>
      <c r="GTN11" s="111"/>
      <c r="GTO11" s="111"/>
      <c r="GTP11" s="111"/>
      <c r="GTQ11" s="111"/>
      <c r="GTR11" s="111"/>
      <c r="GTS11" s="111"/>
      <c r="GTT11" s="111"/>
      <c r="GTU11" s="111"/>
      <c r="GTV11" s="111"/>
      <c r="GTW11" s="111"/>
      <c r="GTX11" s="111"/>
      <c r="GTY11" s="111"/>
      <c r="GTZ11" s="111"/>
      <c r="GUA11" s="111"/>
      <c r="GUB11" s="111"/>
      <c r="GUC11" s="111"/>
      <c r="GUD11" s="111"/>
      <c r="GUE11" s="111"/>
      <c r="GUF11" s="111"/>
      <c r="GUG11" s="111"/>
      <c r="GUH11" s="111"/>
      <c r="GUI11" s="111"/>
      <c r="GUJ11" s="111"/>
      <c r="GUK11" s="111"/>
      <c r="GUL11" s="111"/>
      <c r="GUM11" s="111"/>
      <c r="GUN11" s="111"/>
      <c r="GUO11" s="111"/>
      <c r="GUP11" s="111"/>
      <c r="GUQ11" s="111"/>
      <c r="GUR11" s="111"/>
      <c r="GUS11" s="111"/>
      <c r="GUT11" s="111"/>
      <c r="GUU11" s="111"/>
      <c r="GUV11" s="111"/>
      <c r="GUW11" s="111"/>
      <c r="GUX11" s="111"/>
      <c r="GUY11" s="111"/>
      <c r="GUZ11" s="111"/>
      <c r="GVA11" s="111"/>
      <c r="GVB11" s="111"/>
      <c r="GVC11" s="111"/>
      <c r="GVD11" s="111"/>
      <c r="GVE11" s="111"/>
      <c r="GVF11" s="111"/>
      <c r="GVG11" s="111"/>
      <c r="GVH11" s="111"/>
      <c r="GVI11" s="111"/>
      <c r="GVJ11" s="111"/>
      <c r="GVK11" s="111"/>
      <c r="GVL11" s="111"/>
      <c r="GVM11" s="111"/>
      <c r="GVN11" s="111"/>
      <c r="GVO11" s="111"/>
      <c r="GVP11" s="111"/>
      <c r="GVQ11" s="111"/>
      <c r="GVR11" s="111"/>
      <c r="GVS11" s="111"/>
      <c r="GVT11" s="111"/>
      <c r="GVU11" s="111"/>
      <c r="GVV11" s="111"/>
      <c r="GVW11" s="111"/>
      <c r="GVX11" s="111"/>
      <c r="GVY11" s="111"/>
      <c r="GVZ11" s="111"/>
      <c r="GWA11" s="111"/>
      <c r="GWB11" s="111"/>
      <c r="GWC11" s="111"/>
      <c r="GWD11" s="111"/>
      <c r="GWE11" s="111"/>
      <c r="GWF11" s="111"/>
      <c r="GWG11" s="111"/>
      <c r="GWH11" s="111"/>
      <c r="GWI11" s="111"/>
      <c r="GWJ11" s="111"/>
      <c r="GWK11" s="111"/>
      <c r="GWL11" s="111"/>
      <c r="GWM11" s="111"/>
      <c r="GWN11" s="111"/>
      <c r="GWO11" s="111"/>
      <c r="GWP11" s="111"/>
      <c r="GWQ11" s="111"/>
      <c r="GWR11" s="111"/>
      <c r="GWS11" s="111"/>
      <c r="GWT11" s="111"/>
      <c r="GWU11" s="111"/>
      <c r="GWV11" s="111"/>
      <c r="GWW11" s="111"/>
      <c r="GWX11" s="111"/>
      <c r="GWY11" s="111"/>
      <c r="GWZ11" s="111"/>
      <c r="GXA11" s="111"/>
      <c r="GXB11" s="111"/>
      <c r="GXC11" s="111"/>
      <c r="GXD11" s="111"/>
      <c r="GXE11" s="111"/>
      <c r="GXF11" s="111"/>
      <c r="GXG11" s="111"/>
      <c r="GXH11" s="111"/>
      <c r="GXI11" s="111"/>
      <c r="GXJ11" s="111"/>
      <c r="GXK11" s="111"/>
      <c r="GXL11" s="111"/>
      <c r="GXM11" s="111"/>
      <c r="GXN11" s="111"/>
      <c r="GXO11" s="111"/>
      <c r="GXP11" s="111"/>
      <c r="GXQ11" s="111"/>
      <c r="GXR11" s="111"/>
      <c r="GXS11" s="111"/>
      <c r="GXT11" s="111"/>
      <c r="GXU11" s="111"/>
      <c r="GXV11" s="111"/>
      <c r="GXW11" s="111"/>
      <c r="GXX11" s="111"/>
      <c r="GXY11" s="111"/>
      <c r="GXZ11" s="111"/>
      <c r="GYA11" s="111"/>
      <c r="GYB11" s="111"/>
      <c r="GYC11" s="111"/>
      <c r="GYD11" s="111"/>
      <c r="GYE11" s="111"/>
      <c r="GYF11" s="111"/>
      <c r="GYG11" s="111"/>
      <c r="GYH11" s="111"/>
      <c r="GYI11" s="111"/>
      <c r="GYJ11" s="111"/>
      <c r="GYK11" s="111"/>
      <c r="GYL11" s="111"/>
      <c r="GYM11" s="111"/>
      <c r="GYN11" s="111"/>
      <c r="GYO11" s="111"/>
      <c r="GYP11" s="111"/>
      <c r="GYQ11" s="111"/>
      <c r="GYR11" s="111"/>
      <c r="GYS11" s="111"/>
      <c r="GYT11" s="111"/>
      <c r="GYU11" s="111"/>
      <c r="GYV11" s="111"/>
      <c r="GYW11" s="111"/>
      <c r="GYX11" s="111"/>
      <c r="GYY11" s="111"/>
      <c r="GYZ11" s="111"/>
      <c r="GZA11" s="111"/>
      <c r="GZB11" s="111"/>
      <c r="GZC11" s="111"/>
      <c r="GZD11" s="111"/>
      <c r="GZE11" s="111"/>
      <c r="GZF11" s="111"/>
      <c r="GZG11" s="111"/>
      <c r="GZH11" s="111"/>
      <c r="GZI11" s="111"/>
      <c r="GZJ11" s="111"/>
      <c r="GZK11" s="111"/>
      <c r="GZL11" s="111"/>
      <c r="GZM11" s="111"/>
      <c r="GZN11" s="111"/>
      <c r="GZO11" s="111"/>
      <c r="GZP11" s="111"/>
      <c r="GZQ11" s="111"/>
      <c r="GZR11" s="111"/>
      <c r="GZS11" s="111"/>
      <c r="GZT11" s="111"/>
      <c r="GZU11" s="111"/>
      <c r="GZV11" s="111"/>
      <c r="GZW11" s="111"/>
      <c r="GZX11" s="111"/>
      <c r="GZY11" s="111"/>
      <c r="GZZ11" s="111"/>
      <c r="HAA11" s="111"/>
      <c r="HAB11" s="111"/>
      <c r="HAC11" s="111"/>
      <c r="HAD11" s="111"/>
      <c r="HAE11" s="111"/>
      <c r="HAF11" s="111"/>
      <c r="HAG11" s="111"/>
      <c r="HAH11" s="111"/>
      <c r="HAI11" s="111"/>
      <c r="HAJ11" s="111"/>
      <c r="HAK11" s="111"/>
      <c r="HAL11" s="111"/>
      <c r="HAM11" s="111"/>
      <c r="HAN11" s="111"/>
      <c r="HAO11" s="111"/>
      <c r="HAP11" s="111"/>
      <c r="HAQ11" s="111"/>
      <c r="HAR11" s="111"/>
      <c r="HAS11" s="111"/>
      <c r="HAT11" s="111"/>
      <c r="HAU11" s="111"/>
      <c r="HAV11" s="111"/>
      <c r="HAW11" s="111"/>
      <c r="HAX11" s="111"/>
      <c r="HAY11" s="111"/>
      <c r="HAZ11" s="111"/>
      <c r="HBA11" s="111"/>
      <c r="HBB11" s="111"/>
      <c r="HBC11" s="111"/>
      <c r="HBD11" s="111"/>
      <c r="HBE11" s="111"/>
      <c r="HBF11" s="111"/>
      <c r="HBG11" s="111"/>
      <c r="HBH11" s="111"/>
      <c r="HBI11" s="111"/>
      <c r="HBJ11" s="111"/>
      <c r="HBK11" s="111"/>
      <c r="HBL11" s="111"/>
      <c r="HBM11" s="111"/>
      <c r="HBN11" s="111"/>
      <c r="HBO11" s="111"/>
      <c r="HBP11" s="111"/>
      <c r="HBQ11" s="111"/>
      <c r="HBR11" s="111"/>
      <c r="HBS11" s="111"/>
      <c r="HBT11" s="111"/>
      <c r="HBU11" s="111"/>
      <c r="HBV11" s="111"/>
      <c r="HBW11" s="111"/>
      <c r="HBX11" s="111"/>
      <c r="HBY11" s="111"/>
      <c r="HBZ11" s="111"/>
      <c r="HCA11" s="111"/>
      <c r="HCB11" s="111"/>
      <c r="HCC11" s="111"/>
      <c r="HCD11" s="111"/>
      <c r="HCE11" s="111"/>
      <c r="HCF11" s="111"/>
      <c r="HCG11" s="111"/>
      <c r="HCH11" s="111"/>
      <c r="HCI11" s="111"/>
      <c r="HCJ11" s="111"/>
      <c r="HCK11" s="111"/>
      <c r="HCL11" s="111"/>
      <c r="HCM11" s="111"/>
      <c r="HCN11" s="111"/>
      <c r="HCO11" s="111"/>
      <c r="HCP11" s="111"/>
      <c r="HCQ11" s="111"/>
      <c r="HCR11" s="111"/>
      <c r="HCS11" s="111"/>
      <c r="HCT11" s="111"/>
      <c r="HCU11" s="111"/>
      <c r="HCV11" s="111"/>
      <c r="HCW11" s="111"/>
      <c r="HCX11" s="111"/>
      <c r="HCY11" s="111"/>
      <c r="HCZ11" s="111"/>
      <c r="HDA11" s="111"/>
      <c r="HDB11" s="111"/>
      <c r="HDC11" s="111"/>
      <c r="HDD11" s="111"/>
      <c r="HDE11" s="111"/>
      <c r="HDF11" s="111"/>
      <c r="HDG11" s="111"/>
      <c r="HDH11" s="111"/>
      <c r="HDI11" s="111"/>
      <c r="HDJ11" s="111"/>
      <c r="HDK11" s="111"/>
      <c r="HDL11" s="111"/>
      <c r="HDM11" s="111"/>
      <c r="HDN11" s="111"/>
      <c r="HDO11" s="111"/>
      <c r="HDP11" s="111"/>
      <c r="HDQ11" s="111"/>
      <c r="HDR11" s="111"/>
      <c r="HDS11" s="111"/>
      <c r="HDT11" s="111"/>
      <c r="HDU11" s="111"/>
      <c r="HDV11" s="111"/>
      <c r="HDW11" s="111"/>
      <c r="HDX11" s="111"/>
      <c r="HDY11" s="111"/>
      <c r="HDZ11" s="111"/>
      <c r="HEA11" s="111"/>
      <c r="HEB11" s="111"/>
      <c r="HEC11" s="111"/>
      <c r="HED11" s="111"/>
      <c r="HEE11" s="111"/>
      <c r="HEF11" s="111"/>
      <c r="HEG11" s="111"/>
      <c r="HEH11" s="111"/>
      <c r="HEI11" s="111"/>
      <c r="HEJ11" s="111"/>
      <c r="HEK11" s="111"/>
      <c r="HEL11" s="111"/>
      <c r="HEM11" s="111"/>
      <c r="HEN11" s="111"/>
      <c r="HEO11" s="111"/>
      <c r="HEP11" s="111"/>
      <c r="HEQ11" s="111"/>
      <c r="HER11" s="111"/>
      <c r="HES11" s="111"/>
      <c r="HET11" s="111"/>
      <c r="HEU11" s="111"/>
      <c r="HEV11" s="111"/>
      <c r="HEW11" s="111"/>
      <c r="HEX11" s="111"/>
      <c r="HEY11" s="111"/>
      <c r="HEZ11" s="111"/>
      <c r="HFA11" s="111"/>
      <c r="HFB11" s="111"/>
      <c r="HFC11" s="111"/>
      <c r="HFD11" s="111"/>
      <c r="HFE11" s="111"/>
      <c r="HFF11" s="111"/>
      <c r="HFG11" s="111"/>
      <c r="HFH11" s="111"/>
      <c r="HFI11" s="111"/>
      <c r="HFJ11" s="111"/>
      <c r="HFK11" s="111"/>
      <c r="HFL11" s="111"/>
      <c r="HFM11" s="111"/>
      <c r="HFN11" s="111"/>
      <c r="HFO11" s="111"/>
      <c r="HFP11" s="111"/>
      <c r="HFQ11" s="111"/>
      <c r="HFR11" s="111"/>
      <c r="HFS11" s="111"/>
      <c r="HFT11" s="111"/>
      <c r="HFU11" s="111"/>
      <c r="HFV11" s="111"/>
      <c r="HFW11" s="111"/>
      <c r="HFX11" s="111"/>
      <c r="HFY11" s="111"/>
      <c r="HFZ11" s="111"/>
      <c r="HGA11" s="111"/>
      <c r="HGB11" s="111"/>
      <c r="HGC11" s="111"/>
      <c r="HGD11" s="111"/>
      <c r="HGE11" s="111"/>
      <c r="HGF11" s="111"/>
      <c r="HGG11" s="111"/>
      <c r="HGH11" s="111"/>
      <c r="HGI11" s="111"/>
      <c r="HGJ11" s="111"/>
      <c r="HGK11" s="111"/>
      <c r="HGL11" s="111"/>
      <c r="HGM11" s="111"/>
      <c r="HGN11" s="111"/>
      <c r="HGO11" s="111"/>
      <c r="HGP11" s="111"/>
      <c r="HGQ11" s="111"/>
      <c r="HGR11" s="111"/>
      <c r="HGS11" s="111"/>
      <c r="HGT11" s="111"/>
      <c r="HGU11" s="111"/>
      <c r="HGV11" s="111"/>
      <c r="HGW11" s="111"/>
      <c r="HGX11" s="111"/>
      <c r="HGY11" s="111"/>
      <c r="HGZ11" s="111"/>
      <c r="HHA11" s="111"/>
      <c r="HHB11" s="111"/>
      <c r="HHC11" s="111"/>
      <c r="HHD11" s="111"/>
      <c r="HHE11" s="111"/>
      <c r="HHF11" s="111"/>
      <c r="HHG11" s="111"/>
      <c r="HHH11" s="111"/>
      <c r="HHI11" s="111"/>
      <c r="HHJ11" s="111"/>
      <c r="HHK11" s="111"/>
      <c r="HHL11" s="111"/>
      <c r="HHM11" s="111"/>
      <c r="HHN11" s="111"/>
      <c r="HHO11" s="111"/>
      <c r="HHP11" s="111"/>
      <c r="HHQ11" s="111"/>
      <c r="HHR11" s="111"/>
      <c r="HHS11" s="111"/>
      <c r="HHT11" s="111"/>
      <c r="HHU11" s="111"/>
      <c r="HHV11" s="111"/>
      <c r="HHW11" s="111"/>
      <c r="HHX11" s="111"/>
      <c r="HHY11" s="111"/>
      <c r="HHZ11" s="111"/>
      <c r="HIA11" s="111"/>
      <c r="HIB11" s="111"/>
      <c r="HIC11" s="111"/>
      <c r="HID11" s="111"/>
      <c r="HIE11" s="111"/>
      <c r="HIF11" s="111"/>
      <c r="HIG11" s="111"/>
      <c r="HIH11" s="111"/>
      <c r="HII11" s="111"/>
      <c r="HIJ11" s="111"/>
      <c r="HIK11" s="111"/>
      <c r="HIL11" s="111"/>
      <c r="HIM11" s="111"/>
      <c r="HIN11" s="111"/>
      <c r="HIO11" s="111"/>
      <c r="HIP11" s="111"/>
      <c r="HIQ11" s="111"/>
      <c r="HIR11" s="111"/>
      <c r="HIS11" s="111"/>
      <c r="HIT11" s="111"/>
      <c r="HIU11" s="111"/>
      <c r="HIV11" s="111"/>
      <c r="HIW11" s="111"/>
      <c r="HIX11" s="111"/>
      <c r="HIY11" s="111"/>
      <c r="HIZ11" s="111"/>
      <c r="HJA11" s="111"/>
      <c r="HJB11" s="111"/>
      <c r="HJC11" s="111"/>
      <c r="HJD11" s="111"/>
      <c r="HJE11" s="111"/>
      <c r="HJF11" s="111"/>
      <c r="HJG11" s="111"/>
      <c r="HJH11" s="111"/>
      <c r="HJI11" s="111"/>
      <c r="HJJ11" s="111"/>
      <c r="HJK11" s="111"/>
      <c r="HJL11" s="111"/>
      <c r="HJM11" s="111"/>
      <c r="HJN11" s="111"/>
      <c r="HJO11" s="111"/>
      <c r="HJP11" s="111"/>
      <c r="HJQ11" s="111"/>
      <c r="HJR11" s="111"/>
      <c r="HJS11" s="111"/>
      <c r="HJT11" s="111"/>
      <c r="HJU11" s="111"/>
      <c r="HJV11" s="111"/>
      <c r="HJW11" s="111"/>
      <c r="HJX11" s="111"/>
      <c r="HJY11" s="111"/>
      <c r="HJZ11" s="111"/>
      <c r="HKA11" s="111"/>
      <c r="HKB11" s="111"/>
      <c r="HKC11" s="111"/>
      <c r="HKD11" s="111"/>
      <c r="HKE11" s="111"/>
      <c r="HKF11" s="111"/>
      <c r="HKG11" s="111"/>
      <c r="HKH11" s="111"/>
      <c r="HKI11" s="111"/>
      <c r="HKJ11" s="111"/>
      <c r="HKK11" s="111"/>
      <c r="HKL11" s="111"/>
      <c r="HKM11" s="111"/>
      <c r="HKN11" s="111"/>
      <c r="HKO11" s="111"/>
      <c r="HKP11" s="111"/>
      <c r="HKQ11" s="111"/>
      <c r="HKR11" s="111"/>
      <c r="HKS11" s="111"/>
      <c r="HKT11" s="111"/>
      <c r="HKU11" s="111"/>
      <c r="HKV11" s="111"/>
      <c r="HKW11" s="111"/>
      <c r="HKX11" s="111"/>
      <c r="HKY11" s="111"/>
      <c r="HKZ11" s="111"/>
      <c r="HLA11" s="111"/>
      <c r="HLB11" s="111"/>
      <c r="HLC11" s="111"/>
      <c r="HLD11" s="111"/>
      <c r="HLE11" s="111"/>
      <c r="HLF11" s="111"/>
      <c r="HLG11" s="111"/>
      <c r="HLH11" s="111"/>
      <c r="HLI11" s="111"/>
      <c r="HLJ11" s="111"/>
      <c r="HLK11" s="111"/>
      <c r="HLL11" s="111"/>
      <c r="HLM11" s="111"/>
      <c r="HLN11" s="111"/>
      <c r="HLO11" s="111"/>
      <c r="HLP11" s="111"/>
      <c r="HLQ11" s="111"/>
      <c r="HLR11" s="111"/>
      <c r="HLS11" s="111"/>
      <c r="HLT11" s="111"/>
      <c r="HLU11" s="111"/>
      <c r="HLV11" s="111"/>
      <c r="HLW11" s="111"/>
      <c r="HLX11" s="111"/>
      <c r="HLY11" s="111"/>
      <c r="HLZ11" s="111"/>
      <c r="HMA11" s="111"/>
      <c r="HMB11" s="111"/>
      <c r="HMC11" s="111"/>
      <c r="HMD11" s="111"/>
      <c r="HME11" s="111"/>
      <c r="HMF11" s="111"/>
      <c r="HMG11" s="111"/>
      <c r="HMH11" s="111"/>
      <c r="HMI11" s="111"/>
      <c r="HMJ11" s="111"/>
      <c r="HMK11" s="111"/>
      <c r="HML11" s="111"/>
      <c r="HMM11" s="111"/>
      <c r="HMN11" s="111"/>
      <c r="HMO11" s="111"/>
      <c r="HMP11" s="111"/>
      <c r="HMQ11" s="111"/>
      <c r="HMR11" s="111"/>
      <c r="HMS11" s="111"/>
      <c r="HMT11" s="111"/>
      <c r="HMU11" s="111"/>
      <c r="HMV11" s="111"/>
      <c r="HMW11" s="111"/>
      <c r="HMX11" s="111"/>
      <c r="HMY11" s="111"/>
      <c r="HMZ11" s="111"/>
      <c r="HNA11" s="111"/>
      <c r="HNB11" s="111"/>
      <c r="HNC11" s="111"/>
      <c r="HND11" s="111"/>
      <c r="HNE11" s="111"/>
      <c r="HNF11" s="111"/>
      <c r="HNG11" s="111"/>
      <c r="HNH11" s="111"/>
      <c r="HNI11" s="111"/>
      <c r="HNJ11" s="111"/>
      <c r="HNK11" s="111"/>
      <c r="HNL11" s="111"/>
      <c r="HNM11" s="111"/>
      <c r="HNN11" s="111"/>
      <c r="HNO11" s="111"/>
      <c r="HNP11" s="111"/>
      <c r="HNQ11" s="111"/>
      <c r="HNR11" s="111"/>
      <c r="HNS11" s="111"/>
      <c r="HNT11" s="111"/>
      <c r="HNU11" s="111"/>
      <c r="HNV11" s="111"/>
      <c r="HNW11" s="111"/>
      <c r="HNX11" s="111"/>
      <c r="HNY11" s="111"/>
      <c r="HNZ11" s="111"/>
      <c r="HOA11" s="111"/>
      <c r="HOB11" s="111"/>
      <c r="HOC11" s="111"/>
      <c r="HOD11" s="111"/>
      <c r="HOE11" s="111"/>
      <c r="HOF11" s="111"/>
      <c r="HOG11" s="111"/>
      <c r="HOH11" s="111"/>
      <c r="HOI11" s="111"/>
      <c r="HOJ11" s="111"/>
      <c r="HOK11" s="111"/>
      <c r="HOL11" s="111"/>
      <c r="HOM11" s="111"/>
      <c r="HON11" s="111"/>
      <c r="HOO11" s="111"/>
      <c r="HOP11" s="111"/>
      <c r="HOQ11" s="111"/>
      <c r="HOR11" s="111"/>
      <c r="HOS11" s="111"/>
      <c r="HOT11" s="111"/>
      <c r="HOU11" s="111"/>
      <c r="HOV11" s="111"/>
      <c r="HOW11" s="111"/>
      <c r="HOX11" s="111"/>
      <c r="HOY11" s="111"/>
      <c r="HOZ11" s="111"/>
      <c r="HPA11" s="111"/>
      <c r="HPB11" s="111"/>
      <c r="HPC11" s="111"/>
      <c r="HPD11" s="111"/>
      <c r="HPE11" s="111"/>
      <c r="HPF11" s="111"/>
      <c r="HPG11" s="111"/>
      <c r="HPH11" s="111"/>
      <c r="HPI11" s="111"/>
      <c r="HPJ11" s="111"/>
      <c r="HPK11" s="111"/>
      <c r="HPL11" s="111"/>
      <c r="HPM11" s="111"/>
      <c r="HPN11" s="111"/>
      <c r="HPO11" s="111"/>
      <c r="HPP11" s="111"/>
      <c r="HPQ11" s="111"/>
      <c r="HPR11" s="111"/>
      <c r="HPS11" s="111"/>
      <c r="HPT11" s="111"/>
      <c r="HPU11" s="111"/>
      <c r="HPV11" s="111"/>
      <c r="HPW11" s="111"/>
      <c r="HPX11" s="111"/>
      <c r="HPY11" s="111"/>
      <c r="HPZ11" s="111"/>
      <c r="HQA11" s="111"/>
      <c r="HQB11" s="111"/>
      <c r="HQC11" s="111"/>
      <c r="HQD11" s="111"/>
      <c r="HQE11" s="111"/>
      <c r="HQF11" s="111"/>
      <c r="HQG11" s="111"/>
      <c r="HQH11" s="111"/>
      <c r="HQI11" s="111"/>
      <c r="HQJ11" s="111"/>
      <c r="HQK11" s="111"/>
      <c r="HQL11" s="111"/>
      <c r="HQM11" s="111"/>
      <c r="HQN11" s="111"/>
      <c r="HQO11" s="111"/>
      <c r="HQP11" s="111"/>
      <c r="HQQ11" s="111"/>
      <c r="HQR11" s="111"/>
      <c r="HQS11" s="111"/>
      <c r="HQT11" s="111"/>
      <c r="HQU11" s="111"/>
      <c r="HQV11" s="111"/>
      <c r="HQW11" s="111"/>
      <c r="HQX11" s="111"/>
      <c r="HQY11" s="111"/>
      <c r="HQZ11" s="111"/>
      <c r="HRA11" s="111"/>
      <c r="HRB11" s="111"/>
      <c r="HRC11" s="111"/>
      <c r="HRD11" s="111"/>
      <c r="HRE11" s="111"/>
      <c r="HRF11" s="111"/>
      <c r="HRG11" s="111"/>
      <c r="HRH11" s="111"/>
      <c r="HRI11" s="111"/>
      <c r="HRJ11" s="111"/>
      <c r="HRK11" s="111"/>
      <c r="HRL11" s="111"/>
      <c r="HRM11" s="111"/>
      <c r="HRN11" s="111"/>
      <c r="HRO11" s="111"/>
      <c r="HRP11" s="111"/>
      <c r="HRQ11" s="111"/>
      <c r="HRR11" s="111"/>
      <c r="HRS11" s="111"/>
      <c r="HRT11" s="111"/>
      <c r="HRU11" s="111"/>
      <c r="HRV11" s="111"/>
      <c r="HRW11" s="111"/>
      <c r="HRX11" s="111"/>
      <c r="HRY11" s="111"/>
      <c r="HRZ11" s="111"/>
      <c r="HSA11" s="111"/>
      <c r="HSB11" s="111"/>
      <c r="HSC11" s="111"/>
      <c r="HSD11" s="111"/>
      <c r="HSE11" s="111"/>
      <c r="HSF11" s="111"/>
      <c r="HSG11" s="111"/>
      <c r="HSH11" s="111"/>
      <c r="HSI11" s="111"/>
      <c r="HSJ11" s="111"/>
      <c r="HSK11" s="111"/>
      <c r="HSL11" s="111"/>
      <c r="HSM11" s="111"/>
      <c r="HSN11" s="111"/>
      <c r="HSO11" s="111"/>
      <c r="HSP11" s="111"/>
      <c r="HSQ11" s="111"/>
      <c r="HSR11" s="111"/>
      <c r="HSS11" s="111"/>
      <c r="HST11" s="111"/>
      <c r="HSU11" s="111"/>
      <c r="HSV11" s="111"/>
      <c r="HSW11" s="111"/>
      <c r="HSX11" s="111"/>
      <c r="HSY11" s="111"/>
      <c r="HSZ11" s="111"/>
      <c r="HTA11" s="111"/>
      <c r="HTB11" s="111"/>
      <c r="HTC11" s="111"/>
      <c r="HTD11" s="111"/>
      <c r="HTE11" s="111"/>
      <c r="HTF11" s="111"/>
      <c r="HTG11" s="111"/>
      <c r="HTH11" s="111"/>
      <c r="HTI11" s="111"/>
      <c r="HTJ11" s="111"/>
      <c r="HTK11" s="111"/>
      <c r="HTL11" s="111"/>
      <c r="HTM11" s="111"/>
      <c r="HTN11" s="111"/>
      <c r="HTO11" s="111"/>
      <c r="HTP11" s="111"/>
      <c r="HTQ11" s="111"/>
      <c r="HTR11" s="111"/>
      <c r="HTS11" s="111"/>
      <c r="HTT11" s="111"/>
      <c r="HTU11" s="111"/>
      <c r="HTV11" s="111"/>
      <c r="HTW11" s="111"/>
      <c r="HTX11" s="111"/>
      <c r="HTY11" s="111"/>
      <c r="HTZ11" s="111"/>
      <c r="HUA11" s="111"/>
      <c r="HUB11" s="111"/>
      <c r="HUC11" s="111"/>
      <c r="HUD11" s="111"/>
      <c r="HUE11" s="111"/>
      <c r="HUF11" s="111"/>
      <c r="HUG11" s="111"/>
      <c r="HUH11" s="111"/>
      <c r="HUI11" s="111"/>
      <c r="HUJ11" s="111"/>
      <c r="HUK11" s="111"/>
      <c r="HUL11" s="111"/>
      <c r="HUM11" s="111"/>
      <c r="HUN11" s="111"/>
      <c r="HUO11" s="111"/>
      <c r="HUP11" s="111"/>
      <c r="HUQ11" s="111"/>
      <c r="HUR11" s="111"/>
      <c r="HUS11" s="111"/>
      <c r="HUT11" s="111"/>
      <c r="HUU11" s="111"/>
      <c r="HUV11" s="111"/>
      <c r="HUW11" s="111"/>
      <c r="HUX11" s="111"/>
      <c r="HUY11" s="111"/>
      <c r="HUZ11" s="111"/>
      <c r="HVA11" s="111"/>
      <c r="HVB11" s="111"/>
      <c r="HVC11" s="111"/>
      <c r="HVD11" s="111"/>
      <c r="HVE11" s="111"/>
      <c r="HVF11" s="111"/>
      <c r="HVG11" s="111"/>
      <c r="HVH11" s="111"/>
      <c r="HVI11" s="111"/>
      <c r="HVJ11" s="111"/>
      <c r="HVK11" s="111"/>
      <c r="HVL11" s="111"/>
      <c r="HVM11" s="111"/>
      <c r="HVN11" s="111"/>
      <c r="HVO11" s="111"/>
      <c r="HVP11" s="111"/>
      <c r="HVQ11" s="111"/>
      <c r="HVR11" s="111"/>
      <c r="HVS11" s="111"/>
      <c r="HVT11" s="111"/>
      <c r="HVU11" s="111"/>
      <c r="HVV11" s="111"/>
      <c r="HVW11" s="111"/>
      <c r="HVX11" s="111"/>
      <c r="HVY11" s="111"/>
      <c r="HVZ11" s="111"/>
      <c r="HWA11" s="111"/>
      <c r="HWB11" s="111"/>
      <c r="HWC11" s="111"/>
      <c r="HWD11" s="111"/>
      <c r="HWE11" s="111"/>
      <c r="HWF11" s="111"/>
      <c r="HWG11" s="111"/>
      <c r="HWH11" s="111"/>
      <c r="HWI11" s="111"/>
      <c r="HWJ11" s="111"/>
      <c r="HWK11" s="111"/>
      <c r="HWL11" s="111"/>
      <c r="HWM11" s="111"/>
      <c r="HWN11" s="111"/>
      <c r="HWO11" s="111"/>
      <c r="HWP11" s="111"/>
      <c r="HWQ11" s="111"/>
      <c r="HWR11" s="111"/>
      <c r="HWS11" s="111"/>
      <c r="HWT11" s="111"/>
      <c r="HWU11" s="111"/>
      <c r="HWV11" s="111"/>
      <c r="HWW11" s="111"/>
      <c r="HWX11" s="111"/>
      <c r="HWY11" s="111"/>
      <c r="HWZ11" s="111"/>
      <c r="HXA11" s="111"/>
      <c r="HXB11" s="111"/>
      <c r="HXC11" s="111"/>
      <c r="HXD11" s="111"/>
      <c r="HXE11" s="111"/>
      <c r="HXF11" s="111"/>
      <c r="HXG11" s="111"/>
      <c r="HXH11" s="111"/>
      <c r="HXI11" s="111"/>
      <c r="HXJ11" s="111"/>
      <c r="HXK11" s="111"/>
      <c r="HXL11" s="111"/>
      <c r="HXM11" s="111"/>
      <c r="HXN11" s="111"/>
      <c r="HXO11" s="111"/>
      <c r="HXP11" s="111"/>
      <c r="HXQ11" s="111"/>
      <c r="HXR11" s="111"/>
      <c r="HXS11" s="111"/>
      <c r="HXT11" s="111"/>
      <c r="HXU11" s="111"/>
      <c r="HXV11" s="111"/>
      <c r="HXW11" s="111"/>
      <c r="HXX11" s="111"/>
      <c r="HXY11" s="111"/>
      <c r="HXZ11" s="111"/>
      <c r="HYA11" s="111"/>
      <c r="HYB11" s="111"/>
      <c r="HYC11" s="111"/>
      <c r="HYD11" s="111"/>
      <c r="HYE11" s="111"/>
      <c r="HYF11" s="111"/>
      <c r="HYG11" s="111"/>
      <c r="HYH11" s="111"/>
      <c r="HYI11" s="111"/>
      <c r="HYJ11" s="111"/>
      <c r="HYK11" s="111"/>
      <c r="HYL11" s="111"/>
      <c r="HYM11" s="111"/>
      <c r="HYN11" s="111"/>
      <c r="HYO11" s="111"/>
      <c r="HYP11" s="111"/>
      <c r="HYQ11" s="111"/>
      <c r="HYR11" s="111"/>
      <c r="HYS11" s="111"/>
      <c r="HYT11" s="111"/>
      <c r="HYU11" s="111"/>
      <c r="HYV11" s="111"/>
      <c r="HYW11" s="111"/>
      <c r="HYX11" s="111"/>
      <c r="HYY11" s="111"/>
      <c r="HYZ11" s="111"/>
      <c r="HZA11" s="111"/>
      <c r="HZB11" s="111"/>
      <c r="HZC11" s="111"/>
      <c r="HZD11" s="111"/>
      <c r="HZE11" s="111"/>
      <c r="HZF11" s="111"/>
      <c r="HZG11" s="111"/>
      <c r="HZH11" s="111"/>
      <c r="HZI11" s="111"/>
      <c r="HZJ11" s="111"/>
      <c r="HZK11" s="111"/>
      <c r="HZL11" s="111"/>
      <c r="HZM11" s="111"/>
      <c r="HZN11" s="111"/>
      <c r="HZO11" s="111"/>
      <c r="HZP11" s="111"/>
      <c r="HZQ11" s="111"/>
      <c r="HZR11" s="111"/>
      <c r="HZS11" s="111"/>
      <c r="HZT11" s="111"/>
      <c r="HZU11" s="111"/>
      <c r="HZV11" s="111"/>
      <c r="HZW11" s="111"/>
      <c r="HZX11" s="111"/>
      <c r="HZY11" s="111"/>
      <c r="HZZ11" s="111"/>
      <c r="IAA11" s="111"/>
      <c r="IAB11" s="111"/>
      <c r="IAC11" s="111"/>
      <c r="IAD11" s="111"/>
      <c r="IAE11" s="111"/>
      <c r="IAF11" s="111"/>
      <c r="IAG11" s="111"/>
      <c r="IAH11" s="111"/>
      <c r="IAI11" s="111"/>
      <c r="IAJ11" s="111"/>
      <c r="IAK11" s="111"/>
      <c r="IAL11" s="111"/>
      <c r="IAM11" s="111"/>
      <c r="IAN11" s="111"/>
      <c r="IAO11" s="111"/>
      <c r="IAP11" s="111"/>
      <c r="IAQ11" s="111"/>
      <c r="IAR11" s="111"/>
      <c r="IAS11" s="111"/>
      <c r="IAT11" s="111"/>
      <c r="IAU11" s="111"/>
      <c r="IAV11" s="111"/>
      <c r="IAW11" s="111"/>
      <c r="IAX11" s="111"/>
      <c r="IAY11" s="111"/>
      <c r="IAZ11" s="111"/>
      <c r="IBA11" s="111"/>
      <c r="IBB11" s="111"/>
      <c r="IBC11" s="111"/>
      <c r="IBD11" s="111"/>
      <c r="IBE11" s="111"/>
      <c r="IBF11" s="111"/>
      <c r="IBG11" s="111"/>
      <c r="IBH11" s="111"/>
      <c r="IBI11" s="111"/>
      <c r="IBJ11" s="111"/>
      <c r="IBK11" s="111"/>
      <c r="IBL11" s="111"/>
      <c r="IBM11" s="111"/>
      <c r="IBN11" s="111"/>
      <c r="IBO11" s="111"/>
      <c r="IBP11" s="111"/>
      <c r="IBQ11" s="111"/>
      <c r="IBR11" s="111"/>
      <c r="IBS11" s="111"/>
      <c r="IBT11" s="111"/>
      <c r="IBU11" s="111"/>
      <c r="IBV11" s="111"/>
      <c r="IBW11" s="111"/>
      <c r="IBX11" s="111"/>
      <c r="IBY11" s="111"/>
      <c r="IBZ11" s="111"/>
      <c r="ICA11" s="111"/>
      <c r="ICB11" s="111"/>
      <c r="ICC11" s="111"/>
      <c r="ICD11" s="111"/>
      <c r="ICE11" s="111"/>
      <c r="ICF11" s="111"/>
      <c r="ICG11" s="111"/>
      <c r="ICH11" s="111"/>
      <c r="ICI11" s="111"/>
      <c r="ICJ11" s="111"/>
      <c r="ICK11" s="111"/>
      <c r="ICL11" s="111"/>
      <c r="ICM11" s="111"/>
      <c r="ICN11" s="111"/>
      <c r="ICO11" s="111"/>
      <c r="ICP11" s="111"/>
      <c r="ICQ11" s="111"/>
      <c r="ICR11" s="111"/>
      <c r="ICS11" s="111"/>
      <c r="ICT11" s="111"/>
      <c r="ICU11" s="111"/>
      <c r="ICV11" s="111"/>
      <c r="ICW11" s="111"/>
      <c r="ICX11" s="111"/>
      <c r="ICY11" s="111"/>
      <c r="ICZ11" s="111"/>
      <c r="IDA11" s="111"/>
      <c r="IDB11" s="111"/>
      <c r="IDC11" s="111"/>
      <c r="IDD11" s="111"/>
      <c r="IDE11" s="111"/>
      <c r="IDF11" s="111"/>
      <c r="IDG11" s="111"/>
      <c r="IDH11" s="111"/>
      <c r="IDI11" s="111"/>
      <c r="IDJ11" s="111"/>
      <c r="IDK11" s="111"/>
      <c r="IDL11" s="111"/>
      <c r="IDM11" s="111"/>
      <c r="IDN11" s="111"/>
      <c r="IDO11" s="111"/>
      <c r="IDP11" s="111"/>
      <c r="IDQ11" s="111"/>
      <c r="IDR11" s="111"/>
      <c r="IDS11" s="111"/>
      <c r="IDT11" s="111"/>
      <c r="IDU11" s="111"/>
      <c r="IDV11" s="111"/>
      <c r="IDW11" s="111"/>
      <c r="IDX11" s="111"/>
      <c r="IDY11" s="111"/>
      <c r="IDZ11" s="111"/>
      <c r="IEA11" s="111"/>
      <c r="IEB11" s="111"/>
      <c r="IEC11" s="111"/>
      <c r="IED11" s="111"/>
      <c r="IEE11" s="111"/>
      <c r="IEF11" s="111"/>
      <c r="IEG11" s="111"/>
      <c r="IEH11" s="111"/>
      <c r="IEI11" s="111"/>
      <c r="IEJ11" s="111"/>
      <c r="IEK11" s="111"/>
      <c r="IEL11" s="111"/>
      <c r="IEM11" s="111"/>
      <c r="IEN11" s="111"/>
      <c r="IEO11" s="111"/>
      <c r="IEP11" s="111"/>
      <c r="IEQ11" s="111"/>
      <c r="IER11" s="111"/>
      <c r="IES11" s="111"/>
      <c r="IET11" s="111"/>
      <c r="IEU11" s="111"/>
      <c r="IEV11" s="111"/>
      <c r="IEW11" s="111"/>
      <c r="IEX11" s="111"/>
      <c r="IEY11" s="111"/>
      <c r="IEZ11" s="111"/>
      <c r="IFA11" s="111"/>
      <c r="IFB11" s="111"/>
      <c r="IFC11" s="111"/>
      <c r="IFD11" s="111"/>
      <c r="IFE11" s="111"/>
      <c r="IFF11" s="111"/>
      <c r="IFG11" s="111"/>
      <c r="IFH11" s="111"/>
      <c r="IFI11" s="111"/>
      <c r="IFJ11" s="111"/>
      <c r="IFK11" s="111"/>
      <c r="IFL11" s="111"/>
      <c r="IFM11" s="111"/>
      <c r="IFN11" s="111"/>
      <c r="IFO11" s="111"/>
      <c r="IFP11" s="111"/>
      <c r="IFQ11" s="111"/>
      <c r="IFR11" s="111"/>
      <c r="IFS11" s="111"/>
      <c r="IFT11" s="111"/>
      <c r="IFU11" s="111"/>
      <c r="IFV11" s="111"/>
      <c r="IFW11" s="111"/>
      <c r="IFX11" s="111"/>
      <c r="IFY11" s="111"/>
      <c r="IFZ11" s="111"/>
      <c r="IGA11" s="111"/>
      <c r="IGB11" s="111"/>
      <c r="IGC11" s="111"/>
      <c r="IGD11" s="111"/>
      <c r="IGE11" s="111"/>
      <c r="IGF11" s="111"/>
      <c r="IGG11" s="111"/>
      <c r="IGH11" s="111"/>
      <c r="IGI11" s="111"/>
      <c r="IGJ11" s="111"/>
      <c r="IGK11" s="111"/>
      <c r="IGL11" s="111"/>
      <c r="IGM11" s="111"/>
      <c r="IGN11" s="111"/>
      <c r="IGO11" s="111"/>
      <c r="IGP11" s="111"/>
      <c r="IGQ11" s="111"/>
      <c r="IGR11" s="111"/>
      <c r="IGS11" s="111"/>
      <c r="IGT11" s="111"/>
      <c r="IGU11" s="111"/>
      <c r="IGV11" s="111"/>
      <c r="IGW11" s="111"/>
      <c r="IGX11" s="111"/>
      <c r="IGY11" s="111"/>
      <c r="IGZ11" s="111"/>
      <c r="IHA11" s="111"/>
      <c r="IHB11" s="111"/>
      <c r="IHC11" s="111"/>
      <c r="IHD11" s="111"/>
      <c r="IHE11" s="111"/>
      <c r="IHF11" s="111"/>
      <c r="IHG11" s="111"/>
      <c r="IHH11" s="111"/>
      <c r="IHI11" s="111"/>
      <c r="IHJ11" s="111"/>
      <c r="IHK11" s="111"/>
      <c r="IHL11" s="111"/>
      <c r="IHM11" s="111"/>
      <c r="IHN11" s="111"/>
      <c r="IHO11" s="111"/>
      <c r="IHP11" s="111"/>
      <c r="IHQ11" s="111"/>
      <c r="IHR11" s="111"/>
      <c r="IHS11" s="111"/>
      <c r="IHT11" s="111"/>
      <c r="IHU11" s="111"/>
      <c r="IHV11" s="111"/>
      <c r="IHW11" s="111"/>
      <c r="IHX11" s="111"/>
      <c r="IHY11" s="111"/>
      <c r="IHZ11" s="111"/>
      <c r="IIA11" s="111"/>
      <c r="IIB11" s="111"/>
      <c r="IIC11" s="111"/>
      <c r="IID11" s="111"/>
      <c r="IIE11" s="111"/>
      <c r="IIF11" s="111"/>
      <c r="IIG11" s="111"/>
      <c r="IIH11" s="111"/>
      <c r="III11" s="111"/>
      <c r="IIJ11" s="111"/>
      <c r="IIK11" s="111"/>
      <c r="IIL11" s="111"/>
      <c r="IIM11" s="111"/>
      <c r="IIN11" s="111"/>
      <c r="IIO11" s="111"/>
      <c r="IIP11" s="111"/>
      <c r="IIQ11" s="111"/>
      <c r="IIR11" s="111"/>
      <c r="IIS11" s="111"/>
      <c r="IIT11" s="111"/>
      <c r="IIU11" s="111"/>
      <c r="IIV11" s="111"/>
      <c r="IIW11" s="111"/>
      <c r="IIX11" s="111"/>
      <c r="IIY11" s="111"/>
      <c r="IIZ11" s="111"/>
      <c r="IJA11" s="111"/>
      <c r="IJB11" s="111"/>
      <c r="IJC11" s="111"/>
      <c r="IJD11" s="111"/>
      <c r="IJE11" s="111"/>
      <c r="IJF11" s="111"/>
      <c r="IJG11" s="111"/>
      <c r="IJH11" s="111"/>
      <c r="IJI11" s="111"/>
      <c r="IJJ11" s="111"/>
      <c r="IJK11" s="111"/>
      <c r="IJL11" s="111"/>
      <c r="IJM11" s="111"/>
      <c r="IJN11" s="111"/>
      <c r="IJO11" s="111"/>
      <c r="IJP11" s="111"/>
      <c r="IJQ11" s="111"/>
      <c r="IJR11" s="111"/>
      <c r="IJS11" s="111"/>
      <c r="IJT11" s="111"/>
      <c r="IJU11" s="111"/>
      <c r="IJV11" s="111"/>
      <c r="IJW11" s="111"/>
      <c r="IJX11" s="111"/>
      <c r="IJY11" s="111"/>
      <c r="IJZ11" s="111"/>
      <c r="IKA11" s="111"/>
      <c r="IKB11" s="111"/>
      <c r="IKC11" s="111"/>
      <c r="IKD11" s="111"/>
      <c r="IKE11" s="111"/>
      <c r="IKF11" s="111"/>
      <c r="IKG11" s="111"/>
      <c r="IKH11" s="111"/>
      <c r="IKI11" s="111"/>
      <c r="IKJ11" s="111"/>
      <c r="IKK11" s="111"/>
      <c r="IKL11" s="111"/>
      <c r="IKM11" s="111"/>
      <c r="IKN11" s="111"/>
      <c r="IKO11" s="111"/>
      <c r="IKP11" s="111"/>
      <c r="IKQ11" s="111"/>
      <c r="IKR11" s="111"/>
      <c r="IKS11" s="111"/>
      <c r="IKT11" s="111"/>
      <c r="IKU11" s="111"/>
      <c r="IKV11" s="111"/>
      <c r="IKW11" s="111"/>
      <c r="IKX11" s="111"/>
      <c r="IKY11" s="111"/>
      <c r="IKZ11" s="111"/>
      <c r="ILA11" s="111"/>
      <c r="ILB11" s="111"/>
      <c r="ILC11" s="111"/>
      <c r="ILD11" s="111"/>
      <c r="ILE11" s="111"/>
      <c r="ILF11" s="111"/>
      <c r="ILG11" s="111"/>
      <c r="ILH11" s="111"/>
      <c r="ILI11" s="111"/>
      <c r="ILJ11" s="111"/>
      <c r="ILK11" s="111"/>
      <c r="ILL11" s="111"/>
      <c r="ILM11" s="111"/>
      <c r="ILN11" s="111"/>
      <c r="ILO11" s="111"/>
      <c r="ILP11" s="111"/>
      <c r="ILQ11" s="111"/>
      <c r="ILR11" s="111"/>
      <c r="ILS11" s="111"/>
      <c r="ILT11" s="111"/>
      <c r="ILU11" s="111"/>
      <c r="ILV11" s="111"/>
      <c r="ILW11" s="111"/>
      <c r="ILX11" s="111"/>
      <c r="ILY11" s="111"/>
      <c r="ILZ11" s="111"/>
      <c r="IMA11" s="111"/>
      <c r="IMB11" s="111"/>
      <c r="IMC11" s="111"/>
      <c r="IMD11" s="111"/>
      <c r="IME11" s="111"/>
      <c r="IMF11" s="111"/>
      <c r="IMG11" s="111"/>
      <c r="IMH11" s="111"/>
      <c r="IMI11" s="111"/>
      <c r="IMJ11" s="111"/>
      <c r="IMK11" s="111"/>
      <c r="IML11" s="111"/>
      <c r="IMM11" s="111"/>
      <c r="IMN11" s="111"/>
      <c r="IMO11" s="111"/>
      <c r="IMP11" s="111"/>
      <c r="IMQ11" s="111"/>
      <c r="IMR11" s="111"/>
      <c r="IMS11" s="111"/>
      <c r="IMT11" s="111"/>
      <c r="IMU11" s="111"/>
      <c r="IMV11" s="111"/>
      <c r="IMW11" s="111"/>
      <c r="IMX11" s="111"/>
      <c r="IMY11" s="111"/>
      <c r="IMZ11" s="111"/>
      <c r="INA11" s="111"/>
      <c r="INB11" s="111"/>
      <c r="INC11" s="111"/>
      <c r="IND11" s="111"/>
      <c r="INE11" s="111"/>
      <c r="INF11" s="111"/>
      <c r="ING11" s="111"/>
      <c r="INH11" s="111"/>
      <c r="INI11" s="111"/>
      <c r="INJ11" s="111"/>
      <c r="INK11" s="111"/>
      <c r="INL11" s="111"/>
      <c r="INM11" s="111"/>
      <c r="INN11" s="111"/>
      <c r="INO11" s="111"/>
      <c r="INP11" s="111"/>
      <c r="INQ11" s="111"/>
      <c r="INR11" s="111"/>
      <c r="INS11" s="111"/>
      <c r="INT11" s="111"/>
      <c r="INU11" s="111"/>
      <c r="INV11" s="111"/>
      <c r="INW11" s="111"/>
      <c r="INX11" s="111"/>
      <c r="INY11" s="111"/>
      <c r="INZ11" s="111"/>
      <c r="IOA11" s="111"/>
      <c r="IOB11" s="111"/>
      <c r="IOC11" s="111"/>
      <c r="IOD11" s="111"/>
      <c r="IOE11" s="111"/>
      <c r="IOF11" s="111"/>
      <c r="IOG11" s="111"/>
      <c r="IOH11" s="111"/>
      <c r="IOI11" s="111"/>
      <c r="IOJ11" s="111"/>
      <c r="IOK11" s="111"/>
      <c r="IOL11" s="111"/>
      <c r="IOM11" s="111"/>
      <c r="ION11" s="111"/>
      <c r="IOO11" s="111"/>
      <c r="IOP11" s="111"/>
      <c r="IOQ11" s="111"/>
      <c r="IOR11" s="111"/>
      <c r="IOS11" s="111"/>
      <c r="IOT11" s="111"/>
      <c r="IOU11" s="111"/>
      <c r="IOV11" s="111"/>
      <c r="IOW11" s="111"/>
      <c r="IOX11" s="111"/>
      <c r="IOY11" s="111"/>
      <c r="IOZ11" s="111"/>
      <c r="IPA11" s="111"/>
      <c r="IPB11" s="111"/>
      <c r="IPC11" s="111"/>
      <c r="IPD11" s="111"/>
      <c r="IPE11" s="111"/>
      <c r="IPF11" s="111"/>
      <c r="IPG11" s="111"/>
      <c r="IPH11" s="111"/>
      <c r="IPI11" s="111"/>
      <c r="IPJ11" s="111"/>
      <c r="IPK11" s="111"/>
      <c r="IPL11" s="111"/>
      <c r="IPM11" s="111"/>
      <c r="IPN11" s="111"/>
      <c r="IPO11" s="111"/>
      <c r="IPP11" s="111"/>
      <c r="IPQ11" s="111"/>
      <c r="IPR11" s="111"/>
      <c r="IPS11" s="111"/>
      <c r="IPT11" s="111"/>
      <c r="IPU11" s="111"/>
      <c r="IPV11" s="111"/>
      <c r="IPW11" s="111"/>
      <c r="IPX11" s="111"/>
      <c r="IPY11" s="111"/>
      <c r="IPZ11" s="111"/>
      <c r="IQA11" s="111"/>
      <c r="IQB11" s="111"/>
      <c r="IQC11" s="111"/>
      <c r="IQD11" s="111"/>
      <c r="IQE11" s="111"/>
      <c r="IQF11" s="111"/>
      <c r="IQG11" s="111"/>
      <c r="IQH11" s="111"/>
      <c r="IQI11" s="111"/>
      <c r="IQJ11" s="111"/>
      <c r="IQK11" s="111"/>
      <c r="IQL11" s="111"/>
      <c r="IQM11" s="111"/>
      <c r="IQN11" s="111"/>
      <c r="IQO11" s="111"/>
      <c r="IQP11" s="111"/>
      <c r="IQQ11" s="111"/>
      <c r="IQR11" s="111"/>
      <c r="IQS11" s="111"/>
      <c r="IQT11" s="111"/>
      <c r="IQU11" s="111"/>
      <c r="IQV11" s="111"/>
      <c r="IQW11" s="111"/>
      <c r="IQX11" s="111"/>
      <c r="IQY11" s="111"/>
      <c r="IQZ11" s="111"/>
      <c r="IRA11" s="111"/>
      <c r="IRB11" s="111"/>
      <c r="IRC11" s="111"/>
      <c r="IRD11" s="111"/>
      <c r="IRE11" s="111"/>
      <c r="IRF11" s="111"/>
      <c r="IRG11" s="111"/>
      <c r="IRH11" s="111"/>
      <c r="IRI11" s="111"/>
      <c r="IRJ11" s="111"/>
      <c r="IRK11" s="111"/>
      <c r="IRL11" s="111"/>
      <c r="IRM11" s="111"/>
      <c r="IRN11" s="111"/>
      <c r="IRO11" s="111"/>
      <c r="IRP11" s="111"/>
      <c r="IRQ11" s="111"/>
      <c r="IRR11" s="111"/>
      <c r="IRS11" s="111"/>
      <c r="IRT11" s="111"/>
      <c r="IRU11" s="111"/>
      <c r="IRV11" s="111"/>
      <c r="IRW11" s="111"/>
      <c r="IRX11" s="111"/>
      <c r="IRY11" s="111"/>
      <c r="IRZ11" s="111"/>
      <c r="ISA11" s="111"/>
      <c r="ISB11" s="111"/>
      <c r="ISC11" s="111"/>
      <c r="ISD11" s="111"/>
      <c r="ISE11" s="111"/>
      <c r="ISF11" s="111"/>
      <c r="ISG11" s="111"/>
      <c r="ISH11" s="111"/>
      <c r="ISI11" s="111"/>
      <c r="ISJ11" s="111"/>
      <c r="ISK11" s="111"/>
      <c r="ISL11" s="111"/>
      <c r="ISM11" s="111"/>
      <c r="ISN11" s="111"/>
      <c r="ISO11" s="111"/>
      <c r="ISP11" s="111"/>
      <c r="ISQ11" s="111"/>
      <c r="ISR11" s="111"/>
      <c r="ISS11" s="111"/>
      <c r="IST11" s="111"/>
      <c r="ISU11" s="111"/>
      <c r="ISV11" s="111"/>
      <c r="ISW11" s="111"/>
      <c r="ISX11" s="111"/>
      <c r="ISY11" s="111"/>
      <c r="ISZ11" s="111"/>
      <c r="ITA11" s="111"/>
      <c r="ITB11" s="111"/>
      <c r="ITC11" s="111"/>
      <c r="ITD11" s="111"/>
      <c r="ITE11" s="111"/>
      <c r="ITF11" s="111"/>
      <c r="ITG11" s="111"/>
      <c r="ITH11" s="111"/>
      <c r="ITI11" s="111"/>
      <c r="ITJ11" s="111"/>
      <c r="ITK11" s="111"/>
      <c r="ITL11" s="111"/>
      <c r="ITM11" s="111"/>
      <c r="ITN11" s="111"/>
      <c r="ITO11" s="111"/>
      <c r="ITP11" s="111"/>
      <c r="ITQ11" s="111"/>
      <c r="ITR11" s="111"/>
      <c r="ITS11" s="111"/>
      <c r="ITT11" s="111"/>
      <c r="ITU11" s="111"/>
      <c r="ITV11" s="111"/>
      <c r="ITW11" s="111"/>
      <c r="ITX11" s="111"/>
      <c r="ITY11" s="111"/>
      <c r="ITZ11" s="111"/>
      <c r="IUA11" s="111"/>
      <c r="IUB11" s="111"/>
      <c r="IUC11" s="111"/>
      <c r="IUD11" s="111"/>
      <c r="IUE11" s="111"/>
      <c r="IUF11" s="111"/>
      <c r="IUG11" s="111"/>
      <c r="IUH11" s="111"/>
      <c r="IUI11" s="111"/>
      <c r="IUJ11" s="111"/>
      <c r="IUK11" s="111"/>
      <c r="IUL11" s="111"/>
      <c r="IUM11" s="111"/>
      <c r="IUN11" s="111"/>
      <c r="IUO11" s="111"/>
      <c r="IUP11" s="111"/>
      <c r="IUQ11" s="111"/>
      <c r="IUR11" s="111"/>
      <c r="IUS11" s="111"/>
      <c r="IUT11" s="111"/>
      <c r="IUU11" s="111"/>
      <c r="IUV11" s="111"/>
      <c r="IUW11" s="111"/>
      <c r="IUX11" s="111"/>
      <c r="IUY11" s="111"/>
      <c r="IUZ11" s="111"/>
      <c r="IVA11" s="111"/>
      <c r="IVB11" s="111"/>
      <c r="IVC11" s="111"/>
      <c r="IVD11" s="111"/>
      <c r="IVE11" s="111"/>
      <c r="IVF11" s="111"/>
      <c r="IVG11" s="111"/>
      <c r="IVH11" s="111"/>
      <c r="IVI11" s="111"/>
      <c r="IVJ11" s="111"/>
      <c r="IVK11" s="111"/>
      <c r="IVL11" s="111"/>
      <c r="IVM11" s="111"/>
      <c r="IVN11" s="111"/>
      <c r="IVO11" s="111"/>
      <c r="IVP11" s="111"/>
      <c r="IVQ11" s="111"/>
      <c r="IVR11" s="111"/>
      <c r="IVS11" s="111"/>
      <c r="IVT11" s="111"/>
      <c r="IVU11" s="111"/>
      <c r="IVV11" s="111"/>
      <c r="IVW11" s="111"/>
      <c r="IVX11" s="111"/>
      <c r="IVY11" s="111"/>
      <c r="IVZ11" s="111"/>
      <c r="IWA11" s="111"/>
      <c r="IWB11" s="111"/>
      <c r="IWC11" s="111"/>
      <c r="IWD11" s="111"/>
      <c r="IWE11" s="111"/>
      <c r="IWF11" s="111"/>
      <c r="IWG11" s="111"/>
      <c r="IWH11" s="111"/>
      <c r="IWI11" s="111"/>
      <c r="IWJ11" s="111"/>
      <c r="IWK11" s="111"/>
      <c r="IWL11" s="111"/>
      <c r="IWM11" s="111"/>
      <c r="IWN11" s="111"/>
      <c r="IWO11" s="111"/>
      <c r="IWP11" s="111"/>
      <c r="IWQ11" s="111"/>
      <c r="IWR11" s="111"/>
      <c r="IWS11" s="111"/>
      <c r="IWT11" s="111"/>
      <c r="IWU11" s="111"/>
      <c r="IWV11" s="111"/>
      <c r="IWW11" s="111"/>
      <c r="IWX11" s="111"/>
      <c r="IWY11" s="111"/>
      <c r="IWZ11" s="111"/>
      <c r="IXA11" s="111"/>
      <c r="IXB11" s="111"/>
      <c r="IXC11" s="111"/>
      <c r="IXD11" s="111"/>
      <c r="IXE11" s="111"/>
      <c r="IXF11" s="111"/>
      <c r="IXG11" s="111"/>
      <c r="IXH11" s="111"/>
      <c r="IXI11" s="111"/>
      <c r="IXJ11" s="111"/>
      <c r="IXK11" s="111"/>
      <c r="IXL11" s="111"/>
      <c r="IXM11" s="111"/>
      <c r="IXN11" s="111"/>
      <c r="IXO11" s="111"/>
      <c r="IXP11" s="111"/>
      <c r="IXQ11" s="111"/>
      <c r="IXR11" s="111"/>
      <c r="IXS11" s="111"/>
      <c r="IXT11" s="111"/>
      <c r="IXU11" s="111"/>
      <c r="IXV11" s="111"/>
      <c r="IXW11" s="111"/>
      <c r="IXX11" s="111"/>
      <c r="IXY11" s="111"/>
      <c r="IXZ11" s="111"/>
      <c r="IYA11" s="111"/>
      <c r="IYB11" s="111"/>
      <c r="IYC11" s="111"/>
      <c r="IYD11" s="111"/>
      <c r="IYE11" s="111"/>
      <c r="IYF11" s="111"/>
      <c r="IYG11" s="111"/>
      <c r="IYH11" s="111"/>
      <c r="IYI11" s="111"/>
      <c r="IYJ11" s="111"/>
      <c r="IYK11" s="111"/>
      <c r="IYL11" s="111"/>
      <c r="IYM11" s="111"/>
      <c r="IYN11" s="111"/>
      <c r="IYO11" s="111"/>
      <c r="IYP11" s="111"/>
      <c r="IYQ11" s="111"/>
      <c r="IYR11" s="111"/>
      <c r="IYS11" s="111"/>
      <c r="IYT11" s="111"/>
      <c r="IYU11" s="111"/>
      <c r="IYV11" s="111"/>
      <c r="IYW11" s="111"/>
      <c r="IYX11" s="111"/>
      <c r="IYY11" s="111"/>
      <c r="IYZ11" s="111"/>
      <c r="IZA11" s="111"/>
      <c r="IZB11" s="111"/>
      <c r="IZC11" s="111"/>
      <c r="IZD11" s="111"/>
      <c r="IZE11" s="111"/>
      <c r="IZF11" s="111"/>
      <c r="IZG11" s="111"/>
      <c r="IZH11" s="111"/>
      <c r="IZI11" s="111"/>
      <c r="IZJ11" s="111"/>
      <c r="IZK11" s="111"/>
      <c r="IZL11" s="111"/>
      <c r="IZM11" s="111"/>
      <c r="IZN11" s="111"/>
      <c r="IZO11" s="111"/>
      <c r="IZP11" s="111"/>
      <c r="IZQ11" s="111"/>
      <c r="IZR11" s="111"/>
      <c r="IZS11" s="111"/>
      <c r="IZT11" s="111"/>
      <c r="IZU11" s="111"/>
      <c r="IZV11" s="111"/>
      <c r="IZW11" s="111"/>
      <c r="IZX11" s="111"/>
      <c r="IZY11" s="111"/>
      <c r="IZZ11" s="111"/>
      <c r="JAA11" s="111"/>
      <c r="JAB11" s="111"/>
      <c r="JAC11" s="111"/>
      <c r="JAD11" s="111"/>
      <c r="JAE11" s="111"/>
      <c r="JAF11" s="111"/>
      <c r="JAG11" s="111"/>
      <c r="JAH11" s="111"/>
      <c r="JAI11" s="111"/>
      <c r="JAJ11" s="111"/>
      <c r="JAK11" s="111"/>
      <c r="JAL11" s="111"/>
      <c r="JAM11" s="111"/>
      <c r="JAN11" s="111"/>
      <c r="JAO11" s="111"/>
      <c r="JAP11" s="111"/>
      <c r="JAQ11" s="111"/>
      <c r="JAR11" s="111"/>
      <c r="JAS11" s="111"/>
      <c r="JAT11" s="111"/>
      <c r="JAU11" s="111"/>
      <c r="JAV11" s="111"/>
      <c r="JAW11" s="111"/>
      <c r="JAX11" s="111"/>
      <c r="JAY11" s="111"/>
      <c r="JAZ11" s="111"/>
      <c r="JBA11" s="111"/>
      <c r="JBB11" s="111"/>
      <c r="JBC11" s="111"/>
      <c r="JBD11" s="111"/>
      <c r="JBE11" s="111"/>
      <c r="JBF11" s="111"/>
      <c r="JBG11" s="111"/>
      <c r="JBH11" s="111"/>
      <c r="JBI11" s="111"/>
      <c r="JBJ11" s="111"/>
      <c r="JBK11" s="111"/>
      <c r="JBL11" s="111"/>
      <c r="JBM11" s="111"/>
      <c r="JBN11" s="111"/>
      <c r="JBO11" s="111"/>
      <c r="JBP11" s="111"/>
      <c r="JBQ11" s="111"/>
      <c r="JBR11" s="111"/>
      <c r="JBS11" s="111"/>
      <c r="JBT11" s="111"/>
      <c r="JBU11" s="111"/>
      <c r="JBV11" s="111"/>
      <c r="JBW11" s="111"/>
      <c r="JBX11" s="111"/>
      <c r="JBY11" s="111"/>
      <c r="JBZ11" s="111"/>
      <c r="JCA11" s="111"/>
      <c r="JCB11" s="111"/>
      <c r="JCC11" s="111"/>
      <c r="JCD11" s="111"/>
      <c r="JCE11" s="111"/>
      <c r="JCF11" s="111"/>
      <c r="JCG11" s="111"/>
      <c r="JCH11" s="111"/>
      <c r="JCI11" s="111"/>
      <c r="JCJ11" s="111"/>
      <c r="JCK11" s="111"/>
      <c r="JCL11" s="111"/>
      <c r="JCM11" s="111"/>
      <c r="JCN11" s="111"/>
      <c r="JCO11" s="111"/>
      <c r="JCP11" s="111"/>
      <c r="JCQ11" s="111"/>
      <c r="JCR11" s="111"/>
      <c r="JCS11" s="111"/>
      <c r="JCT11" s="111"/>
      <c r="JCU11" s="111"/>
      <c r="JCV11" s="111"/>
      <c r="JCW11" s="111"/>
      <c r="JCX11" s="111"/>
      <c r="JCY11" s="111"/>
      <c r="JCZ11" s="111"/>
      <c r="JDA11" s="111"/>
      <c r="JDB11" s="111"/>
      <c r="JDC11" s="111"/>
      <c r="JDD11" s="111"/>
      <c r="JDE11" s="111"/>
      <c r="JDF11" s="111"/>
      <c r="JDG11" s="111"/>
      <c r="JDH11" s="111"/>
      <c r="JDI11" s="111"/>
      <c r="JDJ11" s="111"/>
      <c r="JDK11" s="111"/>
      <c r="JDL11" s="111"/>
      <c r="JDM11" s="111"/>
      <c r="JDN11" s="111"/>
      <c r="JDO11" s="111"/>
      <c r="JDP11" s="111"/>
      <c r="JDQ11" s="111"/>
      <c r="JDR11" s="111"/>
      <c r="JDS11" s="111"/>
      <c r="JDT11" s="111"/>
      <c r="JDU11" s="111"/>
      <c r="JDV11" s="111"/>
      <c r="JDW11" s="111"/>
      <c r="JDX11" s="111"/>
      <c r="JDY11" s="111"/>
      <c r="JDZ11" s="111"/>
      <c r="JEA11" s="111"/>
      <c r="JEB11" s="111"/>
      <c r="JEC11" s="111"/>
      <c r="JED11" s="111"/>
      <c r="JEE11" s="111"/>
      <c r="JEF11" s="111"/>
      <c r="JEG11" s="111"/>
      <c r="JEH11" s="111"/>
      <c r="JEI11" s="111"/>
      <c r="JEJ11" s="111"/>
      <c r="JEK11" s="111"/>
      <c r="JEL11" s="111"/>
      <c r="JEM11" s="111"/>
      <c r="JEN11" s="111"/>
      <c r="JEO11" s="111"/>
      <c r="JEP11" s="111"/>
      <c r="JEQ11" s="111"/>
      <c r="JER11" s="111"/>
      <c r="JES11" s="111"/>
      <c r="JET11" s="111"/>
      <c r="JEU11" s="111"/>
      <c r="JEV11" s="111"/>
      <c r="JEW11" s="111"/>
      <c r="JEX11" s="111"/>
      <c r="JEY11" s="111"/>
      <c r="JEZ11" s="111"/>
      <c r="JFA11" s="111"/>
      <c r="JFB11" s="111"/>
      <c r="JFC11" s="111"/>
      <c r="JFD11" s="111"/>
      <c r="JFE11" s="111"/>
      <c r="JFF11" s="111"/>
      <c r="JFG11" s="111"/>
      <c r="JFH11" s="111"/>
      <c r="JFI11" s="111"/>
      <c r="JFJ11" s="111"/>
      <c r="JFK11" s="111"/>
      <c r="JFL11" s="111"/>
      <c r="JFM11" s="111"/>
      <c r="JFN11" s="111"/>
      <c r="JFO11" s="111"/>
      <c r="JFP11" s="111"/>
      <c r="JFQ11" s="111"/>
      <c r="JFR11" s="111"/>
      <c r="JFS11" s="111"/>
      <c r="JFT11" s="111"/>
      <c r="JFU11" s="111"/>
      <c r="JFV11" s="111"/>
      <c r="JFW11" s="111"/>
      <c r="JFX11" s="111"/>
      <c r="JFY11" s="111"/>
      <c r="JFZ11" s="111"/>
      <c r="JGA11" s="111"/>
      <c r="JGB11" s="111"/>
      <c r="JGC11" s="111"/>
      <c r="JGD11" s="111"/>
      <c r="JGE11" s="111"/>
      <c r="JGF11" s="111"/>
      <c r="JGG11" s="111"/>
      <c r="JGH11" s="111"/>
      <c r="JGI11" s="111"/>
      <c r="JGJ11" s="111"/>
      <c r="JGK11" s="111"/>
      <c r="JGL11" s="111"/>
      <c r="JGM11" s="111"/>
      <c r="JGN11" s="111"/>
      <c r="JGO11" s="111"/>
      <c r="JGP11" s="111"/>
      <c r="JGQ11" s="111"/>
      <c r="JGR11" s="111"/>
      <c r="JGS11" s="111"/>
      <c r="JGT11" s="111"/>
      <c r="JGU11" s="111"/>
      <c r="JGV11" s="111"/>
      <c r="JGW11" s="111"/>
      <c r="JGX11" s="111"/>
      <c r="JGY11" s="111"/>
      <c r="JGZ11" s="111"/>
      <c r="JHA11" s="111"/>
      <c r="JHB11" s="111"/>
      <c r="JHC11" s="111"/>
      <c r="JHD11" s="111"/>
      <c r="JHE11" s="111"/>
      <c r="JHF11" s="111"/>
      <c r="JHG11" s="111"/>
      <c r="JHH11" s="111"/>
      <c r="JHI11" s="111"/>
      <c r="JHJ11" s="111"/>
      <c r="JHK11" s="111"/>
      <c r="JHL11" s="111"/>
      <c r="JHM11" s="111"/>
      <c r="JHN11" s="111"/>
      <c r="JHO11" s="111"/>
      <c r="JHP11" s="111"/>
      <c r="JHQ11" s="111"/>
      <c r="JHR11" s="111"/>
      <c r="JHS11" s="111"/>
      <c r="JHT11" s="111"/>
      <c r="JHU11" s="111"/>
      <c r="JHV11" s="111"/>
      <c r="JHW11" s="111"/>
      <c r="JHX11" s="111"/>
      <c r="JHY11" s="111"/>
      <c r="JHZ11" s="111"/>
      <c r="JIA11" s="111"/>
      <c r="JIB11" s="111"/>
      <c r="JIC11" s="111"/>
      <c r="JID11" s="111"/>
      <c r="JIE11" s="111"/>
      <c r="JIF11" s="111"/>
      <c r="JIG11" s="111"/>
      <c r="JIH11" s="111"/>
      <c r="JII11" s="111"/>
      <c r="JIJ11" s="111"/>
      <c r="JIK11" s="111"/>
      <c r="JIL11" s="111"/>
      <c r="JIM11" s="111"/>
      <c r="JIN11" s="111"/>
      <c r="JIO11" s="111"/>
      <c r="JIP11" s="111"/>
      <c r="JIQ11" s="111"/>
      <c r="JIR11" s="111"/>
      <c r="JIS11" s="111"/>
      <c r="JIT11" s="111"/>
      <c r="JIU11" s="111"/>
      <c r="JIV11" s="111"/>
      <c r="JIW11" s="111"/>
      <c r="JIX11" s="111"/>
      <c r="JIY11" s="111"/>
      <c r="JIZ11" s="111"/>
      <c r="JJA11" s="111"/>
      <c r="JJB11" s="111"/>
      <c r="JJC11" s="111"/>
      <c r="JJD11" s="111"/>
      <c r="JJE11" s="111"/>
      <c r="JJF11" s="111"/>
      <c r="JJG11" s="111"/>
      <c r="JJH11" s="111"/>
      <c r="JJI11" s="111"/>
      <c r="JJJ11" s="111"/>
      <c r="JJK11" s="111"/>
      <c r="JJL11" s="111"/>
      <c r="JJM11" s="111"/>
      <c r="JJN11" s="111"/>
      <c r="JJO11" s="111"/>
      <c r="JJP11" s="111"/>
      <c r="JJQ11" s="111"/>
      <c r="JJR11" s="111"/>
      <c r="JJS11" s="111"/>
      <c r="JJT11" s="111"/>
      <c r="JJU11" s="111"/>
      <c r="JJV11" s="111"/>
      <c r="JJW11" s="111"/>
      <c r="JJX11" s="111"/>
      <c r="JJY11" s="111"/>
      <c r="JJZ11" s="111"/>
      <c r="JKA11" s="111"/>
      <c r="JKB11" s="111"/>
      <c r="JKC11" s="111"/>
      <c r="JKD11" s="111"/>
      <c r="JKE11" s="111"/>
      <c r="JKF11" s="111"/>
      <c r="JKG11" s="111"/>
      <c r="JKH11" s="111"/>
      <c r="JKI11" s="111"/>
      <c r="JKJ11" s="111"/>
      <c r="JKK11" s="111"/>
      <c r="JKL11" s="111"/>
      <c r="JKM11" s="111"/>
      <c r="JKN11" s="111"/>
      <c r="JKO11" s="111"/>
      <c r="JKP11" s="111"/>
      <c r="JKQ11" s="111"/>
      <c r="JKR11" s="111"/>
      <c r="JKS11" s="111"/>
      <c r="JKT11" s="111"/>
      <c r="JKU11" s="111"/>
      <c r="JKV11" s="111"/>
      <c r="JKW11" s="111"/>
      <c r="JKX11" s="111"/>
      <c r="JKY11" s="111"/>
      <c r="JKZ11" s="111"/>
      <c r="JLA11" s="111"/>
      <c r="JLB11" s="111"/>
      <c r="JLC11" s="111"/>
      <c r="JLD11" s="111"/>
      <c r="JLE11" s="111"/>
      <c r="JLF11" s="111"/>
      <c r="JLG11" s="111"/>
      <c r="JLH11" s="111"/>
      <c r="JLI11" s="111"/>
      <c r="JLJ11" s="111"/>
      <c r="JLK11" s="111"/>
      <c r="JLL11" s="111"/>
      <c r="JLM11" s="111"/>
      <c r="JLN11" s="111"/>
      <c r="JLO11" s="111"/>
      <c r="JLP11" s="111"/>
      <c r="JLQ11" s="111"/>
      <c r="JLR11" s="111"/>
      <c r="JLS11" s="111"/>
      <c r="JLT11" s="111"/>
      <c r="JLU11" s="111"/>
      <c r="JLV11" s="111"/>
      <c r="JLW11" s="111"/>
      <c r="JLX11" s="111"/>
      <c r="JLY11" s="111"/>
      <c r="JLZ11" s="111"/>
      <c r="JMA11" s="111"/>
      <c r="JMB11" s="111"/>
      <c r="JMC11" s="111"/>
      <c r="JMD11" s="111"/>
      <c r="JME11" s="111"/>
      <c r="JMF11" s="111"/>
      <c r="JMG11" s="111"/>
      <c r="JMH11" s="111"/>
      <c r="JMI11" s="111"/>
      <c r="JMJ11" s="111"/>
      <c r="JMK11" s="111"/>
      <c r="JML11" s="111"/>
      <c r="JMM11" s="111"/>
      <c r="JMN11" s="111"/>
      <c r="JMO11" s="111"/>
      <c r="JMP11" s="111"/>
      <c r="JMQ11" s="111"/>
      <c r="JMR11" s="111"/>
      <c r="JMS11" s="111"/>
      <c r="JMT11" s="111"/>
      <c r="JMU11" s="111"/>
      <c r="JMV11" s="111"/>
      <c r="JMW11" s="111"/>
      <c r="JMX11" s="111"/>
      <c r="JMY11" s="111"/>
      <c r="JMZ11" s="111"/>
      <c r="JNA11" s="111"/>
      <c r="JNB11" s="111"/>
      <c r="JNC11" s="111"/>
      <c r="JND11" s="111"/>
      <c r="JNE11" s="111"/>
      <c r="JNF11" s="111"/>
      <c r="JNG11" s="111"/>
      <c r="JNH11" s="111"/>
      <c r="JNI11" s="111"/>
      <c r="JNJ11" s="111"/>
      <c r="JNK11" s="111"/>
      <c r="JNL11" s="111"/>
      <c r="JNM11" s="111"/>
      <c r="JNN11" s="111"/>
      <c r="JNO11" s="111"/>
      <c r="JNP11" s="111"/>
      <c r="JNQ11" s="111"/>
      <c r="JNR11" s="111"/>
      <c r="JNS11" s="111"/>
      <c r="JNT11" s="111"/>
      <c r="JNU11" s="111"/>
      <c r="JNV11" s="111"/>
      <c r="JNW11" s="111"/>
      <c r="JNX11" s="111"/>
      <c r="JNY11" s="111"/>
      <c r="JNZ11" s="111"/>
      <c r="JOA11" s="111"/>
      <c r="JOB11" s="111"/>
      <c r="JOC11" s="111"/>
      <c r="JOD11" s="111"/>
      <c r="JOE11" s="111"/>
      <c r="JOF11" s="111"/>
      <c r="JOG11" s="111"/>
      <c r="JOH11" s="111"/>
      <c r="JOI11" s="111"/>
      <c r="JOJ11" s="111"/>
      <c r="JOK11" s="111"/>
      <c r="JOL11" s="111"/>
      <c r="JOM11" s="111"/>
      <c r="JON11" s="111"/>
      <c r="JOO11" s="111"/>
      <c r="JOP11" s="111"/>
      <c r="JOQ11" s="111"/>
      <c r="JOR11" s="111"/>
      <c r="JOS11" s="111"/>
      <c r="JOT11" s="111"/>
      <c r="JOU11" s="111"/>
      <c r="JOV11" s="111"/>
      <c r="JOW11" s="111"/>
      <c r="JOX11" s="111"/>
      <c r="JOY11" s="111"/>
      <c r="JOZ11" s="111"/>
      <c r="JPA11" s="111"/>
      <c r="JPB11" s="111"/>
      <c r="JPC11" s="111"/>
      <c r="JPD11" s="111"/>
      <c r="JPE11" s="111"/>
      <c r="JPF11" s="111"/>
      <c r="JPG11" s="111"/>
      <c r="JPH11" s="111"/>
      <c r="JPI11" s="111"/>
      <c r="JPJ11" s="111"/>
      <c r="JPK11" s="111"/>
      <c r="JPL11" s="111"/>
      <c r="JPM11" s="111"/>
      <c r="JPN11" s="111"/>
      <c r="JPO11" s="111"/>
      <c r="JPP11" s="111"/>
      <c r="JPQ11" s="111"/>
      <c r="JPR11" s="111"/>
      <c r="JPS11" s="111"/>
      <c r="JPT11" s="111"/>
      <c r="JPU11" s="111"/>
      <c r="JPV11" s="111"/>
      <c r="JPW11" s="111"/>
      <c r="JPX11" s="111"/>
      <c r="JPY11" s="111"/>
      <c r="JPZ11" s="111"/>
      <c r="JQA11" s="111"/>
      <c r="JQB11" s="111"/>
      <c r="JQC11" s="111"/>
      <c r="JQD11" s="111"/>
      <c r="JQE11" s="111"/>
      <c r="JQF11" s="111"/>
      <c r="JQG11" s="111"/>
      <c r="JQH11" s="111"/>
      <c r="JQI11" s="111"/>
      <c r="JQJ11" s="111"/>
      <c r="JQK11" s="111"/>
      <c r="JQL11" s="111"/>
      <c r="JQM11" s="111"/>
      <c r="JQN11" s="111"/>
      <c r="JQO11" s="111"/>
      <c r="JQP11" s="111"/>
      <c r="JQQ11" s="111"/>
      <c r="JQR11" s="111"/>
      <c r="JQS11" s="111"/>
      <c r="JQT11" s="111"/>
      <c r="JQU11" s="111"/>
      <c r="JQV11" s="111"/>
      <c r="JQW11" s="111"/>
      <c r="JQX11" s="111"/>
      <c r="JQY11" s="111"/>
      <c r="JQZ11" s="111"/>
      <c r="JRA11" s="111"/>
      <c r="JRB11" s="111"/>
      <c r="JRC11" s="111"/>
      <c r="JRD11" s="111"/>
      <c r="JRE11" s="111"/>
      <c r="JRF11" s="111"/>
      <c r="JRG11" s="111"/>
      <c r="JRH11" s="111"/>
      <c r="JRI11" s="111"/>
      <c r="JRJ11" s="111"/>
      <c r="JRK11" s="111"/>
      <c r="JRL11" s="111"/>
      <c r="JRM11" s="111"/>
      <c r="JRN11" s="111"/>
      <c r="JRO11" s="111"/>
      <c r="JRP11" s="111"/>
      <c r="JRQ11" s="111"/>
      <c r="JRR11" s="111"/>
      <c r="JRS11" s="111"/>
      <c r="JRT11" s="111"/>
      <c r="JRU11" s="111"/>
      <c r="JRV11" s="111"/>
      <c r="JRW11" s="111"/>
      <c r="JRX11" s="111"/>
      <c r="JRY11" s="111"/>
      <c r="JRZ11" s="111"/>
      <c r="JSA11" s="111"/>
      <c r="JSB11" s="111"/>
      <c r="JSC11" s="111"/>
      <c r="JSD11" s="111"/>
      <c r="JSE11" s="111"/>
      <c r="JSF11" s="111"/>
      <c r="JSG11" s="111"/>
      <c r="JSH11" s="111"/>
      <c r="JSI11" s="111"/>
      <c r="JSJ11" s="111"/>
      <c r="JSK11" s="111"/>
      <c r="JSL11" s="111"/>
      <c r="JSM11" s="111"/>
      <c r="JSN11" s="111"/>
      <c r="JSO11" s="111"/>
      <c r="JSP11" s="111"/>
      <c r="JSQ11" s="111"/>
      <c r="JSR11" s="111"/>
      <c r="JSS11" s="111"/>
      <c r="JST11" s="111"/>
      <c r="JSU11" s="111"/>
      <c r="JSV11" s="111"/>
      <c r="JSW11" s="111"/>
      <c r="JSX11" s="111"/>
      <c r="JSY11" s="111"/>
      <c r="JSZ11" s="111"/>
      <c r="JTA11" s="111"/>
      <c r="JTB11" s="111"/>
      <c r="JTC11" s="111"/>
      <c r="JTD11" s="111"/>
      <c r="JTE11" s="111"/>
      <c r="JTF11" s="111"/>
      <c r="JTG11" s="111"/>
      <c r="JTH11" s="111"/>
      <c r="JTI11" s="111"/>
      <c r="JTJ11" s="111"/>
      <c r="JTK11" s="111"/>
      <c r="JTL11" s="111"/>
      <c r="JTM11" s="111"/>
      <c r="JTN11" s="111"/>
      <c r="JTO11" s="111"/>
      <c r="JTP11" s="111"/>
      <c r="JTQ11" s="111"/>
      <c r="JTR11" s="111"/>
      <c r="JTS11" s="111"/>
      <c r="JTT11" s="111"/>
      <c r="JTU11" s="111"/>
      <c r="JTV11" s="111"/>
      <c r="JTW11" s="111"/>
      <c r="JTX11" s="111"/>
      <c r="JTY11" s="111"/>
      <c r="JTZ11" s="111"/>
      <c r="JUA11" s="111"/>
      <c r="JUB11" s="111"/>
      <c r="JUC11" s="111"/>
      <c r="JUD11" s="111"/>
      <c r="JUE11" s="111"/>
      <c r="JUF11" s="111"/>
      <c r="JUG11" s="111"/>
      <c r="JUH11" s="111"/>
      <c r="JUI11" s="111"/>
      <c r="JUJ11" s="111"/>
      <c r="JUK11" s="111"/>
      <c r="JUL11" s="111"/>
      <c r="JUM11" s="111"/>
      <c r="JUN11" s="111"/>
      <c r="JUO11" s="111"/>
      <c r="JUP11" s="111"/>
      <c r="JUQ11" s="111"/>
      <c r="JUR11" s="111"/>
      <c r="JUS11" s="111"/>
      <c r="JUT11" s="111"/>
      <c r="JUU11" s="111"/>
      <c r="JUV11" s="111"/>
      <c r="JUW11" s="111"/>
      <c r="JUX11" s="111"/>
      <c r="JUY11" s="111"/>
      <c r="JUZ11" s="111"/>
      <c r="JVA11" s="111"/>
      <c r="JVB11" s="111"/>
      <c r="JVC11" s="111"/>
      <c r="JVD11" s="111"/>
      <c r="JVE11" s="111"/>
      <c r="JVF11" s="111"/>
      <c r="JVG11" s="111"/>
      <c r="JVH11" s="111"/>
      <c r="JVI11" s="111"/>
      <c r="JVJ11" s="111"/>
      <c r="JVK11" s="111"/>
      <c r="JVL11" s="111"/>
      <c r="JVM11" s="111"/>
      <c r="JVN11" s="111"/>
      <c r="JVO11" s="111"/>
      <c r="JVP11" s="111"/>
      <c r="JVQ11" s="111"/>
      <c r="JVR11" s="111"/>
      <c r="JVS11" s="111"/>
      <c r="JVT11" s="111"/>
      <c r="JVU11" s="111"/>
      <c r="JVV11" s="111"/>
      <c r="JVW11" s="111"/>
      <c r="JVX11" s="111"/>
      <c r="JVY11" s="111"/>
      <c r="JVZ11" s="111"/>
      <c r="JWA11" s="111"/>
      <c r="JWB11" s="111"/>
      <c r="JWC11" s="111"/>
      <c r="JWD11" s="111"/>
      <c r="JWE11" s="111"/>
      <c r="JWF11" s="111"/>
      <c r="JWG11" s="111"/>
      <c r="JWH11" s="111"/>
      <c r="JWI11" s="111"/>
      <c r="JWJ11" s="111"/>
      <c r="JWK11" s="111"/>
      <c r="JWL11" s="111"/>
      <c r="JWM11" s="111"/>
      <c r="JWN11" s="111"/>
      <c r="JWO11" s="111"/>
      <c r="JWP11" s="111"/>
      <c r="JWQ11" s="111"/>
      <c r="JWR11" s="111"/>
      <c r="JWS11" s="111"/>
      <c r="JWT11" s="111"/>
      <c r="JWU11" s="111"/>
      <c r="JWV11" s="111"/>
      <c r="JWW11" s="111"/>
      <c r="JWX11" s="111"/>
      <c r="JWY11" s="111"/>
      <c r="JWZ11" s="111"/>
      <c r="JXA11" s="111"/>
      <c r="JXB11" s="111"/>
      <c r="JXC11" s="111"/>
      <c r="JXD11" s="111"/>
      <c r="JXE11" s="111"/>
      <c r="JXF11" s="111"/>
      <c r="JXG11" s="111"/>
      <c r="JXH11" s="111"/>
      <c r="JXI11" s="111"/>
      <c r="JXJ11" s="111"/>
      <c r="JXK11" s="111"/>
      <c r="JXL11" s="111"/>
      <c r="JXM11" s="111"/>
      <c r="JXN11" s="111"/>
      <c r="JXO11" s="111"/>
      <c r="JXP11" s="111"/>
      <c r="JXQ11" s="111"/>
      <c r="JXR11" s="111"/>
      <c r="JXS11" s="111"/>
      <c r="JXT11" s="111"/>
      <c r="JXU11" s="111"/>
      <c r="JXV11" s="111"/>
      <c r="JXW11" s="111"/>
      <c r="JXX11" s="111"/>
      <c r="JXY11" s="111"/>
      <c r="JXZ11" s="111"/>
      <c r="JYA11" s="111"/>
      <c r="JYB11" s="111"/>
      <c r="JYC11" s="111"/>
      <c r="JYD11" s="111"/>
      <c r="JYE11" s="111"/>
      <c r="JYF11" s="111"/>
      <c r="JYG11" s="111"/>
      <c r="JYH11" s="111"/>
      <c r="JYI11" s="111"/>
      <c r="JYJ11" s="111"/>
      <c r="JYK11" s="111"/>
      <c r="JYL11" s="111"/>
      <c r="JYM11" s="111"/>
      <c r="JYN11" s="111"/>
      <c r="JYO11" s="111"/>
      <c r="JYP11" s="111"/>
      <c r="JYQ11" s="111"/>
      <c r="JYR11" s="111"/>
      <c r="JYS11" s="111"/>
      <c r="JYT11" s="111"/>
      <c r="JYU11" s="111"/>
      <c r="JYV11" s="111"/>
      <c r="JYW11" s="111"/>
      <c r="JYX11" s="111"/>
      <c r="JYY11" s="111"/>
      <c r="JYZ11" s="111"/>
      <c r="JZA11" s="111"/>
      <c r="JZB11" s="111"/>
      <c r="JZC11" s="111"/>
      <c r="JZD11" s="111"/>
      <c r="JZE11" s="111"/>
      <c r="JZF11" s="111"/>
      <c r="JZG11" s="111"/>
      <c r="JZH11" s="111"/>
      <c r="JZI11" s="111"/>
      <c r="JZJ11" s="111"/>
      <c r="JZK11" s="111"/>
      <c r="JZL11" s="111"/>
      <c r="JZM11" s="111"/>
      <c r="JZN11" s="111"/>
      <c r="JZO11" s="111"/>
      <c r="JZP11" s="111"/>
      <c r="JZQ11" s="111"/>
      <c r="JZR11" s="111"/>
      <c r="JZS11" s="111"/>
      <c r="JZT11" s="111"/>
      <c r="JZU11" s="111"/>
      <c r="JZV11" s="111"/>
      <c r="JZW11" s="111"/>
      <c r="JZX11" s="111"/>
      <c r="JZY11" s="111"/>
      <c r="JZZ11" s="111"/>
      <c r="KAA11" s="111"/>
      <c r="KAB11" s="111"/>
      <c r="KAC11" s="111"/>
      <c r="KAD11" s="111"/>
      <c r="KAE11" s="111"/>
      <c r="KAF11" s="111"/>
      <c r="KAG11" s="111"/>
      <c r="KAH11" s="111"/>
      <c r="KAI11" s="111"/>
      <c r="KAJ11" s="111"/>
      <c r="KAK11" s="111"/>
      <c r="KAL11" s="111"/>
      <c r="KAM11" s="111"/>
      <c r="KAN11" s="111"/>
      <c r="KAO11" s="111"/>
      <c r="KAP11" s="111"/>
      <c r="KAQ11" s="111"/>
      <c r="KAR11" s="111"/>
      <c r="KAS11" s="111"/>
      <c r="KAT11" s="111"/>
      <c r="KAU11" s="111"/>
      <c r="KAV11" s="111"/>
      <c r="KAW11" s="111"/>
      <c r="KAX11" s="111"/>
      <c r="KAY11" s="111"/>
      <c r="KAZ11" s="111"/>
      <c r="KBA11" s="111"/>
      <c r="KBB11" s="111"/>
      <c r="KBC11" s="111"/>
      <c r="KBD11" s="111"/>
      <c r="KBE11" s="111"/>
      <c r="KBF11" s="111"/>
      <c r="KBG11" s="111"/>
      <c r="KBH11" s="111"/>
      <c r="KBI11" s="111"/>
      <c r="KBJ11" s="111"/>
      <c r="KBK11" s="111"/>
      <c r="KBL11" s="111"/>
      <c r="KBM11" s="111"/>
      <c r="KBN11" s="111"/>
      <c r="KBO11" s="111"/>
      <c r="KBP11" s="111"/>
      <c r="KBQ11" s="111"/>
      <c r="KBR11" s="111"/>
      <c r="KBS11" s="111"/>
      <c r="KBT11" s="111"/>
      <c r="KBU11" s="111"/>
      <c r="KBV11" s="111"/>
      <c r="KBW11" s="111"/>
      <c r="KBX11" s="111"/>
      <c r="KBY11" s="111"/>
      <c r="KBZ11" s="111"/>
      <c r="KCA11" s="111"/>
      <c r="KCB11" s="111"/>
      <c r="KCC11" s="111"/>
      <c r="KCD11" s="111"/>
      <c r="KCE11" s="111"/>
      <c r="KCF11" s="111"/>
      <c r="KCG11" s="111"/>
      <c r="KCH11" s="111"/>
      <c r="KCI11" s="111"/>
      <c r="KCJ11" s="111"/>
      <c r="KCK11" s="111"/>
      <c r="KCL11" s="111"/>
      <c r="KCM11" s="111"/>
      <c r="KCN11" s="111"/>
      <c r="KCO11" s="111"/>
      <c r="KCP11" s="111"/>
      <c r="KCQ11" s="111"/>
      <c r="KCR11" s="111"/>
      <c r="KCS11" s="111"/>
      <c r="KCT11" s="111"/>
      <c r="KCU11" s="111"/>
      <c r="KCV11" s="111"/>
      <c r="KCW11" s="111"/>
      <c r="KCX11" s="111"/>
      <c r="KCY11" s="111"/>
      <c r="KCZ11" s="111"/>
      <c r="KDA11" s="111"/>
      <c r="KDB11" s="111"/>
      <c r="KDC11" s="111"/>
      <c r="KDD11" s="111"/>
      <c r="KDE11" s="111"/>
      <c r="KDF11" s="111"/>
      <c r="KDG11" s="111"/>
      <c r="KDH11" s="111"/>
      <c r="KDI11" s="111"/>
      <c r="KDJ11" s="111"/>
      <c r="KDK11" s="111"/>
      <c r="KDL11" s="111"/>
      <c r="KDM11" s="111"/>
      <c r="KDN11" s="111"/>
      <c r="KDO11" s="111"/>
      <c r="KDP11" s="111"/>
      <c r="KDQ11" s="111"/>
      <c r="KDR11" s="111"/>
      <c r="KDS11" s="111"/>
      <c r="KDT11" s="111"/>
      <c r="KDU11" s="111"/>
      <c r="KDV11" s="111"/>
      <c r="KDW11" s="111"/>
      <c r="KDX11" s="111"/>
      <c r="KDY11" s="111"/>
      <c r="KDZ11" s="111"/>
      <c r="KEA11" s="111"/>
      <c r="KEB11" s="111"/>
      <c r="KEC11" s="111"/>
      <c r="KED11" s="111"/>
      <c r="KEE11" s="111"/>
      <c r="KEF11" s="111"/>
      <c r="KEG11" s="111"/>
      <c r="KEH11" s="111"/>
      <c r="KEI11" s="111"/>
      <c r="KEJ11" s="111"/>
      <c r="KEK11" s="111"/>
      <c r="KEL11" s="111"/>
      <c r="KEM11" s="111"/>
      <c r="KEN11" s="111"/>
      <c r="KEO11" s="111"/>
      <c r="KEP11" s="111"/>
      <c r="KEQ11" s="111"/>
      <c r="KER11" s="111"/>
      <c r="KES11" s="111"/>
      <c r="KET11" s="111"/>
      <c r="KEU11" s="111"/>
      <c r="KEV11" s="111"/>
      <c r="KEW11" s="111"/>
      <c r="KEX11" s="111"/>
      <c r="KEY11" s="111"/>
      <c r="KEZ11" s="111"/>
      <c r="KFA11" s="111"/>
      <c r="KFB11" s="111"/>
      <c r="KFC11" s="111"/>
      <c r="KFD11" s="111"/>
      <c r="KFE11" s="111"/>
      <c r="KFF11" s="111"/>
      <c r="KFG11" s="111"/>
      <c r="KFH11" s="111"/>
      <c r="KFI11" s="111"/>
      <c r="KFJ11" s="111"/>
      <c r="KFK11" s="111"/>
      <c r="KFL11" s="111"/>
      <c r="KFM11" s="111"/>
      <c r="KFN11" s="111"/>
      <c r="KFO11" s="111"/>
      <c r="KFP11" s="111"/>
      <c r="KFQ11" s="111"/>
      <c r="KFR11" s="111"/>
      <c r="KFS11" s="111"/>
      <c r="KFT11" s="111"/>
      <c r="KFU11" s="111"/>
      <c r="KFV11" s="111"/>
      <c r="KFW11" s="111"/>
      <c r="KFX11" s="111"/>
      <c r="KFY11" s="111"/>
      <c r="KFZ11" s="111"/>
      <c r="KGA11" s="111"/>
      <c r="KGB11" s="111"/>
      <c r="KGC11" s="111"/>
      <c r="KGD11" s="111"/>
      <c r="KGE11" s="111"/>
      <c r="KGF11" s="111"/>
      <c r="KGG11" s="111"/>
      <c r="KGH11" s="111"/>
      <c r="KGI11" s="111"/>
      <c r="KGJ11" s="111"/>
      <c r="KGK11" s="111"/>
      <c r="KGL11" s="111"/>
      <c r="KGM11" s="111"/>
      <c r="KGN11" s="111"/>
      <c r="KGO11" s="111"/>
      <c r="KGP11" s="111"/>
      <c r="KGQ11" s="111"/>
      <c r="KGR11" s="111"/>
      <c r="KGS11" s="111"/>
      <c r="KGT11" s="111"/>
      <c r="KGU11" s="111"/>
      <c r="KGV11" s="111"/>
      <c r="KGW11" s="111"/>
      <c r="KGX11" s="111"/>
      <c r="KGY11" s="111"/>
      <c r="KGZ11" s="111"/>
      <c r="KHA11" s="111"/>
      <c r="KHB11" s="111"/>
      <c r="KHC11" s="111"/>
      <c r="KHD11" s="111"/>
      <c r="KHE11" s="111"/>
      <c r="KHF11" s="111"/>
      <c r="KHG11" s="111"/>
      <c r="KHH11" s="111"/>
      <c r="KHI11" s="111"/>
      <c r="KHJ11" s="111"/>
      <c r="KHK11" s="111"/>
      <c r="KHL11" s="111"/>
      <c r="KHM11" s="111"/>
      <c r="KHN11" s="111"/>
      <c r="KHO11" s="111"/>
      <c r="KHP11" s="111"/>
      <c r="KHQ11" s="111"/>
      <c r="KHR11" s="111"/>
      <c r="KHS11" s="111"/>
      <c r="KHT11" s="111"/>
      <c r="KHU11" s="111"/>
      <c r="KHV11" s="111"/>
      <c r="KHW11" s="111"/>
      <c r="KHX11" s="111"/>
      <c r="KHY11" s="111"/>
      <c r="KHZ11" s="111"/>
      <c r="KIA11" s="111"/>
      <c r="KIB11" s="111"/>
      <c r="KIC11" s="111"/>
      <c r="KID11" s="111"/>
      <c r="KIE11" s="111"/>
      <c r="KIF11" s="111"/>
      <c r="KIG11" s="111"/>
      <c r="KIH11" s="111"/>
      <c r="KII11" s="111"/>
      <c r="KIJ11" s="111"/>
      <c r="KIK11" s="111"/>
      <c r="KIL11" s="111"/>
      <c r="KIM11" s="111"/>
      <c r="KIN11" s="111"/>
      <c r="KIO11" s="111"/>
      <c r="KIP11" s="111"/>
      <c r="KIQ11" s="111"/>
      <c r="KIR11" s="111"/>
      <c r="KIS11" s="111"/>
      <c r="KIT11" s="111"/>
      <c r="KIU11" s="111"/>
      <c r="KIV11" s="111"/>
      <c r="KIW11" s="111"/>
      <c r="KIX11" s="111"/>
      <c r="KIY11" s="111"/>
      <c r="KIZ11" s="111"/>
      <c r="KJA11" s="111"/>
      <c r="KJB11" s="111"/>
      <c r="KJC11" s="111"/>
      <c r="KJD11" s="111"/>
      <c r="KJE11" s="111"/>
      <c r="KJF11" s="111"/>
      <c r="KJG11" s="111"/>
      <c r="KJH11" s="111"/>
      <c r="KJI11" s="111"/>
      <c r="KJJ11" s="111"/>
      <c r="KJK11" s="111"/>
      <c r="KJL11" s="111"/>
      <c r="KJM11" s="111"/>
      <c r="KJN11" s="111"/>
      <c r="KJO11" s="111"/>
      <c r="KJP11" s="111"/>
      <c r="KJQ11" s="111"/>
      <c r="KJR11" s="111"/>
      <c r="KJS11" s="111"/>
      <c r="KJT11" s="111"/>
      <c r="KJU11" s="111"/>
      <c r="KJV11" s="111"/>
      <c r="KJW11" s="111"/>
      <c r="KJX11" s="111"/>
      <c r="KJY11" s="111"/>
      <c r="KJZ11" s="111"/>
      <c r="KKA11" s="111"/>
      <c r="KKB11" s="111"/>
      <c r="KKC11" s="111"/>
      <c r="KKD11" s="111"/>
      <c r="KKE11" s="111"/>
      <c r="KKF11" s="111"/>
      <c r="KKG11" s="111"/>
      <c r="KKH11" s="111"/>
      <c r="KKI11" s="111"/>
      <c r="KKJ11" s="111"/>
      <c r="KKK11" s="111"/>
      <c r="KKL11" s="111"/>
      <c r="KKM11" s="111"/>
      <c r="KKN11" s="111"/>
      <c r="KKO11" s="111"/>
      <c r="KKP11" s="111"/>
      <c r="KKQ11" s="111"/>
      <c r="KKR11" s="111"/>
      <c r="KKS11" s="111"/>
      <c r="KKT11" s="111"/>
      <c r="KKU11" s="111"/>
      <c r="KKV11" s="111"/>
      <c r="KKW11" s="111"/>
      <c r="KKX11" s="111"/>
      <c r="KKY11" s="111"/>
      <c r="KKZ11" s="111"/>
      <c r="KLA11" s="111"/>
      <c r="KLB11" s="111"/>
      <c r="KLC11" s="111"/>
      <c r="KLD11" s="111"/>
      <c r="KLE11" s="111"/>
      <c r="KLF11" s="111"/>
      <c r="KLG11" s="111"/>
      <c r="KLH11" s="111"/>
      <c r="KLI11" s="111"/>
      <c r="KLJ11" s="111"/>
      <c r="KLK11" s="111"/>
      <c r="KLL11" s="111"/>
      <c r="KLM11" s="111"/>
      <c r="KLN11" s="111"/>
      <c r="KLO11" s="111"/>
      <c r="KLP11" s="111"/>
      <c r="KLQ11" s="111"/>
      <c r="KLR11" s="111"/>
      <c r="KLS11" s="111"/>
      <c r="KLT11" s="111"/>
      <c r="KLU11" s="111"/>
      <c r="KLV11" s="111"/>
      <c r="KLW11" s="111"/>
      <c r="KLX11" s="111"/>
      <c r="KLY11" s="111"/>
      <c r="KLZ11" s="111"/>
      <c r="KMA11" s="111"/>
      <c r="KMB11" s="111"/>
      <c r="KMC11" s="111"/>
      <c r="KMD11" s="111"/>
      <c r="KME11" s="111"/>
      <c r="KMF11" s="111"/>
      <c r="KMG11" s="111"/>
      <c r="KMH11" s="111"/>
      <c r="KMI11" s="111"/>
      <c r="KMJ11" s="111"/>
      <c r="KMK11" s="111"/>
      <c r="KML11" s="111"/>
      <c r="KMM11" s="111"/>
      <c r="KMN11" s="111"/>
      <c r="KMO11" s="111"/>
      <c r="KMP11" s="111"/>
      <c r="KMQ11" s="111"/>
      <c r="KMR11" s="111"/>
      <c r="KMS11" s="111"/>
      <c r="KMT11" s="111"/>
      <c r="KMU11" s="111"/>
      <c r="KMV11" s="111"/>
      <c r="KMW11" s="111"/>
      <c r="KMX11" s="111"/>
      <c r="KMY11" s="111"/>
      <c r="KMZ11" s="111"/>
      <c r="KNA11" s="111"/>
      <c r="KNB11" s="111"/>
      <c r="KNC11" s="111"/>
      <c r="KND11" s="111"/>
      <c r="KNE11" s="111"/>
      <c r="KNF11" s="111"/>
      <c r="KNG11" s="111"/>
      <c r="KNH11" s="111"/>
      <c r="KNI11" s="111"/>
      <c r="KNJ11" s="111"/>
      <c r="KNK11" s="111"/>
      <c r="KNL11" s="111"/>
      <c r="KNM11" s="111"/>
      <c r="KNN11" s="111"/>
      <c r="KNO11" s="111"/>
      <c r="KNP11" s="111"/>
      <c r="KNQ11" s="111"/>
      <c r="KNR11" s="111"/>
      <c r="KNS11" s="111"/>
      <c r="KNT11" s="111"/>
      <c r="KNU11" s="111"/>
      <c r="KNV11" s="111"/>
      <c r="KNW11" s="111"/>
      <c r="KNX11" s="111"/>
      <c r="KNY11" s="111"/>
      <c r="KNZ11" s="111"/>
      <c r="KOA11" s="111"/>
      <c r="KOB11" s="111"/>
      <c r="KOC11" s="111"/>
      <c r="KOD11" s="111"/>
      <c r="KOE11" s="111"/>
      <c r="KOF11" s="111"/>
      <c r="KOG11" s="111"/>
      <c r="KOH11" s="111"/>
      <c r="KOI11" s="111"/>
      <c r="KOJ11" s="111"/>
      <c r="KOK11" s="111"/>
      <c r="KOL11" s="111"/>
      <c r="KOM11" s="111"/>
      <c r="KON11" s="111"/>
      <c r="KOO11" s="111"/>
      <c r="KOP11" s="111"/>
      <c r="KOQ11" s="111"/>
      <c r="KOR11" s="111"/>
      <c r="KOS11" s="111"/>
      <c r="KOT11" s="111"/>
      <c r="KOU11" s="111"/>
      <c r="KOV11" s="111"/>
      <c r="KOW11" s="111"/>
      <c r="KOX11" s="111"/>
      <c r="KOY11" s="111"/>
      <c r="KOZ11" s="111"/>
      <c r="KPA11" s="111"/>
      <c r="KPB11" s="111"/>
      <c r="KPC11" s="111"/>
      <c r="KPD11" s="111"/>
      <c r="KPE11" s="111"/>
      <c r="KPF11" s="111"/>
      <c r="KPG11" s="111"/>
      <c r="KPH11" s="111"/>
      <c r="KPI11" s="111"/>
      <c r="KPJ11" s="111"/>
      <c r="KPK11" s="111"/>
      <c r="KPL11" s="111"/>
      <c r="KPM11" s="111"/>
      <c r="KPN11" s="111"/>
      <c r="KPO11" s="111"/>
      <c r="KPP11" s="111"/>
      <c r="KPQ11" s="111"/>
      <c r="KPR11" s="111"/>
      <c r="KPS11" s="111"/>
      <c r="KPT11" s="111"/>
      <c r="KPU11" s="111"/>
      <c r="KPV11" s="111"/>
      <c r="KPW11" s="111"/>
      <c r="KPX11" s="111"/>
      <c r="KPY11" s="111"/>
      <c r="KPZ11" s="111"/>
      <c r="KQA11" s="111"/>
      <c r="KQB11" s="111"/>
      <c r="KQC11" s="111"/>
      <c r="KQD11" s="111"/>
      <c r="KQE11" s="111"/>
      <c r="KQF11" s="111"/>
      <c r="KQG11" s="111"/>
      <c r="KQH11" s="111"/>
      <c r="KQI11" s="111"/>
      <c r="KQJ11" s="111"/>
      <c r="KQK11" s="111"/>
      <c r="KQL11" s="111"/>
      <c r="KQM11" s="111"/>
      <c r="KQN11" s="111"/>
      <c r="KQO11" s="111"/>
      <c r="KQP11" s="111"/>
      <c r="KQQ11" s="111"/>
      <c r="KQR11" s="111"/>
      <c r="KQS11" s="111"/>
      <c r="KQT11" s="111"/>
      <c r="KQU11" s="111"/>
      <c r="KQV11" s="111"/>
      <c r="KQW11" s="111"/>
      <c r="KQX11" s="111"/>
      <c r="KQY11" s="111"/>
      <c r="KQZ11" s="111"/>
      <c r="KRA11" s="111"/>
      <c r="KRB11" s="111"/>
      <c r="KRC11" s="111"/>
      <c r="KRD11" s="111"/>
      <c r="KRE11" s="111"/>
      <c r="KRF11" s="111"/>
      <c r="KRG11" s="111"/>
      <c r="KRH11" s="111"/>
      <c r="KRI11" s="111"/>
      <c r="KRJ11" s="111"/>
      <c r="KRK11" s="111"/>
      <c r="KRL11" s="111"/>
      <c r="KRM11" s="111"/>
      <c r="KRN11" s="111"/>
      <c r="KRO11" s="111"/>
      <c r="KRP11" s="111"/>
      <c r="KRQ11" s="111"/>
      <c r="KRR11" s="111"/>
      <c r="KRS11" s="111"/>
      <c r="KRT11" s="111"/>
      <c r="KRU11" s="111"/>
      <c r="KRV11" s="111"/>
      <c r="KRW11" s="111"/>
      <c r="KRX11" s="111"/>
      <c r="KRY11" s="111"/>
      <c r="KRZ11" s="111"/>
      <c r="KSA11" s="111"/>
      <c r="KSB11" s="111"/>
      <c r="KSC11" s="111"/>
      <c r="KSD11" s="111"/>
      <c r="KSE11" s="111"/>
      <c r="KSF11" s="111"/>
      <c r="KSG11" s="111"/>
      <c r="KSH11" s="111"/>
      <c r="KSI11" s="111"/>
      <c r="KSJ11" s="111"/>
      <c r="KSK11" s="111"/>
      <c r="KSL11" s="111"/>
      <c r="KSM11" s="111"/>
      <c r="KSN11" s="111"/>
      <c r="KSO11" s="111"/>
      <c r="KSP11" s="111"/>
      <c r="KSQ11" s="111"/>
      <c r="KSR11" s="111"/>
      <c r="KSS11" s="111"/>
      <c r="KST11" s="111"/>
      <c r="KSU11" s="111"/>
      <c r="KSV11" s="111"/>
      <c r="KSW11" s="111"/>
      <c r="KSX11" s="111"/>
      <c r="KSY11" s="111"/>
      <c r="KSZ11" s="111"/>
      <c r="KTA11" s="111"/>
      <c r="KTB11" s="111"/>
      <c r="KTC11" s="111"/>
      <c r="KTD11" s="111"/>
      <c r="KTE11" s="111"/>
      <c r="KTF11" s="111"/>
      <c r="KTG11" s="111"/>
      <c r="KTH11" s="111"/>
      <c r="KTI11" s="111"/>
      <c r="KTJ11" s="111"/>
      <c r="KTK11" s="111"/>
      <c r="KTL11" s="111"/>
      <c r="KTM11" s="111"/>
      <c r="KTN11" s="111"/>
      <c r="KTO11" s="111"/>
      <c r="KTP11" s="111"/>
      <c r="KTQ11" s="111"/>
      <c r="KTR11" s="111"/>
      <c r="KTS11" s="111"/>
      <c r="KTT11" s="111"/>
      <c r="KTU11" s="111"/>
      <c r="KTV11" s="111"/>
      <c r="KTW11" s="111"/>
      <c r="KTX11" s="111"/>
      <c r="KTY11" s="111"/>
      <c r="KTZ11" s="111"/>
      <c r="KUA11" s="111"/>
      <c r="KUB11" s="111"/>
      <c r="KUC11" s="111"/>
      <c r="KUD11" s="111"/>
      <c r="KUE11" s="111"/>
      <c r="KUF11" s="111"/>
      <c r="KUG11" s="111"/>
      <c r="KUH11" s="111"/>
      <c r="KUI11" s="111"/>
      <c r="KUJ11" s="111"/>
      <c r="KUK11" s="111"/>
      <c r="KUL11" s="111"/>
      <c r="KUM11" s="111"/>
      <c r="KUN11" s="111"/>
      <c r="KUO11" s="111"/>
      <c r="KUP11" s="111"/>
      <c r="KUQ11" s="111"/>
      <c r="KUR11" s="111"/>
      <c r="KUS11" s="111"/>
      <c r="KUT11" s="111"/>
      <c r="KUU11" s="111"/>
      <c r="KUV11" s="111"/>
      <c r="KUW11" s="111"/>
      <c r="KUX11" s="111"/>
      <c r="KUY11" s="111"/>
      <c r="KUZ11" s="111"/>
      <c r="KVA11" s="111"/>
      <c r="KVB11" s="111"/>
      <c r="KVC11" s="111"/>
      <c r="KVD11" s="111"/>
      <c r="KVE11" s="111"/>
      <c r="KVF11" s="111"/>
      <c r="KVG11" s="111"/>
      <c r="KVH11" s="111"/>
      <c r="KVI11" s="111"/>
      <c r="KVJ11" s="111"/>
      <c r="KVK11" s="111"/>
      <c r="KVL11" s="111"/>
      <c r="KVM11" s="111"/>
      <c r="KVN11" s="111"/>
      <c r="KVO11" s="111"/>
      <c r="KVP11" s="111"/>
      <c r="KVQ11" s="111"/>
      <c r="KVR11" s="111"/>
      <c r="KVS11" s="111"/>
      <c r="KVT11" s="111"/>
      <c r="KVU11" s="111"/>
      <c r="KVV11" s="111"/>
      <c r="KVW11" s="111"/>
      <c r="KVX11" s="111"/>
      <c r="KVY11" s="111"/>
      <c r="KVZ11" s="111"/>
      <c r="KWA11" s="111"/>
      <c r="KWB11" s="111"/>
      <c r="KWC11" s="111"/>
      <c r="KWD11" s="111"/>
      <c r="KWE11" s="111"/>
      <c r="KWF11" s="111"/>
      <c r="KWG11" s="111"/>
      <c r="KWH11" s="111"/>
      <c r="KWI11" s="111"/>
      <c r="KWJ11" s="111"/>
      <c r="KWK11" s="111"/>
      <c r="KWL11" s="111"/>
      <c r="KWM11" s="111"/>
      <c r="KWN11" s="111"/>
      <c r="KWO11" s="111"/>
      <c r="KWP11" s="111"/>
      <c r="KWQ11" s="111"/>
      <c r="KWR11" s="111"/>
      <c r="KWS11" s="111"/>
      <c r="KWT11" s="111"/>
      <c r="KWU11" s="111"/>
      <c r="KWV11" s="111"/>
      <c r="KWW11" s="111"/>
      <c r="KWX11" s="111"/>
      <c r="KWY11" s="111"/>
      <c r="KWZ11" s="111"/>
      <c r="KXA11" s="111"/>
      <c r="KXB11" s="111"/>
      <c r="KXC11" s="111"/>
      <c r="KXD11" s="111"/>
      <c r="KXE11" s="111"/>
      <c r="KXF11" s="111"/>
      <c r="KXG11" s="111"/>
      <c r="KXH11" s="111"/>
      <c r="KXI11" s="111"/>
      <c r="KXJ11" s="111"/>
      <c r="KXK11" s="111"/>
      <c r="KXL11" s="111"/>
      <c r="KXM11" s="111"/>
      <c r="KXN11" s="111"/>
      <c r="KXO11" s="111"/>
      <c r="KXP11" s="111"/>
      <c r="KXQ11" s="111"/>
      <c r="KXR11" s="111"/>
      <c r="KXS11" s="111"/>
      <c r="KXT11" s="111"/>
      <c r="KXU11" s="111"/>
      <c r="KXV11" s="111"/>
      <c r="KXW11" s="111"/>
      <c r="KXX11" s="111"/>
      <c r="KXY11" s="111"/>
      <c r="KXZ11" s="111"/>
      <c r="KYA11" s="111"/>
      <c r="KYB11" s="111"/>
      <c r="KYC11" s="111"/>
      <c r="KYD11" s="111"/>
      <c r="KYE11" s="111"/>
      <c r="KYF11" s="111"/>
      <c r="KYG11" s="111"/>
      <c r="KYH11" s="111"/>
      <c r="KYI11" s="111"/>
      <c r="KYJ11" s="111"/>
      <c r="KYK11" s="111"/>
      <c r="KYL11" s="111"/>
      <c r="KYM11" s="111"/>
      <c r="KYN11" s="111"/>
      <c r="KYO11" s="111"/>
      <c r="KYP11" s="111"/>
      <c r="KYQ11" s="111"/>
      <c r="KYR11" s="111"/>
      <c r="KYS11" s="111"/>
      <c r="KYT11" s="111"/>
      <c r="KYU11" s="111"/>
      <c r="KYV11" s="111"/>
      <c r="KYW11" s="111"/>
      <c r="KYX11" s="111"/>
      <c r="KYY11" s="111"/>
      <c r="KYZ11" s="111"/>
      <c r="KZA11" s="111"/>
      <c r="KZB11" s="111"/>
      <c r="KZC11" s="111"/>
      <c r="KZD11" s="111"/>
      <c r="KZE11" s="111"/>
      <c r="KZF11" s="111"/>
      <c r="KZG11" s="111"/>
      <c r="KZH11" s="111"/>
      <c r="KZI11" s="111"/>
      <c r="KZJ11" s="111"/>
      <c r="KZK11" s="111"/>
      <c r="KZL11" s="111"/>
      <c r="KZM11" s="111"/>
      <c r="KZN11" s="111"/>
      <c r="KZO11" s="111"/>
      <c r="KZP11" s="111"/>
      <c r="KZQ11" s="111"/>
      <c r="KZR11" s="111"/>
      <c r="KZS11" s="111"/>
      <c r="KZT11" s="111"/>
      <c r="KZU11" s="111"/>
      <c r="KZV11" s="111"/>
      <c r="KZW11" s="111"/>
      <c r="KZX11" s="111"/>
      <c r="KZY11" s="111"/>
      <c r="KZZ11" s="111"/>
      <c r="LAA11" s="111"/>
      <c r="LAB11" s="111"/>
      <c r="LAC11" s="111"/>
      <c r="LAD11" s="111"/>
      <c r="LAE11" s="111"/>
      <c r="LAF11" s="111"/>
      <c r="LAG11" s="111"/>
      <c r="LAH11" s="111"/>
      <c r="LAI11" s="111"/>
      <c r="LAJ11" s="111"/>
      <c r="LAK11" s="111"/>
      <c r="LAL11" s="111"/>
      <c r="LAM11" s="111"/>
      <c r="LAN11" s="111"/>
      <c r="LAO11" s="111"/>
      <c r="LAP11" s="111"/>
      <c r="LAQ11" s="111"/>
      <c r="LAR11" s="111"/>
      <c r="LAS11" s="111"/>
      <c r="LAT11" s="111"/>
      <c r="LAU11" s="111"/>
      <c r="LAV11" s="111"/>
      <c r="LAW11" s="111"/>
      <c r="LAX11" s="111"/>
      <c r="LAY11" s="111"/>
      <c r="LAZ11" s="111"/>
      <c r="LBA11" s="111"/>
      <c r="LBB11" s="111"/>
      <c r="LBC11" s="111"/>
      <c r="LBD11" s="111"/>
      <c r="LBE11" s="111"/>
      <c r="LBF11" s="111"/>
      <c r="LBG11" s="111"/>
      <c r="LBH11" s="111"/>
      <c r="LBI11" s="111"/>
      <c r="LBJ11" s="111"/>
      <c r="LBK11" s="111"/>
      <c r="LBL11" s="111"/>
      <c r="LBM11" s="111"/>
      <c r="LBN11" s="111"/>
      <c r="LBO11" s="111"/>
      <c r="LBP11" s="111"/>
      <c r="LBQ11" s="111"/>
      <c r="LBR11" s="111"/>
      <c r="LBS11" s="111"/>
      <c r="LBT11" s="111"/>
      <c r="LBU11" s="111"/>
      <c r="LBV11" s="111"/>
      <c r="LBW11" s="111"/>
      <c r="LBX11" s="111"/>
      <c r="LBY11" s="111"/>
      <c r="LBZ11" s="111"/>
      <c r="LCA11" s="111"/>
      <c r="LCB11" s="111"/>
      <c r="LCC11" s="111"/>
      <c r="LCD11" s="111"/>
      <c r="LCE11" s="111"/>
      <c r="LCF11" s="111"/>
      <c r="LCG11" s="111"/>
      <c r="LCH11" s="111"/>
      <c r="LCI11" s="111"/>
      <c r="LCJ11" s="111"/>
      <c r="LCK11" s="111"/>
      <c r="LCL11" s="111"/>
      <c r="LCM11" s="111"/>
      <c r="LCN11" s="111"/>
      <c r="LCO11" s="111"/>
      <c r="LCP11" s="111"/>
      <c r="LCQ11" s="111"/>
      <c r="LCR11" s="111"/>
      <c r="LCS11" s="111"/>
      <c r="LCT11" s="111"/>
      <c r="LCU11" s="111"/>
      <c r="LCV11" s="111"/>
      <c r="LCW11" s="111"/>
      <c r="LCX11" s="111"/>
      <c r="LCY11" s="111"/>
      <c r="LCZ11" s="111"/>
      <c r="LDA11" s="111"/>
      <c r="LDB11" s="111"/>
      <c r="LDC11" s="111"/>
      <c r="LDD11" s="111"/>
      <c r="LDE11" s="111"/>
      <c r="LDF11" s="111"/>
      <c r="LDG11" s="111"/>
      <c r="LDH11" s="111"/>
      <c r="LDI11" s="111"/>
      <c r="LDJ11" s="111"/>
      <c r="LDK11" s="111"/>
      <c r="LDL11" s="111"/>
      <c r="LDM11" s="111"/>
      <c r="LDN11" s="111"/>
      <c r="LDO11" s="111"/>
      <c r="LDP11" s="111"/>
      <c r="LDQ11" s="111"/>
      <c r="LDR11" s="111"/>
      <c r="LDS11" s="111"/>
      <c r="LDT11" s="111"/>
      <c r="LDU11" s="111"/>
      <c r="LDV11" s="111"/>
      <c r="LDW11" s="111"/>
      <c r="LDX11" s="111"/>
      <c r="LDY11" s="111"/>
      <c r="LDZ11" s="111"/>
      <c r="LEA11" s="111"/>
      <c r="LEB11" s="111"/>
      <c r="LEC11" s="111"/>
      <c r="LED11" s="111"/>
      <c r="LEE11" s="111"/>
      <c r="LEF11" s="111"/>
      <c r="LEG11" s="111"/>
      <c r="LEH11" s="111"/>
      <c r="LEI11" s="111"/>
      <c r="LEJ11" s="111"/>
      <c r="LEK11" s="111"/>
      <c r="LEL11" s="111"/>
      <c r="LEM11" s="111"/>
      <c r="LEN11" s="111"/>
      <c r="LEO11" s="111"/>
      <c r="LEP11" s="111"/>
      <c r="LEQ11" s="111"/>
      <c r="LER11" s="111"/>
      <c r="LES11" s="111"/>
      <c r="LET11" s="111"/>
      <c r="LEU11" s="111"/>
      <c r="LEV11" s="111"/>
      <c r="LEW11" s="111"/>
      <c r="LEX11" s="111"/>
      <c r="LEY11" s="111"/>
      <c r="LEZ11" s="111"/>
      <c r="LFA11" s="111"/>
      <c r="LFB11" s="111"/>
      <c r="LFC11" s="111"/>
      <c r="LFD11" s="111"/>
      <c r="LFE11" s="111"/>
      <c r="LFF11" s="111"/>
      <c r="LFG11" s="111"/>
      <c r="LFH11" s="111"/>
      <c r="LFI11" s="111"/>
      <c r="LFJ11" s="111"/>
      <c r="LFK11" s="111"/>
      <c r="LFL11" s="111"/>
      <c r="LFM11" s="111"/>
      <c r="LFN11" s="111"/>
      <c r="LFO11" s="111"/>
      <c r="LFP11" s="111"/>
      <c r="LFQ11" s="111"/>
      <c r="LFR11" s="111"/>
      <c r="LFS11" s="111"/>
      <c r="LFT11" s="111"/>
      <c r="LFU11" s="111"/>
      <c r="LFV11" s="111"/>
      <c r="LFW11" s="111"/>
      <c r="LFX11" s="111"/>
      <c r="LFY11" s="111"/>
      <c r="LFZ11" s="111"/>
      <c r="LGA11" s="111"/>
      <c r="LGB11" s="111"/>
      <c r="LGC11" s="111"/>
      <c r="LGD11" s="111"/>
      <c r="LGE11" s="111"/>
      <c r="LGF11" s="111"/>
      <c r="LGG11" s="111"/>
      <c r="LGH11" s="111"/>
      <c r="LGI11" s="111"/>
      <c r="LGJ11" s="111"/>
      <c r="LGK11" s="111"/>
      <c r="LGL11" s="111"/>
      <c r="LGM11" s="111"/>
      <c r="LGN11" s="111"/>
      <c r="LGO11" s="111"/>
      <c r="LGP11" s="111"/>
      <c r="LGQ11" s="111"/>
      <c r="LGR11" s="111"/>
      <c r="LGS11" s="111"/>
      <c r="LGT11" s="111"/>
      <c r="LGU11" s="111"/>
      <c r="LGV11" s="111"/>
      <c r="LGW11" s="111"/>
      <c r="LGX11" s="111"/>
      <c r="LGY11" s="111"/>
      <c r="LGZ11" s="111"/>
      <c r="LHA11" s="111"/>
      <c r="LHB11" s="111"/>
      <c r="LHC11" s="111"/>
      <c r="LHD11" s="111"/>
      <c r="LHE11" s="111"/>
      <c r="LHF11" s="111"/>
      <c r="LHG11" s="111"/>
      <c r="LHH11" s="111"/>
      <c r="LHI11" s="111"/>
      <c r="LHJ11" s="111"/>
      <c r="LHK11" s="111"/>
      <c r="LHL11" s="111"/>
      <c r="LHM11" s="111"/>
      <c r="LHN11" s="111"/>
      <c r="LHO11" s="111"/>
      <c r="LHP11" s="111"/>
      <c r="LHQ11" s="111"/>
      <c r="LHR11" s="111"/>
      <c r="LHS11" s="111"/>
      <c r="LHT11" s="111"/>
      <c r="LHU11" s="111"/>
      <c r="LHV11" s="111"/>
      <c r="LHW11" s="111"/>
      <c r="LHX11" s="111"/>
      <c r="LHY11" s="111"/>
      <c r="LHZ11" s="111"/>
      <c r="LIA11" s="111"/>
      <c r="LIB11" s="111"/>
      <c r="LIC11" s="111"/>
      <c r="LID11" s="111"/>
      <c r="LIE11" s="111"/>
      <c r="LIF11" s="111"/>
      <c r="LIG11" s="111"/>
      <c r="LIH11" s="111"/>
      <c r="LII11" s="111"/>
      <c r="LIJ11" s="111"/>
      <c r="LIK11" s="111"/>
      <c r="LIL11" s="111"/>
      <c r="LIM11" s="111"/>
      <c r="LIN11" s="111"/>
      <c r="LIO11" s="111"/>
      <c r="LIP11" s="111"/>
      <c r="LIQ11" s="111"/>
      <c r="LIR11" s="111"/>
      <c r="LIS11" s="111"/>
      <c r="LIT11" s="111"/>
      <c r="LIU11" s="111"/>
      <c r="LIV11" s="111"/>
      <c r="LIW11" s="111"/>
      <c r="LIX11" s="111"/>
      <c r="LIY11" s="111"/>
      <c r="LIZ11" s="111"/>
      <c r="LJA11" s="111"/>
      <c r="LJB11" s="111"/>
      <c r="LJC11" s="111"/>
      <c r="LJD11" s="111"/>
      <c r="LJE11" s="111"/>
      <c r="LJF11" s="111"/>
      <c r="LJG11" s="111"/>
      <c r="LJH11" s="111"/>
      <c r="LJI11" s="111"/>
      <c r="LJJ11" s="111"/>
      <c r="LJK11" s="111"/>
      <c r="LJL11" s="111"/>
      <c r="LJM11" s="111"/>
      <c r="LJN11" s="111"/>
      <c r="LJO11" s="111"/>
      <c r="LJP11" s="111"/>
      <c r="LJQ11" s="111"/>
      <c r="LJR11" s="111"/>
      <c r="LJS11" s="111"/>
      <c r="LJT11" s="111"/>
      <c r="LJU11" s="111"/>
      <c r="LJV11" s="111"/>
      <c r="LJW11" s="111"/>
      <c r="LJX11" s="111"/>
      <c r="LJY11" s="111"/>
      <c r="LJZ11" s="111"/>
      <c r="LKA11" s="111"/>
      <c r="LKB11" s="111"/>
      <c r="LKC11" s="111"/>
      <c r="LKD11" s="111"/>
      <c r="LKE11" s="111"/>
      <c r="LKF11" s="111"/>
      <c r="LKG11" s="111"/>
      <c r="LKH11" s="111"/>
      <c r="LKI11" s="111"/>
      <c r="LKJ11" s="111"/>
      <c r="LKK11" s="111"/>
      <c r="LKL11" s="111"/>
      <c r="LKM11" s="111"/>
      <c r="LKN11" s="111"/>
      <c r="LKO11" s="111"/>
      <c r="LKP11" s="111"/>
      <c r="LKQ11" s="111"/>
      <c r="LKR11" s="111"/>
      <c r="LKS11" s="111"/>
      <c r="LKT11" s="111"/>
      <c r="LKU11" s="111"/>
      <c r="LKV11" s="111"/>
      <c r="LKW11" s="111"/>
      <c r="LKX11" s="111"/>
      <c r="LKY11" s="111"/>
      <c r="LKZ11" s="111"/>
      <c r="LLA11" s="111"/>
      <c r="LLB11" s="111"/>
      <c r="LLC11" s="111"/>
      <c r="LLD11" s="111"/>
      <c r="LLE11" s="111"/>
      <c r="LLF11" s="111"/>
      <c r="LLG11" s="111"/>
      <c r="LLH11" s="111"/>
      <c r="LLI11" s="111"/>
      <c r="LLJ11" s="111"/>
      <c r="LLK11" s="111"/>
      <c r="LLL11" s="111"/>
      <c r="LLM11" s="111"/>
      <c r="LLN11" s="111"/>
      <c r="LLO11" s="111"/>
      <c r="LLP11" s="111"/>
      <c r="LLQ11" s="111"/>
      <c r="LLR11" s="111"/>
      <c r="LLS11" s="111"/>
      <c r="LLT11" s="111"/>
      <c r="LLU11" s="111"/>
      <c r="LLV11" s="111"/>
      <c r="LLW11" s="111"/>
      <c r="LLX11" s="111"/>
      <c r="LLY11" s="111"/>
      <c r="LLZ11" s="111"/>
      <c r="LMA11" s="111"/>
      <c r="LMB11" s="111"/>
      <c r="LMC11" s="111"/>
      <c r="LMD11" s="111"/>
      <c r="LME11" s="111"/>
      <c r="LMF11" s="111"/>
      <c r="LMG11" s="111"/>
      <c r="LMH11" s="111"/>
      <c r="LMI11" s="111"/>
      <c r="LMJ11" s="111"/>
      <c r="LMK11" s="111"/>
      <c r="LML11" s="111"/>
      <c r="LMM11" s="111"/>
      <c r="LMN11" s="111"/>
      <c r="LMO11" s="111"/>
      <c r="LMP11" s="111"/>
      <c r="LMQ11" s="111"/>
      <c r="LMR11" s="111"/>
      <c r="LMS11" s="111"/>
      <c r="LMT11" s="111"/>
      <c r="LMU11" s="111"/>
      <c r="LMV11" s="111"/>
      <c r="LMW11" s="111"/>
      <c r="LMX11" s="111"/>
      <c r="LMY11" s="111"/>
      <c r="LMZ11" s="111"/>
      <c r="LNA11" s="111"/>
      <c r="LNB11" s="111"/>
      <c r="LNC11" s="111"/>
      <c r="LND11" s="111"/>
      <c r="LNE11" s="111"/>
      <c r="LNF11" s="111"/>
      <c r="LNG11" s="111"/>
      <c r="LNH11" s="111"/>
      <c r="LNI11" s="111"/>
      <c r="LNJ11" s="111"/>
      <c r="LNK11" s="111"/>
      <c r="LNL11" s="111"/>
      <c r="LNM11" s="111"/>
      <c r="LNN11" s="111"/>
      <c r="LNO11" s="111"/>
      <c r="LNP11" s="111"/>
      <c r="LNQ11" s="111"/>
      <c r="LNR11" s="111"/>
      <c r="LNS11" s="111"/>
      <c r="LNT11" s="111"/>
      <c r="LNU11" s="111"/>
      <c r="LNV11" s="111"/>
      <c r="LNW11" s="111"/>
      <c r="LNX11" s="111"/>
      <c r="LNY11" s="111"/>
      <c r="LNZ11" s="111"/>
      <c r="LOA11" s="111"/>
      <c r="LOB11" s="111"/>
      <c r="LOC11" s="111"/>
      <c r="LOD11" s="111"/>
      <c r="LOE11" s="111"/>
      <c r="LOF11" s="111"/>
      <c r="LOG11" s="111"/>
      <c r="LOH11" s="111"/>
      <c r="LOI11" s="111"/>
      <c r="LOJ11" s="111"/>
      <c r="LOK11" s="111"/>
      <c r="LOL11" s="111"/>
      <c r="LOM11" s="111"/>
      <c r="LON11" s="111"/>
      <c r="LOO11" s="111"/>
      <c r="LOP11" s="111"/>
      <c r="LOQ11" s="111"/>
      <c r="LOR11" s="111"/>
      <c r="LOS11" s="111"/>
      <c r="LOT11" s="111"/>
      <c r="LOU11" s="111"/>
      <c r="LOV11" s="111"/>
      <c r="LOW11" s="111"/>
      <c r="LOX11" s="111"/>
      <c r="LOY11" s="111"/>
      <c r="LOZ11" s="111"/>
      <c r="LPA11" s="111"/>
      <c r="LPB11" s="111"/>
      <c r="LPC11" s="111"/>
      <c r="LPD11" s="111"/>
      <c r="LPE11" s="111"/>
      <c r="LPF11" s="111"/>
      <c r="LPG11" s="111"/>
      <c r="LPH11" s="111"/>
      <c r="LPI11" s="111"/>
      <c r="LPJ11" s="111"/>
      <c r="LPK11" s="111"/>
      <c r="LPL11" s="111"/>
      <c r="LPM11" s="111"/>
      <c r="LPN11" s="111"/>
      <c r="LPO11" s="111"/>
      <c r="LPP11" s="111"/>
      <c r="LPQ11" s="111"/>
      <c r="LPR11" s="111"/>
      <c r="LPS11" s="111"/>
      <c r="LPT11" s="111"/>
      <c r="LPU11" s="111"/>
      <c r="LPV11" s="111"/>
      <c r="LPW11" s="111"/>
      <c r="LPX11" s="111"/>
      <c r="LPY11" s="111"/>
      <c r="LPZ11" s="111"/>
      <c r="LQA11" s="111"/>
      <c r="LQB11" s="111"/>
      <c r="LQC11" s="111"/>
      <c r="LQD11" s="111"/>
      <c r="LQE11" s="111"/>
      <c r="LQF11" s="111"/>
      <c r="LQG11" s="111"/>
      <c r="LQH11" s="111"/>
      <c r="LQI11" s="111"/>
      <c r="LQJ11" s="111"/>
      <c r="LQK11" s="111"/>
      <c r="LQL11" s="111"/>
      <c r="LQM11" s="111"/>
      <c r="LQN11" s="111"/>
      <c r="LQO11" s="111"/>
      <c r="LQP11" s="111"/>
      <c r="LQQ11" s="111"/>
      <c r="LQR11" s="111"/>
      <c r="LQS11" s="111"/>
      <c r="LQT11" s="111"/>
      <c r="LQU11" s="111"/>
      <c r="LQV11" s="111"/>
      <c r="LQW11" s="111"/>
      <c r="LQX11" s="111"/>
      <c r="LQY11" s="111"/>
      <c r="LQZ11" s="111"/>
      <c r="LRA11" s="111"/>
      <c r="LRB11" s="111"/>
      <c r="LRC11" s="111"/>
      <c r="LRD11" s="111"/>
      <c r="LRE11" s="111"/>
      <c r="LRF11" s="111"/>
      <c r="LRG11" s="111"/>
      <c r="LRH11" s="111"/>
      <c r="LRI11" s="111"/>
      <c r="LRJ11" s="111"/>
      <c r="LRK11" s="111"/>
      <c r="LRL11" s="111"/>
      <c r="LRM11" s="111"/>
      <c r="LRN11" s="111"/>
      <c r="LRO11" s="111"/>
      <c r="LRP11" s="111"/>
      <c r="LRQ11" s="111"/>
      <c r="LRR11" s="111"/>
      <c r="LRS11" s="111"/>
      <c r="LRT11" s="111"/>
      <c r="LRU11" s="111"/>
      <c r="LRV11" s="111"/>
      <c r="LRW11" s="111"/>
      <c r="LRX11" s="111"/>
      <c r="LRY11" s="111"/>
      <c r="LRZ11" s="111"/>
      <c r="LSA11" s="111"/>
      <c r="LSB11" s="111"/>
      <c r="LSC11" s="111"/>
      <c r="LSD11" s="111"/>
      <c r="LSE11" s="111"/>
      <c r="LSF11" s="111"/>
      <c r="LSG11" s="111"/>
      <c r="LSH11" s="111"/>
      <c r="LSI11" s="111"/>
      <c r="LSJ11" s="111"/>
      <c r="LSK11" s="111"/>
      <c r="LSL11" s="111"/>
      <c r="LSM11" s="111"/>
      <c r="LSN11" s="111"/>
      <c r="LSO11" s="111"/>
      <c r="LSP11" s="111"/>
      <c r="LSQ11" s="111"/>
      <c r="LSR11" s="111"/>
      <c r="LSS11" s="111"/>
      <c r="LST11" s="111"/>
      <c r="LSU11" s="111"/>
      <c r="LSV11" s="111"/>
      <c r="LSW11" s="111"/>
      <c r="LSX11" s="111"/>
      <c r="LSY11" s="111"/>
      <c r="LSZ11" s="111"/>
      <c r="LTA11" s="111"/>
      <c r="LTB11" s="111"/>
      <c r="LTC11" s="111"/>
      <c r="LTD11" s="111"/>
      <c r="LTE11" s="111"/>
      <c r="LTF11" s="111"/>
      <c r="LTG11" s="111"/>
      <c r="LTH11" s="111"/>
      <c r="LTI11" s="111"/>
      <c r="LTJ11" s="111"/>
      <c r="LTK11" s="111"/>
      <c r="LTL11" s="111"/>
      <c r="LTM11" s="111"/>
      <c r="LTN11" s="111"/>
      <c r="LTO11" s="111"/>
      <c r="LTP11" s="111"/>
      <c r="LTQ11" s="111"/>
      <c r="LTR11" s="111"/>
      <c r="LTS11" s="111"/>
      <c r="LTT11" s="111"/>
      <c r="LTU11" s="111"/>
      <c r="LTV11" s="111"/>
      <c r="LTW11" s="111"/>
      <c r="LTX11" s="111"/>
      <c r="LTY11" s="111"/>
      <c r="LTZ11" s="111"/>
      <c r="LUA11" s="111"/>
      <c r="LUB11" s="111"/>
      <c r="LUC11" s="111"/>
      <c r="LUD11" s="111"/>
      <c r="LUE11" s="111"/>
      <c r="LUF11" s="111"/>
      <c r="LUG11" s="111"/>
      <c r="LUH11" s="111"/>
      <c r="LUI11" s="111"/>
      <c r="LUJ11" s="111"/>
      <c r="LUK11" s="111"/>
      <c r="LUL11" s="111"/>
      <c r="LUM11" s="111"/>
      <c r="LUN11" s="111"/>
      <c r="LUO11" s="111"/>
      <c r="LUP11" s="111"/>
      <c r="LUQ11" s="111"/>
      <c r="LUR11" s="111"/>
      <c r="LUS11" s="111"/>
      <c r="LUT11" s="111"/>
      <c r="LUU11" s="111"/>
      <c r="LUV11" s="111"/>
      <c r="LUW11" s="111"/>
      <c r="LUX11" s="111"/>
      <c r="LUY11" s="111"/>
      <c r="LUZ11" s="111"/>
      <c r="LVA11" s="111"/>
      <c r="LVB11" s="111"/>
      <c r="LVC11" s="111"/>
      <c r="LVD11" s="111"/>
      <c r="LVE11" s="111"/>
      <c r="LVF11" s="111"/>
      <c r="LVG11" s="111"/>
      <c r="LVH11" s="111"/>
      <c r="LVI11" s="111"/>
      <c r="LVJ11" s="111"/>
      <c r="LVK11" s="111"/>
      <c r="LVL11" s="111"/>
      <c r="LVM11" s="111"/>
      <c r="LVN11" s="111"/>
      <c r="LVO11" s="111"/>
      <c r="LVP11" s="111"/>
      <c r="LVQ11" s="111"/>
      <c r="LVR11" s="111"/>
      <c r="LVS11" s="111"/>
      <c r="LVT11" s="111"/>
      <c r="LVU11" s="111"/>
      <c r="LVV11" s="111"/>
      <c r="LVW11" s="111"/>
      <c r="LVX11" s="111"/>
      <c r="LVY11" s="111"/>
      <c r="LVZ11" s="111"/>
      <c r="LWA11" s="111"/>
      <c r="LWB11" s="111"/>
      <c r="LWC11" s="111"/>
      <c r="LWD11" s="111"/>
      <c r="LWE11" s="111"/>
      <c r="LWF11" s="111"/>
      <c r="LWG11" s="111"/>
      <c r="LWH11" s="111"/>
      <c r="LWI11" s="111"/>
      <c r="LWJ11" s="111"/>
      <c r="LWK11" s="111"/>
      <c r="LWL11" s="111"/>
      <c r="LWM11" s="111"/>
      <c r="LWN11" s="111"/>
      <c r="LWO11" s="111"/>
      <c r="LWP11" s="111"/>
      <c r="LWQ11" s="111"/>
      <c r="LWR11" s="111"/>
      <c r="LWS11" s="111"/>
      <c r="LWT11" s="111"/>
      <c r="LWU11" s="111"/>
      <c r="LWV11" s="111"/>
      <c r="LWW11" s="111"/>
      <c r="LWX11" s="111"/>
      <c r="LWY11" s="111"/>
      <c r="LWZ11" s="111"/>
      <c r="LXA11" s="111"/>
      <c r="LXB11" s="111"/>
      <c r="LXC11" s="111"/>
      <c r="LXD11" s="111"/>
      <c r="LXE11" s="111"/>
      <c r="LXF11" s="111"/>
      <c r="LXG11" s="111"/>
      <c r="LXH11" s="111"/>
      <c r="LXI11" s="111"/>
      <c r="LXJ11" s="111"/>
      <c r="LXK11" s="111"/>
      <c r="LXL11" s="111"/>
      <c r="LXM11" s="111"/>
      <c r="LXN11" s="111"/>
      <c r="LXO11" s="111"/>
      <c r="LXP11" s="111"/>
      <c r="LXQ11" s="111"/>
      <c r="LXR11" s="111"/>
      <c r="LXS11" s="111"/>
      <c r="LXT11" s="111"/>
      <c r="LXU11" s="111"/>
      <c r="LXV11" s="111"/>
      <c r="LXW11" s="111"/>
      <c r="LXX11" s="111"/>
      <c r="LXY11" s="111"/>
      <c r="LXZ11" s="111"/>
      <c r="LYA11" s="111"/>
      <c r="LYB11" s="111"/>
      <c r="LYC11" s="111"/>
      <c r="LYD11" s="111"/>
      <c r="LYE11" s="111"/>
      <c r="LYF11" s="111"/>
      <c r="LYG11" s="111"/>
      <c r="LYH11" s="111"/>
      <c r="LYI11" s="111"/>
      <c r="LYJ11" s="111"/>
      <c r="LYK11" s="111"/>
      <c r="LYL11" s="111"/>
      <c r="LYM11" s="111"/>
      <c r="LYN11" s="111"/>
      <c r="LYO11" s="111"/>
      <c r="LYP11" s="111"/>
      <c r="LYQ11" s="111"/>
      <c r="LYR11" s="111"/>
      <c r="LYS11" s="111"/>
      <c r="LYT11" s="111"/>
      <c r="LYU11" s="111"/>
      <c r="LYV11" s="111"/>
      <c r="LYW11" s="111"/>
      <c r="LYX11" s="111"/>
      <c r="LYY11" s="111"/>
      <c r="LYZ11" s="111"/>
      <c r="LZA11" s="111"/>
      <c r="LZB11" s="111"/>
      <c r="LZC11" s="111"/>
      <c r="LZD11" s="111"/>
      <c r="LZE11" s="111"/>
      <c r="LZF11" s="111"/>
      <c r="LZG11" s="111"/>
      <c r="LZH11" s="111"/>
      <c r="LZI11" s="111"/>
      <c r="LZJ11" s="111"/>
      <c r="LZK11" s="111"/>
      <c r="LZL11" s="111"/>
      <c r="LZM11" s="111"/>
      <c r="LZN11" s="111"/>
      <c r="LZO11" s="111"/>
      <c r="LZP11" s="111"/>
      <c r="LZQ11" s="111"/>
      <c r="LZR11" s="111"/>
      <c r="LZS11" s="111"/>
      <c r="LZT11" s="111"/>
      <c r="LZU11" s="111"/>
      <c r="LZV11" s="111"/>
      <c r="LZW11" s="111"/>
      <c r="LZX11" s="111"/>
      <c r="LZY11" s="111"/>
      <c r="LZZ11" s="111"/>
      <c r="MAA11" s="111"/>
      <c r="MAB11" s="111"/>
      <c r="MAC11" s="111"/>
      <c r="MAD11" s="111"/>
      <c r="MAE11" s="111"/>
      <c r="MAF11" s="111"/>
      <c r="MAG11" s="111"/>
      <c r="MAH11" s="111"/>
      <c r="MAI11" s="111"/>
      <c r="MAJ11" s="111"/>
      <c r="MAK11" s="111"/>
      <c r="MAL11" s="111"/>
      <c r="MAM11" s="111"/>
      <c r="MAN11" s="111"/>
      <c r="MAO11" s="111"/>
      <c r="MAP11" s="111"/>
      <c r="MAQ11" s="111"/>
      <c r="MAR11" s="111"/>
      <c r="MAS11" s="111"/>
      <c r="MAT11" s="111"/>
      <c r="MAU11" s="111"/>
      <c r="MAV11" s="111"/>
      <c r="MAW11" s="111"/>
      <c r="MAX11" s="111"/>
      <c r="MAY11" s="111"/>
      <c r="MAZ11" s="111"/>
      <c r="MBA11" s="111"/>
      <c r="MBB11" s="111"/>
      <c r="MBC11" s="111"/>
      <c r="MBD11" s="111"/>
      <c r="MBE11" s="111"/>
      <c r="MBF11" s="111"/>
      <c r="MBG11" s="111"/>
      <c r="MBH11" s="111"/>
      <c r="MBI11" s="111"/>
      <c r="MBJ11" s="111"/>
      <c r="MBK11" s="111"/>
      <c r="MBL11" s="111"/>
      <c r="MBM11" s="111"/>
      <c r="MBN11" s="111"/>
      <c r="MBO11" s="111"/>
      <c r="MBP11" s="111"/>
      <c r="MBQ11" s="111"/>
      <c r="MBR11" s="111"/>
      <c r="MBS11" s="111"/>
      <c r="MBT11" s="111"/>
      <c r="MBU11" s="111"/>
      <c r="MBV11" s="111"/>
      <c r="MBW11" s="111"/>
      <c r="MBX11" s="111"/>
      <c r="MBY11" s="111"/>
      <c r="MBZ11" s="111"/>
      <c r="MCA11" s="111"/>
      <c r="MCB11" s="111"/>
      <c r="MCC11" s="111"/>
      <c r="MCD11" s="111"/>
      <c r="MCE11" s="111"/>
      <c r="MCF11" s="111"/>
      <c r="MCG11" s="111"/>
      <c r="MCH11" s="111"/>
      <c r="MCI11" s="111"/>
      <c r="MCJ11" s="111"/>
      <c r="MCK11" s="111"/>
      <c r="MCL11" s="111"/>
      <c r="MCM11" s="111"/>
      <c r="MCN11" s="111"/>
      <c r="MCO11" s="111"/>
      <c r="MCP11" s="111"/>
      <c r="MCQ11" s="111"/>
      <c r="MCR11" s="111"/>
      <c r="MCS11" s="111"/>
      <c r="MCT11" s="111"/>
      <c r="MCU11" s="111"/>
      <c r="MCV11" s="111"/>
      <c r="MCW11" s="111"/>
      <c r="MCX11" s="111"/>
      <c r="MCY11" s="111"/>
      <c r="MCZ11" s="111"/>
      <c r="MDA11" s="111"/>
      <c r="MDB11" s="111"/>
      <c r="MDC11" s="111"/>
      <c r="MDD11" s="111"/>
      <c r="MDE11" s="111"/>
      <c r="MDF11" s="111"/>
      <c r="MDG11" s="111"/>
      <c r="MDH11" s="111"/>
      <c r="MDI11" s="111"/>
      <c r="MDJ11" s="111"/>
      <c r="MDK11" s="111"/>
      <c r="MDL11" s="111"/>
      <c r="MDM11" s="111"/>
      <c r="MDN11" s="111"/>
      <c r="MDO11" s="111"/>
      <c r="MDP11" s="111"/>
      <c r="MDQ11" s="111"/>
      <c r="MDR11" s="111"/>
      <c r="MDS11" s="111"/>
      <c r="MDT11" s="111"/>
      <c r="MDU11" s="111"/>
      <c r="MDV11" s="111"/>
      <c r="MDW11" s="111"/>
      <c r="MDX11" s="111"/>
      <c r="MDY11" s="111"/>
      <c r="MDZ11" s="111"/>
      <c r="MEA11" s="111"/>
      <c r="MEB11" s="111"/>
      <c r="MEC11" s="111"/>
      <c r="MED11" s="111"/>
      <c r="MEE11" s="111"/>
      <c r="MEF11" s="111"/>
      <c r="MEG11" s="111"/>
      <c r="MEH11" s="111"/>
      <c r="MEI11" s="111"/>
      <c r="MEJ11" s="111"/>
      <c r="MEK11" s="111"/>
      <c r="MEL11" s="111"/>
      <c r="MEM11" s="111"/>
      <c r="MEN11" s="111"/>
      <c r="MEO11" s="111"/>
      <c r="MEP11" s="111"/>
      <c r="MEQ11" s="111"/>
      <c r="MER11" s="111"/>
      <c r="MES11" s="111"/>
      <c r="MET11" s="111"/>
      <c r="MEU11" s="111"/>
      <c r="MEV11" s="111"/>
      <c r="MEW11" s="111"/>
      <c r="MEX11" s="111"/>
      <c r="MEY11" s="111"/>
      <c r="MEZ11" s="111"/>
      <c r="MFA11" s="111"/>
      <c r="MFB11" s="111"/>
      <c r="MFC11" s="111"/>
      <c r="MFD11" s="111"/>
      <c r="MFE11" s="111"/>
      <c r="MFF11" s="111"/>
      <c r="MFG11" s="111"/>
      <c r="MFH11" s="111"/>
      <c r="MFI11" s="111"/>
      <c r="MFJ11" s="111"/>
      <c r="MFK11" s="111"/>
      <c r="MFL11" s="111"/>
      <c r="MFM11" s="111"/>
      <c r="MFN11" s="111"/>
      <c r="MFO11" s="111"/>
      <c r="MFP11" s="111"/>
      <c r="MFQ11" s="111"/>
      <c r="MFR11" s="111"/>
      <c r="MFS11" s="111"/>
      <c r="MFT11" s="111"/>
      <c r="MFU11" s="111"/>
      <c r="MFV11" s="111"/>
      <c r="MFW11" s="111"/>
      <c r="MFX11" s="111"/>
      <c r="MFY11" s="111"/>
      <c r="MFZ11" s="111"/>
      <c r="MGA11" s="111"/>
      <c r="MGB11" s="111"/>
      <c r="MGC11" s="111"/>
      <c r="MGD11" s="111"/>
      <c r="MGE11" s="111"/>
      <c r="MGF11" s="111"/>
      <c r="MGG11" s="111"/>
      <c r="MGH11" s="111"/>
      <c r="MGI11" s="111"/>
      <c r="MGJ11" s="111"/>
      <c r="MGK11" s="111"/>
      <c r="MGL11" s="111"/>
      <c r="MGM11" s="111"/>
      <c r="MGN11" s="111"/>
      <c r="MGO11" s="111"/>
      <c r="MGP11" s="111"/>
      <c r="MGQ11" s="111"/>
      <c r="MGR11" s="111"/>
      <c r="MGS11" s="111"/>
      <c r="MGT11" s="111"/>
      <c r="MGU11" s="111"/>
      <c r="MGV11" s="111"/>
      <c r="MGW11" s="111"/>
      <c r="MGX11" s="111"/>
      <c r="MGY11" s="111"/>
      <c r="MGZ11" s="111"/>
      <c r="MHA11" s="111"/>
      <c r="MHB11" s="111"/>
      <c r="MHC11" s="111"/>
      <c r="MHD11" s="111"/>
      <c r="MHE11" s="111"/>
      <c r="MHF11" s="111"/>
      <c r="MHG11" s="111"/>
      <c r="MHH11" s="111"/>
      <c r="MHI11" s="111"/>
      <c r="MHJ11" s="111"/>
      <c r="MHK11" s="111"/>
      <c r="MHL11" s="111"/>
      <c r="MHM11" s="111"/>
      <c r="MHN11" s="111"/>
      <c r="MHO11" s="111"/>
      <c r="MHP11" s="111"/>
      <c r="MHQ11" s="111"/>
      <c r="MHR11" s="111"/>
      <c r="MHS11" s="111"/>
      <c r="MHT11" s="111"/>
      <c r="MHU11" s="111"/>
      <c r="MHV11" s="111"/>
      <c r="MHW11" s="111"/>
      <c r="MHX11" s="111"/>
      <c r="MHY11" s="111"/>
      <c r="MHZ11" s="111"/>
      <c r="MIA11" s="111"/>
      <c r="MIB11" s="111"/>
      <c r="MIC11" s="111"/>
      <c r="MID11" s="111"/>
      <c r="MIE11" s="111"/>
      <c r="MIF11" s="111"/>
      <c r="MIG11" s="111"/>
      <c r="MIH11" s="111"/>
      <c r="MII11" s="111"/>
      <c r="MIJ11" s="111"/>
      <c r="MIK11" s="111"/>
      <c r="MIL11" s="111"/>
      <c r="MIM11" s="111"/>
      <c r="MIN11" s="111"/>
      <c r="MIO11" s="111"/>
      <c r="MIP11" s="111"/>
      <c r="MIQ11" s="111"/>
      <c r="MIR11" s="111"/>
      <c r="MIS11" s="111"/>
      <c r="MIT11" s="111"/>
      <c r="MIU11" s="111"/>
      <c r="MIV11" s="111"/>
      <c r="MIW11" s="111"/>
      <c r="MIX11" s="111"/>
      <c r="MIY11" s="111"/>
      <c r="MIZ11" s="111"/>
      <c r="MJA11" s="111"/>
      <c r="MJB11" s="111"/>
      <c r="MJC11" s="111"/>
      <c r="MJD11" s="111"/>
      <c r="MJE11" s="111"/>
      <c r="MJF11" s="111"/>
      <c r="MJG11" s="111"/>
      <c r="MJH11" s="111"/>
      <c r="MJI11" s="111"/>
      <c r="MJJ11" s="111"/>
      <c r="MJK11" s="111"/>
      <c r="MJL11" s="111"/>
      <c r="MJM11" s="111"/>
      <c r="MJN11" s="111"/>
      <c r="MJO11" s="111"/>
      <c r="MJP11" s="111"/>
      <c r="MJQ11" s="111"/>
      <c r="MJR11" s="111"/>
      <c r="MJS11" s="111"/>
      <c r="MJT11" s="111"/>
      <c r="MJU11" s="111"/>
      <c r="MJV11" s="111"/>
      <c r="MJW11" s="111"/>
      <c r="MJX11" s="111"/>
      <c r="MJY11" s="111"/>
      <c r="MJZ11" s="111"/>
      <c r="MKA11" s="111"/>
      <c r="MKB11" s="111"/>
      <c r="MKC11" s="111"/>
      <c r="MKD11" s="111"/>
      <c r="MKE11" s="111"/>
      <c r="MKF11" s="111"/>
      <c r="MKG11" s="111"/>
      <c r="MKH11" s="111"/>
      <c r="MKI11" s="111"/>
      <c r="MKJ11" s="111"/>
      <c r="MKK11" s="111"/>
      <c r="MKL11" s="111"/>
      <c r="MKM11" s="111"/>
      <c r="MKN11" s="111"/>
      <c r="MKO11" s="111"/>
      <c r="MKP11" s="111"/>
      <c r="MKQ11" s="111"/>
      <c r="MKR11" s="111"/>
      <c r="MKS11" s="111"/>
      <c r="MKT11" s="111"/>
      <c r="MKU11" s="111"/>
      <c r="MKV11" s="111"/>
      <c r="MKW11" s="111"/>
      <c r="MKX11" s="111"/>
      <c r="MKY11" s="111"/>
      <c r="MKZ11" s="111"/>
      <c r="MLA11" s="111"/>
      <c r="MLB11" s="111"/>
      <c r="MLC11" s="111"/>
      <c r="MLD11" s="111"/>
      <c r="MLE11" s="111"/>
      <c r="MLF11" s="111"/>
      <c r="MLG11" s="111"/>
      <c r="MLH11" s="111"/>
      <c r="MLI11" s="111"/>
      <c r="MLJ11" s="111"/>
      <c r="MLK11" s="111"/>
      <c r="MLL11" s="111"/>
      <c r="MLM11" s="111"/>
      <c r="MLN11" s="111"/>
      <c r="MLO11" s="111"/>
      <c r="MLP11" s="111"/>
      <c r="MLQ11" s="111"/>
      <c r="MLR11" s="111"/>
      <c r="MLS11" s="111"/>
      <c r="MLT11" s="111"/>
      <c r="MLU11" s="111"/>
      <c r="MLV11" s="111"/>
      <c r="MLW11" s="111"/>
      <c r="MLX11" s="111"/>
      <c r="MLY11" s="111"/>
      <c r="MLZ11" s="111"/>
      <c r="MMA11" s="111"/>
      <c r="MMB11" s="111"/>
      <c r="MMC11" s="111"/>
      <c r="MMD11" s="111"/>
      <c r="MME11" s="111"/>
      <c r="MMF11" s="111"/>
      <c r="MMG11" s="111"/>
      <c r="MMH11" s="111"/>
      <c r="MMI11" s="111"/>
      <c r="MMJ11" s="111"/>
      <c r="MMK11" s="111"/>
      <c r="MML11" s="111"/>
      <c r="MMM11" s="111"/>
      <c r="MMN11" s="111"/>
      <c r="MMO11" s="111"/>
      <c r="MMP11" s="111"/>
      <c r="MMQ11" s="111"/>
      <c r="MMR11" s="111"/>
      <c r="MMS11" s="111"/>
      <c r="MMT11" s="111"/>
      <c r="MMU11" s="111"/>
      <c r="MMV11" s="111"/>
      <c r="MMW11" s="111"/>
      <c r="MMX11" s="111"/>
      <c r="MMY11" s="111"/>
      <c r="MMZ11" s="111"/>
      <c r="MNA11" s="111"/>
      <c r="MNB11" s="111"/>
      <c r="MNC11" s="111"/>
      <c r="MND11" s="111"/>
      <c r="MNE11" s="111"/>
      <c r="MNF11" s="111"/>
      <c r="MNG11" s="111"/>
      <c r="MNH11" s="111"/>
      <c r="MNI11" s="111"/>
      <c r="MNJ11" s="111"/>
      <c r="MNK11" s="111"/>
      <c r="MNL11" s="111"/>
      <c r="MNM11" s="111"/>
      <c r="MNN11" s="111"/>
      <c r="MNO11" s="111"/>
      <c r="MNP11" s="111"/>
      <c r="MNQ11" s="111"/>
      <c r="MNR11" s="111"/>
      <c r="MNS11" s="111"/>
      <c r="MNT11" s="111"/>
      <c r="MNU11" s="111"/>
      <c r="MNV11" s="111"/>
      <c r="MNW11" s="111"/>
      <c r="MNX11" s="111"/>
      <c r="MNY11" s="111"/>
      <c r="MNZ11" s="111"/>
      <c r="MOA11" s="111"/>
      <c r="MOB11" s="111"/>
      <c r="MOC11" s="111"/>
      <c r="MOD11" s="111"/>
      <c r="MOE11" s="111"/>
      <c r="MOF11" s="111"/>
      <c r="MOG11" s="111"/>
      <c r="MOH11" s="111"/>
      <c r="MOI11" s="111"/>
      <c r="MOJ11" s="111"/>
      <c r="MOK11" s="111"/>
      <c r="MOL11" s="111"/>
      <c r="MOM11" s="111"/>
      <c r="MON11" s="111"/>
      <c r="MOO11" s="111"/>
      <c r="MOP11" s="111"/>
      <c r="MOQ11" s="111"/>
      <c r="MOR11" s="111"/>
      <c r="MOS11" s="111"/>
      <c r="MOT11" s="111"/>
      <c r="MOU11" s="111"/>
      <c r="MOV11" s="111"/>
      <c r="MOW11" s="111"/>
      <c r="MOX11" s="111"/>
      <c r="MOY11" s="111"/>
      <c r="MOZ11" s="111"/>
      <c r="MPA11" s="111"/>
      <c r="MPB11" s="111"/>
      <c r="MPC11" s="111"/>
      <c r="MPD11" s="111"/>
      <c r="MPE11" s="111"/>
      <c r="MPF11" s="111"/>
      <c r="MPG11" s="111"/>
      <c r="MPH11" s="111"/>
      <c r="MPI11" s="111"/>
      <c r="MPJ11" s="111"/>
      <c r="MPK11" s="111"/>
      <c r="MPL11" s="111"/>
      <c r="MPM11" s="111"/>
      <c r="MPN11" s="111"/>
      <c r="MPO11" s="111"/>
      <c r="MPP11" s="111"/>
      <c r="MPQ11" s="111"/>
      <c r="MPR11" s="111"/>
      <c r="MPS11" s="111"/>
      <c r="MPT11" s="111"/>
      <c r="MPU11" s="111"/>
      <c r="MPV11" s="111"/>
      <c r="MPW11" s="111"/>
      <c r="MPX11" s="111"/>
      <c r="MPY11" s="111"/>
      <c r="MPZ11" s="111"/>
      <c r="MQA11" s="111"/>
      <c r="MQB11" s="111"/>
      <c r="MQC11" s="111"/>
      <c r="MQD11" s="111"/>
      <c r="MQE11" s="111"/>
      <c r="MQF11" s="111"/>
      <c r="MQG11" s="111"/>
      <c r="MQH11" s="111"/>
      <c r="MQI11" s="111"/>
      <c r="MQJ11" s="111"/>
      <c r="MQK11" s="111"/>
      <c r="MQL11" s="111"/>
      <c r="MQM11" s="111"/>
      <c r="MQN11" s="111"/>
      <c r="MQO11" s="111"/>
      <c r="MQP11" s="111"/>
      <c r="MQQ11" s="111"/>
      <c r="MQR11" s="111"/>
      <c r="MQS11" s="111"/>
      <c r="MQT11" s="111"/>
      <c r="MQU11" s="111"/>
      <c r="MQV11" s="111"/>
      <c r="MQW11" s="111"/>
      <c r="MQX11" s="111"/>
      <c r="MQY11" s="111"/>
      <c r="MQZ11" s="111"/>
      <c r="MRA11" s="111"/>
      <c r="MRB11" s="111"/>
      <c r="MRC11" s="111"/>
      <c r="MRD11" s="111"/>
      <c r="MRE11" s="111"/>
      <c r="MRF11" s="111"/>
      <c r="MRG11" s="111"/>
      <c r="MRH11" s="111"/>
      <c r="MRI11" s="111"/>
      <c r="MRJ11" s="111"/>
      <c r="MRK11" s="111"/>
      <c r="MRL11" s="111"/>
      <c r="MRM11" s="111"/>
      <c r="MRN11" s="111"/>
      <c r="MRO11" s="111"/>
      <c r="MRP11" s="111"/>
      <c r="MRQ11" s="111"/>
      <c r="MRR11" s="111"/>
      <c r="MRS11" s="111"/>
      <c r="MRT11" s="111"/>
      <c r="MRU11" s="111"/>
      <c r="MRV11" s="111"/>
      <c r="MRW11" s="111"/>
      <c r="MRX11" s="111"/>
      <c r="MRY11" s="111"/>
      <c r="MRZ11" s="111"/>
      <c r="MSA11" s="111"/>
      <c r="MSB11" s="111"/>
      <c r="MSC11" s="111"/>
      <c r="MSD11" s="111"/>
      <c r="MSE11" s="111"/>
      <c r="MSF11" s="111"/>
      <c r="MSG11" s="111"/>
      <c r="MSH11" s="111"/>
      <c r="MSI11" s="111"/>
      <c r="MSJ11" s="111"/>
      <c r="MSK11" s="111"/>
      <c r="MSL11" s="111"/>
      <c r="MSM11" s="111"/>
      <c r="MSN11" s="111"/>
      <c r="MSO11" s="111"/>
      <c r="MSP11" s="111"/>
      <c r="MSQ11" s="111"/>
      <c r="MSR11" s="111"/>
      <c r="MSS11" s="111"/>
      <c r="MST11" s="111"/>
      <c r="MSU11" s="111"/>
      <c r="MSV11" s="111"/>
      <c r="MSW11" s="111"/>
      <c r="MSX11" s="111"/>
      <c r="MSY11" s="111"/>
      <c r="MSZ11" s="111"/>
      <c r="MTA11" s="111"/>
      <c r="MTB11" s="111"/>
      <c r="MTC11" s="111"/>
      <c r="MTD11" s="111"/>
      <c r="MTE11" s="111"/>
      <c r="MTF11" s="111"/>
      <c r="MTG11" s="111"/>
      <c r="MTH11" s="111"/>
      <c r="MTI11" s="111"/>
      <c r="MTJ11" s="111"/>
      <c r="MTK11" s="111"/>
      <c r="MTL11" s="111"/>
      <c r="MTM11" s="111"/>
      <c r="MTN11" s="111"/>
      <c r="MTO11" s="111"/>
      <c r="MTP11" s="111"/>
      <c r="MTQ11" s="111"/>
      <c r="MTR11" s="111"/>
      <c r="MTS11" s="111"/>
      <c r="MTT11" s="111"/>
      <c r="MTU11" s="111"/>
      <c r="MTV11" s="111"/>
      <c r="MTW11" s="111"/>
      <c r="MTX11" s="111"/>
      <c r="MTY11" s="111"/>
      <c r="MTZ11" s="111"/>
      <c r="MUA11" s="111"/>
      <c r="MUB11" s="111"/>
      <c r="MUC11" s="111"/>
      <c r="MUD11" s="111"/>
      <c r="MUE11" s="111"/>
      <c r="MUF11" s="111"/>
      <c r="MUG11" s="111"/>
      <c r="MUH11" s="111"/>
      <c r="MUI11" s="111"/>
      <c r="MUJ11" s="111"/>
      <c r="MUK11" s="111"/>
      <c r="MUL11" s="111"/>
      <c r="MUM11" s="111"/>
      <c r="MUN11" s="111"/>
      <c r="MUO11" s="111"/>
      <c r="MUP11" s="111"/>
      <c r="MUQ11" s="111"/>
      <c r="MUR11" s="111"/>
      <c r="MUS11" s="111"/>
      <c r="MUT11" s="111"/>
      <c r="MUU11" s="111"/>
      <c r="MUV11" s="111"/>
      <c r="MUW11" s="111"/>
      <c r="MUX11" s="111"/>
      <c r="MUY11" s="111"/>
      <c r="MUZ11" s="111"/>
      <c r="MVA11" s="111"/>
      <c r="MVB11" s="111"/>
      <c r="MVC11" s="111"/>
      <c r="MVD11" s="111"/>
      <c r="MVE11" s="111"/>
      <c r="MVF11" s="111"/>
      <c r="MVG11" s="111"/>
      <c r="MVH11" s="111"/>
      <c r="MVI11" s="111"/>
      <c r="MVJ11" s="111"/>
      <c r="MVK11" s="111"/>
      <c r="MVL11" s="111"/>
      <c r="MVM11" s="111"/>
      <c r="MVN11" s="111"/>
      <c r="MVO11" s="111"/>
      <c r="MVP11" s="111"/>
      <c r="MVQ11" s="111"/>
      <c r="MVR11" s="111"/>
      <c r="MVS11" s="111"/>
      <c r="MVT11" s="111"/>
      <c r="MVU11" s="111"/>
      <c r="MVV11" s="111"/>
      <c r="MVW11" s="111"/>
      <c r="MVX11" s="111"/>
      <c r="MVY11" s="111"/>
      <c r="MVZ11" s="111"/>
      <c r="MWA11" s="111"/>
      <c r="MWB11" s="111"/>
      <c r="MWC11" s="111"/>
      <c r="MWD11" s="111"/>
      <c r="MWE11" s="111"/>
      <c r="MWF11" s="111"/>
      <c r="MWG11" s="111"/>
      <c r="MWH11" s="111"/>
      <c r="MWI11" s="111"/>
      <c r="MWJ11" s="111"/>
      <c r="MWK11" s="111"/>
      <c r="MWL11" s="111"/>
      <c r="MWM11" s="111"/>
      <c r="MWN11" s="111"/>
      <c r="MWO11" s="111"/>
      <c r="MWP11" s="111"/>
      <c r="MWQ11" s="111"/>
      <c r="MWR11" s="111"/>
      <c r="MWS11" s="111"/>
      <c r="MWT11" s="111"/>
      <c r="MWU11" s="111"/>
      <c r="MWV11" s="111"/>
      <c r="MWW11" s="111"/>
      <c r="MWX11" s="111"/>
      <c r="MWY11" s="111"/>
      <c r="MWZ11" s="111"/>
      <c r="MXA11" s="111"/>
      <c r="MXB11" s="111"/>
      <c r="MXC11" s="111"/>
      <c r="MXD11" s="111"/>
      <c r="MXE11" s="111"/>
      <c r="MXF11" s="111"/>
      <c r="MXG11" s="111"/>
      <c r="MXH11" s="111"/>
      <c r="MXI11" s="111"/>
      <c r="MXJ11" s="111"/>
      <c r="MXK11" s="111"/>
      <c r="MXL11" s="111"/>
      <c r="MXM11" s="111"/>
      <c r="MXN11" s="111"/>
      <c r="MXO11" s="111"/>
      <c r="MXP11" s="111"/>
      <c r="MXQ11" s="111"/>
      <c r="MXR11" s="111"/>
      <c r="MXS11" s="111"/>
      <c r="MXT11" s="111"/>
      <c r="MXU11" s="111"/>
      <c r="MXV11" s="111"/>
      <c r="MXW11" s="111"/>
      <c r="MXX11" s="111"/>
      <c r="MXY11" s="111"/>
      <c r="MXZ11" s="111"/>
      <c r="MYA11" s="111"/>
      <c r="MYB11" s="111"/>
      <c r="MYC11" s="111"/>
      <c r="MYD11" s="111"/>
      <c r="MYE11" s="111"/>
      <c r="MYF11" s="111"/>
      <c r="MYG11" s="111"/>
      <c r="MYH11" s="111"/>
      <c r="MYI11" s="111"/>
      <c r="MYJ11" s="111"/>
      <c r="MYK11" s="111"/>
      <c r="MYL11" s="111"/>
      <c r="MYM11" s="111"/>
      <c r="MYN11" s="111"/>
      <c r="MYO11" s="111"/>
      <c r="MYP11" s="111"/>
      <c r="MYQ11" s="111"/>
      <c r="MYR11" s="111"/>
      <c r="MYS11" s="111"/>
      <c r="MYT11" s="111"/>
      <c r="MYU11" s="111"/>
      <c r="MYV11" s="111"/>
      <c r="MYW11" s="111"/>
      <c r="MYX11" s="111"/>
      <c r="MYY11" s="111"/>
      <c r="MYZ11" s="111"/>
      <c r="MZA11" s="111"/>
      <c r="MZB11" s="111"/>
      <c r="MZC11" s="111"/>
      <c r="MZD11" s="111"/>
      <c r="MZE11" s="111"/>
      <c r="MZF11" s="111"/>
      <c r="MZG11" s="111"/>
      <c r="MZH11" s="111"/>
      <c r="MZI11" s="111"/>
      <c r="MZJ11" s="111"/>
      <c r="MZK11" s="111"/>
      <c r="MZL11" s="111"/>
      <c r="MZM11" s="111"/>
      <c r="MZN11" s="111"/>
      <c r="MZO11" s="111"/>
      <c r="MZP11" s="111"/>
      <c r="MZQ11" s="111"/>
      <c r="MZR11" s="111"/>
      <c r="MZS11" s="111"/>
      <c r="MZT11" s="111"/>
      <c r="MZU11" s="111"/>
      <c r="MZV11" s="111"/>
      <c r="MZW11" s="111"/>
      <c r="MZX11" s="111"/>
      <c r="MZY11" s="111"/>
      <c r="MZZ11" s="111"/>
      <c r="NAA11" s="111"/>
      <c r="NAB11" s="111"/>
      <c r="NAC11" s="111"/>
      <c r="NAD11" s="111"/>
      <c r="NAE11" s="111"/>
      <c r="NAF11" s="111"/>
      <c r="NAG11" s="111"/>
      <c r="NAH11" s="111"/>
      <c r="NAI11" s="111"/>
      <c r="NAJ11" s="111"/>
      <c r="NAK11" s="111"/>
      <c r="NAL11" s="111"/>
      <c r="NAM11" s="111"/>
      <c r="NAN11" s="111"/>
      <c r="NAO11" s="111"/>
      <c r="NAP11" s="111"/>
      <c r="NAQ11" s="111"/>
      <c r="NAR11" s="111"/>
      <c r="NAS11" s="111"/>
      <c r="NAT11" s="111"/>
      <c r="NAU11" s="111"/>
      <c r="NAV11" s="111"/>
      <c r="NAW11" s="111"/>
      <c r="NAX11" s="111"/>
      <c r="NAY11" s="111"/>
      <c r="NAZ11" s="111"/>
      <c r="NBA11" s="111"/>
      <c r="NBB11" s="111"/>
      <c r="NBC11" s="111"/>
      <c r="NBD11" s="111"/>
      <c r="NBE11" s="111"/>
      <c r="NBF11" s="111"/>
      <c r="NBG11" s="111"/>
      <c r="NBH11" s="111"/>
      <c r="NBI11" s="111"/>
      <c r="NBJ11" s="111"/>
      <c r="NBK11" s="111"/>
      <c r="NBL11" s="111"/>
      <c r="NBM11" s="111"/>
      <c r="NBN11" s="111"/>
      <c r="NBO11" s="111"/>
      <c r="NBP11" s="111"/>
      <c r="NBQ11" s="111"/>
      <c r="NBR11" s="111"/>
      <c r="NBS11" s="111"/>
      <c r="NBT11" s="111"/>
      <c r="NBU11" s="111"/>
      <c r="NBV11" s="111"/>
      <c r="NBW11" s="111"/>
      <c r="NBX11" s="111"/>
      <c r="NBY11" s="111"/>
      <c r="NBZ11" s="111"/>
      <c r="NCA11" s="111"/>
      <c r="NCB11" s="111"/>
      <c r="NCC11" s="111"/>
      <c r="NCD11" s="111"/>
      <c r="NCE11" s="111"/>
      <c r="NCF11" s="111"/>
      <c r="NCG11" s="111"/>
      <c r="NCH11" s="111"/>
      <c r="NCI11" s="111"/>
      <c r="NCJ11" s="111"/>
      <c r="NCK11" s="111"/>
      <c r="NCL11" s="111"/>
      <c r="NCM11" s="111"/>
      <c r="NCN11" s="111"/>
      <c r="NCO11" s="111"/>
      <c r="NCP11" s="111"/>
      <c r="NCQ11" s="111"/>
      <c r="NCR11" s="111"/>
      <c r="NCS11" s="111"/>
      <c r="NCT11" s="111"/>
      <c r="NCU11" s="111"/>
      <c r="NCV11" s="111"/>
      <c r="NCW11" s="111"/>
      <c r="NCX11" s="111"/>
      <c r="NCY11" s="111"/>
      <c r="NCZ11" s="111"/>
      <c r="NDA11" s="111"/>
      <c r="NDB11" s="111"/>
      <c r="NDC11" s="111"/>
      <c r="NDD11" s="111"/>
      <c r="NDE11" s="111"/>
      <c r="NDF11" s="111"/>
      <c r="NDG11" s="111"/>
      <c r="NDH11" s="111"/>
      <c r="NDI11" s="111"/>
      <c r="NDJ11" s="111"/>
      <c r="NDK11" s="111"/>
      <c r="NDL11" s="111"/>
      <c r="NDM11" s="111"/>
      <c r="NDN11" s="111"/>
      <c r="NDO11" s="111"/>
      <c r="NDP11" s="111"/>
      <c r="NDQ11" s="111"/>
      <c r="NDR11" s="111"/>
      <c r="NDS11" s="111"/>
      <c r="NDT11" s="111"/>
      <c r="NDU11" s="111"/>
      <c r="NDV11" s="111"/>
      <c r="NDW11" s="111"/>
      <c r="NDX11" s="111"/>
      <c r="NDY11" s="111"/>
      <c r="NDZ11" s="111"/>
      <c r="NEA11" s="111"/>
      <c r="NEB11" s="111"/>
      <c r="NEC11" s="111"/>
      <c r="NED11" s="111"/>
      <c r="NEE11" s="111"/>
      <c r="NEF11" s="111"/>
      <c r="NEG11" s="111"/>
      <c r="NEH11" s="111"/>
      <c r="NEI11" s="111"/>
      <c r="NEJ11" s="111"/>
      <c r="NEK11" s="111"/>
      <c r="NEL11" s="111"/>
      <c r="NEM11" s="111"/>
      <c r="NEN11" s="111"/>
      <c r="NEO11" s="111"/>
      <c r="NEP11" s="111"/>
      <c r="NEQ11" s="111"/>
      <c r="NER11" s="111"/>
      <c r="NES11" s="111"/>
      <c r="NET11" s="111"/>
      <c r="NEU11" s="111"/>
      <c r="NEV11" s="111"/>
      <c r="NEW11" s="111"/>
      <c r="NEX11" s="111"/>
      <c r="NEY11" s="111"/>
      <c r="NEZ11" s="111"/>
      <c r="NFA11" s="111"/>
      <c r="NFB11" s="111"/>
      <c r="NFC11" s="111"/>
      <c r="NFD11" s="111"/>
      <c r="NFE11" s="111"/>
      <c r="NFF11" s="111"/>
      <c r="NFG11" s="111"/>
      <c r="NFH11" s="111"/>
      <c r="NFI11" s="111"/>
      <c r="NFJ11" s="111"/>
      <c r="NFK11" s="111"/>
      <c r="NFL11" s="111"/>
      <c r="NFM11" s="111"/>
      <c r="NFN11" s="111"/>
      <c r="NFO11" s="111"/>
      <c r="NFP11" s="111"/>
      <c r="NFQ11" s="111"/>
      <c r="NFR11" s="111"/>
      <c r="NFS11" s="111"/>
      <c r="NFT11" s="111"/>
      <c r="NFU11" s="111"/>
      <c r="NFV11" s="111"/>
      <c r="NFW11" s="111"/>
      <c r="NFX11" s="111"/>
      <c r="NFY11" s="111"/>
      <c r="NFZ11" s="111"/>
      <c r="NGA11" s="111"/>
      <c r="NGB11" s="111"/>
      <c r="NGC11" s="111"/>
      <c r="NGD11" s="111"/>
      <c r="NGE11" s="111"/>
      <c r="NGF11" s="111"/>
      <c r="NGG11" s="111"/>
      <c r="NGH11" s="111"/>
      <c r="NGI11" s="111"/>
      <c r="NGJ11" s="111"/>
      <c r="NGK11" s="111"/>
      <c r="NGL11" s="111"/>
      <c r="NGM11" s="111"/>
      <c r="NGN11" s="111"/>
      <c r="NGO11" s="111"/>
      <c r="NGP11" s="111"/>
      <c r="NGQ11" s="111"/>
      <c r="NGR11" s="111"/>
      <c r="NGS11" s="111"/>
      <c r="NGT11" s="111"/>
      <c r="NGU11" s="111"/>
      <c r="NGV11" s="111"/>
      <c r="NGW11" s="111"/>
      <c r="NGX11" s="111"/>
      <c r="NGY11" s="111"/>
      <c r="NGZ11" s="111"/>
      <c r="NHA11" s="111"/>
      <c r="NHB11" s="111"/>
      <c r="NHC11" s="111"/>
      <c r="NHD11" s="111"/>
      <c r="NHE11" s="111"/>
      <c r="NHF11" s="111"/>
      <c r="NHG11" s="111"/>
      <c r="NHH11" s="111"/>
      <c r="NHI11" s="111"/>
      <c r="NHJ11" s="111"/>
      <c r="NHK11" s="111"/>
      <c r="NHL11" s="111"/>
      <c r="NHM11" s="111"/>
      <c r="NHN11" s="111"/>
      <c r="NHO11" s="111"/>
      <c r="NHP11" s="111"/>
      <c r="NHQ11" s="111"/>
      <c r="NHR11" s="111"/>
      <c r="NHS11" s="111"/>
      <c r="NHT11" s="111"/>
      <c r="NHU11" s="111"/>
      <c r="NHV11" s="111"/>
      <c r="NHW11" s="111"/>
      <c r="NHX11" s="111"/>
      <c r="NHY11" s="111"/>
      <c r="NHZ11" s="111"/>
      <c r="NIA11" s="111"/>
      <c r="NIB11" s="111"/>
      <c r="NIC11" s="111"/>
      <c r="NID11" s="111"/>
      <c r="NIE11" s="111"/>
      <c r="NIF11" s="111"/>
      <c r="NIG11" s="111"/>
      <c r="NIH11" s="111"/>
      <c r="NII11" s="111"/>
      <c r="NIJ11" s="111"/>
      <c r="NIK11" s="111"/>
      <c r="NIL11" s="111"/>
      <c r="NIM11" s="111"/>
      <c r="NIN11" s="111"/>
      <c r="NIO11" s="111"/>
      <c r="NIP11" s="111"/>
      <c r="NIQ11" s="111"/>
      <c r="NIR11" s="111"/>
      <c r="NIS11" s="111"/>
      <c r="NIT11" s="111"/>
      <c r="NIU11" s="111"/>
      <c r="NIV11" s="111"/>
      <c r="NIW11" s="111"/>
      <c r="NIX11" s="111"/>
      <c r="NIY11" s="111"/>
      <c r="NIZ11" s="111"/>
      <c r="NJA11" s="111"/>
      <c r="NJB11" s="111"/>
      <c r="NJC11" s="111"/>
      <c r="NJD11" s="111"/>
      <c r="NJE11" s="111"/>
      <c r="NJF11" s="111"/>
      <c r="NJG11" s="111"/>
      <c r="NJH11" s="111"/>
      <c r="NJI11" s="111"/>
      <c r="NJJ11" s="111"/>
      <c r="NJK11" s="111"/>
      <c r="NJL11" s="111"/>
      <c r="NJM11" s="111"/>
      <c r="NJN11" s="111"/>
      <c r="NJO11" s="111"/>
      <c r="NJP11" s="111"/>
      <c r="NJQ11" s="111"/>
      <c r="NJR11" s="111"/>
      <c r="NJS11" s="111"/>
      <c r="NJT11" s="111"/>
      <c r="NJU11" s="111"/>
      <c r="NJV11" s="111"/>
      <c r="NJW11" s="111"/>
      <c r="NJX11" s="111"/>
      <c r="NJY11" s="111"/>
      <c r="NJZ11" s="111"/>
      <c r="NKA11" s="111"/>
      <c r="NKB11" s="111"/>
      <c r="NKC11" s="111"/>
      <c r="NKD11" s="111"/>
      <c r="NKE11" s="111"/>
      <c r="NKF11" s="111"/>
      <c r="NKG11" s="111"/>
      <c r="NKH11" s="111"/>
      <c r="NKI11" s="111"/>
      <c r="NKJ11" s="111"/>
      <c r="NKK11" s="111"/>
      <c r="NKL11" s="111"/>
      <c r="NKM11" s="111"/>
      <c r="NKN11" s="111"/>
      <c r="NKO11" s="111"/>
      <c r="NKP11" s="111"/>
      <c r="NKQ11" s="111"/>
      <c r="NKR11" s="111"/>
      <c r="NKS11" s="111"/>
      <c r="NKT11" s="111"/>
      <c r="NKU11" s="111"/>
      <c r="NKV11" s="111"/>
      <c r="NKW11" s="111"/>
      <c r="NKX11" s="111"/>
      <c r="NKY11" s="111"/>
      <c r="NKZ11" s="111"/>
      <c r="NLA11" s="111"/>
      <c r="NLB11" s="111"/>
      <c r="NLC11" s="111"/>
      <c r="NLD11" s="111"/>
      <c r="NLE11" s="111"/>
      <c r="NLF11" s="111"/>
      <c r="NLG11" s="111"/>
      <c r="NLH11" s="111"/>
      <c r="NLI11" s="111"/>
      <c r="NLJ11" s="111"/>
      <c r="NLK11" s="111"/>
      <c r="NLL11" s="111"/>
      <c r="NLM11" s="111"/>
      <c r="NLN11" s="111"/>
      <c r="NLO11" s="111"/>
      <c r="NLP11" s="111"/>
      <c r="NLQ11" s="111"/>
      <c r="NLR11" s="111"/>
      <c r="NLS11" s="111"/>
      <c r="NLT11" s="111"/>
      <c r="NLU11" s="111"/>
      <c r="NLV11" s="111"/>
      <c r="NLW11" s="111"/>
      <c r="NLX11" s="111"/>
      <c r="NLY11" s="111"/>
      <c r="NLZ11" s="111"/>
      <c r="NMA11" s="111"/>
      <c r="NMB11" s="111"/>
      <c r="NMC11" s="111"/>
      <c r="NMD11" s="111"/>
      <c r="NME11" s="111"/>
      <c r="NMF11" s="111"/>
      <c r="NMG11" s="111"/>
      <c r="NMH11" s="111"/>
      <c r="NMI11" s="111"/>
      <c r="NMJ11" s="111"/>
      <c r="NMK11" s="111"/>
      <c r="NML11" s="111"/>
      <c r="NMM11" s="111"/>
      <c r="NMN11" s="111"/>
      <c r="NMO11" s="111"/>
      <c r="NMP11" s="111"/>
      <c r="NMQ11" s="111"/>
      <c r="NMR11" s="111"/>
      <c r="NMS11" s="111"/>
      <c r="NMT11" s="111"/>
      <c r="NMU11" s="111"/>
      <c r="NMV11" s="111"/>
      <c r="NMW11" s="111"/>
      <c r="NMX11" s="111"/>
      <c r="NMY11" s="111"/>
      <c r="NMZ11" s="111"/>
      <c r="NNA11" s="111"/>
      <c r="NNB11" s="111"/>
      <c r="NNC11" s="111"/>
      <c r="NND11" s="111"/>
      <c r="NNE11" s="111"/>
      <c r="NNF11" s="111"/>
      <c r="NNG11" s="111"/>
      <c r="NNH11" s="111"/>
      <c r="NNI11" s="111"/>
      <c r="NNJ11" s="111"/>
      <c r="NNK11" s="111"/>
      <c r="NNL11" s="111"/>
      <c r="NNM11" s="111"/>
      <c r="NNN11" s="111"/>
      <c r="NNO11" s="111"/>
      <c r="NNP11" s="111"/>
      <c r="NNQ11" s="111"/>
      <c r="NNR11" s="111"/>
      <c r="NNS11" s="111"/>
      <c r="NNT11" s="111"/>
      <c r="NNU11" s="111"/>
      <c r="NNV11" s="111"/>
      <c r="NNW11" s="111"/>
      <c r="NNX11" s="111"/>
      <c r="NNY11" s="111"/>
      <c r="NNZ11" s="111"/>
      <c r="NOA11" s="111"/>
      <c r="NOB11" s="111"/>
      <c r="NOC11" s="111"/>
      <c r="NOD11" s="111"/>
      <c r="NOE11" s="111"/>
      <c r="NOF11" s="111"/>
      <c r="NOG11" s="111"/>
      <c r="NOH11" s="111"/>
      <c r="NOI11" s="111"/>
      <c r="NOJ11" s="111"/>
      <c r="NOK11" s="111"/>
      <c r="NOL11" s="111"/>
      <c r="NOM11" s="111"/>
      <c r="NON11" s="111"/>
      <c r="NOO11" s="111"/>
      <c r="NOP11" s="111"/>
      <c r="NOQ11" s="111"/>
      <c r="NOR11" s="111"/>
      <c r="NOS11" s="111"/>
      <c r="NOT11" s="111"/>
      <c r="NOU11" s="111"/>
      <c r="NOV11" s="111"/>
      <c r="NOW11" s="111"/>
      <c r="NOX11" s="111"/>
      <c r="NOY11" s="111"/>
      <c r="NOZ11" s="111"/>
      <c r="NPA11" s="111"/>
      <c r="NPB11" s="111"/>
      <c r="NPC11" s="111"/>
      <c r="NPD11" s="111"/>
      <c r="NPE11" s="111"/>
      <c r="NPF11" s="111"/>
      <c r="NPG11" s="111"/>
      <c r="NPH11" s="111"/>
      <c r="NPI11" s="111"/>
      <c r="NPJ11" s="111"/>
      <c r="NPK11" s="111"/>
      <c r="NPL11" s="111"/>
      <c r="NPM11" s="111"/>
      <c r="NPN11" s="111"/>
      <c r="NPO11" s="111"/>
      <c r="NPP11" s="111"/>
      <c r="NPQ11" s="111"/>
      <c r="NPR11" s="111"/>
      <c r="NPS11" s="111"/>
      <c r="NPT11" s="111"/>
      <c r="NPU11" s="111"/>
      <c r="NPV11" s="111"/>
      <c r="NPW11" s="111"/>
      <c r="NPX11" s="111"/>
      <c r="NPY11" s="111"/>
      <c r="NPZ11" s="111"/>
      <c r="NQA11" s="111"/>
      <c r="NQB11" s="111"/>
      <c r="NQC11" s="111"/>
      <c r="NQD11" s="111"/>
      <c r="NQE11" s="111"/>
      <c r="NQF11" s="111"/>
      <c r="NQG11" s="111"/>
      <c r="NQH11" s="111"/>
      <c r="NQI11" s="111"/>
      <c r="NQJ11" s="111"/>
      <c r="NQK11" s="111"/>
      <c r="NQL11" s="111"/>
      <c r="NQM11" s="111"/>
      <c r="NQN11" s="111"/>
      <c r="NQO11" s="111"/>
      <c r="NQP11" s="111"/>
      <c r="NQQ11" s="111"/>
      <c r="NQR11" s="111"/>
      <c r="NQS11" s="111"/>
      <c r="NQT11" s="111"/>
      <c r="NQU11" s="111"/>
      <c r="NQV11" s="111"/>
      <c r="NQW11" s="111"/>
      <c r="NQX11" s="111"/>
      <c r="NQY11" s="111"/>
      <c r="NQZ11" s="111"/>
      <c r="NRA11" s="111"/>
      <c r="NRB11" s="111"/>
      <c r="NRC11" s="111"/>
      <c r="NRD11" s="111"/>
      <c r="NRE11" s="111"/>
      <c r="NRF11" s="111"/>
      <c r="NRG11" s="111"/>
      <c r="NRH11" s="111"/>
      <c r="NRI11" s="111"/>
      <c r="NRJ11" s="111"/>
      <c r="NRK11" s="111"/>
      <c r="NRL11" s="111"/>
      <c r="NRM11" s="111"/>
      <c r="NRN11" s="111"/>
      <c r="NRO11" s="111"/>
      <c r="NRP11" s="111"/>
      <c r="NRQ11" s="111"/>
      <c r="NRR11" s="111"/>
      <c r="NRS11" s="111"/>
      <c r="NRT11" s="111"/>
      <c r="NRU11" s="111"/>
      <c r="NRV11" s="111"/>
      <c r="NRW11" s="111"/>
      <c r="NRX11" s="111"/>
      <c r="NRY11" s="111"/>
      <c r="NRZ11" s="111"/>
      <c r="NSA11" s="111"/>
      <c r="NSB11" s="111"/>
      <c r="NSC11" s="111"/>
      <c r="NSD11" s="111"/>
      <c r="NSE11" s="111"/>
      <c r="NSF11" s="111"/>
      <c r="NSG11" s="111"/>
      <c r="NSH11" s="111"/>
      <c r="NSI11" s="111"/>
      <c r="NSJ11" s="111"/>
      <c r="NSK11" s="111"/>
      <c r="NSL11" s="111"/>
      <c r="NSM11" s="111"/>
      <c r="NSN11" s="111"/>
      <c r="NSO11" s="111"/>
      <c r="NSP11" s="111"/>
      <c r="NSQ11" s="111"/>
      <c r="NSR11" s="111"/>
      <c r="NSS11" s="111"/>
      <c r="NST11" s="111"/>
      <c r="NSU11" s="111"/>
      <c r="NSV11" s="111"/>
      <c r="NSW11" s="111"/>
      <c r="NSX11" s="111"/>
      <c r="NSY11" s="111"/>
      <c r="NSZ11" s="111"/>
      <c r="NTA11" s="111"/>
      <c r="NTB11" s="111"/>
      <c r="NTC11" s="111"/>
      <c r="NTD11" s="111"/>
      <c r="NTE11" s="111"/>
      <c r="NTF11" s="111"/>
      <c r="NTG11" s="111"/>
      <c r="NTH11" s="111"/>
      <c r="NTI11" s="111"/>
      <c r="NTJ11" s="111"/>
      <c r="NTK11" s="111"/>
      <c r="NTL11" s="111"/>
      <c r="NTM11" s="111"/>
      <c r="NTN11" s="111"/>
      <c r="NTO11" s="111"/>
      <c r="NTP11" s="111"/>
      <c r="NTQ11" s="111"/>
      <c r="NTR11" s="111"/>
      <c r="NTS11" s="111"/>
      <c r="NTT11" s="111"/>
      <c r="NTU11" s="111"/>
      <c r="NTV11" s="111"/>
      <c r="NTW11" s="111"/>
      <c r="NTX11" s="111"/>
      <c r="NTY11" s="111"/>
      <c r="NTZ11" s="111"/>
      <c r="NUA11" s="111"/>
      <c r="NUB11" s="111"/>
      <c r="NUC11" s="111"/>
      <c r="NUD11" s="111"/>
      <c r="NUE11" s="111"/>
      <c r="NUF11" s="111"/>
      <c r="NUG11" s="111"/>
      <c r="NUH11" s="111"/>
      <c r="NUI11" s="111"/>
      <c r="NUJ11" s="111"/>
      <c r="NUK11" s="111"/>
      <c r="NUL11" s="111"/>
      <c r="NUM11" s="111"/>
      <c r="NUN11" s="111"/>
      <c r="NUO11" s="111"/>
      <c r="NUP11" s="111"/>
      <c r="NUQ11" s="111"/>
      <c r="NUR11" s="111"/>
      <c r="NUS11" s="111"/>
      <c r="NUT11" s="111"/>
      <c r="NUU11" s="111"/>
      <c r="NUV11" s="111"/>
      <c r="NUW11" s="111"/>
      <c r="NUX11" s="111"/>
      <c r="NUY11" s="111"/>
      <c r="NUZ11" s="111"/>
      <c r="NVA11" s="111"/>
      <c r="NVB11" s="111"/>
      <c r="NVC11" s="111"/>
      <c r="NVD11" s="111"/>
      <c r="NVE11" s="111"/>
      <c r="NVF11" s="111"/>
      <c r="NVG11" s="111"/>
      <c r="NVH11" s="111"/>
      <c r="NVI11" s="111"/>
      <c r="NVJ11" s="111"/>
      <c r="NVK11" s="111"/>
      <c r="NVL11" s="111"/>
      <c r="NVM11" s="111"/>
      <c r="NVN11" s="111"/>
      <c r="NVO11" s="111"/>
      <c r="NVP11" s="111"/>
      <c r="NVQ11" s="111"/>
      <c r="NVR11" s="111"/>
      <c r="NVS11" s="111"/>
      <c r="NVT11" s="111"/>
      <c r="NVU11" s="111"/>
      <c r="NVV11" s="111"/>
      <c r="NVW11" s="111"/>
      <c r="NVX11" s="111"/>
      <c r="NVY11" s="111"/>
      <c r="NVZ11" s="111"/>
      <c r="NWA11" s="111"/>
      <c r="NWB11" s="111"/>
      <c r="NWC11" s="111"/>
      <c r="NWD11" s="111"/>
      <c r="NWE11" s="111"/>
      <c r="NWF11" s="111"/>
      <c r="NWG11" s="111"/>
      <c r="NWH11" s="111"/>
      <c r="NWI11" s="111"/>
      <c r="NWJ11" s="111"/>
      <c r="NWK11" s="111"/>
      <c r="NWL11" s="111"/>
      <c r="NWM11" s="111"/>
      <c r="NWN11" s="111"/>
      <c r="NWO11" s="111"/>
      <c r="NWP11" s="111"/>
      <c r="NWQ11" s="111"/>
      <c r="NWR11" s="111"/>
      <c r="NWS11" s="111"/>
      <c r="NWT11" s="111"/>
      <c r="NWU11" s="111"/>
      <c r="NWV11" s="111"/>
      <c r="NWW11" s="111"/>
      <c r="NWX11" s="111"/>
      <c r="NWY11" s="111"/>
      <c r="NWZ11" s="111"/>
      <c r="NXA11" s="111"/>
      <c r="NXB11" s="111"/>
      <c r="NXC11" s="111"/>
      <c r="NXD11" s="111"/>
      <c r="NXE11" s="111"/>
      <c r="NXF11" s="111"/>
      <c r="NXG11" s="111"/>
      <c r="NXH11" s="111"/>
      <c r="NXI11" s="111"/>
      <c r="NXJ11" s="111"/>
      <c r="NXK11" s="111"/>
      <c r="NXL11" s="111"/>
      <c r="NXM11" s="111"/>
      <c r="NXN11" s="111"/>
      <c r="NXO11" s="111"/>
      <c r="NXP11" s="111"/>
      <c r="NXQ11" s="111"/>
      <c r="NXR11" s="111"/>
      <c r="NXS11" s="111"/>
      <c r="NXT11" s="111"/>
      <c r="NXU11" s="111"/>
      <c r="NXV11" s="111"/>
      <c r="NXW11" s="111"/>
      <c r="NXX11" s="111"/>
      <c r="NXY11" s="111"/>
      <c r="NXZ11" s="111"/>
      <c r="NYA11" s="111"/>
      <c r="NYB11" s="111"/>
      <c r="NYC11" s="111"/>
      <c r="NYD11" s="111"/>
      <c r="NYE11" s="111"/>
      <c r="NYF11" s="111"/>
      <c r="NYG11" s="111"/>
      <c r="NYH11" s="111"/>
      <c r="NYI11" s="111"/>
      <c r="NYJ11" s="111"/>
      <c r="NYK11" s="111"/>
      <c r="NYL11" s="111"/>
      <c r="NYM11" s="111"/>
      <c r="NYN11" s="111"/>
      <c r="NYO11" s="111"/>
      <c r="NYP11" s="111"/>
      <c r="NYQ11" s="111"/>
      <c r="NYR11" s="111"/>
      <c r="NYS11" s="111"/>
      <c r="NYT11" s="111"/>
      <c r="NYU11" s="111"/>
      <c r="NYV11" s="111"/>
      <c r="NYW11" s="111"/>
      <c r="NYX11" s="111"/>
      <c r="NYY11" s="111"/>
      <c r="NYZ11" s="111"/>
      <c r="NZA11" s="111"/>
      <c r="NZB11" s="111"/>
      <c r="NZC11" s="111"/>
      <c r="NZD11" s="111"/>
      <c r="NZE11" s="111"/>
      <c r="NZF11" s="111"/>
      <c r="NZG11" s="111"/>
      <c r="NZH11" s="111"/>
      <c r="NZI11" s="111"/>
      <c r="NZJ11" s="111"/>
      <c r="NZK11" s="111"/>
      <c r="NZL11" s="111"/>
      <c r="NZM11" s="111"/>
      <c r="NZN11" s="111"/>
      <c r="NZO11" s="111"/>
      <c r="NZP11" s="111"/>
      <c r="NZQ11" s="111"/>
      <c r="NZR11" s="111"/>
      <c r="NZS11" s="111"/>
      <c r="NZT11" s="111"/>
      <c r="NZU11" s="111"/>
      <c r="NZV11" s="111"/>
      <c r="NZW11" s="111"/>
      <c r="NZX11" s="111"/>
      <c r="NZY11" s="111"/>
      <c r="NZZ11" s="111"/>
      <c r="OAA11" s="111"/>
      <c r="OAB11" s="111"/>
      <c r="OAC11" s="111"/>
      <c r="OAD11" s="111"/>
      <c r="OAE11" s="111"/>
      <c r="OAF11" s="111"/>
      <c r="OAG11" s="111"/>
      <c r="OAH11" s="111"/>
      <c r="OAI11" s="111"/>
      <c r="OAJ11" s="111"/>
      <c r="OAK11" s="111"/>
      <c r="OAL11" s="111"/>
      <c r="OAM11" s="111"/>
      <c r="OAN11" s="111"/>
      <c r="OAO11" s="111"/>
      <c r="OAP11" s="111"/>
      <c r="OAQ11" s="111"/>
      <c r="OAR11" s="111"/>
      <c r="OAS11" s="111"/>
      <c r="OAT11" s="111"/>
      <c r="OAU11" s="111"/>
      <c r="OAV11" s="111"/>
      <c r="OAW11" s="111"/>
      <c r="OAX11" s="111"/>
      <c r="OAY11" s="111"/>
      <c r="OAZ11" s="111"/>
      <c r="OBA11" s="111"/>
      <c r="OBB11" s="111"/>
      <c r="OBC11" s="111"/>
      <c r="OBD11" s="111"/>
      <c r="OBE11" s="111"/>
      <c r="OBF11" s="111"/>
      <c r="OBG11" s="111"/>
      <c r="OBH11" s="111"/>
      <c r="OBI11" s="111"/>
      <c r="OBJ11" s="111"/>
      <c r="OBK11" s="111"/>
      <c r="OBL11" s="111"/>
      <c r="OBM11" s="111"/>
      <c r="OBN11" s="111"/>
      <c r="OBO11" s="111"/>
      <c r="OBP11" s="111"/>
      <c r="OBQ11" s="111"/>
      <c r="OBR11" s="111"/>
      <c r="OBS11" s="111"/>
      <c r="OBT11" s="111"/>
      <c r="OBU11" s="111"/>
      <c r="OBV11" s="111"/>
      <c r="OBW11" s="111"/>
      <c r="OBX11" s="111"/>
      <c r="OBY11" s="111"/>
      <c r="OBZ11" s="111"/>
      <c r="OCA11" s="111"/>
      <c r="OCB11" s="111"/>
      <c r="OCC11" s="111"/>
      <c r="OCD11" s="111"/>
      <c r="OCE11" s="111"/>
      <c r="OCF11" s="111"/>
      <c r="OCG11" s="111"/>
      <c r="OCH11" s="111"/>
      <c r="OCI11" s="111"/>
      <c r="OCJ11" s="111"/>
      <c r="OCK11" s="111"/>
      <c r="OCL11" s="111"/>
      <c r="OCM11" s="111"/>
      <c r="OCN11" s="111"/>
      <c r="OCO11" s="111"/>
      <c r="OCP11" s="111"/>
      <c r="OCQ11" s="111"/>
      <c r="OCR11" s="111"/>
      <c r="OCS11" s="111"/>
      <c r="OCT11" s="111"/>
      <c r="OCU11" s="111"/>
      <c r="OCV11" s="111"/>
      <c r="OCW11" s="111"/>
      <c r="OCX11" s="111"/>
      <c r="OCY11" s="111"/>
      <c r="OCZ11" s="111"/>
      <c r="ODA11" s="111"/>
      <c r="ODB11" s="111"/>
      <c r="ODC11" s="111"/>
      <c r="ODD11" s="111"/>
      <c r="ODE11" s="111"/>
      <c r="ODF11" s="111"/>
      <c r="ODG11" s="111"/>
      <c r="ODH11" s="111"/>
      <c r="ODI11" s="111"/>
      <c r="ODJ11" s="111"/>
      <c r="ODK11" s="111"/>
      <c r="ODL11" s="111"/>
      <c r="ODM11" s="111"/>
      <c r="ODN11" s="111"/>
      <c r="ODO11" s="111"/>
      <c r="ODP11" s="111"/>
      <c r="ODQ11" s="111"/>
      <c r="ODR11" s="111"/>
      <c r="ODS11" s="111"/>
      <c r="ODT11" s="111"/>
      <c r="ODU11" s="111"/>
      <c r="ODV11" s="111"/>
      <c r="ODW11" s="111"/>
      <c r="ODX11" s="111"/>
      <c r="ODY11" s="111"/>
      <c r="ODZ11" s="111"/>
      <c r="OEA11" s="111"/>
      <c r="OEB11" s="111"/>
      <c r="OEC11" s="111"/>
      <c r="OED11" s="111"/>
      <c r="OEE11" s="111"/>
      <c r="OEF11" s="111"/>
      <c r="OEG11" s="111"/>
      <c r="OEH11" s="111"/>
      <c r="OEI11" s="111"/>
      <c r="OEJ11" s="111"/>
      <c r="OEK11" s="111"/>
      <c r="OEL11" s="111"/>
      <c r="OEM11" s="111"/>
      <c r="OEN11" s="111"/>
      <c r="OEO11" s="111"/>
      <c r="OEP11" s="111"/>
      <c r="OEQ11" s="111"/>
      <c r="OER11" s="111"/>
      <c r="OES11" s="111"/>
      <c r="OET11" s="111"/>
      <c r="OEU11" s="111"/>
      <c r="OEV11" s="111"/>
      <c r="OEW11" s="111"/>
      <c r="OEX11" s="111"/>
      <c r="OEY11" s="111"/>
      <c r="OEZ11" s="111"/>
      <c r="OFA11" s="111"/>
      <c r="OFB11" s="111"/>
      <c r="OFC11" s="111"/>
      <c r="OFD11" s="111"/>
      <c r="OFE11" s="111"/>
      <c r="OFF11" s="111"/>
      <c r="OFG11" s="111"/>
      <c r="OFH11" s="111"/>
      <c r="OFI11" s="111"/>
      <c r="OFJ11" s="111"/>
      <c r="OFK11" s="111"/>
      <c r="OFL11" s="111"/>
      <c r="OFM11" s="111"/>
      <c r="OFN11" s="111"/>
      <c r="OFO11" s="111"/>
      <c r="OFP11" s="111"/>
      <c r="OFQ11" s="111"/>
      <c r="OFR11" s="111"/>
      <c r="OFS11" s="111"/>
      <c r="OFT11" s="111"/>
      <c r="OFU11" s="111"/>
      <c r="OFV11" s="111"/>
      <c r="OFW11" s="111"/>
      <c r="OFX11" s="111"/>
      <c r="OFY11" s="111"/>
      <c r="OFZ11" s="111"/>
      <c r="OGA11" s="111"/>
      <c r="OGB11" s="111"/>
      <c r="OGC11" s="111"/>
      <c r="OGD11" s="111"/>
      <c r="OGE11" s="111"/>
      <c r="OGF11" s="111"/>
      <c r="OGG11" s="111"/>
      <c r="OGH11" s="111"/>
      <c r="OGI11" s="111"/>
      <c r="OGJ11" s="111"/>
      <c r="OGK11" s="111"/>
      <c r="OGL11" s="111"/>
      <c r="OGM11" s="111"/>
      <c r="OGN11" s="111"/>
      <c r="OGO11" s="111"/>
      <c r="OGP11" s="111"/>
      <c r="OGQ11" s="111"/>
      <c r="OGR11" s="111"/>
      <c r="OGS11" s="111"/>
      <c r="OGT11" s="111"/>
      <c r="OGU11" s="111"/>
      <c r="OGV11" s="111"/>
      <c r="OGW11" s="111"/>
      <c r="OGX11" s="111"/>
      <c r="OGY11" s="111"/>
      <c r="OGZ11" s="111"/>
      <c r="OHA11" s="111"/>
      <c r="OHB11" s="111"/>
      <c r="OHC11" s="111"/>
      <c r="OHD11" s="111"/>
      <c r="OHE11" s="111"/>
      <c r="OHF11" s="111"/>
      <c r="OHG11" s="111"/>
      <c r="OHH11" s="111"/>
      <c r="OHI11" s="111"/>
      <c r="OHJ11" s="111"/>
      <c r="OHK11" s="111"/>
      <c r="OHL11" s="111"/>
      <c r="OHM11" s="111"/>
      <c r="OHN11" s="111"/>
      <c r="OHO11" s="111"/>
      <c r="OHP11" s="111"/>
      <c r="OHQ11" s="111"/>
      <c r="OHR11" s="111"/>
      <c r="OHS11" s="111"/>
      <c r="OHT11" s="111"/>
      <c r="OHU11" s="111"/>
      <c r="OHV11" s="111"/>
      <c r="OHW11" s="111"/>
      <c r="OHX11" s="111"/>
      <c r="OHY11" s="111"/>
      <c r="OHZ11" s="111"/>
      <c r="OIA11" s="111"/>
      <c r="OIB11" s="111"/>
      <c r="OIC11" s="111"/>
      <c r="OID11" s="111"/>
      <c r="OIE11" s="111"/>
      <c r="OIF11" s="111"/>
      <c r="OIG11" s="111"/>
      <c r="OIH11" s="111"/>
      <c r="OII11" s="111"/>
      <c r="OIJ11" s="111"/>
      <c r="OIK11" s="111"/>
      <c r="OIL11" s="111"/>
      <c r="OIM11" s="111"/>
      <c r="OIN11" s="111"/>
      <c r="OIO11" s="111"/>
      <c r="OIP11" s="111"/>
      <c r="OIQ11" s="111"/>
      <c r="OIR11" s="111"/>
      <c r="OIS11" s="111"/>
      <c r="OIT11" s="111"/>
      <c r="OIU11" s="111"/>
      <c r="OIV11" s="111"/>
      <c r="OIW11" s="111"/>
      <c r="OIX11" s="111"/>
      <c r="OIY11" s="111"/>
      <c r="OIZ11" s="111"/>
      <c r="OJA11" s="111"/>
      <c r="OJB11" s="111"/>
      <c r="OJC11" s="111"/>
      <c r="OJD11" s="111"/>
      <c r="OJE11" s="111"/>
      <c r="OJF11" s="111"/>
      <c r="OJG11" s="111"/>
      <c r="OJH11" s="111"/>
      <c r="OJI11" s="111"/>
      <c r="OJJ11" s="111"/>
      <c r="OJK11" s="111"/>
      <c r="OJL11" s="111"/>
      <c r="OJM11" s="111"/>
      <c r="OJN11" s="111"/>
      <c r="OJO11" s="111"/>
      <c r="OJP11" s="111"/>
      <c r="OJQ11" s="111"/>
      <c r="OJR11" s="111"/>
      <c r="OJS11" s="111"/>
      <c r="OJT11" s="111"/>
      <c r="OJU11" s="111"/>
      <c r="OJV11" s="111"/>
      <c r="OJW11" s="111"/>
      <c r="OJX11" s="111"/>
      <c r="OJY11" s="111"/>
      <c r="OJZ11" s="111"/>
      <c r="OKA11" s="111"/>
      <c r="OKB11" s="111"/>
      <c r="OKC11" s="111"/>
      <c r="OKD11" s="111"/>
      <c r="OKE11" s="111"/>
      <c r="OKF11" s="111"/>
      <c r="OKG11" s="111"/>
      <c r="OKH11" s="111"/>
      <c r="OKI11" s="111"/>
      <c r="OKJ11" s="111"/>
      <c r="OKK11" s="111"/>
      <c r="OKL11" s="111"/>
      <c r="OKM11" s="111"/>
      <c r="OKN11" s="111"/>
      <c r="OKO11" s="111"/>
      <c r="OKP11" s="111"/>
      <c r="OKQ11" s="111"/>
      <c r="OKR11" s="111"/>
      <c r="OKS11" s="111"/>
      <c r="OKT11" s="111"/>
      <c r="OKU11" s="111"/>
      <c r="OKV11" s="111"/>
      <c r="OKW11" s="111"/>
      <c r="OKX11" s="111"/>
      <c r="OKY11" s="111"/>
      <c r="OKZ11" s="111"/>
      <c r="OLA11" s="111"/>
      <c r="OLB11" s="111"/>
      <c r="OLC11" s="111"/>
      <c r="OLD11" s="111"/>
      <c r="OLE11" s="111"/>
      <c r="OLF11" s="111"/>
      <c r="OLG11" s="111"/>
      <c r="OLH11" s="111"/>
      <c r="OLI11" s="111"/>
      <c r="OLJ11" s="111"/>
      <c r="OLK11" s="111"/>
      <c r="OLL11" s="111"/>
      <c r="OLM11" s="111"/>
      <c r="OLN11" s="111"/>
      <c r="OLO11" s="111"/>
      <c r="OLP11" s="111"/>
      <c r="OLQ11" s="111"/>
      <c r="OLR11" s="111"/>
      <c r="OLS11" s="111"/>
      <c r="OLT11" s="111"/>
      <c r="OLU11" s="111"/>
      <c r="OLV11" s="111"/>
      <c r="OLW11" s="111"/>
      <c r="OLX11" s="111"/>
      <c r="OLY11" s="111"/>
      <c r="OLZ11" s="111"/>
      <c r="OMA11" s="111"/>
      <c r="OMB11" s="111"/>
      <c r="OMC11" s="111"/>
      <c r="OMD11" s="111"/>
      <c r="OME11" s="111"/>
      <c r="OMF11" s="111"/>
      <c r="OMG11" s="111"/>
      <c r="OMH11" s="111"/>
      <c r="OMI11" s="111"/>
      <c r="OMJ11" s="111"/>
      <c r="OMK11" s="111"/>
      <c r="OML11" s="111"/>
      <c r="OMM11" s="111"/>
      <c r="OMN11" s="111"/>
      <c r="OMO11" s="111"/>
      <c r="OMP11" s="111"/>
      <c r="OMQ11" s="111"/>
      <c r="OMR11" s="111"/>
      <c r="OMS11" s="111"/>
      <c r="OMT11" s="111"/>
      <c r="OMU11" s="111"/>
      <c r="OMV11" s="111"/>
      <c r="OMW11" s="111"/>
      <c r="OMX11" s="111"/>
      <c r="OMY11" s="111"/>
      <c r="OMZ11" s="111"/>
      <c r="ONA11" s="111"/>
      <c r="ONB11" s="111"/>
      <c r="ONC11" s="111"/>
      <c r="OND11" s="111"/>
      <c r="ONE11" s="111"/>
      <c r="ONF11" s="111"/>
      <c r="ONG11" s="111"/>
      <c r="ONH11" s="111"/>
      <c r="ONI11" s="111"/>
      <c r="ONJ11" s="111"/>
      <c r="ONK11" s="111"/>
      <c r="ONL11" s="111"/>
      <c r="ONM11" s="111"/>
      <c r="ONN11" s="111"/>
      <c r="ONO11" s="111"/>
      <c r="ONP11" s="111"/>
      <c r="ONQ11" s="111"/>
      <c r="ONR11" s="111"/>
      <c r="ONS11" s="111"/>
      <c r="ONT11" s="111"/>
      <c r="ONU11" s="111"/>
      <c r="ONV11" s="111"/>
      <c r="ONW11" s="111"/>
      <c r="ONX11" s="111"/>
      <c r="ONY11" s="111"/>
      <c r="ONZ11" s="111"/>
      <c r="OOA11" s="111"/>
      <c r="OOB11" s="111"/>
      <c r="OOC11" s="111"/>
      <c r="OOD11" s="111"/>
      <c r="OOE11" s="111"/>
      <c r="OOF11" s="111"/>
      <c r="OOG11" s="111"/>
      <c r="OOH11" s="111"/>
      <c r="OOI11" s="111"/>
      <c r="OOJ11" s="111"/>
      <c r="OOK11" s="111"/>
      <c r="OOL11" s="111"/>
      <c r="OOM11" s="111"/>
      <c r="OON11" s="111"/>
      <c r="OOO11" s="111"/>
      <c r="OOP11" s="111"/>
      <c r="OOQ11" s="111"/>
      <c r="OOR11" s="111"/>
      <c r="OOS11" s="111"/>
      <c r="OOT11" s="111"/>
      <c r="OOU11" s="111"/>
      <c r="OOV11" s="111"/>
      <c r="OOW11" s="111"/>
      <c r="OOX11" s="111"/>
      <c r="OOY11" s="111"/>
      <c r="OOZ11" s="111"/>
      <c r="OPA11" s="111"/>
      <c r="OPB11" s="111"/>
      <c r="OPC11" s="111"/>
      <c r="OPD11" s="111"/>
      <c r="OPE11" s="111"/>
      <c r="OPF11" s="111"/>
      <c r="OPG11" s="111"/>
      <c r="OPH11" s="111"/>
      <c r="OPI11" s="111"/>
      <c r="OPJ11" s="111"/>
      <c r="OPK11" s="111"/>
      <c r="OPL11" s="111"/>
      <c r="OPM11" s="111"/>
      <c r="OPN11" s="111"/>
      <c r="OPO11" s="111"/>
      <c r="OPP11" s="111"/>
      <c r="OPQ11" s="111"/>
      <c r="OPR11" s="111"/>
      <c r="OPS11" s="111"/>
      <c r="OPT11" s="111"/>
      <c r="OPU11" s="111"/>
      <c r="OPV11" s="111"/>
      <c r="OPW11" s="111"/>
      <c r="OPX11" s="111"/>
      <c r="OPY11" s="111"/>
      <c r="OPZ11" s="111"/>
      <c r="OQA11" s="111"/>
      <c r="OQB11" s="111"/>
      <c r="OQC11" s="111"/>
      <c r="OQD11" s="111"/>
      <c r="OQE11" s="111"/>
      <c r="OQF11" s="111"/>
      <c r="OQG11" s="111"/>
      <c r="OQH11" s="111"/>
      <c r="OQI11" s="111"/>
      <c r="OQJ11" s="111"/>
      <c r="OQK11" s="111"/>
      <c r="OQL11" s="111"/>
      <c r="OQM11" s="111"/>
      <c r="OQN11" s="111"/>
      <c r="OQO11" s="111"/>
      <c r="OQP11" s="111"/>
      <c r="OQQ11" s="111"/>
      <c r="OQR11" s="111"/>
      <c r="OQS11" s="111"/>
      <c r="OQT11" s="111"/>
      <c r="OQU11" s="111"/>
      <c r="OQV11" s="111"/>
      <c r="OQW11" s="111"/>
      <c r="OQX11" s="111"/>
      <c r="OQY11" s="111"/>
      <c r="OQZ11" s="111"/>
      <c r="ORA11" s="111"/>
      <c r="ORB11" s="111"/>
      <c r="ORC11" s="111"/>
      <c r="ORD11" s="111"/>
      <c r="ORE11" s="111"/>
      <c r="ORF11" s="111"/>
      <c r="ORG11" s="111"/>
      <c r="ORH11" s="111"/>
      <c r="ORI11" s="111"/>
      <c r="ORJ11" s="111"/>
      <c r="ORK11" s="111"/>
      <c r="ORL11" s="111"/>
      <c r="ORM11" s="111"/>
      <c r="ORN11" s="111"/>
      <c r="ORO11" s="111"/>
      <c r="ORP11" s="111"/>
      <c r="ORQ11" s="111"/>
      <c r="ORR11" s="111"/>
      <c r="ORS11" s="111"/>
      <c r="ORT11" s="111"/>
      <c r="ORU11" s="111"/>
      <c r="ORV11" s="111"/>
      <c r="ORW11" s="111"/>
      <c r="ORX11" s="111"/>
      <c r="ORY11" s="111"/>
      <c r="ORZ11" s="111"/>
      <c r="OSA11" s="111"/>
      <c r="OSB11" s="111"/>
      <c r="OSC11" s="111"/>
      <c r="OSD11" s="111"/>
      <c r="OSE11" s="111"/>
      <c r="OSF11" s="111"/>
      <c r="OSG11" s="111"/>
      <c r="OSH11" s="111"/>
      <c r="OSI11" s="111"/>
      <c r="OSJ11" s="111"/>
      <c r="OSK11" s="111"/>
      <c r="OSL11" s="111"/>
      <c r="OSM11" s="111"/>
      <c r="OSN11" s="111"/>
      <c r="OSO11" s="111"/>
      <c r="OSP11" s="111"/>
      <c r="OSQ11" s="111"/>
      <c r="OSR11" s="111"/>
      <c r="OSS11" s="111"/>
      <c r="OST11" s="111"/>
      <c r="OSU11" s="111"/>
      <c r="OSV11" s="111"/>
      <c r="OSW11" s="111"/>
      <c r="OSX11" s="111"/>
      <c r="OSY11" s="111"/>
      <c r="OSZ11" s="111"/>
      <c r="OTA11" s="111"/>
      <c r="OTB11" s="111"/>
      <c r="OTC11" s="111"/>
      <c r="OTD11" s="111"/>
      <c r="OTE11" s="111"/>
      <c r="OTF11" s="111"/>
      <c r="OTG11" s="111"/>
      <c r="OTH11" s="111"/>
      <c r="OTI11" s="111"/>
      <c r="OTJ11" s="111"/>
      <c r="OTK11" s="111"/>
      <c r="OTL11" s="111"/>
      <c r="OTM11" s="111"/>
      <c r="OTN11" s="111"/>
      <c r="OTO11" s="111"/>
      <c r="OTP11" s="111"/>
      <c r="OTQ11" s="111"/>
      <c r="OTR11" s="111"/>
      <c r="OTS11" s="111"/>
      <c r="OTT11" s="111"/>
      <c r="OTU11" s="111"/>
      <c r="OTV11" s="111"/>
      <c r="OTW11" s="111"/>
      <c r="OTX11" s="111"/>
      <c r="OTY11" s="111"/>
      <c r="OTZ11" s="111"/>
      <c r="OUA11" s="111"/>
      <c r="OUB11" s="111"/>
      <c r="OUC11" s="111"/>
      <c r="OUD11" s="111"/>
      <c r="OUE11" s="111"/>
      <c r="OUF11" s="111"/>
      <c r="OUG11" s="111"/>
      <c r="OUH11" s="111"/>
      <c r="OUI11" s="111"/>
      <c r="OUJ11" s="111"/>
      <c r="OUK11" s="111"/>
      <c r="OUL11" s="111"/>
      <c r="OUM11" s="111"/>
      <c r="OUN11" s="111"/>
      <c r="OUO11" s="111"/>
      <c r="OUP11" s="111"/>
      <c r="OUQ11" s="111"/>
      <c r="OUR11" s="111"/>
      <c r="OUS11" s="111"/>
      <c r="OUT11" s="111"/>
      <c r="OUU11" s="111"/>
      <c r="OUV11" s="111"/>
      <c r="OUW11" s="111"/>
      <c r="OUX11" s="111"/>
      <c r="OUY11" s="111"/>
      <c r="OUZ11" s="111"/>
      <c r="OVA11" s="111"/>
      <c r="OVB11" s="111"/>
      <c r="OVC11" s="111"/>
      <c r="OVD11" s="111"/>
      <c r="OVE11" s="111"/>
      <c r="OVF11" s="111"/>
      <c r="OVG11" s="111"/>
      <c r="OVH11" s="111"/>
      <c r="OVI11" s="111"/>
      <c r="OVJ11" s="111"/>
      <c r="OVK11" s="111"/>
      <c r="OVL11" s="111"/>
      <c r="OVM11" s="111"/>
      <c r="OVN11" s="111"/>
      <c r="OVO11" s="111"/>
      <c r="OVP11" s="111"/>
      <c r="OVQ11" s="111"/>
      <c r="OVR11" s="111"/>
      <c r="OVS11" s="111"/>
      <c r="OVT11" s="111"/>
      <c r="OVU11" s="111"/>
      <c r="OVV11" s="111"/>
      <c r="OVW11" s="111"/>
      <c r="OVX11" s="111"/>
      <c r="OVY11" s="111"/>
      <c r="OVZ11" s="111"/>
      <c r="OWA11" s="111"/>
      <c r="OWB11" s="111"/>
      <c r="OWC11" s="111"/>
      <c r="OWD11" s="111"/>
      <c r="OWE11" s="111"/>
      <c r="OWF11" s="111"/>
      <c r="OWG11" s="111"/>
      <c r="OWH11" s="111"/>
      <c r="OWI11" s="111"/>
      <c r="OWJ11" s="111"/>
      <c r="OWK11" s="111"/>
      <c r="OWL11" s="111"/>
      <c r="OWM11" s="111"/>
      <c r="OWN11" s="111"/>
      <c r="OWO11" s="111"/>
      <c r="OWP11" s="111"/>
      <c r="OWQ11" s="111"/>
      <c r="OWR11" s="111"/>
      <c r="OWS11" s="111"/>
      <c r="OWT11" s="111"/>
      <c r="OWU11" s="111"/>
      <c r="OWV11" s="111"/>
      <c r="OWW11" s="111"/>
      <c r="OWX11" s="111"/>
      <c r="OWY11" s="111"/>
      <c r="OWZ11" s="111"/>
      <c r="OXA11" s="111"/>
      <c r="OXB11" s="111"/>
      <c r="OXC11" s="111"/>
      <c r="OXD11" s="111"/>
      <c r="OXE11" s="111"/>
      <c r="OXF11" s="111"/>
      <c r="OXG11" s="111"/>
      <c r="OXH11" s="111"/>
      <c r="OXI11" s="111"/>
      <c r="OXJ11" s="111"/>
      <c r="OXK11" s="111"/>
      <c r="OXL11" s="111"/>
      <c r="OXM11" s="111"/>
      <c r="OXN11" s="111"/>
      <c r="OXO11" s="111"/>
      <c r="OXP11" s="111"/>
      <c r="OXQ11" s="111"/>
      <c r="OXR11" s="111"/>
      <c r="OXS11" s="111"/>
      <c r="OXT11" s="111"/>
      <c r="OXU11" s="111"/>
      <c r="OXV11" s="111"/>
      <c r="OXW11" s="111"/>
      <c r="OXX11" s="111"/>
      <c r="OXY11" s="111"/>
      <c r="OXZ11" s="111"/>
      <c r="OYA11" s="111"/>
      <c r="OYB11" s="111"/>
      <c r="OYC11" s="111"/>
      <c r="OYD11" s="111"/>
      <c r="OYE11" s="111"/>
      <c r="OYF11" s="111"/>
      <c r="OYG11" s="111"/>
      <c r="OYH11" s="111"/>
      <c r="OYI11" s="111"/>
      <c r="OYJ11" s="111"/>
      <c r="OYK11" s="111"/>
      <c r="OYL11" s="111"/>
      <c r="OYM11" s="111"/>
      <c r="OYN11" s="111"/>
      <c r="OYO11" s="111"/>
      <c r="OYP11" s="111"/>
      <c r="OYQ11" s="111"/>
      <c r="OYR11" s="111"/>
      <c r="OYS11" s="111"/>
      <c r="OYT11" s="111"/>
      <c r="OYU11" s="111"/>
      <c r="OYV11" s="111"/>
      <c r="OYW11" s="111"/>
      <c r="OYX11" s="111"/>
      <c r="OYY11" s="111"/>
      <c r="OYZ11" s="111"/>
      <c r="OZA11" s="111"/>
      <c r="OZB11" s="111"/>
      <c r="OZC11" s="111"/>
      <c r="OZD11" s="111"/>
      <c r="OZE11" s="111"/>
      <c r="OZF11" s="111"/>
      <c r="OZG11" s="111"/>
      <c r="OZH11" s="111"/>
      <c r="OZI11" s="111"/>
      <c r="OZJ11" s="111"/>
      <c r="OZK11" s="111"/>
      <c r="OZL11" s="111"/>
      <c r="OZM11" s="111"/>
      <c r="OZN11" s="111"/>
      <c r="OZO11" s="111"/>
      <c r="OZP11" s="111"/>
      <c r="OZQ11" s="111"/>
      <c r="OZR11" s="111"/>
      <c r="OZS11" s="111"/>
      <c r="OZT11" s="111"/>
      <c r="OZU11" s="111"/>
      <c r="OZV11" s="111"/>
      <c r="OZW11" s="111"/>
      <c r="OZX11" s="111"/>
      <c r="OZY11" s="111"/>
      <c r="OZZ11" s="111"/>
      <c r="PAA11" s="111"/>
      <c r="PAB11" s="111"/>
      <c r="PAC11" s="111"/>
      <c r="PAD11" s="111"/>
      <c r="PAE11" s="111"/>
      <c r="PAF11" s="111"/>
      <c r="PAG11" s="111"/>
      <c r="PAH11" s="111"/>
      <c r="PAI11" s="111"/>
      <c r="PAJ11" s="111"/>
      <c r="PAK11" s="111"/>
      <c r="PAL11" s="111"/>
      <c r="PAM11" s="111"/>
      <c r="PAN11" s="111"/>
      <c r="PAO11" s="111"/>
      <c r="PAP11" s="111"/>
      <c r="PAQ11" s="111"/>
      <c r="PAR11" s="111"/>
      <c r="PAS11" s="111"/>
      <c r="PAT11" s="111"/>
      <c r="PAU11" s="111"/>
      <c r="PAV11" s="111"/>
      <c r="PAW11" s="111"/>
      <c r="PAX11" s="111"/>
      <c r="PAY11" s="111"/>
      <c r="PAZ11" s="111"/>
      <c r="PBA11" s="111"/>
      <c r="PBB11" s="111"/>
      <c r="PBC11" s="111"/>
      <c r="PBD11" s="111"/>
      <c r="PBE11" s="111"/>
      <c r="PBF11" s="111"/>
      <c r="PBG11" s="111"/>
      <c r="PBH11" s="111"/>
      <c r="PBI11" s="111"/>
      <c r="PBJ11" s="111"/>
      <c r="PBK11" s="111"/>
      <c r="PBL11" s="111"/>
      <c r="PBM11" s="111"/>
      <c r="PBN11" s="111"/>
      <c r="PBO11" s="111"/>
      <c r="PBP11" s="111"/>
      <c r="PBQ11" s="111"/>
      <c r="PBR11" s="111"/>
      <c r="PBS11" s="111"/>
      <c r="PBT11" s="111"/>
      <c r="PBU11" s="111"/>
      <c r="PBV11" s="111"/>
      <c r="PBW11" s="111"/>
      <c r="PBX11" s="111"/>
      <c r="PBY11" s="111"/>
      <c r="PBZ11" s="111"/>
      <c r="PCA11" s="111"/>
      <c r="PCB11" s="111"/>
      <c r="PCC11" s="111"/>
      <c r="PCD11" s="111"/>
      <c r="PCE11" s="111"/>
      <c r="PCF11" s="111"/>
      <c r="PCG11" s="111"/>
      <c r="PCH11" s="111"/>
      <c r="PCI11" s="111"/>
      <c r="PCJ11" s="111"/>
      <c r="PCK11" s="111"/>
      <c r="PCL11" s="111"/>
      <c r="PCM11" s="111"/>
      <c r="PCN11" s="111"/>
      <c r="PCO11" s="111"/>
      <c r="PCP11" s="111"/>
      <c r="PCQ11" s="111"/>
      <c r="PCR11" s="111"/>
      <c r="PCS11" s="111"/>
      <c r="PCT11" s="111"/>
      <c r="PCU11" s="111"/>
      <c r="PCV11" s="111"/>
      <c r="PCW11" s="111"/>
      <c r="PCX11" s="111"/>
      <c r="PCY11" s="111"/>
      <c r="PCZ11" s="111"/>
      <c r="PDA11" s="111"/>
      <c r="PDB11" s="111"/>
      <c r="PDC11" s="111"/>
      <c r="PDD11" s="111"/>
      <c r="PDE11" s="111"/>
      <c r="PDF11" s="111"/>
      <c r="PDG11" s="111"/>
      <c r="PDH11" s="111"/>
      <c r="PDI11" s="111"/>
      <c r="PDJ11" s="111"/>
      <c r="PDK11" s="111"/>
      <c r="PDL11" s="111"/>
      <c r="PDM11" s="111"/>
      <c r="PDN11" s="111"/>
      <c r="PDO11" s="111"/>
      <c r="PDP11" s="111"/>
      <c r="PDQ11" s="111"/>
      <c r="PDR11" s="111"/>
      <c r="PDS11" s="111"/>
      <c r="PDT11" s="111"/>
      <c r="PDU11" s="111"/>
      <c r="PDV11" s="111"/>
      <c r="PDW11" s="111"/>
      <c r="PDX11" s="111"/>
      <c r="PDY11" s="111"/>
      <c r="PDZ11" s="111"/>
      <c r="PEA11" s="111"/>
      <c r="PEB11" s="111"/>
      <c r="PEC11" s="111"/>
      <c r="PED11" s="111"/>
      <c r="PEE11" s="111"/>
      <c r="PEF11" s="111"/>
      <c r="PEG11" s="111"/>
      <c r="PEH11" s="111"/>
      <c r="PEI11" s="111"/>
      <c r="PEJ11" s="111"/>
      <c r="PEK11" s="111"/>
      <c r="PEL11" s="111"/>
      <c r="PEM11" s="111"/>
      <c r="PEN11" s="111"/>
      <c r="PEO11" s="111"/>
      <c r="PEP11" s="111"/>
      <c r="PEQ11" s="111"/>
      <c r="PER11" s="111"/>
      <c r="PES11" s="111"/>
      <c r="PET11" s="111"/>
      <c r="PEU11" s="111"/>
      <c r="PEV11" s="111"/>
      <c r="PEW11" s="111"/>
      <c r="PEX11" s="111"/>
      <c r="PEY11" s="111"/>
      <c r="PEZ11" s="111"/>
      <c r="PFA11" s="111"/>
      <c r="PFB11" s="111"/>
      <c r="PFC11" s="111"/>
      <c r="PFD11" s="111"/>
      <c r="PFE11" s="111"/>
      <c r="PFF11" s="111"/>
      <c r="PFG11" s="111"/>
      <c r="PFH11" s="111"/>
      <c r="PFI11" s="111"/>
      <c r="PFJ11" s="111"/>
      <c r="PFK11" s="111"/>
      <c r="PFL11" s="111"/>
      <c r="PFM11" s="111"/>
      <c r="PFN11" s="111"/>
      <c r="PFO11" s="111"/>
      <c r="PFP11" s="111"/>
      <c r="PFQ11" s="111"/>
      <c r="PFR11" s="111"/>
      <c r="PFS11" s="111"/>
      <c r="PFT11" s="111"/>
      <c r="PFU11" s="111"/>
      <c r="PFV11" s="111"/>
      <c r="PFW11" s="111"/>
      <c r="PFX11" s="111"/>
      <c r="PFY11" s="111"/>
      <c r="PFZ11" s="111"/>
      <c r="PGA11" s="111"/>
      <c r="PGB11" s="111"/>
      <c r="PGC11" s="111"/>
      <c r="PGD11" s="111"/>
      <c r="PGE11" s="111"/>
      <c r="PGF11" s="111"/>
      <c r="PGG11" s="111"/>
      <c r="PGH11" s="111"/>
      <c r="PGI11" s="111"/>
      <c r="PGJ11" s="111"/>
      <c r="PGK11" s="111"/>
      <c r="PGL11" s="111"/>
      <c r="PGM11" s="111"/>
      <c r="PGN11" s="111"/>
      <c r="PGO11" s="111"/>
      <c r="PGP11" s="111"/>
      <c r="PGQ11" s="111"/>
      <c r="PGR11" s="111"/>
      <c r="PGS11" s="111"/>
      <c r="PGT11" s="111"/>
      <c r="PGU11" s="111"/>
      <c r="PGV11" s="111"/>
      <c r="PGW11" s="111"/>
      <c r="PGX11" s="111"/>
      <c r="PGY11" s="111"/>
      <c r="PGZ11" s="111"/>
      <c r="PHA11" s="111"/>
      <c r="PHB11" s="111"/>
      <c r="PHC11" s="111"/>
      <c r="PHD11" s="111"/>
      <c r="PHE11" s="111"/>
      <c r="PHF11" s="111"/>
      <c r="PHG11" s="111"/>
      <c r="PHH11" s="111"/>
      <c r="PHI11" s="111"/>
      <c r="PHJ11" s="111"/>
      <c r="PHK11" s="111"/>
      <c r="PHL11" s="111"/>
      <c r="PHM11" s="111"/>
      <c r="PHN11" s="111"/>
      <c r="PHO11" s="111"/>
      <c r="PHP11" s="111"/>
      <c r="PHQ11" s="111"/>
      <c r="PHR11" s="111"/>
      <c r="PHS11" s="111"/>
      <c r="PHT11" s="111"/>
      <c r="PHU11" s="111"/>
      <c r="PHV11" s="111"/>
      <c r="PHW11" s="111"/>
      <c r="PHX11" s="111"/>
      <c r="PHY11" s="111"/>
      <c r="PHZ11" s="111"/>
      <c r="PIA11" s="111"/>
      <c r="PIB11" s="111"/>
      <c r="PIC11" s="111"/>
      <c r="PID11" s="111"/>
      <c r="PIE11" s="111"/>
      <c r="PIF11" s="111"/>
      <c r="PIG11" s="111"/>
      <c r="PIH11" s="111"/>
      <c r="PII11" s="111"/>
      <c r="PIJ11" s="111"/>
      <c r="PIK11" s="111"/>
      <c r="PIL11" s="111"/>
      <c r="PIM11" s="111"/>
      <c r="PIN11" s="111"/>
      <c r="PIO11" s="111"/>
      <c r="PIP11" s="111"/>
      <c r="PIQ11" s="111"/>
      <c r="PIR11" s="111"/>
      <c r="PIS11" s="111"/>
      <c r="PIT11" s="111"/>
      <c r="PIU11" s="111"/>
      <c r="PIV11" s="111"/>
      <c r="PIW11" s="111"/>
      <c r="PIX11" s="111"/>
      <c r="PIY11" s="111"/>
      <c r="PIZ11" s="111"/>
      <c r="PJA11" s="111"/>
      <c r="PJB11" s="111"/>
      <c r="PJC11" s="111"/>
      <c r="PJD11" s="111"/>
      <c r="PJE11" s="111"/>
      <c r="PJF11" s="111"/>
      <c r="PJG11" s="111"/>
      <c r="PJH11" s="111"/>
      <c r="PJI11" s="111"/>
      <c r="PJJ11" s="111"/>
      <c r="PJK11" s="111"/>
      <c r="PJL11" s="111"/>
      <c r="PJM11" s="111"/>
      <c r="PJN11" s="111"/>
      <c r="PJO11" s="111"/>
      <c r="PJP11" s="111"/>
      <c r="PJQ11" s="111"/>
      <c r="PJR11" s="111"/>
      <c r="PJS11" s="111"/>
      <c r="PJT11" s="111"/>
      <c r="PJU11" s="111"/>
      <c r="PJV11" s="111"/>
      <c r="PJW11" s="111"/>
      <c r="PJX11" s="111"/>
      <c r="PJY11" s="111"/>
      <c r="PJZ11" s="111"/>
      <c r="PKA11" s="111"/>
      <c r="PKB11" s="111"/>
      <c r="PKC11" s="111"/>
      <c r="PKD11" s="111"/>
      <c r="PKE11" s="111"/>
      <c r="PKF11" s="111"/>
      <c r="PKG11" s="111"/>
      <c r="PKH11" s="111"/>
      <c r="PKI11" s="111"/>
      <c r="PKJ11" s="111"/>
      <c r="PKK11" s="111"/>
      <c r="PKL11" s="111"/>
      <c r="PKM11" s="111"/>
      <c r="PKN11" s="111"/>
      <c r="PKO11" s="111"/>
      <c r="PKP11" s="111"/>
      <c r="PKQ11" s="111"/>
      <c r="PKR11" s="111"/>
      <c r="PKS11" s="111"/>
      <c r="PKT11" s="111"/>
      <c r="PKU11" s="111"/>
      <c r="PKV11" s="111"/>
      <c r="PKW11" s="111"/>
      <c r="PKX11" s="111"/>
      <c r="PKY11" s="111"/>
      <c r="PKZ11" s="111"/>
      <c r="PLA11" s="111"/>
      <c r="PLB11" s="111"/>
      <c r="PLC11" s="111"/>
      <c r="PLD11" s="111"/>
      <c r="PLE11" s="111"/>
      <c r="PLF11" s="111"/>
      <c r="PLG11" s="111"/>
      <c r="PLH11" s="111"/>
      <c r="PLI11" s="111"/>
      <c r="PLJ11" s="111"/>
      <c r="PLK11" s="111"/>
      <c r="PLL11" s="111"/>
      <c r="PLM11" s="111"/>
      <c r="PLN11" s="111"/>
      <c r="PLO11" s="111"/>
      <c r="PLP11" s="111"/>
      <c r="PLQ11" s="111"/>
      <c r="PLR11" s="111"/>
      <c r="PLS11" s="111"/>
      <c r="PLT11" s="111"/>
      <c r="PLU11" s="111"/>
      <c r="PLV11" s="111"/>
      <c r="PLW11" s="111"/>
      <c r="PLX11" s="111"/>
      <c r="PLY11" s="111"/>
      <c r="PLZ11" s="111"/>
      <c r="PMA11" s="111"/>
      <c r="PMB11" s="111"/>
      <c r="PMC11" s="111"/>
      <c r="PMD11" s="111"/>
      <c r="PME11" s="111"/>
      <c r="PMF11" s="111"/>
      <c r="PMG11" s="111"/>
      <c r="PMH11" s="111"/>
      <c r="PMI11" s="111"/>
      <c r="PMJ11" s="111"/>
      <c r="PMK11" s="111"/>
      <c r="PML11" s="111"/>
      <c r="PMM11" s="111"/>
      <c r="PMN11" s="111"/>
      <c r="PMO11" s="111"/>
      <c r="PMP11" s="111"/>
      <c r="PMQ11" s="111"/>
      <c r="PMR11" s="111"/>
      <c r="PMS11" s="111"/>
      <c r="PMT11" s="111"/>
      <c r="PMU11" s="111"/>
      <c r="PMV11" s="111"/>
      <c r="PMW11" s="111"/>
      <c r="PMX11" s="111"/>
      <c r="PMY11" s="111"/>
      <c r="PMZ11" s="111"/>
      <c r="PNA11" s="111"/>
      <c r="PNB11" s="111"/>
      <c r="PNC11" s="111"/>
      <c r="PND11" s="111"/>
      <c r="PNE11" s="111"/>
      <c r="PNF11" s="111"/>
      <c r="PNG11" s="111"/>
      <c r="PNH11" s="111"/>
      <c r="PNI11" s="111"/>
      <c r="PNJ11" s="111"/>
      <c r="PNK11" s="111"/>
      <c r="PNL11" s="111"/>
      <c r="PNM11" s="111"/>
      <c r="PNN11" s="111"/>
      <c r="PNO11" s="111"/>
      <c r="PNP11" s="111"/>
      <c r="PNQ11" s="111"/>
      <c r="PNR11" s="111"/>
      <c r="PNS11" s="111"/>
      <c r="PNT11" s="111"/>
      <c r="PNU11" s="111"/>
      <c r="PNV11" s="111"/>
      <c r="PNW11" s="111"/>
      <c r="PNX11" s="111"/>
      <c r="PNY11" s="111"/>
      <c r="PNZ11" s="111"/>
      <c r="POA11" s="111"/>
      <c r="POB11" s="111"/>
      <c r="POC11" s="111"/>
      <c r="POD11" s="111"/>
      <c r="POE11" s="111"/>
      <c r="POF11" s="111"/>
      <c r="POG11" s="111"/>
      <c r="POH11" s="111"/>
      <c r="POI11" s="111"/>
      <c r="POJ11" s="111"/>
      <c r="POK11" s="111"/>
      <c r="POL11" s="111"/>
      <c r="POM11" s="111"/>
      <c r="PON11" s="111"/>
      <c r="POO11" s="111"/>
      <c r="POP11" s="111"/>
      <c r="POQ11" s="111"/>
      <c r="POR11" s="111"/>
      <c r="POS11" s="111"/>
      <c r="POT11" s="111"/>
      <c r="POU11" s="111"/>
      <c r="POV11" s="111"/>
      <c r="POW11" s="111"/>
      <c r="POX11" s="111"/>
      <c r="POY11" s="111"/>
      <c r="POZ11" s="111"/>
      <c r="PPA11" s="111"/>
      <c r="PPB11" s="111"/>
      <c r="PPC11" s="111"/>
      <c r="PPD11" s="111"/>
      <c r="PPE11" s="111"/>
      <c r="PPF11" s="111"/>
      <c r="PPG11" s="111"/>
      <c r="PPH11" s="111"/>
      <c r="PPI11" s="111"/>
      <c r="PPJ11" s="111"/>
      <c r="PPK11" s="111"/>
      <c r="PPL11" s="111"/>
      <c r="PPM11" s="111"/>
      <c r="PPN11" s="111"/>
      <c r="PPO11" s="111"/>
      <c r="PPP11" s="111"/>
      <c r="PPQ11" s="111"/>
      <c r="PPR11" s="111"/>
      <c r="PPS11" s="111"/>
      <c r="PPT11" s="111"/>
      <c r="PPU11" s="111"/>
      <c r="PPV11" s="111"/>
      <c r="PPW11" s="111"/>
      <c r="PPX11" s="111"/>
      <c r="PPY11" s="111"/>
      <c r="PPZ11" s="111"/>
      <c r="PQA11" s="111"/>
      <c r="PQB11" s="111"/>
      <c r="PQC11" s="111"/>
      <c r="PQD11" s="111"/>
      <c r="PQE11" s="111"/>
      <c r="PQF11" s="111"/>
      <c r="PQG11" s="111"/>
      <c r="PQH11" s="111"/>
      <c r="PQI11" s="111"/>
      <c r="PQJ11" s="111"/>
      <c r="PQK11" s="111"/>
      <c r="PQL11" s="111"/>
      <c r="PQM11" s="111"/>
      <c r="PQN11" s="111"/>
      <c r="PQO11" s="111"/>
      <c r="PQP11" s="111"/>
      <c r="PQQ11" s="111"/>
      <c r="PQR11" s="111"/>
      <c r="PQS11" s="111"/>
      <c r="PQT11" s="111"/>
      <c r="PQU11" s="111"/>
      <c r="PQV11" s="111"/>
      <c r="PQW11" s="111"/>
      <c r="PQX11" s="111"/>
      <c r="PQY11" s="111"/>
      <c r="PQZ11" s="111"/>
      <c r="PRA11" s="111"/>
      <c r="PRB11" s="111"/>
      <c r="PRC11" s="111"/>
      <c r="PRD11" s="111"/>
      <c r="PRE11" s="111"/>
      <c r="PRF11" s="111"/>
      <c r="PRG11" s="111"/>
      <c r="PRH11" s="111"/>
      <c r="PRI11" s="111"/>
      <c r="PRJ11" s="111"/>
      <c r="PRK11" s="111"/>
      <c r="PRL11" s="111"/>
      <c r="PRM11" s="111"/>
      <c r="PRN11" s="111"/>
      <c r="PRO11" s="111"/>
      <c r="PRP11" s="111"/>
      <c r="PRQ11" s="111"/>
      <c r="PRR11" s="111"/>
      <c r="PRS11" s="111"/>
      <c r="PRT11" s="111"/>
      <c r="PRU11" s="111"/>
      <c r="PRV11" s="111"/>
      <c r="PRW11" s="111"/>
      <c r="PRX11" s="111"/>
      <c r="PRY11" s="111"/>
      <c r="PRZ11" s="111"/>
      <c r="PSA11" s="111"/>
      <c r="PSB11" s="111"/>
      <c r="PSC11" s="111"/>
      <c r="PSD11" s="111"/>
      <c r="PSE11" s="111"/>
      <c r="PSF11" s="111"/>
      <c r="PSG11" s="111"/>
      <c r="PSH11" s="111"/>
      <c r="PSI11" s="111"/>
      <c r="PSJ11" s="111"/>
      <c r="PSK11" s="111"/>
      <c r="PSL11" s="111"/>
      <c r="PSM11" s="111"/>
      <c r="PSN11" s="111"/>
      <c r="PSO11" s="111"/>
      <c r="PSP11" s="111"/>
      <c r="PSQ11" s="111"/>
      <c r="PSR11" s="111"/>
      <c r="PSS11" s="111"/>
      <c r="PST11" s="111"/>
      <c r="PSU11" s="111"/>
      <c r="PSV11" s="111"/>
      <c r="PSW11" s="111"/>
      <c r="PSX11" s="111"/>
      <c r="PSY11" s="111"/>
      <c r="PSZ11" s="111"/>
      <c r="PTA11" s="111"/>
      <c r="PTB11" s="111"/>
      <c r="PTC11" s="111"/>
      <c r="PTD11" s="111"/>
      <c r="PTE11" s="111"/>
      <c r="PTF11" s="111"/>
      <c r="PTG11" s="111"/>
      <c r="PTH11" s="111"/>
      <c r="PTI11" s="111"/>
      <c r="PTJ11" s="111"/>
      <c r="PTK11" s="111"/>
      <c r="PTL11" s="111"/>
      <c r="PTM11" s="111"/>
      <c r="PTN11" s="111"/>
      <c r="PTO11" s="111"/>
      <c r="PTP11" s="111"/>
      <c r="PTQ11" s="111"/>
      <c r="PTR11" s="111"/>
      <c r="PTS11" s="111"/>
      <c r="PTT11" s="111"/>
      <c r="PTU11" s="111"/>
      <c r="PTV11" s="111"/>
      <c r="PTW11" s="111"/>
      <c r="PTX11" s="111"/>
      <c r="PTY11" s="111"/>
      <c r="PTZ11" s="111"/>
      <c r="PUA11" s="111"/>
      <c r="PUB11" s="111"/>
      <c r="PUC11" s="111"/>
      <c r="PUD11" s="111"/>
      <c r="PUE11" s="111"/>
      <c r="PUF11" s="111"/>
      <c r="PUG11" s="111"/>
      <c r="PUH11" s="111"/>
      <c r="PUI11" s="111"/>
      <c r="PUJ11" s="111"/>
      <c r="PUK11" s="111"/>
      <c r="PUL11" s="111"/>
      <c r="PUM11" s="111"/>
      <c r="PUN11" s="111"/>
      <c r="PUO11" s="111"/>
      <c r="PUP11" s="111"/>
      <c r="PUQ11" s="111"/>
      <c r="PUR11" s="111"/>
      <c r="PUS11" s="111"/>
      <c r="PUT11" s="111"/>
      <c r="PUU11" s="111"/>
      <c r="PUV11" s="111"/>
      <c r="PUW11" s="111"/>
      <c r="PUX11" s="111"/>
      <c r="PUY11" s="111"/>
      <c r="PUZ11" s="111"/>
      <c r="PVA11" s="111"/>
      <c r="PVB11" s="111"/>
      <c r="PVC11" s="111"/>
      <c r="PVD11" s="111"/>
      <c r="PVE11" s="111"/>
      <c r="PVF11" s="111"/>
      <c r="PVG11" s="111"/>
      <c r="PVH11" s="111"/>
      <c r="PVI11" s="111"/>
      <c r="PVJ11" s="111"/>
      <c r="PVK11" s="111"/>
      <c r="PVL11" s="111"/>
      <c r="PVM11" s="111"/>
      <c r="PVN11" s="111"/>
      <c r="PVO11" s="111"/>
      <c r="PVP11" s="111"/>
      <c r="PVQ11" s="111"/>
      <c r="PVR11" s="111"/>
      <c r="PVS11" s="111"/>
      <c r="PVT11" s="111"/>
      <c r="PVU11" s="111"/>
      <c r="PVV11" s="111"/>
      <c r="PVW11" s="111"/>
      <c r="PVX11" s="111"/>
      <c r="PVY11" s="111"/>
      <c r="PVZ11" s="111"/>
      <c r="PWA11" s="111"/>
      <c r="PWB11" s="111"/>
      <c r="PWC11" s="111"/>
      <c r="PWD11" s="111"/>
      <c r="PWE11" s="111"/>
      <c r="PWF11" s="111"/>
      <c r="PWG11" s="111"/>
      <c r="PWH11" s="111"/>
      <c r="PWI11" s="111"/>
      <c r="PWJ11" s="111"/>
      <c r="PWK11" s="111"/>
      <c r="PWL11" s="111"/>
      <c r="PWM11" s="111"/>
      <c r="PWN11" s="111"/>
      <c r="PWO11" s="111"/>
      <c r="PWP11" s="111"/>
      <c r="PWQ11" s="111"/>
      <c r="PWR11" s="111"/>
      <c r="PWS11" s="111"/>
      <c r="PWT11" s="111"/>
      <c r="PWU11" s="111"/>
      <c r="PWV11" s="111"/>
      <c r="PWW11" s="111"/>
      <c r="PWX11" s="111"/>
      <c r="PWY11" s="111"/>
      <c r="PWZ11" s="111"/>
      <c r="PXA11" s="111"/>
      <c r="PXB11" s="111"/>
      <c r="PXC11" s="111"/>
      <c r="PXD11" s="111"/>
      <c r="PXE11" s="111"/>
      <c r="PXF11" s="111"/>
      <c r="PXG11" s="111"/>
      <c r="PXH11" s="111"/>
      <c r="PXI11" s="111"/>
      <c r="PXJ11" s="111"/>
      <c r="PXK11" s="111"/>
      <c r="PXL11" s="111"/>
      <c r="PXM11" s="111"/>
      <c r="PXN11" s="111"/>
      <c r="PXO11" s="111"/>
      <c r="PXP11" s="111"/>
      <c r="PXQ11" s="111"/>
      <c r="PXR11" s="111"/>
      <c r="PXS11" s="111"/>
      <c r="PXT11" s="111"/>
      <c r="PXU11" s="111"/>
      <c r="PXV11" s="111"/>
      <c r="PXW11" s="111"/>
      <c r="PXX11" s="111"/>
      <c r="PXY11" s="111"/>
      <c r="PXZ11" s="111"/>
      <c r="PYA11" s="111"/>
      <c r="PYB11" s="111"/>
      <c r="PYC11" s="111"/>
      <c r="PYD11" s="111"/>
      <c r="PYE11" s="111"/>
      <c r="PYF11" s="111"/>
      <c r="PYG11" s="111"/>
      <c r="PYH11" s="111"/>
      <c r="PYI11" s="111"/>
      <c r="PYJ11" s="111"/>
      <c r="PYK11" s="111"/>
      <c r="PYL11" s="111"/>
      <c r="PYM11" s="111"/>
      <c r="PYN11" s="111"/>
      <c r="PYO11" s="111"/>
      <c r="PYP11" s="111"/>
      <c r="PYQ11" s="111"/>
      <c r="PYR11" s="111"/>
      <c r="PYS11" s="111"/>
      <c r="PYT11" s="111"/>
      <c r="PYU11" s="111"/>
      <c r="PYV11" s="111"/>
      <c r="PYW11" s="111"/>
      <c r="PYX11" s="111"/>
      <c r="PYY11" s="111"/>
      <c r="PYZ11" s="111"/>
      <c r="PZA11" s="111"/>
      <c r="PZB11" s="111"/>
      <c r="PZC11" s="111"/>
      <c r="PZD11" s="111"/>
      <c r="PZE11" s="111"/>
      <c r="PZF11" s="111"/>
      <c r="PZG11" s="111"/>
      <c r="PZH11" s="111"/>
      <c r="PZI11" s="111"/>
      <c r="PZJ11" s="111"/>
      <c r="PZK11" s="111"/>
      <c r="PZL11" s="111"/>
      <c r="PZM11" s="111"/>
      <c r="PZN11" s="111"/>
      <c r="PZO11" s="111"/>
      <c r="PZP11" s="111"/>
      <c r="PZQ11" s="111"/>
      <c r="PZR11" s="111"/>
      <c r="PZS11" s="111"/>
      <c r="PZT11" s="111"/>
      <c r="PZU11" s="111"/>
      <c r="PZV11" s="111"/>
      <c r="PZW11" s="111"/>
      <c r="PZX11" s="111"/>
      <c r="PZY11" s="111"/>
      <c r="PZZ11" s="111"/>
      <c r="QAA11" s="111"/>
      <c r="QAB11" s="111"/>
      <c r="QAC11" s="111"/>
      <c r="QAD11" s="111"/>
      <c r="QAE11" s="111"/>
      <c r="QAF11" s="111"/>
      <c r="QAG11" s="111"/>
      <c r="QAH11" s="111"/>
      <c r="QAI11" s="111"/>
      <c r="QAJ11" s="111"/>
      <c r="QAK11" s="111"/>
      <c r="QAL11" s="111"/>
      <c r="QAM11" s="111"/>
      <c r="QAN11" s="111"/>
      <c r="QAO11" s="111"/>
      <c r="QAP11" s="111"/>
      <c r="QAQ11" s="111"/>
      <c r="QAR11" s="111"/>
      <c r="QAS11" s="111"/>
      <c r="QAT11" s="111"/>
      <c r="QAU11" s="111"/>
      <c r="QAV11" s="111"/>
      <c r="QAW11" s="111"/>
      <c r="QAX11" s="111"/>
      <c r="QAY11" s="111"/>
      <c r="QAZ11" s="111"/>
      <c r="QBA11" s="111"/>
      <c r="QBB11" s="111"/>
      <c r="QBC11" s="111"/>
      <c r="QBD11" s="111"/>
      <c r="QBE11" s="111"/>
      <c r="QBF11" s="111"/>
      <c r="QBG11" s="111"/>
      <c r="QBH11" s="111"/>
      <c r="QBI11" s="111"/>
      <c r="QBJ11" s="111"/>
      <c r="QBK11" s="111"/>
      <c r="QBL11" s="111"/>
      <c r="QBM11" s="111"/>
      <c r="QBN11" s="111"/>
      <c r="QBO11" s="111"/>
      <c r="QBP11" s="111"/>
      <c r="QBQ11" s="111"/>
      <c r="QBR11" s="111"/>
      <c r="QBS11" s="111"/>
      <c r="QBT11" s="111"/>
      <c r="QBU11" s="111"/>
      <c r="QBV11" s="111"/>
      <c r="QBW11" s="111"/>
      <c r="QBX11" s="111"/>
      <c r="QBY11" s="111"/>
      <c r="QBZ11" s="111"/>
      <c r="QCA11" s="111"/>
      <c r="QCB11" s="111"/>
      <c r="QCC11" s="111"/>
      <c r="QCD11" s="111"/>
      <c r="QCE11" s="111"/>
      <c r="QCF11" s="111"/>
      <c r="QCG11" s="111"/>
      <c r="QCH11" s="111"/>
      <c r="QCI11" s="111"/>
      <c r="QCJ11" s="111"/>
      <c r="QCK11" s="111"/>
      <c r="QCL11" s="111"/>
      <c r="QCM11" s="111"/>
      <c r="QCN11" s="111"/>
      <c r="QCO11" s="111"/>
      <c r="QCP11" s="111"/>
      <c r="QCQ11" s="111"/>
      <c r="QCR11" s="111"/>
      <c r="QCS11" s="111"/>
      <c r="QCT11" s="111"/>
      <c r="QCU11" s="111"/>
      <c r="QCV11" s="111"/>
      <c r="QCW11" s="111"/>
      <c r="QCX11" s="111"/>
      <c r="QCY11" s="111"/>
      <c r="QCZ11" s="111"/>
      <c r="QDA11" s="111"/>
      <c r="QDB11" s="111"/>
      <c r="QDC11" s="111"/>
      <c r="QDD11" s="111"/>
      <c r="QDE11" s="111"/>
      <c r="QDF11" s="111"/>
      <c r="QDG11" s="111"/>
      <c r="QDH11" s="111"/>
      <c r="QDI11" s="111"/>
      <c r="QDJ11" s="111"/>
      <c r="QDK11" s="111"/>
      <c r="QDL11" s="111"/>
      <c r="QDM11" s="111"/>
      <c r="QDN11" s="111"/>
      <c r="QDO11" s="111"/>
      <c r="QDP11" s="111"/>
      <c r="QDQ11" s="111"/>
      <c r="QDR11" s="111"/>
      <c r="QDS11" s="111"/>
      <c r="QDT11" s="111"/>
      <c r="QDU11" s="111"/>
      <c r="QDV11" s="111"/>
      <c r="QDW11" s="111"/>
      <c r="QDX11" s="111"/>
      <c r="QDY11" s="111"/>
      <c r="QDZ11" s="111"/>
      <c r="QEA11" s="111"/>
      <c r="QEB11" s="111"/>
      <c r="QEC11" s="111"/>
      <c r="QED11" s="111"/>
      <c r="QEE11" s="111"/>
      <c r="QEF11" s="111"/>
      <c r="QEG11" s="111"/>
      <c r="QEH11" s="111"/>
      <c r="QEI11" s="111"/>
      <c r="QEJ11" s="111"/>
      <c r="QEK11" s="111"/>
      <c r="QEL11" s="111"/>
      <c r="QEM11" s="111"/>
      <c r="QEN11" s="111"/>
      <c r="QEO11" s="111"/>
      <c r="QEP11" s="111"/>
      <c r="QEQ11" s="111"/>
      <c r="QER11" s="111"/>
      <c r="QES11" s="111"/>
      <c r="QET11" s="111"/>
      <c r="QEU11" s="111"/>
      <c r="QEV11" s="111"/>
      <c r="QEW11" s="111"/>
      <c r="QEX11" s="111"/>
      <c r="QEY11" s="111"/>
      <c r="QEZ11" s="111"/>
      <c r="QFA11" s="111"/>
      <c r="QFB11" s="111"/>
      <c r="QFC11" s="111"/>
      <c r="QFD11" s="111"/>
      <c r="QFE11" s="111"/>
      <c r="QFF11" s="111"/>
      <c r="QFG11" s="111"/>
      <c r="QFH11" s="111"/>
      <c r="QFI11" s="111"/>
      <c r="QFJ11" s="111"/>
      <c r="QFK11" s="111"/>
      <c r="QFL11" s="111"/>
      <c r="QFM11" s="111"/>
      <c r="QFN11" s="111"/>
      <c r="QFO11" s="111"/>
      <c r="QFP11" s="111"/>
      <c r="QFQ11" s="111"/>
      <c r="QFR11" s="111"/>
      <c r="QFS11" s="111"/>
      <c r="QFT11" s="111"/>
      <c r="QFU11" s="111"/>
      <c r="QFV11" s="111"/>
      <c r="QFW11" s="111"/>
      <c r="QFX11" s="111"/>
      <c r="QFY11" s="111"/>
      <c r="QFZ11" s="111"/>
      <c r="QGA11" s="111"/>
      <c r="QGB11" s="111"/>
      <c r="QGC11" s="111"/>
      <c r="QGD11" s="111"/>
      <c r="QGE11" s="111"/>
      <c r="QGF11" s="111"/>
      <c r="QGG11" s="111"/>
      <c r="QGH11" s="111"/>
      <c r="QGI11" s="111"/>
      <c r="QGJ11" s="111"/>
      <c r="QGK11" s="111"/>
      <c r="QGL11" s="111"/>
      <c r="QGM11" s="111"/>
      <c r="QGN11" s="111"/>
      <c r="QGO11" s="111"/>
      <c r="QGP11" s="111"/>
      <c r="QGQ11" s="111"/>
      <c r="QGR11" s="111"/>
      <c r="QGS11" s="111"/>
      <c r="QGT11" s="111"/>
      <c r="QGU11" s="111"/>
      <c r="QGV11" s="111"/>
      <c r="QGW11" s="111"/>
      <c r="QGX11" s="111"/>
      <c r="QGY11" s="111"/>
      <c r="QGZ11" s="111"/>
      <c r="QHA11" s="111"/>
      <c r="QHB11" s="111"/>
      <c r="QHC11" s="111"/>
      <c r="QHD11" s="111"/>
      <c r="QHE11" s="111"/>
      <c r="QHF11" s="111"/>
      <c r="QHG11" s="111"/>
      <c r="QHH11" s="111"/>
      <c r="QHI11" s="111"/>
      <c r="QHJ11" s="111"/>
      <c r="QHK11" s="111"/>
      <c r="QHL11" s="111"/>
      <c r="QHM11" s="111"/>
      <c r="QHN11" s="111"/>
      <c r="QHO11" s="111"/>
      <c r="QHP11" s="111"/>
      <c r="QHQ11" s="111"/>
      <c r="QHR11" s="111"/>
      <c r="QHS11" s="111"/>
      <c r="QHT11" s="111"/>
      <c r="QHU11" s="111"/>
      <c r="QHV11" s="111"/>
      <c r="QHW11" s="111"/>
      <c r="QHX11" s="111"/>
      <c r="QHY11" s="111"/>
      <c r="QHZ11" s="111"/>
      <c r="QIA11" s="111"/>
      <c r="QIB11" s="111"/>
      <c r="QIC11" s="111"/>
      <c r="QID11" s="111"/>
      <c r="QIE11" s="111"/>
      <c r="QIF11" s="111"/>
      <c r="QIG11" s="111"/>
      <c r="QIH11" s="111"/>
      <c r="QII11" s="111"/>
      <c r="QIJ11" s="111"/>
      <c r="QIK11" s="111"/>
      <c r="QIL11" s="111"/>
      <c r="QIM11" s="111"/>
      <c r="QIN11" s="111"/>
      <c r="QIO11" s="111"/>
      <c r="QIP11" s="111"/>
      <c r="QIQ11" s="111"/>
      <c r="QIR11" s="111"/>
      <c r="QIS11" s="111"/>
      <c r="QIT11" s="111"/>
      <c r="QIU11" s="111"/>
      <c r="QIV11" s="111"/>
      <c r="QIW11" s="111"/>
      <c r="QIX11" s="111"/>
      <c r="QIY11" s="111"/>
      <c r="QIZ11" s="111"/>
      <c r="QJA11" s="111"/>
      <c r="QJB11" s="111"/>
      <c r="QJC11" s="111"/>
      <c r="QJD11" s="111"/>
      <c r="QJE11" s="111"/>
      <c r="QJF11" s="111"/>
      <c r="QJG11" s="111"/>
      <c r="QJH11" s="111"/>
      <c r="QJI11" s="111"/>
      <c r="QJJ11" s="111"/>
      <c r="QJK11" s="111"/>
      <c r="QJL11" s="111"/>
      <c r="QJM11" s="111"/>
      <c r="QJN11" s="111"/>
      <c r="QJO11" s="111"/>
      <c r="QJP11" s="111"/>
      <c r="QJQ11" s="111"/>
      <c r="QJR11" s="111"/>
      <c r="QJS11" s="111"/>
      <c r="QJT11" s="111"/>
      <c r="QJU11" s="111"/>
      <c r="QJV11" s="111"/>
      <c r="QJW11" s="111"/>
      <c r="QJX11" s="111"/>
      <c r="QJY11" s="111"/>
      <c r="QJZ11" s="111"/>
      <c r="QKA11" s="111"/>
      <c r="QKB11" s="111"/>
      <c r="QKC11" s="111"/>
      <c r="QKD11" s="111"/>
      <c r="QKE11" s="111"/>
      <c r="QKF11" s="111"/>
      <c r="QKG11" s="111"/>
      <c r="QKH11" s="111"/>
      <c r="QKI11" s="111"/>
      <c r="QKJ11" s="111"/>
      <c r="QKK11" s="111"/>
      <c r="QKL11" s="111"/>
      <c r="QKM11" s="111"/>
      <c r="QKN11" s="111"/>
      <c r="QKO11" s="111"/>
      <c r="QKP11" s="111"/>
      <c r="QKQ11" s="111"/>
      <c r="QKR11" s="111"/>
      <c r="QKS11" s="111"/>
      <c r="QKT11" s="111"/>
      <c r="QKU11" s="111"/>
      <c r="QKV11" s="111"/>
      <c r="QKW11" s="111"/>
      <c r="QKX11" s="111"/>
      <c r="QKY11" s="111"/>
      <c r="QKZ11" s="111"/>
      <c r="QLA11" s="111"/>
      <c r="QLB11" s="111"/>
      <c r="QLC11" s="111"/>
      <c r="QLD11" s="111"/>
      <c r="QLE11" s="111"/>
      <c r="QLF11" s="111"/>
      <c r="QLG11" s="111"/>
      <c r="QLH11" s="111"/>
      <c r="QLI11" s="111"/>
      <c r="QLJ11" s="111"/>
      <c r="QLK11" s="111"/>
      <c r="QLL11" s="111"/>
      <c r="QLM11" s="111"/>
      <c r="QLN11" s="111"/>
      <c r="QLO11" s="111"/>
      <c r="QLP11" s="111"/>
      <c r="QLQ11" s="111"/>
      <c r="QLR11" s="111"/>
      <c r="QLS11" s="111"/>
      <c r="QLT11" s="111"/>
      <c r="QLU11" s="111"/>
      <c r="QLV11" s="111"/>
      <c r="QLW11" s="111"/>
      <c r="QLX11" s="111"/>
      <c r="QLY11" s="111"/>
      <c r="QLZ11" s="111"/>
      <c r="QMA11" s="111"/>
      <c r="QMB11" s="111"/>
      <c r="QMC11" s="111"/>
      <c r="QMD11" s="111"/>
      <c r="QME11" s="111"/>
      <c r="QMF11" s="111"/>
      <c r="QMG11" s="111"/>
      <c r="QMH11" s="111"/>
      <c r="QMI11" s="111"/>
      <c r="QMJ11" s="111"/>
      <c r="QMK11" s="111"/>
      <c r="QML11" s="111"/>
      <c r="QMM11" s="111"/>
      <c r="QMN11" s="111"/>
      <c r="QMO11" s="111"/>
      <c r="QMP11" s="111"/>
      <c r="QMQ11" s="111"/>
      <c r="QMR11" s="111"/>
      <c r="QMS11" s="111"/>
      <c r="QMT11" s="111"/>
      <c r="QMU11" s="111"/>
      <c r="QMV11" s="111"/>
      <c r="QMW11" s="111"/>
      <c r="QMX11" s="111"/>
      <c r="QMY11" s="111"/>
      <c r="QMZ11" s="111"/>
      <c r="QNA11" s="111"/>
      <c r="QNB11" s="111"/>
      <c r="QNC11" s="111"/>
      <c r="QND11" s="111"/>
      <c r="QNE11" s="111"/>
      <c r="QNF11" s="111"/>
      <c r="QNG11" s="111"/>
      <c r="QNH11" s="111"/>
      <c r="QNI11" s="111"/>
      <c r="QNJ11" s="111"/>
      <c r="QNK11" s="111"/>
      <c r="QNL11" s="111"/>
      <c r="QNM11" s="111"/>
      <c r="QNN11" s="111"/>
      <c r="QNO11" s="111"/>
      <c r="QNP11" s="111"/>
      <c r="QNQ11" s="111"/>
      <c r="QNR11" s="111"/>
      <c r="QNS11" s="111"/>
      <c r="QNT11" s="111"/>
      <c r="QNU11" s="111"/>
      <c r="QNV11" s="111"/>
      <c r="QNW11" s="111"/>
      <c r="QNX11" s="111"/>
      <c r="QNY11" s="111"/>
      <c r="QNZ11" s="111"/>
      <c r="QOA11" s="111"/>
      <c r="QOB11" s="111"/>
      <c r="QOC11" s="111"/>
      <c r="QOD11" s="111"/>
      <c r="QOE11" s="111"/>
      <c r="QOF11" s="111"/>
      <c r="QOG11" s="111"/>
      <c r="QOH11" s="111"/>
      <c r="QOI11" s="111"/>
      <c r="QOJ11" s="111"/>
      <c r="QOK11" s="111"/>
      <c r="QOL11" s="111"/>
      <c r="QOM11" s="111"/>
      <c r="QON11" s="111"/>
      <c r="QOO11" s="111"/>
      <c r="QOP11" s="111"/>
      <c r="QOQ11" s="111"/>
      <c r="QOR11" s="111"/>
      <c r="QOS11" s="111"/>
      <c r="QOT11" s="111"/>
      <c r="QOU11" s="111"/>
      <c r="QOV11" s="111"/>
      <c r="QOW11" s="111"/>
      <c r="QOX11" s="111"/>
      <c r="QOY11" s="111"/>
      <c r="QOZ11" s="111"/>
      <c r="QPA11" s="111"/>
      <c r="QPB11" s="111"/>
      <c r="QPC11" s="111"/>
      <c r="QPD11" s="111"/>
      <c r="QPE11" s="111"/>
      <c r="QPF11" s="111"/>
      <c r="QPG11" s="111"/>
      <c r="QPH11" s="111"/>
      <c r="QPI11" s="111"/>
      <c r="QPJ11" s="111"/>
      <c r="QPK11" s="111"/>
      <c r="QPL11" s="111"/>
      <c r="QPM11" s="111"/>
      <c r="QPN11" s="111"/>
      <c r="QPO11" s="111"/>
      <c r="QPP11" s="111"/>
      <c r="QPQ11" s="111"/>
      <c r="QPR11" s="111"/>
      <c r="QPS11" s="111"/>
      <c r="QPT11" s="111"/>
      <c r="QPU11" s="111"/>
      <c r="QPV11" s="111"/>
      <c r="QPW11" s="111"/>
      <c r="QPX11" s="111"/>
      <c r="QPY11" s="111"/>
      <c r="QPZ11" s="111"/>
      <c r="QQA11" s="111"/>
      <c r="QQB11" s="111"/>
      <c r="QQC11" s="111"/>
      <c r="QQD11" s="111"/>
      <c r="QQE11" s="111"/>
      <c r="QQF11" s="111"/>
      <c r="QQG11" s="111"/>
      <c r="QQH11" s="111"/>
      <c r="QQI11" s="111"/>
      <c r="QQJ11" s="111"/>
      <c r="QQK11" s="111"/>
      <c r="QQL11" s="111"/>
      <c r="QQM11" s="111"/>
      <c r="QQN11" s="111"/>
      <c r="QQO11" s="111"/>
      <c r="QQP11" s="111"/>
      <c r="QQQ11" s="111"/>
      <c r="QQR11" s="111"/>
      <c r="QQS11" s="111"/>
      <c r="QQT11" s="111"/>
      <c r="QQU11" s="111"/>
      <c r="QQV11" s="111"/>
      <c r="QQW11" s="111"/>
      <c r="QQX11" s="111"/>
      <c r="QQY11" s="111"/>
      <c r="QQZ11" s="111"/>
      <c r="QRA11" s="111"/>
      <c r="QRB11" s="111"/>
      <c r="QRC11" s="111"/>
      <c r="QRD11" s="111"/>
      <c r="QRE11" s="111"/>
      <c r="QRF11" s="111"/>
      <c r="QRG11" s="111"/>
      <c r="QRH11" s="111"/>
      <c r="QRI11" s="111"/>
      <c r="QRJ11" s="111"/>
      <c r="QRK11" s="111"/>
      <c r="QRL11" s="111"/>
      <c r="QRM11" s="111"/>
      <c r="QRN11" s="111"/>
      <c r="QRO11" s="111"/>
      <c r="QRP11" s="111"/>
      <c r="QRQ11" s="111"/>
      <c r="QRR11" s="111"/>
      <c r="QRS11" s="111"/>
      <c r="QRT11" s="111"/>
      <c r="QRU11" s="111"/>
      <c r="QRV11" s="111"/>
      <c r="QRW11" s="111"/>
      <c r="QRX11" s="111"/>
      <c r="QRY11" s="111"/>
      <c r="QRZ11" s="111"/>
      <c r="QSA11" s="111"/>
      <c r="QSB11" s="111"/>
      <c r="QSC11" s="111"/>
      <c r="QSD11" s="111"/>
      <c r="QSE11" s="111"/>
      <c r="QSF11" s="111"/>
      <c r="QSG11" s="111"/>
      <c r="QSH11" s="111"/>
      <c r="QSI11" s="111"/>
      <c r="QSJ11" s="111"/>
      <c r="QSK11" s="111"/>
      <c r="QSL11" s="111"/>
      <c r="QSM11" s="111"/>
      <c r="QSN11" s="111"/>
      <c r="QSO11" s="111"/>
      <c r="QSP11" s="111"/>
      <c r="QSQ11" s="111"/>
      <c r="QSR11" s="111"/>
      <c r="QSS11" s="111"/>
      <c r="QST11" s="111"/>
      <c r="QSU11" s="111"/>
      <c r="QSV11" s="111"/>
      <c r="QSW11" s="111"/>
      <c r="QSX11" s="111"/>
      <c r="QSY11" s="111"/>
      <c r="QSZ11" s="111"/>
      <c r="QTA11" s="111"/>
      <c r="QTB11" s="111"/>
      <c r="QTC11" s="111"/>
      <c r="QTD11" s="111"/>
      <c r="QTE11" s="111"/>
      <c r="QTF11" s="111"/>
      <c r="QTG11" s="111"/>
      <c r="QTH11" s="111"/>
      <c r="QTI11" s="111"/>
      <c r="QTJ11" s="111"/>
      <c r="QTK11" s="111"/>
      <c r="QTL11" s="111"/>
      <c r="QTM11" s="111"/>
      <c r="QTN11" s="111"/>
      <c r="QTO11" s="111"/>
      <c r="QTP11" s="111"/>
      <c r="QTQ11" s="111"/>
      <c r="QTR11" s="111"/>
      <c r="QTS11" s="111"/>
      <c r="QTT11" s="111"/>
      <c r="QTU11" s="111"/>
      <c r="QTV11" s="111"/>
      <c r="QTW11" s="111"/>
      <c r="QTX11" s="111"/>
      <c r="QTY11" s="111"/>
      <c r="QTZ11" s="111"/>
      <c r="QUA11" s="111"/>
      <c r="QUB11" s="111"/>
      <c r="QUC11" s="111"/>
      <c r="QUD11" s="111"/>
      <c r="QUE11" s="111"/>
      <c r="QUF11" s="111"/>
      <c r="QUG11" s="111"/>
      <c r="QUH11" s="111"/>
      <c r="QUI11" s="111"/>
      <c r="QUJ11" s="111"/>
      <c r="QUK11" s="111"/>
      <c r="QUL11" s="111"/>
      <c r="QUM11" s="111"/>
      <c r="QUN11" s="111"/>
      <c r="QUO11" s="111"/>
      <c r="QUP11" s="111"/>
      <c r="QUQ11" s="111"/>
      <c r="QUR11" s="111"/>
      <c r="QUS11" s="111"/>
      <c r="QUT11" s="111"/>
      <c r="QUU11" s="111"/>
      <c r="QUV11" s="111"/>
      <c r="QUW11" s="111"/>
      <c r="QUX11" s="111"/>
      <c r="QUY11" s="111"/>
      <c r="QUZ11" s="111"/>
      <c r="QVA11" s="111"/>
      <c r="QVB11" s="111"/>
      <c r="QVC11" s="111"/>
      <c r="QVD11" s="111"/>
      <c r="QVE11" s="111"/>
      <c r="QVF11" s="111"/>
      <c r="QVG11" s="111"/>
      <c r="QVH11" s="111"/>
      <c r="QVI11" s="111"/>
      <c r="QVJ11" s="111"/>
      <c r="QVK11" s="111"/>
      <c r="QVL11" s="111"/>
      <c r="QVM11" s="111"/>
      <c r="QVN11" s="111"/>
      <c r="QVO11" s="111"/>
      <c r="QVP11" s="111"/>
      <c r="QVQ11" s="111"/>
      <c r="QVR11" s="111"/>
      <c r="QVS11" s="111"/>
      <c r="QVT11" s="111"/>
      <c r="QVU11" s="111"/>
      <c r="QVV11" s="111"/>
      <c r="QVW11" s="111"/>
      <c r="QVX11" s="111"/>
      <c r="QVY11" s="111"/>
      <c r="QVZ11" s="111"/>
      <c r="QWA11" s="111"/>
      <c r="QWB11" s="111"/>
      <c r="QWC11" s="111"/>
      <c r="QWD11" s="111"/>
      <c r="QWE11" s="111"/>
      <c r="QWF11" s="111"/>
      <c r="QWG11" s="111"/>
      <c r="QWH11" s="111"/>
      <c r="QWI11" s="111"/>
      <c r="QWJ11" s="111"/>
      <c r="QWK11" s="111"/>
      <c r="QWL11" s="111"/>
      <c r="QWM11" s="111"/>
      <c r="QWN11" s="111"/>
      <c r="QWO11" s="111"/>
      <c r="QWP11" s="111"/>
      <c r="QWQ11" s="111"/>
      <c r="QWR11" s="111"/>
      <c r="QWS11" s="111"/>
      <c r="QWT11" s="111"/>
      <c r="QWU11" s="111"/>
      <c r="QWV11" s="111"/>
      <c r="QWW11" s="111"/>
      <c r="QWX11" s="111"/>
      <c r="QWY11" s="111"/>
      <c r="QWZ11" s="111"/>
      <c r="QXA11" s="111"/>
      <c r="QXB11" s="111"/>
      <c r="QXC11" s="111"/>
      <c r="QXD11" s="111"/>
      <c r="QXE11" s="111"/>
      <c r="QXF11" s="111"/>
      <c r="QXG11" s="111"/>
      <c r="QXH11" s="111"/>
      <c r="QXI11" s="111"/>
      <c r="QXJ11" s="111"/>
      <c r="QXK11" s="111"/>
      <c r="QXL11" s="111"/>
      <c r="QXM11" s="111"/>
      <c r="QXN11" s="111"/>
      <c r="QXO11" s="111"/>
      <c r="QXP11" s="111"/>
      <c r="QXQ11" s="111"/>
      <c r="QXR11" s="111"/>
      <c r="QXS11" s="111"/>
      <c r="QXT11" s="111"/>
      <c r="QXU11" s="111"/>
      <c r="QXV11" s="111"/>
      <c r="QXW11" s="111"/>
      <c r="QXX11" s="111"/>
      <c r="QXY11" s="111"/>
      <c r="QXZ11" s="111"/>
      <c r="QYA11" s="111"/>
      <c r="QYB11" s="111"/>
      <c r="QYC11" s="111"/>
      <c r="QYD11" s="111"/>
      <c r="QYE11" s="111"/>
      <c r="QYF11" s="111"/>
      <c r="QYG11" s="111"/>
      <c r="QYH11" s="111"/>
      <c r="QYI11" s="111"/>
      <c r="QYJ11" s="111"/>
      <c r="QYK11" s="111"/>
      <c r="QYL11" s="111"/>
      <c r="QYM11" s="111"/>
      <c r="QYN11" s="111"/>
      <c r="QYO11" s="111"/>
      <c r="QYP11" s="111"/>
      <c r="QYQ11" s="111"/>
      <c r="QYR11" s="111"/>
      <c r="QYS11" s="111"/>
      <c r="QYT11" s="111"/>
      <c r="QYU11" s="111"/>
      <c r="QYV11" s="111"/>
      <c r="QYW11" s="111"/>
      <c r="QYX11" s="111"/>
      <c r="QYY11" s="111"/>
      <c r="QYZ11" s="111"/>
      <c r="QZA11" s="111"/>
      <c r="QZB11" s="111"/>
      <c r="QZC11" s="111"/>
      <c r="QZD11" s="111"/>
      <c r="QZE11" s="111"/>
      <c r="QZF11" s="111"/>
      <c r="QZG11" s="111"/>
      <c r="QZH11" s="111"/>
      <c r="QZI11" s="111"/>
      <c r="QZJ11" s="111"/>
      <c r="QZK11" s="111"/>
      <c r="QZL11" s="111"/>
      <c r="QZM11" s="111"/>
      <c r="QZN11" s="111"/>
      <c r="QZO11" s="111"/>
      <c r="QZP11" s="111"/>
      <c r="QZQ11" s="111"/>
      <c r="QZR11" s="111"/>
      <c r="QZS11" s="111"/>
      <c r="QZT11" s="111"/>
      <c r="QZU11" s="111"/>
      <c r="QZV11" s="111"/>
      <c r="QZW11" s="111"/>
      <c r="QZX11" s="111"/>
      <c r="QZY11" s="111"/>
      <c r="QZZ11" s="111"/>
      <c r="RAA11" s="111"/>
      <c r="RAB11" s="111"/>
      <c r="RAC11" s="111"/>
      <c r="RAD11" s="111"/>
      <c r="RAE11" s="111"/>
      <c r="RAF11" s="111"/>
      <c r="RAG11" s="111"/>
      <c r="RAH11" s="111"/>
      <c r="RAI11" s="111"/>
      <c r="RAJ11" s="111"/>
      <c r="RAK11" s="111"/>
      <c r="RAL11" s="111"/>
      <c r="RAM11" s="111"/>
      <c r="RAN11" s="111"/>
      <c r="RAO11" s="111"/>
      <c r="RAP11" s="111"/>
      <c r="RAQ11" s="111"/>
      <c r="RAR11" s="111"/>
      <c r="RAS11" s="111"/>
      <c r="RAT11" s="111"/>
      <c r="RAU11" s="111"/>
      <c r="RAV11" s="111"/>
      <c r="RAW11" s="111"/>
      <c r="RAX11" s="111"/>
      <c r="RAY11" s="111"/>
      <c r="RAZ11" s="111"/>
      <c r="RBA11" s="111"/>
      <c r="RBB11" s="111"/>
      <c r="RBC11" s="111"/>
      <c r="RBD11" s="111"/>
      <c r="RBE11" s="111"/>
      <c r="RBF11" s="111"/>
      <c r="RBG11" s="111"/>
      <c r="RBH11" s="111"/>
      <c r="RBI11" s="111"/>
      <c r="RBJ11" s="111"/>
      <c r="RBK11" s="111"/>
      <c r="RBL11" s="111"/>
      <c r="RBM11" s="111"/>
      <c r="RBN11" s="111"/>
      <c r="RBO11" s="111"/>
      <c r="RBP11" s="111"/>
      <c r="RBQ11" s="111"/>
      <c r="RBR11" s="111"/>
      <c r="RBS11" s="111"/>
      <c r="RBT11" s="111"/>
      <c r="RBU11" s="111"/>
      <c r="RBV11" s="111"/>
      <c r="RBW11" s="111"/>
      <c r="RBX11" s="111"/>
      <c r="RBY11" s="111"/>
      <c r="RBZ11" s="111"/>
      <c r="RCA11" s="111"/>
      <c r="RCB11" s="111"/>
      <c r="RCC11" s="111"/>
      <c r="RCD11" s="111"/>
      <c r="RCE11" s="111"/>
      <c r="RCF11" s="111"/>
      <c r="RCG11" s="111"/>
      <c r="RCH11" s="111"/>
      <c r="RCI11" s="111"/>
      <c r="RCJ11" s="111"/>
      <c r="RCK11" s="111"/>
      <c r="RCL11" s="111"/>
      <c r="RCM11" s="111"/>
      <c r="RCN11" s="111"/>
      <c r="RCO11" s="111"/>
      <c r="RCP11" s="111"/>
      <c r="RCQ11" s="111"/>
      <c r="RCR11" s="111"/>
      <c r="RCS11" s="111"/>
      <c r="RCT11" s="111"/>
      <c r="RCU11" s="111"/>
      <c r="RCV11" s="111"/>
      <c r="RCW11" s="111"/>
      <c r="RCX11" s="111"/>
      <c r="RCY11" s="111"/>
      <c r="RCZ11" s="111"/>
      <c r="RDA11" s="111"/>
      <c r="RDB11" s="111"/>
      <c r="RDC11" s="111"/>
      <c r="RDD11" s="111"/>
      <c r="RDE11" s="111"/>
      <c r="RDF11" s="111"/>
      <c r="RDG11" s="111"/>
      <c r="RDH11" s="111"/>
      <c r="RDI11" s="111"/>
      <c r="RDJ11" s="111"/>
      <c r="RDK11" s="111"/>
      <c r="RDL11" s="111"/>
      <c r="RDM11" s="111"/>
      <c r="RDN11" s="111"/>
      <c r="RDO11" s="111"/>
      <c r="RDP11" s="111"/>
      <c r="RDQ11" s="111"/>
      <c r="RDR11" s="111"/>
      <c r="RDS11" s="111"/>
      <c r="RDT11" s="111"/>
      <c r="RDU11" s="111"/>
      <c r="RDV11" s="111"/>
      <c r="RDW11" s="111"/>
      <c r="RDX11" s="111"/>
      <c r="RDY11" s="111"/>
      <c r="RDZ11" s="111"/>
      <c r="REA11" s="111"/>
      <c r="REB11" s="111"/>
      <c r="REC11" s="111"/>
      <c r="RED11" s="111"/>
      <c r="REE11" s="111"/>
      <c r="REF11" s="111"/>
      <c r="REG11" s="111"/>
      <c r="REH11" s="111"/>
      <c r="REI11" s="111"/>
      <c r="REJ11" s="111"/>
      <c r="REK11" s="111"/>
      <c r="REL11" s="111"/>
      <c r="REM11" s="111"/>
      <c r="REN11" s="111"/>
      <c r="REO11" s="111"/>
      <c r="REP11" s="111"/>
      <c r="REQ11" s="111"/>
      <c r="RER11" s="111"/>
      <c r="RES11" s="111"/>
      <c r="RET11" s="111"/>
      <c r="REU11" s="111"/>
      <c r="REV11" s="111"/>
      <c r="REW11" s="111"/>
      <c r="REX11" s="111"/>
      <c r="REY11" s="111"/>
      <c r="REZ11" s="111"/>
      <c r="RFA11" s="111"/>
      <c r="RFB11" s="111"/>
      <c r="RFC11" s="111"/>
      <c r="RFD11" s="111"/>
      <c r="RFE11" s="111"/>
      <c r="RFF11" s="111"/>
      <c r="RFG11" s="111"/>
      <c r="RFH11" s="111"/>
      <c r="RFI11" s="111"/>
      <c r="RFJ11" s="111"/>
      <c r="RFK11" s="111"/>
      <c r="RFL11" s="111"/>
      <c r="RFM11" s="111"/>
      <c r="RFN11" s="111"/>
      <c r="RFO11" s="111"/>
      <c r="RFP11" s="111"/>
      <c r="RFQ11" s="111"/>
      <c r="RFR11" s="111"/>
      <c r="RFS11" s="111"/>
      <c r="RFT11" s="111"/>
      <c r="RFU11" s="111"/>
      <c r="RFV11" s="111"/>
      <c r="RFW11" s="111"/>
      <c r="RFX11" s="111"/>
      <c r="RFY11" s="111"/>
      <c r="RFZ11" s="111"/>
      <c r="RGA11" s="111"/>
      <c r="RGB11" s="111"/>
      <c r="RGC11" s="111"/>
      <c r="RGD11" s="111"/>
      <c r="RGE11" s="111"/>
      <c r="RGF11" s="111"/>
      <c r="RGG11" s="111"/>
      <c r="RGH11" s="111"/>
      <c r="RGI11" s="111"/>
      <c r="RGJ11" s="111"/>
      <c r="RGK11" s="111"/>
      <c r="RGL11" s="111"/>
      <c r="RGM11" s="111"/>
      <c r="RGN11" s="111"/>
      <c r="RGO11" s="111"/>
      <c r="RGP11" s="111"/>
      <c r="RGQ11" s="111"/>
      <c r="RGR11" s="111"/>
      <c r="RGS11" s="111"/>
      <c r="RGT11" s="111"/>
      <c r="RGU11" s="111"/>
      <c r="RGV11" s="111"/>
      <c r="RGW11" s="111"/>
      <c r="RGX11" s="111"/>
      <c r="RGY11" s="111"/>
      <c r="RGZ11" s="111"/>
      <c r="RHA11" s="111"/>
      <c r="RHB11" s="111"/>
      <c r="RHC11" s="111"/>
      <c r="RHD11" s="111"/>
      <c r="RHE11" s="111"/>
      <c r="RHF11" s="111"/>
      <c r="RHG11" s="111"/>
      <c r="RHH11" s="111"/>
      <c r="RHI11" s="111"/>
      <c r="RHJ11" s="111"/>
      <c r="RHK11" s="111"/>
      <c r="RHL11" s="111"/>
      <c r="RHM11" s="111"/>
      <c r="RHN11" s="111"/>
      <c r="RHO11" s="111"/>
      <c r="RHP11" s="111"/>
      <c r="RHQ11" s="111"/>
      <c r="RHR11" s="111"/>
      <c r="RHS11" s="111"/>
      <c r="RHT11" s="111"/>
      <c r="RHU11" s="111"/>
      <c r="RHV11" s="111"/>
      <c r="RHW11" s="111"/>
      <c r="RHX11" s="111"/>
      <c r="RHY11" s="111"/>
      <c r="RHZ11" s="111"/>
      <c r="RIA11" s="111"/>
      <c r="RIB11" s="111"/>
      <c r="RIC11" s="111"/>
      <c r="RID11" s="111"/>
      <c r="RIE11" s="111"/>
      <c r="RIF11" s="111"/>
      <c r="RIG11" s="111"/>
      <c r="RIH11" s="111"/>
      <c r="RII11" s="111"/>
      <c r="RIJ11" s="111"/>
      <c r="RIK11" s="111"/>
      <c r="RIL11" s="111"/>
      <c r="RIM11" s="111"/>
      <c r="RIN11" s="111"/>
      <c r="RIO11" s="111"/>
      <c r="RIP11" s="111"/>
      <c r="RIQ11" s="111"/>
      <c r="RIR11" s="111"/>
      <c r="RIS11" s="111"/>
      <c r="RIT11" s="111"/>
      <c r="RIU11" s="111"/>
      <c r="RIV11" s="111"/>
      <c r="RIW11" s="111"/>
      <c r="RIX11" s="111"/>
      <c r="RIY11" s="111"/>
      <c r="RIZ11" s="111"/>
      <c r="RJA11" s="111"/>
      <c r="RJB11" s="111"/>
      <c r="RJC11" s="111"/>
      <c r="RJD11" s="111"/>
      <c r="RJE11" s="111"/>
      <c r="RJF11" s="111"/>
      <c r="RJG11" s="111"/>
      <c r="RJH11" s="111"/>
      <c r="RJI11" s="111"/>
      <c r="RJJ11" s="111"/>
      <c r="RJK11" s="111"/>
      <c r="RJL11" s="111"/>
      <c r="RJM11" s="111"/>
      <c r="RJN11" s="111"/>
      <c r="RJO11" s="111"/>
      <c r="RJP11" s="111"/>
      <c r="RJQ11" s="111"/>
      <c r="RJR11" s="111"/>
      <c r="RJS11" s="111"/>
      <c r="RJT11" s="111"/>
      <c r="RJU11" s="111"/>
      <c r="RJV11" s="111"/>
      <c r="RJW11" s="111"/>
      <c r="RJX11" s="111"/>
      <c r="RJY11" s="111"/>
      <c r="RJZ11" s="111"/>
      <c r="RKA11" s="111"/>
      <c r="RKB11" s="111"/>
      <c r="RKC11" s="111"/>
      <c r="RKD11" s="111"/>
      <c r="RKE11" s="111"/>
      <c r="RKF11" s="111"/>
      <c r="RKG11" s="111"/>
      <c r="RKH11" s="111"/>
      <c r="RKI11" s="111"/>
      <c r="RKJ11" s="111"/>
      <c r="RKK11" s="111"/>
      <c r="RKL11" s="111"/>
      <c r="RKM11" s="111"/>
      <c r="RKN11" s="111"/>
      <c r="RKO11" s="111"/>
      <c r="RKP11" s="111"/>
      <c r="RKQ11" s="111"/>
      <c r="RKR11" s="111"/>
      <c r="RKS11" s="111"/>
      <c r="RKT11" s="111"/>
      <c r="RKU11" s="111"/>
      <c r="RKV11" s="111"/>
      <c r="RKW11" s="111"/>
      <c r="RKX11" s="111"/>
      <c r="RKY11" s="111"/>
      <c r="RKZ11" s="111"/>
      <c r="RLA11" s="111"/>
      <c r="RLB11" s="111"/>
      <c r="RLC11" s="111"/>
      <c r="RLD11" s="111"/>
      <c r="RLE11" s="111"/>
      <c r="RLF11" s="111"/>
      <c r="RLG11" s="111"/>
      <c r="RLH11" s="111"/>
      <c r="RLI11" s="111"/>
      <c r="RLJ11" s="111"/>
      <c r="RLK11" s="111"/>
      <c r="RLL11" s="111"/>
      <c r="RLM11" s="111"/>
      <c r="RLN11" s="111"/>
      <c r="RLO11" s="111"/>
      <c r="RLP11" s="111"/>
      <c r="RLQ11" s="111"/>
      <c r="RLR11" s="111"/>
      <c r="RLS11" s="111"/>
      <c r="RLT11" s="111"/>
      <c r="RLU11" s="111"/>
      <c r="RLV11" s="111"/>
      <c r="RLW11" s="111"/>
      <c r="RLX11" s="111"/>
      <c r="RLY11" s="111"/>
      <c r="RLZ11" s="111"/>
      <c r="RMA11" s="111"/>
      <c r="RMB11" s="111"/>
      <c r="RMC11" s="111"/>
      <c r="RMD11" s="111"/>
      <c r="RME11" s="111"/>
      <c r="RMF11" s="111"/>
      <c r="RMG11" s="111"/>
      <c r="RMH11" s="111"/>
      <c r="RMI11" s="111"/>
      <c r="RMJ11" s="111"/>
      <c r="RMK11" s="111"/>
      <c r="RML11" s="111"/>
      <c r="RMM11" s="111"/>
      <c r="RMN11" s="111"/>
      <c r="RMO11" s="111"/>
      <c r="RMP11" s="111"/>
      <c r="RMQ11" s="111"/>
      <c r="RMR11" s="111"/>
      <c r="RMS11" s="111"/>
      <c r="RMT11" s="111"/>
      <c r="RMU11" s="111"/>
      <c r="RMV11" s="111"/>
      <c r="RMW11" s="111"/>
      <c r="RMX11" s="111"/>
      <c r="RMY11" s="111"/>
      <c r="RMZ11" s="111"/>
      <c r="RNA11" s="111"/>
      <c r="RNB11" s="111"/>
      <c r="RNC11" s="111"/>
      <c r="RND11" s="111"/>
      <c r="RNE11" s="111"/>
      <c r="RNF11" s="111"/>
      <c r="RNG11" s="111"/>
      <c r="RNH11" s="111"/>
      <c r="RNI11" s="111"/>
      <c r="RNJ11" s="111"/>
      <c r="RNK11" s="111"/>
      <c r="RNL11" s="111"/>
      <c r="RNM11" s="111"/>
      <c r="RNN11" s="111"/>
      <c r="RNO11" s="111"/>
      <c r="RNP11" s="111"/>
      <c r="RNQ11" s="111"/>
      <c r="RNR11" s="111"/>
      <c r="RNS11" s="111"/>
      <c r="RNT11" s="111"/>
      <c r="RNU11" s="111"/>
      <c r="RNV11" s="111"/>
      <c r="RNW11" s="111"/>
      <c r="RNX11" s="111"/>
      <c r="RNY11" s="111"/>
      <c r="RNZ11" s="111"/>
      <c r="ROA11" s="111"/>
      <c r="ROB11" s="111"/>
      <c r="ROC11" s="111"/>
      <c r="ROD11" s="111"/>
      <c r="ROE11" s="111"/>
      <c r="ROF11" s="111"/>
      <c r="ROG11" s="111"/>
      <c r="ROH11" s="111"/>
      <c r="ROI11" s="111"/>
      <c r="ROJ11" s="111"/>
      <c r="ROK11" s="111"/>
      <c r="ROL11" s="111"/>
      <c r="ROM11" s="111"/>
      <c r="RON11" s="111"/>
      <c r="ROO11" s="111"/>
      <c r="ROP11" s="111"/>
      <c r="ROQ11" s="111"/>
      <c r="ROR11" s="111"/>
      <c r="ROS11" s="111"/>
      <c r="ROT11" s="111"/>
      <c r="ROU11" s="111"/>
      <c r="ROV11" s="111"/>
      <c r="ROW11" s="111"/>
      <c r="ROX11" s="111"/>
      <c r="ROY11" s="111"/>
      <c r="ROZ11" s="111"/>
      <c r="RPA11" s="111"/>
      <c r="RPB11" s="111"/>
      <c r="RPC11" s="111"/>
      <c r="RPD11" s="111"/>
      <c r="RPE11" s="111"/>
      <c r="RPF11" s="111"/>
      <c r="RPG11" s="111"/>
      <c r="RPH11" s="111"/>
      <c r="RPI11" s="111"/>
      <c r="RPJ11" s="111"/>
      <c r="RPK11" s="111"/>
      <c r="RPL11" s="111"/>
      <c r="RPM11" s="111"/>
      <c r="RPN11" s="111"/>
      <c r="RPO11" s="111"/>
      <c r="RPP11" s="111"/>
      <c r="RPQ11" s="111"/>
      <c r="RPR11" s="111"/>
      <c r="RPS11" s="111"/>
      <c r="RPT11" s="111"/>
      <c r="RPU11" s="111"/>
      <c r="RPV11" s="111"/>
      <c r="RPW11" s="111"/>
      <c r="RPX11" s="111"/>
      <c r="RPY11" s="111"/>
      <c r="RPZ11" s="111"/>
      <c r="RQA11" s="111"/>
      <c r="RQB11" s="111"/>
      <c r="RQC11" s="111"/>
      <c r="RQD11" s="111"/>
      <c r="RQE11" s="111"/>
      <c r="RQF11" s="111"/>
      <c r="RQG11" s="111"/>
      <c r="RQH11" s="111"/>
      <c r="RQI11" s="111"/>
      <c r="RQJ11" s="111"/>
      <c r="RQK11" s="111"/>
      <c r="RQL11" s="111"/>
      <c r="RQM11" s="111"/>
      <c r="RQN11" s="111"/>
      <c r="RQO11" s="111"/>
      <c r="RQP11" s="111"/>
      <c r="RQQ11" s="111"/>
      <c r="RQR11" s="111"/>
      <c r="RQS11" s="111"/>
      <c r="RQT11" s="111"/>
      <c r="RQU11" s="111"/>
      <c r="RQV11" s="111"/>
      <c r="RQW11" s="111"/>
      <c r="RQX11" s="111"/>
      <c r="RQY11" s="111"/>
      <c r="RQZ11" s="111"/>
      <c r="RRA11" s="111"/>
      <c r="RRB11" s="111"/>
      <c r="RRC11" s="111"/>
      <c r="RRD11" s="111"/>
      <c r="RRE11" s="111"/>
      <c r="RRF11" s="111"/>
      <c r="RRG11" s="111"/>
      <c r="RRH11" s="111"/>
      <c r="RRI11" s="111"/>
      <c r="RRJ11" s="111"/>
      <c r="RRK11" s="111"/>
      <c r="RRL11" s="111"/>
      <c r="RRM11" s="111"/>
      <c r="RRN11" s="111"/>
      <c r="RRO11" s="111"/>
      <c r="RRP11" s="111"/>
      <c r="RRQ11" s="111"/>
      <c r="RRR11" s="111"/>
      <c r="RRS11" s="111"/>
      <c r="RRT11" s="111"/>
      <c r="RRU11" s="111"/>
      <c r="RRV11" s="111"/>
      <c r="RRW11" s="111"/>
      <c r="RRX11" s="111"/>
      <c r="RRY11" s="111"/>
      <c r="RRZ11" s="111"/>
      <c r="RSA11" s="111"/>
      <c r="RSB11" s="111"/>
      <c r="RSC11" s="111"/>
      <c r="RSD11" s="111"/>
      <c r="RSE11" s="111"/>
      <c r="RSF11" s="111"/>
      <c r="RSG11" s="111"/>
      <c r="RSH11" s="111"/>
      <c r="RSI11" s="111"/>
      <c r="RSJ11" s="111"/>
      <c r="RSK11" s="111"/>
      <c r="RSL11" s="111"/>
      <c r="RSM11" s="111"/>
      <c r="RSN11" s="111"/>
      <c r="RSO11" s="111"/>
      <c r="RSP11" s="111"/>
      <c r="RSQ11" s="111"/>
      <c r="RSR11" s="111"/>
      <c r="RSS11" s="111"/>
      <c r="RST11" s="111"/>
      <c r="RSU11" s="111"/>
      <c r="RSV11" s="111"/>
      <c r="RSW11" s="111"/>
      <c r="RSX11" s="111"/>
      <c r="RSY11" s="111"/>
      <c r="RSZ11" s="111"/>
      <c r="RTA11" s="111"/>
      <c r="RTB11" s="111"/>
      <c r="RTC11" s="111"/>
      <c r="RTD11" s="111"/>
      <c r="RTE11" s="111"/>
      <c r="RTF11" s="111"/>
      <c r="RTG11" s="111"/>
      <c r="RTH11" s="111"/>
      <c r="RTI11" s="111"/>
      <c r="RTJ11" s="111"/>
      <c r="RTK11" s="111"/>
      <c r="RTL11" s="111"/>
      <c r="RTM11" s="111"/>
      <c r="RTN11" s="111"/>
      <c r="RTO11" s="111"/>
      <c r="RTP11" s="111"/>
      <c r="RTQ11" s="111"/>
      <c r="RTR11" s="111"/>
      <c r="RTS11" s="111"/>
      <c r="RTT11" s="111"/>
      <c r="RTU11" s="111"/>
      <c r="RTV11" s="111"/>
      <c r="RTW11" s="111"/>
      <c r="RTX11" s="111"/>
      <c r="RTY11" s="111"/>
      <c r="RTZ11" s="111"/>
      <c r="RUA11" s="111"/>
      <c r="RUB11" s="111"/>
      <c r="RUC11" s="111"/>
      <c r="RUD11" s="111"/>
      <c r="RUE11" s="111"/>
      <c r="RUF11" s="111"/>
      <c r="RUG11" s="111"/>
      <c r="RUH11" s="111"/>
      <c r="RUI11" s="111"/>
      <c r="RUJ11" s="111"/>
      <c r="RUK11" s="111"/>
      <c r="RUL11" s="111"/>
      <c r="RUM11" s="111"/>
      <c r="RUN11" s="111"/>
      <c r="RUO11" s="111"/>
      <c r="RUP11" s="111"/>
      <c r="RUQ11" s="111"/>
      <c r="RUR11" s="111"/>
      <c r="RUS11" s="111"/>
      <c r="RUT11" s="111"/>
      <c r="RUU11" s="111"/>
      <c r="RUV11" s="111"/>
      <c r="RUW11" s="111"/>
      <c r="RUX11" s="111"/>
      <c r="RUY11" s="111"/>
      <c r="RUZ11" s="111"/>
      <c r="RVA11" s="111"/>
      <c r="RVB11" s="111"/>
      <c r="RVC11" s="111"/>
      <c r="RVD11" s="111"/>
      <c r="RVE11" s="111"/>
      <c r="RVF11" s="111"/>
      <c r="RVG11" s="111"/>
      <c r="RVH11" s="111"/>
      <c r="RVI11" s="111"/>
      <c r="RVJ11" s="111"/>
      <c r="RVK11" s="111"/>
      <c r="RVL11" s="111"/>
      <c r="RVM11" s="111"/>
      <c r="RVN11" s="111"/>
      <c r="RVO11" s="111"/>
      <c r="RVP11" s="111"/>
      <c r="RVQ11" s="111"/>
      <c r="RVR11" s="111"/>
      <c r="RVS11" s="111"/>
      <c r="RVT11" s="111"/>
      <c r="RVU11" s="111"/>
      <c r="RVV11" s="111"/>
      <c r="RVW11" s="111"/>
      <c r="RVX11" s="111"/>
      <c r="RVY11" s="111"/>
      <c r="RVZ11" s="111"/>
      <c r="RWA11" s="111"/>
      <c r="RWB11" s="111"/>
      <c r="RWC11" s="111"/>
      <c r="RWD11" s="111"/>
      <c r="RWE11" s="111"/>
      <c r="RWF11" s="111"/>
      <c r="RWG11" s="111"/>
      <c r="RWH11" s="111"/>
      <c r="RWI11" s="111"/>
      <c r="RWJ11" s="111"/>
      <c r="RWK11" s="111"/>
      <c r="RWL11" s="111"/>
      <c r="RWM11" s="111"/>
      <c r="RWN11" s="111"/>
      <c r="RWO11" s="111"/>
      <c r="RWP11" s="111"/>
      <c r="RWQ11" s="111"/>
      <c r="RWR11" s="111"/>
      <c r="RWS11" s="111"/>
      <c r="RWT11" s="111"/>
      <c r="RWU11" s="111"/>
      <c r="RWV11" s="111"/>
      <c r="RWW11" s="111"/>
      <c r="RWX11" s="111"/>
      <c r="RWY11" s="111"/>
      <c r="RWZ11" s="111"/>
      <c r="RXA11" s="111"/>
      <c r="RXB11" s="111"/>
      <c r="RXC11" s="111"/>
      <c r="RXD11" s="111"/>
      <c r="RXE11" s="111"/>
      <c r="RXF11" s="111"/>
      <c r="RXG11" s="111"/>
      <c r="RXH11" s="111"/>
      <c r="RXI11" s="111"/>
      <c r="RXJ11" s="111"/>
      <c r="RXK11" s="111"/>
      <c r="RXL11" s="111"/>
      <c r="RXM11" s="111"/>
      <c r="RXN11" s="111"/>
      <c r="RXO11" s="111"/>
      <c r="RXP11" s="111"/>
      <c r="RXQ11" s="111"/>
      <c r="RXR11" s="111"/>
      <c r="RXS11" s="111"/>
      <c r="RXT11" s="111"/>
      <c r="RXU11" s="111"/>
      <c r="RXV11" s="111"/>
      <c r="RXW11" s="111"/>
      <c r="RXX11" s="111"/>
      <c r="RXY11" s="111"/>
      <c r="RXZ11" s="111"/>
      <c r="RYA11" s="111"/>
      <c r="RYB11" s="111"/>
      <c r="RYC11" s="111"/>
      <c r="RYD11" s="111"/>
      <c r="RYE11" s="111"/>
      <c r="RYF11" s="111"/>
      <c r="RYG11" s="111"/>
      <c r="RYH11" s="111"/>
      <c r="RYI11" s="111"/>
      <c r="RYJ11" s="111"/>
      <c r="RYK11" s="111"/>
      <c r="RYL11" s="111"/>
      <c r="RYM11" s="111"/>
      <c r="RYN11" s="111"/>
      <c r="RYO11" s="111"/>
      <c r="RYP11" s="111"/>
      <c r="RYQ11" s="111"/>
      <c r="RYR11" s="111"/>
      <c r="RYS11" s="111"/>
      <c r="RYT11" s="111"/>
      <c r="RYU11" s="111"/>
      <c r="RYV11" s="111"/>
      <c r="RYW11" s="111"/>
      <c r="RYX11" s="111"/>
      <c r="RYY11" s="111"/>
      <c r="RYZ11" s="111"/>
      <c r="RZA11" s="111"/>
      <c r="RZB11" s="111"/>
      <c r="RZC11" s="111"/>
      <c r="RZD11" s="111"/>
      <c r="RZE11" s="111"/>
      <c r="RZF11" s="111"/>
      <c r="RZG11" s="111"/>
      <c r="RZH11" s="111"/>
      <c r="RZI11" s="111"/>
      <c r="RZJ11" s="111"/>
      <c r="RZK11" s="111"/>
      <c r="RZL11" s="111"/>
      <c r="RZM11" s="111"/>
      <c r="RZN11" s="111"/>
      <c r="RZO11" s="111"/>
      <c r="RZP11" s="111"/>
      <c r="RZQ11" s="111"/>
      <c r="RZR11" s="111"/>
      <c r="RZS11" s="111"/>
      <c r="RZT11" s="111"/>
      <c r="RZU11" s="111"/>
      <c r="RZV11" s="111"/>
      <c r="RZW11" s="111"/>
      <c r="RZX11" s="111"/>
      <c r="RZY11" s="111"/>
      <c r="RZZ11" s="111"/>
      <c r="SAA11" s="111"/>
      <c r="SAB11" s="111"/>
      <c r="SAC11" s="111"/>
      <c r="SAD11" s="111"/>
      <c r="SAE11" s="111"/>
      <c r="SAF11" s="111"/>
      <c r="SAG11" s="111"/>
      <c r="SAH11" s="111"/>
      <c r="SAI11" s="111"/>
      <c r="SAJ11" s="111"/>
      <c r="SAK11" s="111"/>
      <c r="SAL11" s="111"/>
      <c r="SAM11" s="111"/>
      <c r="SAN11" s="111"/>
      <c r="SAO11" s="111"/>
      <c r="SAP11" s="111"/>
      <c r="SAQ11" s="111"/>
      <c r="SAR11" s="111"/>
      <c r="SAS11" s="111"/>
      <c r="SAT11" s="111"/>
      <c r="SAU11" s="111"/>
      <c r="SAV11" s="111"/>
      <c r="SAW11" s="111"/>
      <c r="SAX11" s="111"/>
      <c r="SAY11" s="111"/>
      <c r="SAZ11" s="111"/>
      <c r="SBA11" s="111"/>
      <c r="SBB11" s="111"/>
      <c r="SBC11" s="111"/>
      <c r="SBD11" s="111"/>
      <c r="SBE11" s="111"/>
      <c r="SBF11" s="111"/>
      <c r="SBG11" s="111"/>
      <c r="SBH11" s="111"/>
      <c r="SBI11" s="111"/>
      <c r="SBJ11" s="111"/>
      <c r="SBK11" s="111"/>
      <c r="SBL11" s="111"/>
      <c r="SBM11" s="111"/>
      <c r="SBN11" s="111"/>
      <c r="SBO11" s="111"/>
      <c r="SBP11" s="111"/>
      <c r="SBQ11" s="111"/>
      <c r="SBR11" s="111"/>
      <c r="SBS11" s="111"/>
      <c r="SBT11" s="111"/>
      <c r="SBU11" s="111"/>
      <c r="SBV11" s="111"/>
      <c r="SBW11" s="111"/>
      <c r="SBX11" s="111"/>
      <c r="SBY11" s="111"/>
      <c r="SBZ11" s="111"/>
      <c r="SCA11" s="111"/>
      <c r="SCB11" s="111"/>
      <c r="SCC11" s="111"/>
      <c r="SCD11" s="111"/>
      <c r="SCE11" s="111"/>
      <c r="SCF11" s="111"/>
      <c r="SCG11" s="111"/>
      <c r="SCH11" s="111"/>
      <c r="SCI11" s="111"/>
      <c r="SCJ11" s="111"/>
      <c r="SCK11" s="111"/>
      <c r="SCL11" s="111"/>
      <c r="SCM11" s="111"/>
      <c r="SCN11" s="111"/>
      <c r="SCO11" s="111"/>
      <c r="SCP11" s="111"/>
      <c r="SCQ11" s="111"/>
      <c r="SCR11" s="111"/>
      <c r="SCS11" s="111"/>
      <c r="SCT11" s="111"/>
      <c r="SCU11" s="111"/>
      <c r="SCV11" s="111"/>
      <c r="SCW11" s="111"/>
      <c r="SCX11" s="111"/>
      <c r="SCY11" s="111"/>
      <c r="SCZ11" s="111"/>
      <c r="SDA11" s="111"/>
      <c r="SDB11" s="111"/>
      <c r="SDC11" s="111"/>
      <c r="SDD11" s="111"/>
      <c r="SDE11" s="111"/>
      <c r="SDF11" s="111"/>
      <c r="SDG11" s="111"/>
      <c r="SDH11" s="111"/>
      <c r="SDI11" s="111"/>
      <c r="SDJ11" s="111"/>
      <c r="SDK11" s="111"/>
      <c r="SDL11" s="111"/>
      <c r="SDM11" s="111"/>
      <c r="SDN11" s="111"/>
      <c r="SDO11" s="111"/>
      <c r="SDP11" s="111"/>
      <c r="SDQ11" s="111"/>
      <c r="SDR11" s="111"/>
      <c r="SDS11" s="111"/>
      <c r="SDT11" s="111"/>
      <c r="SDU11" s="111"/>
      <c r="SDV11" s="111"/>
      <c r="SDW11" s="111"/>
      <c r="SDX11" s="111"/>
      <c r="SDY11" s="111"/>
      <c r="SDZ11" s="111"/>
      <c r="SEA11" s="111"/>
      <c r="SEB11" s="111"/>
      <c r="SEC11" s="111"/>
      <c r="SED11" s="111"/>
      <c r="SEE11" s="111"/>
      <c r="SEF11" s="111"/>
      <c r="SEG11" s="111"/>
      <c r="SEH11" s="111"/>
      <c r="SEI11" s="111"/>
      <c r="SEJ11" s="111"/>
      <c r="SEK11" s="111"/>
      <c r="SEL11" s="111"/>
      <c r="SEM11" s="111"/>
      <c r="SEN11" s="111"/>
      <c r="SEO11" s="111"/>
      <c r="SEP11" s="111"/>
      <c r="SEQ11" s="111"/>
      <c r="SER11" s="111"/>
      <c r="SES11" s="111"/>
      <c r="SET11" s="111"/>
      <c r="SEU11" s="111"/>
      <c r="SEV11" s="111"/>
      <c r="SEW11" s="111"/>
      <c r="SEX11" s="111"/>
      <c r="SEY11" s="111"/>
      <c r="SEZ11" s="111"/>
      <c r="SFA11" s="111"/>
      <c r="SFB11" s="111"/>
      <c r="SFC11" s="111"/>
      <c r="SFD11" s="111"/>
      <c r="SFE11" s="111"/>
      <c r="SFF11" s="111"/>
      <c r="SFG11" s="111"/>
      <c r="SFH11" s="111"/>
      <c r="SFI11" s="111"/>
      <c r="SFJ11" s="111"/>
      <c r="SFK11" s="111"/>
      <c r="SFL11" s="111"/>
      <c r="SFM11" s="111"/>
      <c r="SFN11" s="111"/>
      <c r="SFO11" s="111"/>
      <c r="SFP11" s="111"/>
      <c r="SFQ11" s="111"/>
      <c r="SFR11" s="111"/>
      <c r="SFS11" s="111"/>
      <c r="SFT11" s="111"/>
      <c r="SFU11" s="111"/>
      <c r="SFV11" s="111"/>
      <c r="SFW11" s="111"/>
      <c r="SFX11" s="111"/>
      <c r="SFY11" s="111"/>
      <c r="SFZ11" s="111"/>
      <c r="SGA11" s="111"/>
      <c r="SGB11" s="111"/>
      <c r="SGC11" s="111"/>
      <c r="SGD11" s="111"/>
      <c r="SGE11" s="111"/>
      <c r="SGF11" s="111"/>
      <c r="SGG11" s="111"/>
      <c r="SGH11" s="111"/>
      <c r="SGI11" s="111"/>
      <c r="SGJ11" s="111"/>
      <c r="SGK11" s="111"/>
      <c r="SGL11" s="111"/>
      <c r="SGM11" s="111"/>
      <c r="SGN11" s="111"/>
      <c r="SGO11" s="111"/>
      <c r="SGP11" s="111"/>
      <c r="SGQ11" s="111"/>
      <c r="SGR11" s="111"/>
      <c r="SGS11" s="111"/>
      <c r="SGT11" s="111"/>
      <c r="SGU11" s="111"/>
      <c r="SGV11" s="111"/>
      <c r="SGW11" s="111"/>
      <c r="SGX11" s="111"/>
      <c r="SGY11" s="111"/>
      <c r="SGZ11" s="111"/>
      <c r="SHA11" s="111"/>
      <c r="SHB11" s="111"/>
      <c r="SHC11" s="111"/>
      <c r="SHD11" s="111"/>
      <c r="SHE11" s="111"/>
      <c r="SHF11" s="111"/>
      <c r="SHG11" s="111"/>
      <c r="SHH11" s="111"/>
      <c r="SHI11" s="111"/>
      <c r="SHJ11" s="111"/>
      <c r="SHK11" s="111"/>
      <c r="SHL11" s="111"/>
      <c r="SHM11" s="111"/>
      <c r="SHN11" s="111"/>
      <c r="SHO11" s="111"/>
      <c r="SHP11" s="111"/>
      <c r="SHQ11" s="111"/>
      <c r="SHR11" s="111"/>
      <c r="SHS11" s="111"/>
      <c r="SHT11" s="111"/>
      <c r="SHU11" s="111"/>
      <c r="SHV11" s="111"/>
      <c r="SHW11" s="111"/>
      <c r="SHX11" s="111"/>
      <c r="SHY11" s="111"/>
      <c r="SHZ11" s="111"/>
      <c r="SIA11" s="111"/>
      <c r="SIB11" s="111"/>
      <c r="SIC11" s="111"/>
      <c r="SID11" s="111"/>
      <c r="SIE11" s="111"/>
      <c r="SIF11" s="111"/>
      <c r="SIG11" s="111"/>
      <c r="SIH11" s="111"/>
      <c r="SII11" s="111"/>
      <c r="SIJ11" s="111"/>
      <c r="SIK11" s="111"/>
      <c r="SIL11" s="111"/>
      <c r="SIM11" s="111"/>
      <c r="SIN11" s="111"/>
      <c r="SIO11" s="111"/>
      <c r="SIP11" s="111"/>
      <c r="SIQ11" s="111"/>
      <c r="SIR11" s="111"/>
      <c r="SIS11" s="111"/>
      <c r="SIT11" s="111"/>
      <c r="SIU11" s="111"/>
      <c r="SIV11" s="111"/>
      <c r="SIW11" s="111"/>
      <c r="SIX11" s="111"/>
      <c r="SIY11" s="111"/>
      <c r="SIZ11" s="111"/>
      <c r="SJA11" s="111"/>
      <c r="SJB11" s="111"/>
      <c r="SJC11" s="111"/>
      <c r="SJD11" s="111"/>
      <c r="SJE11" s="111"/>
      <c r="SJF11" s="111"/>
      <c r="SJG11" s="111"/>
      <c r="SJH11" s="111"/>
      <c r="SJI11" s="111"/>
      <c r="SJJ11" s="111"/>
      <c r="SJK11" s="111"/>
      <c r="SJL11" s="111"/>
      <c r="SJM11" s="111"/>
      <c r="SJN11" s="111"/>
      <c r="SJO11" s="111"/>
      <c r="SJP11" s="111"/>
      <c r="SJQ11" s="111"/>
      <c r="SJR11" s="111"/>
      <c r="SJS11" s="111"/>
      <c r="SJT11" s="111"/>
      <c r="SJU11" s="111"/>
      <c r="SJV11" s="111"/>
      <c r="SJW11" s="111"/>
      <c r="SJX11" s="111"/>
      <c r="SJY11" s="111"/>
      <c r="SJZ11" s="111"/>
      <c r="SKA11" s="111"/>
      <c r="SKB11" s="111"/>
      <c r="SKC11" s="111"/>
      <c r="SKD11" s="111"/>
      <c r="SKE11" s="111"/>
      <c r="SKF11" s="111"/>
      <c r="SKG11" s="111"/>
      <c r="SKH11" s="111"/>
      <c r="SKI11" s="111"/>
      <c r="SKJ11" s="111"/>
      <c r="SKK11" s="111"/>
      <c r="SKL11" s="111"/>
      <c r="SKM11" s="111"/>
      <c r="SKN11" s="111"/>
      <c r="SKO11" s="111"/>
      <c r="SKP11" s="111"/>
      <c r="SKQ11" s="111"/>
      <c r="SKR11" s="111"/>
      <c r="SKS11" s="111"/>
      <c r="SKT11" s="111"/>
      <c r="SKU11" s="111"/>
      <c r="SKV11" s="111"/>
      <c r="SKW11" s="111"/>
      <c r="SKX11" s="111"/>
      <c r="SKY11" s="111"/>
      <c r="SKZ11" s="111"/>
      <c r="SLA11" s="111"/>
      <c r="SLB11" s="111"/>
      <c r="SLC11" s="111"/>
      <c r="SLD11" s="111"/>
      <c r="SLE11" s="111"/>
      <c r="SLF11" s="111"/>
      <c r="SLG11" s="111"/>
      <c r="SLH11" s="111"/>
      <c r="SLI11" s="111"/>
      <c r="SLJ11" s="111"/>
      <c r="SLK11" s="111"/>
      <c r="SLL11" s="111"/>
      <c r="SLM11" s="111"/>
      <c r="SLN11" s="111"/>
      <c r="SLO11" s="111"/>
      <c r="SLP11" s="111"/>
      <c r="SLQ11" s="111"/>
      <c r="SLR11" s="111"/>
      <c r="SLS11" s="111"/>
      <c r="SLT11" s="111"/>
      <c r="SLU11" s="111"/>
      <c r="SLV11" s="111"/>
      <c r="SLW11" s="111"/>
      <c r="SLX11" s="111"/>
      <c r="SLY11" s="111"/>
      <c r="SLZ11" s="111"/>
      <c r="SMA11" s="111"/>
      <c r="SMB11" s="111"/>
      <c r="SMC11" s="111"/>
      <c r="SMD11" s="111"/>
      <c r="SME11" s="111"/>
      <c r="SMF11" s="111"/>
      <c r="SMG11" s="111"/>
      <c r="SMH11" s="111"/>
      <c r="SMI11" s="111"/>
      <c r="SMJ11" s="111"/>
      <c r="SMK11" s="111"/>
      <c r="SML11" s="111"/>
      <c r="SMM11" s="111"/>
      <c r="SMN11" s="111"/>
      <c r="SMO11" s="111"/>
      <c r="SMP11" s="111"/>
      <c r="SMQ11" s="111"/>
      <c r="SMR11" s="111"/>
      <c r="SMS11" s="111"/>
      <c r="SMT11" s="111"/>
      <c r="SMU11" s="111"/>
      <c r="SMV11" s="111"/>
      <c r="SMW11" s="111"/>
      <c r="SMX11" s="111"/>
      <c r="SMY11" s="111"/>
      <c r="SMZ11" s="111"/>
      <c r="SNA11" s="111"/>
      <c r="SNB11" s="111"/>
      <c r="SNC11" s="111"/>
      <c r="SND11" s="111"/>
      <c r="SNE11" s="111"/>
      <c r="SNF11" s="111"/>
      <c r="SNG11" s="111"/>
      <c r="SNH11" s="111"/>
      <c r="SNI11" s="111"/>
      <c r="SNJ11" s="111"/>
      <c r="SNK11" s="111"/>
      <c r="SNL11" s="111"/>
      <c r="SNM11" s="111"/>
      <c r="SNN11" s="111"/>
      <c r="SNO11" s="111"/>
      <c r="SNP11" s="111"/>
      <c r="SNQ11" s="111"/>
      <c r="SNR11" s="111"/>
      <c r="SNS11" s="111"/>
      <c r="SNT11" s="111"/>
      <c r="SNU11" s="111"/>
      <c r="SNV11" s="111"/>
      <c r="SNW11" s="111"/>
      <c r="SNX11" s="111"/>
      <c r="SNY11" s="111"/>
      <c r="SNZ11" s="111"/>
      <c r="SOA11" s="111"/>
      <c r="SOB11" s="111"/>
      <c r="SOC11" s="111"/>
      <c r="SOD11" s="111"/>
      <c r="SOE11" s="111"/>
      <c r="SOF11" s="111"/>
      <c r="SOG11" s="111"/>
      <c r="SOH11" s="111"/>
      <c r="SOI11" s="111"/>
      <c r="SOJ11" s="111"/>
      <c r="SOK11" s="111"/>
      <c r="SOL11" s="111"/>
      <c r="SOM11" s="111"/>
      <c r="SON11" s="111"/>
      <c r="SOO11" s="111"/>
      <c r="SOP11" s="111"/>
      <c r="SOQ11" s="111"/>
      <c r="SOR11" s="111"/>
      <c r="SOS11" s="111"/>
      <c r="SOT11" s="111"/>
      <c r="SOU11" s="111"/>
      <c r="SOV11" s="111"/>
      <c r="SOW11" s="111"/>
      <c r="SOX11" s="111"/>
      <c r="SOY11" s="111"/>
      <c r="SOZ11" s="111"/>
      <c r="SPA11" s="111"/>
      <c r="SPB11" s="111"/>
      <c r="SPC11" s="111"/>
      <c r="SPD11" s="111"/>
      <c r="SPE11" s="111"/>
      <c r="SPF11" s="111"/>
      <c r="SPG11" s="111"/>
      <c r="SPH11" s="111"/>
      <c r="SPI11" s="111"/>
      <c r="SPJ11" s="111"/>
      <c r="SPK11" s="111"/>
      <c r="SPL11" s="111"/>
      <c r="SPM11" s="111"/>
      <c r="SPN11" s="111"/>
      <c r="SPO11" s="111"/>
      <c r="SPP11" s="111"/>
      <c r="SPQ11" s="111"/>
      <c r="SPR11" s="111"/>
      <c r="SPS11" s="111"/>
      <c r="SPT11" s="111"/>
      <c r="SPU11" s="111"/>
      <c r="SPV11" s="111"/>
      <c r="SPW11" s="111"/>
      <c r="SPX11" s="111"/>
      <c r="SPY11" s="111"/>
      <c r="SPZ11" s="111"/>
      <c r="SQA11" s="111"/>
      <c r="SQB11" s="111"/>
      <c r="SQC11" s="111"/>
      <c r="SQD11" s="111"/>
      <c r="SQE11" s="111"/>
      <c r="SQF11" s="111"/>
      <c r="SQG11" s="111"/>
      <c r="SQH11" s="111"/>
      <c r="SQI11" s="111"/>
      <c r="SQJ11" s="111"/>
      <c r="SQK11" s="111"/>
      <c r="SQL11" s="111"/>
      <c r="SQM11" s="111"/>
      <c r="SQN11" s="111"/>
      <c r="SQO11" s="111"/>
      <c r="SQP11" s="111"/>
      <c r="SQQ11" s="111"/>
      <c r="SQR11" s="111"/>
      <c r="SQS11" s="111"/>
      <c r="SQT11" s="111"/>
      <c r="SQU11" s="111"/>
      <c r="SQV11" s="111"/>
      <c r="SQW11" s="111"/>
      <c r="SQX11" s="111"/>
      <c r="SQY11" s="111"/>
      <c r="SQZ11" s="111"/>
      <c r="SRA11" s="111"/>
      <c r="SRB11" s="111"/>
      <c r="SRC11" s="111"/>
      <c r="SRD11" s="111"/>
      <c r="SRE11" s="111"/>
      <c r="SRF11" s="111"/>
      <c r="SRG11" s="111"/>
      <c r="SRH11" s="111"/>
      <c r="SRI11" s="111"/>
      <c r="SRJ11" s="111"/>
      <c r="SRK11" s="111"/>
      <c r="SRL11" s="111"/>
      <c r="SRM11" s="111"/>
      <c r="SRN11" s="111"/>
      <c r="SRO11" s="111"/>
      <c r="SRP11" s="111"/>
      <c r="SRQ11" s="111"/>
      <c r="SRR11" s="111"/>
      <c r="SRS11" s="111"/>
      <c r="SRT11" s="111"/>
      <c r="SRU11" s="111"/>
      <c r="SRV11" s="111"/>
      <c r="SRW11" s="111"/>
      <c r="SRX11" s="111"/>
      <c r="SRY11" s="111"/>
      <c r="SRZ11" s="111"/>
      <c r="SSA11" s="111"/>
      <c r="SSB11" s="111"/>
      <c r="SSC11" s="111"/>
      <c r="SSD11" s="111"/>
      <c r="SSE11" s="111"/>
      <c r="SSF11" s="111"/>
      <c r="SSG11" s="111"/>
      <c r="SSH11" s="111"/>
      <c r="SSI11" s="111"/>
      <c r="SSJ11" s="111"/>
      <c r="SSK11" s="111"/>
      <c r="SSL11" s="111"/>
      <c r="SSM11" s="111"/>
      <c r="SSN11" s="111"/>
      <c r="SSO11" s="111"/>
      <c r="SSP11" s="111"/>
      <c r="SSQ11" s="111"/>
      <c r="SSR11" s="111"/>
      <c r="SSS11" s="111"/>
      <c r="SST11" s="111"/>
      <c r="SSU11" s="111"/>
      <c r="SSV11" s="111"/>
      <c r="SSW11" s="111"/>
      <c r="SSX11" s="111"/>
      <c r="SSY11" s="111"/>
      <c r="SSZ11" s="111"/>
      <c r="STA11" s="111"/>
      <c r="STB11" s="111"/>
      <c r="STC11" s="111"/>
      <c r="STD11" s="111"/>
      <c r="STE11" s="111"/>
      <c r="STF11" s="111"/>
      <c r="STG11" s="111"/>
      <c r="STH11" s="111"/>
      <c r="STI11" s="111"/>
      <c r="STJ11" s="111"/>
      <c r="STK11" s="111"/>
      <c r="STL11" s="111"/>
      <c r="STM11" s="111"/>
      <c r="STN11" s="111"/>
      <c r="STO11" s="111"/>
      <c r="STP11" s="111"/>
      <c r="STQ11" s="111"/>
      <c r="STR11" s="111"/>
      <c r="STS11" s="111"/>
      <c r="STT11" s="111"/>
      <c r="STU11" s="111"/>
      <c r="STV11" s="111"/>
      <c r="STW11" s="111"/>
      <c r="STX11" s="111"/>
      <c r="STY11" s="111"/>
      <c r="STZ11" s="111"/>
      <c r="SUA11" s="111"/>
      <c r="SUB11" s="111"/>
      <c r="SUC11" s="111"/>
      <c r="SUD11" s="111"/>
      <c r="SUE11" s="111"/>
      <c r="SUF11" s="111"/>
      <c r="SUG11" s="111"/>
      <c r="SUH11" s="111"/>
      <c r="SUI11" s="111"/>
      <c r="SUJ11" s="111"/>
      <c r="SUK11" s="111"/>
      <c r="SUL11" s="111"/>
      <c r="SUM11" s="111"/>
      <c r="SUN11" s="111"/>
      <c r="SUO11" s="111"/>
      <c r="SUP11" s="111"/>
      <c r="SUQ11" s="111"/>
      <c r="SUR11" s="111"/>
      <c r="SUS11" s="111"/>
      <c r="SUT11" s="111"/>
      <c r="SUU11" s="111"/>
      <c r="SUV11" s="111"/>
      <c r="SUW11" s="111"/>
      <c r="SUX11" s="111"/>
      <c r="SUY11" s="111"/>
      <c r="SUZ11" s="111"/>
      <c r="SVA11" s="111"/>
      <c r="SVB11" s="111"/>
      <c r="SVC11" s="111"/>
      <c r="SVD11" s="111"/>
      <c r="SVE11" s="111"/>
      <c r="SVF11" s="111"/>
      <c r="SVG11" s="111"/>
      <c r="SVH11" s="111"/>
      <c r="SVI11" s="111"/>
      <c r="SVJ11" s="111"/>
      <c r="SVK11" s="111"/>
      <c r="SVL11" s="111"/>
      <c r="SVM11" s="111"/>
      <c r="SVN11" s="111"/>
      <c r="SVO11" s="111"/>
      <c r="SVP11" s="111"/>
      <c r="SVQ11" s="111"/>
      <c r="SVR11" s="111"/>
      <c r="SVS11" s="111"/>
      <c r="SVT11" s="111"/>
      <c r="SVU11" s="111"/>
      <c r="SVV11" s="111"/>
      <c r="SVW11" s="111"/>
      <c r="SVX11" s="111"/>
      <c r="SVY11" s="111"/>
      <c r="SVZ11" s="111"/>
      <c r="SWA11" s="111"/>
      <c r="SWB11" s="111"/>
      <c r="SWC11" s="111"/>
      <c r="SWD11" s="111"/>
      <c r="SWE11" s="111"/>
      <c r="SWF11" s="111"/>
      <c r="SWG11" s="111"/>
      <c r="SWH11" s="111"/>
      <c r="SWI11" s="111"/>
      <c r="SWJ11" s="111"/>
      <c r="SWK11" s="111"/>
      <c r="SWL11" s="111"/>
      <c r="SWM11" s="111"/>
      <c r="SWN11" s="111"/>
      <c r="SWO11" s="111"/>
      <c r="SWP11" s="111"/>
      <c r="SWQ11" s="111"/>
      <c r="SWR11" s="111"/>
      <c r="SWS11" s="111"/>
      <c r="SWT11" s="111"/>
      <c r="SWU11" s="111"/>
      <c r="SWV11" s="111"/>
      <c r="SWW11" s="111"/>
      <c r="SWX11" s="111"/>
      <c r="SWY11" s="111"/>
      <c r="SWZ11" s="111"/>
      <c r="SXA11" s="111"/>
      <c r="SXB11" s="111"/>
      <c r="SXC11" s="111"/>
      <c r="SXD11" s="111"/>
      <c r="SXE11" s="111"/>
      <c r="SXF11" s="111"/>
      <c r="SXG11" s="111"/>
      <c r="SXH11" s="111"/>
      <c r="SXI11" s="111"/>
      <c r="SXJ11" s="111"/>
      <c r="SXK11" s="111"/>
      <c r="SXL11" s="111"/>
      <c r="SXM11" s="111"/>
      <c r="SXN11" s="111"/>
      <c r="SXO11" s="111"/>
      <c r="SXP11" s="111"/>
      <c r="SXQ11" s="111"/>
      <c r="SXR11" s="111"/>
      <c r="SXS11" s="111"/>
      <c r="SXT11" s="111"/>
      <c r="SXU11" s="111"/>
      <c r="SXV11" s="111"/>
      <c r="SXW11" s="111"/>
      <c r="SXX11" s="111"/>
      <c r="SXY11" s="111"/>
      <c r="SXZ11" s="111"/>
      <c r="SYA11" s="111"/>
      <c r="SYB11" s="111"/>
      <c r="SYC11" s="111"/>
      <c r="SYD11" s="111"/>
      <c r="SYE11" s="111"/>
      <c r="SYF11" s="111"/>
      <c r="SYG11" s="111"/>
      <c r="SYH11" s="111"/>
      <c r="SYI11" s="111"/>
      <c r="SYJ11" s="111"/>
      <c r="SYK11" s="111"/>
      <c r="SYL11" s="111"/>
      <c r="SYM11" s="111"/>
      <c r="SYN11" s="111"/>
      <c r="SYO11" s="111"/>
      <c r="SYP11" s="111"/>
      <c r="SYQ11" s="111"/>
      <c r="SYR11" s="111"/>
      <c r="SYS11" s="111"/>
      <c r="SYT11" s="111"/>
      <c r="SYU11" s="111"/>
      <c r="SYV11" s="111"/>
      <c r="SYW11" s="111"/>
      <c r="SYX11" s="111"/>
      <c r="SYY11" s="111"/>
      <c r="SYZ11" s="111"/>
      <c r="SZA11" s="111"/>
      <c r="SZB11" s="111"/>
      <c r="SZC11" s="111"/>
      <c r="SZD11" s="111"/>
      <c r="SZE11" s="111"/>
      <c r="SZF11" s="111"/>
      <c r="SZG11" s="111"/>
      <c r="SZH11" s="111"/>
      <c r="SZI11" s="111"/>
      <c r="SZJ11" s="111"/>
      <c r="SZK11" s="111"/>
      <c r="SZL11" s="111"/>
      <c r="SZM11" s="111"/>
      <c r="SZN11" s="111"/>
      <c r="SZO11" s="111"/>
      <c r="SZP11" s="111"/>
      <c r="SZQ11" s="111"/>
      <c r="SZR11" s="111"/>
      <c r="SZS11" s="111"/>
      <c r="SZT11" s="111"/>
      <c r="SZU11" s="111"/>
      <c r="SZV11" s="111"/>
      <c r="SZW11" s="111"/>
      <c r="SZX11" s="111"/>
      <c r="SZY11" s="111"/>
      <c r="SZZ11" s="111"/>
      <c r="TAA11" s="111"/>
      <c r="TAB11" s="111"/>
      <c r="TAC11" s="111"/>
      <c r="TAD11" s="111"/>
      <c r="TAE11" s="111"/>
      <c r="TAF11" s="111"/>
      <c r="TAG11" s="111"/>
      <c r="TAH11" s="111"/>
      <c r="TAI11" s="111"/>
      <c r="TAJ11" s="111"/>
      <c r="TAK11" s="111"/>
      <c r="TAL11" s="111"/>
      <c r="TAM11" s="111"/>
      <c r="TAN11" s="111"/>
      <c r="TAO11" s="111"/>
      <c r="TAP11" s="111"/>
      <c r="TAQ11" s="111"/>
      <c r="TAR11" s="111"/>
      <c r="TAS11" s="111"/>
      <c r="TAT11" s="111"/>
      <c r="TAU11" s="111"/>
      <c r="TAV11" s="111"/>
      <c r="TAW11" s="111"/>
      <c r="TAX11" s="111"/>
      <c r="TAY11" s="111"/>
      <c r="TAZ11" s="111"/>
      <c r="TBA11" s="111"/>
      <c r="TBB11" s="111"/>
      <c r="TBC11" s="111"/>
      <c r="TBD11" s="111"/>
      <c r="TBE11" s="111"/>
      <c r="TBF11" s="111"/>
      <c r="TBG11" s="111"/>
      <c r="TBH11" s="111"/>
      <c r="TBI11" s="111"/>
      <c r="TBJ11" s="111"/>
      <c r="TBK11" s="111"/>
      <c r="TBL11" s="111"/>
      <c r="TBM11" s="111"/>
      <c r="TBN11" s="111"/>
      <c r="TBO11" s="111"/>
      <c r="TBP11" s="111"/>
      <c r="TBQ11" s="111"/>
      <c r="TBR11" s="111"/>
      <c r="TBS11" s="111"/>
      <c r="TBT11" s="111"/>
      <c r="TBU11" s="111"/>
      <c r="TBV11" s="111"/>
      <c r="TBW11" s="111"/>
      <c r="TBX11" s="111"/>
      <c r="TBY11" s="111"/>
      <c r="TBZ11" s="111"/>
      <c r="TCA11" s="111"/>
      <c r="TCB11" s="111"/>
      <c r="TCC11" s="111"/>
      <c r="TCD11" s="111"/>
      <c r="TCE11" s="111"/>
      <c r="TCF11" s="111"/>
      <c r="TCG11" s="111"/>
      <c r="TCH11" s="111"/>
      <c r="TCI11" s="111"/>
      <c r="TCJ11" s="111"/>
      <c r="TCK11" s="111"/>
      <c r="TCL11" s="111"/>
      <c r="TCM11" s="111"/>
      <c r="TCN11" s="111"/>
      <c r="TCO11" s="111"/>
      <c r="TCP11" s="111"/>
      <c r="TCQ11" s="111"/>
      <c r="TCR11" s="111"/>
      <c r="TCS11" s="111"/>
      <c r="TCT11" s="111"/>
      <c r="TCU11" s="111"/>
      <c r="TCV11" s="111"/>
      <c r="TCW11" s="111"/>
      <c r="TCX11" s="111"/>
      <c r="TCY11" s="111"/>
      <c r="TCZ11" s="111"/>
      <c r="TDA11" s="111"/>
      <c r="TDB11" s="111"/>
      <c r="TDC11" s="111"/>
      <c r="TDD11" s="111"/>
      <c r="TDE11" s="111"/>
      <c r="TDF11" s="111"/>
      <c r="TDG11" s="111"/>
      <c r="TDH11" s="111"/>
      <c r="TDI11" s="111"/>
      <c r="TDJ11" s="111"/>
      <c r="TDK11" s="111"/>
      <c r="TDL11" s="111"/>
      <c r="TDM11" s="111"/>
      <c r="TDN11" s="111"/>
      <c r="TDO11" s="111"/>
      <c r="TDP11" s="111"/>
      <c r="TDQ11" s="111"/>
      <c r="TDR11" s="111"/>
      <c r="TDS11" s="111"/>
      <c r="TDT11" s="111"/>
      <c r="TDU11" s="111"/>
      <c r="TDV11" s="111"/>
      <c r="TDW11" s="111"/>
      <c r="TDX11" s="111"/>
      <c r="TDY11" s="111"/>
      <c r="TDZ11" s="111"/>
      <c r="TEA11" s="111"/>
      <c r="TEB11" s="111"/>
      <c r="TEC11" s="111"/>
      <c r="TED11" s="111"/>
      <c r="TEE11" s="111"/>
      <c r="TEF11" s="111"/>
      <c r="TEG11" s="111"/>
      <c r="TEH11" s="111"/>
      <c r="TEI11" s="111"/>
      <c r="TEJ11" s="111"/>
      <c r="TEK11" s="111"/>
      <c r="TEL11" s="111"/>
      <c r="TEM11" s="111"/>
      <c r="TEN11" s="111"/>
      <c r="TEO11" s="111"/>
      <c r="TEP11" s="111"/>
      <c r="TEQ11" s="111"/>
      <c r="TER11" s="111"/>
      <c r="TES11" s="111"/>
      <c r="TET11" s="111"/>
      <c r="TEU11" s="111"/>
      <c r="TEV11" s="111"/>
      <c r="TEW11" s="111"/>
      <c r="TEX11" s="111"/>
      <c r="TEY11" s="111"/>
      <c r="TEZ11" s="111"/>
      <c r="TFA11" s="111"/>
      <c r="TFB11" s="111"/>
      <c r="TFC11" s="111"/>
      <c r="TFD11" s="111"/>
      <c r="TFE11" s="111"/>
      <c r="TFF11" s="111"/>
      <c r="TFG11" s="111"/>
      <c r="TFH11" s="111"/>
      <c r="TFI11" s="111"/>
      <c r="TFJ11" s="111"/>
      <c r="TFK11" s="111"/>
      <c r="TFL11" s="111"/>
      <c r="TFM11" s="111"/>
      <c r="TFN11" s="111"/>
      <c r="TFO11" s="111"/>
      <c r="TFP11" s="111"/>
      <c r="TFQ11" s="111"/>
      <c r="TFR11" s="111"/>
      <c r="TFS11" s="111"/>
      <c r="TFT11" s="111"/>
      <c r="TFU11" s="111"/>
      <c r="TFV11" s="111"/>
      <c r="TFW11" s="111"/>
      <c r="TFX11" s="111"/>
      <c r="TFY11" s="111"/>
      <c r="TFZ11" s="111"/>
      <c r="TGA11" s="111"/>
      <c r="TGB11" s="111"/>
      <c r="TGC11" s="111"/>
      <c r="TGD11" s="111"/>
      <c r="TGE11" s="111"/>
      <c r="TGF11" s="111"/>
      <c r="TGG11" s="111"/>
      <c r="TGH11" s="111"/>
      <c r="TGI11" s="111"/>
      <c r="TGJ11" s="111"/>
      <c r="TGK11" s="111"/>
      <c r="TGL11" s="111"/>
      <c r="TGM11" s="111"/>
      <c r="TGN11" s="111"/>
      <c r="TGO11" s="111"/>
      <c r="TGP11" s="111"/>
      <c r="TGQ11" s="111"/>
      <c r="TGR11" s="111"/>
      <c r="TGS11" s="111"/>
      <c r="TGT11" s="111"/>
      <c r="TGU11" s="111"/>
      <c r="TGV11" s="111"/>
      <c r="TGW11" s="111"/>
      <c r="TGX11" s="111"/>
      <c r="TGY11" s="111"/>
      <c r="TGZ11" s="111"/>
      <c r="THA11" s="111"/>
      <c r="THB11" s="111"/>
      <c r="THC11" s="111"/>
      <c r="THD11" s="111"/>
      <c r="THE11" s="111"/>
      <c r="THF11" s="111"/>
      <c r="THG11" s="111"/>
      <c r="THH11" s="111"/>
      <c r="THI11" s="111"/>
      <c r="THJ11" s="111"/>
      <c r="THK11" s="111"/>
      <c r="THL11" s="111"/>
      <c r="THM11" s="111"/>
      <c r="THN11" s="111"/>
      <c r="THO11" s="111"/>
      <c r="THP11" s="111"/>
      <c r="THQ11" s="111"/>
      <c r="THR11" s="111"/>
      <c r="THS11" s="111"/>
      <c r="THT11" s="111"/>
      <c r="THU11" s="111"/>
      <c r="THV11" s="111"/>
      <c r="THW11" s="111"/>
      <c r="THX11" s="111"/>
      <c r="THY11" s="111"/>
      <c r="THZ11" s="111"/>
      <c r="TIA11" s="111"/>
      <c r="TIB11" s="111"/>
      <c r="TIC11" s="111"/>
      <c r="TID11" s="111"/>
      <c r="TIE11" s="111"/>
      <c r="TIF11" s="111"/>
      <c r="TIG11" s="111"/>
      <c r="TIH11" s="111"/>
      <c r="TII11" s="111"/>
      <c r="TIJ11" s="111"/>
      <c r="TIK11" s="111"/>
      <c r="TIL11" s="111"/>
      <c r="TIM11" s="111"/>
      <c r="TIN11" s="111"/>
      <c r="TIO11" s="111"/>
      <c r="TIP11" s="111"/>
      <c r="TIQ11" s="111"/>
      <c r="TIR11" s="111"/>
      <c r="TIS11" s="111"/>
      <c r="TIT11" s="111"/>
      <c r="TIU11" s="111"/>
      <c r="TIV11" s="111"/>
      <c r="TIW11" s="111"/>
      <c r="TIX11" s="111"/>
      <c r="TIY11" s="111"/>
      <c r="TIZ11" s="111"/>
      <c r="TJA11" s="111"/>
      <c r="TJB11" s="111"/>
      <c r="TJC11" s="111"/>
      <c r="TJD11" s="111"/>
      <c r="TJE11" s="111"/>
      <c r="TJF11" s="111"/>
      <c r="TJG11" s="111"/>
      <c r="TJH11" s="111"/>
      <c r="TJI11" s="111"/>
      <c r="TJJ11" s="111"/>
      <c r="TJK11" s="111"/>
      <c r="TJL11" s="111"/>
      <c r="TJM11" s="111"/>
      <c r="TJN11" s="111"/>
      <c r="TJO11" s="111"/>
      <c r="TJP11" s="111"/>
      <c r="TJQ11" s="111"/>
      <c r="TJR11" s="111"/>
      <c r="TJS11" s="111"/>
      <c r="TJT11" s="111"/>
      <c r="TJU11" s="111"/>
      <c r="TJV11" s="111"/>
      <c r="TJW11" s="111"/>
      <c r="TJX11" s="111"/>
      <c r="TJY11" s="111"/>
      <c r="TJZ11" s="111"/>
      <c r="TKA11" s="111"/>
      <c r="TKB11" s="111"/>
      <c r="TKC11" s="111"/>
      <c r="TKD11" s="111"/>
      <c r="TKE11" s="111"/>
      <c r="TKF11" s="111"/>
      <c r="TKG11" s="111"/>
      <c r="TKH11" s="111"/>
      <c r="TKI11" s="111"/>
      <c r="TKJ11" s="111"/>
      <c r="TKK11" s="111"/>
      <c r="TKL11" s="111"/>
      <c r="TKM11" s="111"/>
      <c r="TKN11" s="111"/>
      <c r="TKO11" s="111"/>
      <c r="TKP11" s="111"/>
      <c r="TKQ11" s="111"/>
      <c r="TKR11" s="111"/>
      <c r="TKS11" s="111"/>
      <c r="TKT11" s="111"/>
      <c r="TKU11" s="111"/>
      <c r="TKV11" s="111"/>
      <c r="TKW11" s="111"/>
      <c r="TKX11" s="111"/>
      <c r="TKY11" s="111"/>
      <c r="TKZ11" s="111"/>
      <c r="TLA11" s="111"/>
      <c r="TLB11" s="111"/>
      <c r="TLC11" s="111"/>
      <c r="TLD11" s="111"/>
      <c r="TLE11" s="111"/>
      <c r="TLF11" s="111"/>
      <c r="TLG11" s="111"/>
      <c r="TLH11" s="111"/>
      <c r="TLI11" s="111"/>
      <c r="TLJ11" s="111"/>
      <c r="TLK11" s="111"/>
      <c r="TLL11" s="111"/>
      <c r="TLM11" s="111"/>
      <c r="TLN11" s="111"/>
      <c r="TLO11" s="111"/>
      <c r="TLP11" s="111"/>
      <c r="TLQ11" s="111"/>
      <c r="TLR11" s="111"/>
      <c r="TLS11" s="111"/>
      <c r="TLT11" s="111"/>
      <c r="TLU11" s="111"/>
      <c r="TLV11" s="111"/>
      <c r="TLW11" s="111"/>
      <c r="TLX11" s="111"/>
      <c r="TLY11" s="111"/>
      <c r="TLZ11" s="111"/>
      <c r="TMA11" s="111"/>
      <c r="TMB11" s="111"/>
      <c r="TMC11" s="111"/>
      <c r="TMD11" s="111"/>
      <c r="TME11" s="111"/>
      <c r="TMF11" s="111"/>
      <c r="TMG11" s="111"/>
      <c r="TMH11" s="111"/>
      <c r="TMI11" s="111"/>
      <c r="TMJ11" s="111"/>
      <c r="TMK11" s="111"/>
      <c r="TML11" s="111"/>
      <c r="TMM11" s="111"/>
      <c r="TMN11" s="111"/>
      <c r="TMO11" s="111"/>
      <c r="TMP11" s="111"/>
      <c r="TMQ11" s="111"/>
      <c r="TMR11" s="111"/>
      <c r="TMS11" s="111"/>
      <c r="TMT11" s="111"/>
      <c r="TMU11" s="111"/>
      <c r="TMV11" s="111"/>
      <c r="TMW11" s="111"/>
      <c r="TMX11" s="111"/>
      <c r="TMY11" s="111"/>
      <c r="TMZ11" s="111"/>
      <c r="TNA11" s="111"/>
      <c r="TNB11" s="111"/>
      <c r="TNC11" s="111"/>
      <c r="TND11" s="111"/>
      <c r="TNE11" s="111"/>
      <c r="TNF11" s="111"/>
      <c r="TNG11" s="111"/>
      <c r="TNH11" s="111"/>
      <c r="TNI11" s="111"/>
      <c r="TNJ11" s="111"/>
      <c r="TNK11" s="111"/>
      <c r="TNL11" s="111"/>
      <c r="TNM11" s="111"/>
      <c r="TNN11" s="111"/>
      <c r="TNO11" s="111"/>
      <c r="TNP11" s="111"/>
      <c r="TNQ11" s="111"/>
      <c r="TNR11" s="111"/>
      <c r="TNS11" s="111"/>
      <c r="TNT11" s="111"/>
      <c r="TNU11" s="111"/>
      <c r="TNV11" s="111"/>
      <c r="TNW11" s="111"/>
      <c r="TNX11" s="111"/>
      <c r="TNY11" s="111"/>
      <c r="TNZ11" s="111"/>
      <c r="TOA11" s="111"/>
      <c r="TOB11" s="111"/>
      <c r="TOC11" s="111"/>
      <c r="TOD11" s="111"/>
      <c r="TOE11" s="111"/>
      <c r="TOF11" s="111"/>
      <c r="TOG11" s="111"/>
      <c r="TOH11" s="111"/>
      <c r="TOI11" s="111"/>
      <c r="TOJ11" s="111"/>
      <c r="TOK11" s="111"/>
      <c r="TOL11" s="111"/>
      <c r="TOM11" s="111"/>
      <c r="TON11" s="111"/>
      <c r="TOO11" s="111"/>
      <c r="TOP11" s="111"/>
      <c r="TOQ11" s="111"/>
      <c r="TOR11" s="111"/>
      <c r="TOS11" s="111"/>
      <c r="TOT11" s="111"/>
      <c r="TOU11" s="111"/>
      <c r="TOV11" s="111"/>
      <c r="TOW11" s="111"/>
      <c r="TOX11" s="111"/>
      <c r="TOY11" s="111"/>
      <c r="TOZ11" s="111"/>
      <c r="TPA11" s="111"/>
      <c r="TPB11" s="111"/>
      <c r="TPC11" s="111"/>
      <c r="TPD11" s="111"/>
      <c r="TPE11" s="111"/>
      <c r="TPF11" s="111"/>
      <c r="TPG11" s="111"/>
      <c r="TPH11" s="111"/>
      <c r="TPI11" s="111"/>
      <c r="TPJ11" s="111"/>
      <c r="TPK11" s="111"/>
      <c r="TPL11" s="111"/>
      <c r="TPM11" s="111"/>
      <c r="TPN11" s="111"/>
      <c r="TPO11" s="111"/>
      <c r="TPP11" s="111"/>
      <c r="TPQ11" s="111"/>
      <c r="TPR11" s="111"/>
      <c r="TPS11" s="111"/>
      <c r="TPT11" s="111"/>
      <c r="TPU11" s="111"/>
      <c r="TPV11" s="111"/>
      <c r="TPW11" s="111"/>
      <c r="TPX11" s="111"/>
      <c r="TPY11" s="111"/>
      <c r="TPZ11" s="111"/>
      <c r="TQA11" s="111"/>
      <c r="TQB11" s="111"/>
      <c r="TQC11" s="111"/>
      <c r="TQD11" s="111"/>
      <c r="TQE11" s="111"/>
      <c r="TQF11" s="111"/>
      <c r="TQG11" s="111"/>
      <c r="TQH11" s="111"/>
      <c r="TQI11" s="111"/>
      <c r="TQJ11" s="111"/>
      <c r="TQK11" s="111"/>
      <c r="TQL11" s="111"/>
      <c r="TQM11" s="111"/>
      <c r="TQN11" s="111"/>
      <c r="TQO11" s="111"/>
      <c r="TQP11" s="111"/>
      <c r="TQQ11" s="111"/>
      <c r="TQR11" s="111"/>
      <c r="TQS11" s="111"/>
      <c r="TQT11" s="111"/>
      <c r="TQU11" s="111"/>
      <c r="TQV11" s="111"/>
      <c r="TQW11" s="111"/>
      <c r="TQX11" s="111"/>
      <c r="TQY11" s="111"/>
      <c r="TQZ11" s="111"/>
      <c r="TRA11" s="111"/>
      <c r="TRB11" s="111"/>
      <c r="TRC11" s="111"/>
      <c r="TRD11" s="111"/>
      <c r="TRE11" s="111"/>
      <c r="TRF11" s="111"/>
      <c r="TRG11" s="111"/>
      <c r="TRH11" s="111"/>
      <c r="TRI11" s="111"/>
      <c r="TRJ11" s="111"/>
      <c r="TRK11" s="111"/>
      <c r="TRL11" s="111"/>
      <c r="TRM11" s="111"/>
      <c r="TRN11" s="111"/>
      <c r="TRO11" s="111"/>
      <c r="TRP11" s="111"/>
      <c r="TRQ11" s="111"/>
      <c r="TRR11" s="111"/>
      <c r="TRS11" s="111"/>
      <c r="TRT11" s="111"/>
      <c r="TRU11" s="111"/>
      <c r="TRV11" s="111"/>
      <c r="TRW11" s="111"/>
      <c r="TRX11" s="111"/>
      <c r="TRY11" s="111"/>
      <c r="TRZ11" s="111"/>
      <c r="TSA11" s="111"/>
      <c r="TSB11" s="111"/>
      <c r="TSC11" s="111"/>
      <c r="TSD11" s="111"/>
      <c r="TSE11" s="111"/>
      <c r="TSF11" s="111"/>
      <c r="TSG11" s="111"/>
      <c r="TSH11" s="111"/>
      <c r="TSI11" s="111"/>
      <c r="TSJ11" s="111"/>
      <c r="TSK11" s="111"/>
      <c r="TSL11" s="111"/>
      <c r="TSM11" s="111"/>
      <c r="TSN11" s="111"/>
      <c r="TSO11" s="111"/>
      <c r="TSP11" s="111"/>
      <c r="TSQ11" s="111"/>
      <c r="TSR11" s="111"/>
      <c r="TSS11" s="111"/>
      <c r="TST11" s="111"/>
      <c r="TSU11" s="111"/>
      <c r="TSV11" s="111"/>
      <c r="TSW11" s="111"/>
      <c r="TSX11" s="111"/>
      <c r="TSY11" s="111"/>
      <c r="TSZ11" s="111"/>
      <c r="TTA11" s="111"/>
      <c r="TTB11" s="111"/>
      <c r="TTC11" s="111"/>
      <c r="TTD11" s="111"/>
      <c r="TTE11" s="111"/>
      <c r="TTF11" s="111"/>
      <c r="TTG11" s="111"/>
      <c r="TTH11" s="111"/>
      <c r="TTI11" s="111"/>
      <c r="TTJ11" s="111"/>
      <c r="TTK11" s="111"/>
      <c r="TTL11" s="111"/>
      <c r="TTM11" s="111"/>
      <c r="TTN11" s="111"/>
      <c r="TTO11" s="111"/>
      <c r="TTP11" s="111"/>
      <c r="TTQ11" s="111"/>
      <c r="TTR11" s="111"/>
      <c r="TTS11" s="111"/>
      <c r="TTT11" s="111"/>
      <c r="TTU11" s="111"/>
      <c r="TTV11" s="111"/>
      <c r="TTW11" s="111"/>
      <c r="TTX11" s="111"/>
      <c r="TTY11" s="111"/>
      <c r="TTZ11" s="111"/>
      <c r="TUA11" s="111"/>
      <c r="TUB11" s="111"/>
      <c r="TUC11" s="111"/>
      <c r="TUD11" s="111"/>
      <c r="TUE11" s="111"/>
      <c r="TUF11" s="111"/>
      <c r="TUG11" s="111"/>
      <c r="TUH11" s="111"/>
      <c r="TUI11" s="111"/>
      <c r="TUJ11" s="111"/>
      <c r="TUK11" s="111"/>
      <c r="TUL11" s="111"/>
      <c r="TUM11" s="111"/>
      <c r="TUN11" s="111"/>
      <c r="TUO11" s="111"/>
      <c r="TUP11" s="111"/>
      <c r="TUQ11" s="111"/>
      <c r="TUR11" s="111"/>
      <c r="TUS11" s="111"/>
      <c r="TUT11" s="111"/>
      <c r="TUU11" s="111"/>
      <c r="TUV11" s="111"/>
      <c r="TUW11" s="111"/>
      <c r="TUX11" s="111"/>
      <c r="TUY11" s="111"/>
      <c r="TUZ11" s="111"/>
      <c r="TVA11" s="111"/>
      <c r="TVB11" s="111"/>
      <c r="TVC11" s="111"/>
      <c r="TVD11" s="111"/>
      <c r="TVE11" s="111"/>
      <c r="TVF11" s="111"/>
      <c r="TVG11" s="111"/>
      <c r="TVH11" s="111"/>
      <c r="TVI11" s="111"/>
      <c r="TVJ11" s="111"/>
      <c r="TVK11" s="111"/>
      <c r="TVL11" s="111"/>
      <c r="TVM11" s="111"/>
      <c r="TVN11" s="111"/>
      <c r="TVO11" s="111"/>
      <c r="TVP11" s="111"/>
      <c r="TVQ11" s="111"/>
      <c r="TVR11" s="111"/>
      <c r="TVS11" s="111"/>
      <c r="TVT11" s="111"/>
      <c r="TVU11" s="111"/>
      <c r="TVV11" s="111"/>
      <c r="TVW11" s="111"/>
      <c r="TVX11" s="111"/>
      <c r="TVY11" s="111"/>
      <c r="TVZ11" s="111"/>
      <c r="TWA11" s="111"/>
      <c r="TWB11" s="111"/>
      <c r="TWC11" s="111"/>
      <c r="TWD11" s="111"/>
      <c r="TWE11" s="111"/>
      <c r="TWF11" s="111"/>
      <c r="TWG11" s="111"/>
      <c r="TWH11" s="111"/>
      <c r="TWI11" s="111"/>
      <c r="TWJ11" s="111"/>
      <c r="TWK11" s="111"/>
      <c r="TWL11" s="111"/>
      <c r="TWM11" s="111"/>
      <c r="TWN11" s="111"/>
      <c r="TWO11" s="111"/>
      <c r="TWP11" s="111"/>
      <c r="TWQ11" s="111"/>
      <c r="TWR11" s="111"/>
      <c r="TWS11" s="111"/>
      <c r="TWT11" s="111"/>
      <c r="TWU11" s="111"/>
      <c r="TWV11" s="111"/>
      <c r="TWW11" s="111"/>
      <c r="TWX11" s="111"/>
      <c r="TWY11" s="111"/>
      <c r="TWZ11" s="111"/>
      <c r="TXA11" s="111"/>
      <c r="TXB11" s="111"/>
      <c r="TXC11" s="111"/>
      <c r="TXD11" s="111"/>
      <c r="TXE11" s="111"/>
      <c r="TXF11" s="111"/>
      <c r="TXG11" s="111"/>
      <c r="TXH11" s="111"/>
      <c r="TXI11" s="111"/>
      <c r="TXJ11" s="111"/>
      <c r="TXK11" s="111"/>
      <c r="TXL11" s="111"/>
      <c r="TXM11" s="111"/>
      <c r="TXN11" s="111"/>
      <c r="TXO11" s="111"/>
      <c r="TXP11" s="111"/>
      <c r="TXQ11" s="111"/>
      <c r="TXR11" s="111"/>
      <c r="TXS11" s="111"/>
      <c r="TXT11" s="111"/>
      <c r="TXU11" s="111"/>
      <c r="TXV11" s="111"/>
      <c r="TXW11" s="111"/>
      <c r="TXX11" s="111"/>
      <c r="TXY11" s="111"/>
      <c r="TXZ11" s="111"/>
      <c r="TYA11" s="111"/>
      <c r="TYB11" s="111"/>
      <c r="TYC11" s="111"/>
      <c r="TYD11" s="111"/>
      <c r="TYE11" s="111"/>
      <c r="TYF11" s="111"/>
      <c r="TYG11" s="111"/>
      <c r="TYH11" s="111"/>
      <c r="TYI11" s="111"/>
      <c r="TYJ11" s="111"/>
      <c r="TYK11" s="111"/>
      <c r="TYL11" s="111"/>
      <c r="TYM11" s="111"/>
      <c r="TYN11" s="111"/>
      <c r="TYO11" s="111"/>
      <c r="TYP11" s="111"/>
      <c r="TYQ11" s="111"/>
      <c r="TYR11" s="111"/>
      <c r="TYS11" s="111"/>
      <c r="TYT11" s="111"/>
      <c r="TYU11" s="111"/>
      <c r="TYV11" s="111"/>
      <c r="TYW11" s="111"/>
      <c r="TYX11" s="111"/>
      <c r="TYY11" s="111"/>
      <c r="TYZ11" s="111"/>
      <c r="TZA11" s="111"/>
      <c r="TZB11" s="111"/>
      <c r="TZC11" s="111"/>
      <c r="TZD11" s="111"/>
      <c r="TZE11" s="111"/>
      <c r="TZF11" s="111"/>
      <c r="TZG11" s="111"/>
      <c r="TZH11" s="111"/>
      <c r="TZI11" s="111"/>
      <c r="TZJ11" s="111"/>
      <c r="TZK11" s="111"/>
      <c r="TZL11" s="111"/>
      <c r="TZM11" s="111"/>
      <c r="TZN11" s="111"/>
      <c r="TZO11" s="111"/>
      <c r="TZP11" s="111"/>
      <c r="TZQ11" s="111"/>
      <c r="TZR11" s="111"/>
      <c r="TZS11" s="111"/>
      <c r="TZT11" s="111"/>
      <c r="TZU11" s="111"/>
      <c r="TZV11" s="111"/>
      <c r="TZW11" s="111"/>
      <c r="TZX11" s="111"/>
      <c r="TZY11" s="111"/>
      <c r="TZZ11" s="111"/>
      <c r="UAA11" s="111"/>
      <c r="UAB11" s="111"/>
      <c r="UAC11" s="111"/>
      <c r="UAD11" s="111"/>
      <c r="UAE11" s="111"/>
      <c r="UAF11" s="111"/>
      <c r="UAG11" s="111"/>
      <c r="UAH11" s="111"/>
      <c r="UAI11" s="111"/>
      <c r="UAJ11" s="111"/>
      <c r="UAK11" s="111"/>
      <c r="UAL11" s="111"/>
      <c r="UAM11" s="111"/>
      <c r="UAN11" s="111"/>
      <c r="UAO11" s="111"/>
      <c r="UAP11" s="111"/>
      <c r="UAQ11" s="111"/>
      <c r="UAR11" s="111"/>
      <c r="UAS11" s="111"/>
      <c r="UAT11" s="111"/>
      <c r="UAU11" s="111"/>
      <c r="UAV11" s="111"/>
      <c r="UAW11" s="111"/>
      <c r="UAX11" s="111"/>
      <c r="UAY11" s="111"/>
      <c r="UAZ11" s="111"/>
      <c r="UBA11" s="111"/>
      <c r="UBB11" s="111"/>
      <c r="UBC11" s="111"/>
      <c r="UBD11" s="111"/>
      <c r="UBE11" s="111"/>
      <c r="UBF11" s="111"/>
      <c r="UBG11" s="111"/>
      <c r="UBH11" s="111"/>
      <c r="UBI11" s="111"/>
      <c r="UBJ11" s="111"/>
      <c r="UBK11" s="111"/>
      <c r="UBL11" s="111"/>
      <c r="UBM11" s="111"/>
      <c r="UBN11" s="111"/>
      <c r="UBO11" s="111"/>
      <c r="UBP11" s="111"/>
      <c r="UBQ11" s="111"/>
      <c r="UBR11" s="111"/>
      <c r="UBS11" s="111"/>
      <c r="UBT11" s="111"/>
      <c r="UBU11" s="111"/>
      <c r="UBV11" s="111"/>
      <c r="UBW11" s="111"/>
      <c r="UBX11" s="111"/>
      <c r="UBY11" s="111"/>
      <c r="UBZ11" s="111"/>
      <c r="UCA11" s="111"/>
      <c r="UCB11" s="111"/>
      <c r="UCC11" s="111"/>
      <c r="UCD11" s="111"/>
      <c r="UCE11" s="111"/>
      <c r="UCF11" s="111"/>
      <c r="UCG11" s="111"/>
      <c r="UCH11" s="111"/>
      <c r="UCI11" s="111"/>
      <c r="UCJ11" s="111"/>
      <c r="UCK11" s="111"/>
      <c r="UCL11" s="111"/>
      <c r="UCM11" s="111"/>
      <c r="UCN11" s="111"/>
      <c r="UCO11" s="111"/>
      <c r="UCP11" s="111"/>
      <c r="UCQ11" s="111"/>
      <c r="UCR11" s="111"/>
      <c r="UCS11" s="111"/>
      <c r="UCT11" s="111"/>
      <c r="UCU11" s="111"/>
      <c r="UCV11" s="111"/>
      <c r="UCW11" s="111"/>
      <c r="UCX11" s="111"/>
      <c r="UCY11" s="111"/>
      <c r="UCZ11" s="111"/>
      <c r="UDA11" s="111"/>
      <c r="UDB11" s="111"/>
      <c r="UDC11" s="111"/>
      <c r="UDD11" s="111"/>
      <c r="UDE11" s="111"/>
      <c r="UDF11" s="111"/>
      <c r="UDG11" s="111"/>
      <c r="UDH11" s="111"/>
      <c r="UDI11" s="111"/>
      <c r="UDJ11" s="111"/>
      <c r="UDK11" s="111"/>
      <c r="UDL11" s="111"/>
      <c r="UDM11" s="111"/>
      <c r="UDN11" s="111"/>
      <c r="UDO11" s="111"/>
      <c r="UDP11" s="111"/>
      <c r="UDQ11" s="111"/>
      <c r="UDR11" s="111"/>
      <c r="UDS11" s="111"/>
      <c r="UDT11" s="111"/>
      <c r="UDU11" s="111"/>
      <c r="UDV11" s="111"/>
      <c r="UDW11" s="111"/>
      <c r="UDX11" s="111"/>
      <c r="UDY11" s="111"/>
      <c r="UDZ11" s="111"/>
      <c r="UEA11" s="111"/>
      <c r="UEB11" s="111"/>
      <c r="UEC11" s="111"/>
      <c r="UED11" s="111"/>
      <c r="UEE11" s="111"/>
      <c r="UEF11" s="111"/>
      <c r="UEG11" s="111"/>
      <c r="UEH11" s="111"/>
      <c r="UEI11" s="111"/>
      <c r="UEJ11" s="111"/>
      <c r="UEK11" s="111"/>
      <c r="UEL11" s="111"/>
      <c r="UEM11" s="111"/>
      <c r="UEN11" s="111"/>
      <c r="UEO11" s="111"/>
      <c r="UEP11" s="111"/>
      <c r="UEQ11" s="111"/>
      <c r="UER11" s="111"/>
      <c r="UES11" s="111"/>
      <c r="UET11" s="111"/>
      <c r="UEU11" s="111"/>
      <c r="UEV11" s="111"/>
      <c r="UEW11" s="111"/>
      <c r="UEX11" s="111"/>
      <c r="UEY11" s="111"/>
      <c r="UEZ11" s="111"/>
      <c r="UFA11" s="111"/>
      <c r="UFB11" s="111"/>
      <c r="UFC11" s="111"/>
      <c r="UFD11" s="111"/>
      <c r="UFE11" s="111"/>
      <c r="UFF11" s="111"/>
      <c r="UFG11" s="111"/>
      <c r="UFH11" s="111"/>
      <c r="UFI11" s="111"/>
      <c r="UFJ11" s="111"/>
      <c r="UFK11" s="111"/>
      <c r="UFL11" s="111"/>
      <c r="UFM11" s="111"/>
      <c r="UFN11" s="111"/>
      <c r="UFO11" s="111"/>
      <c r="UFP11" s="111"/>
      <c r="UFQ11" s="111"/>
      <c r="UFR11" s="111"/>
      <c r="UFS11" s="111"/>
      <c r="UFT11" s="111"/>
      <c r="UFU11" s="111"/>
      <c r="UFV11" s="111"/>
      <c r="UFW11" s="111"/>
      <c r="UFX11" s="111"/>
      <c r="UFY11" s="111"/>
      <c r="UFZ11" s="111"/>
      <c r="UGA11" s="111"/>
      <c r="UGB11" s="111"/>
      <c r="UGC11" s="111"/>
      <c r="UGD11" s="111"/>
      <c r="UGE11" s="111"/>
      <c r="UGF11" s="111"/>
      <c r="UGG11" s="111"/>
      <c r="UGH11" s="111"/>
      <c r="UGI11" s="111"/>
      <c r="UGJ11" s="111"/>
      <c r="UGK11" s="111"/>
      <c r="UGL11" s="111"/>
      <c r="UGM11" s="111"/>
      <c r="UGN11" s="111"/>
      <c r="UGO11" s="111"/>
      <c r="UGP11" s="111"/>
      <c r="UGQ11" s="111"/>
      <c r="UGR11" s="111"/>
      <c r="UGS11" s="111"/>
      <c r="UGT11" s="111"/>
      <c r="UGU11" s="111"/>
      <c r="UGV11" s="111"/>
      <c r="UGW11" s="111"/>
      <c r="UGX11" s="111"/>
      <c r="UGY11" s="111"/>
      <c r="UGZ11" s="111"/>
      <c r="UHA11" s="111"/>
      <c r="UHB11" s="111"/>
      <c r="UHC11" s="111"/>
      <c r="UHD11" s="111"/>
      <c r="UHE11" s="111"/>
      <c r="UHF11" s="111"/>
      <c r="UHG11" s="111"/>
      <c r="UHH11" s="111"/>
      <c r="UHI11" s="111"/>
      <c r="UHJ11" s="111"/>
      <c r="UHK11" s="111"/>
      <c r="UHL11" s="111"/>
      <c r="UHM11" s="111"/>
      <c r="UHN11" s="111"/>
      <c r="UHO11" s="111"/>
      <c r="UHP11" s="111"/>
      <c r="UHQ11" s="111"/>
      <c r="UHR11" s="111"/>
      <c r="UHS11" s="111"/>
      <c r="UHT11" s="111"/>
      <c r="UHU11" s="111"/>
      <c r="UHV11" s="111"/>
      <c r="UHW11" s="111"/>
      <c r="UHX11" s="111"/>
      <c r="UHY11" s="111"/>
      <c r="UHZ11" s="111"/>
      <c r="UIA11" s="111"/>
      <c r="UIB11" s="111"/>
      <c r="UIC11" s="111"/>
      <c r="UID11" s="111"/>
      <c r="UIE11" s="111"/>
      <c r="UIF11" s="111"/>
      <c r="UIG11" s="111"/>
      <c r="UIH11" s="111"/>
      <c r="UII11" s="111"/>
      <c r="UIJ11" s="111"/>
      <c r="UIK11" s="111"/>
      <c r="UIL11" s="111"/>
      <c r="UIM11" s="111"/>
      <c r="UIN11" s="111"/>
      <c r="UIO11" s="111"/>
      <c r="UIP11" s="111"/>
      <c r="UIQ11" s="111"/>
      <c r="UIR11" s="111"/>
      <c r="UIS11" s="111"/>
      <c r="UIT11" s="111"/>
      <c r="UIU11" s="111"/>
      <c r="UIV11" s="111"/>
      <c r="UIW11" s="111"/>
      <c r="UIX11" s="111"/>
      <c r="UIY11" s="111"/>
      <c r="UIZ11" s="111"/>
      <c r="UJA11" s="111"/>
      <c r="UJB11" s="111"/>
      <c r="UJC11" s="111"/>
      <c r="UJD11" s="111"/>
      <c r="UJE11" s="111"/>
      <c r="UJF11" s="111"/>
      <c r="UJG11" s="111"/>
      <c r="UJH11" s="111"/>
      <c r="UJI11" s="111"/>
      <c r="UJJ11" s="111"/>
      <c r="UJK11" s="111"/>
      <c r="UJL11" s="111"/>
      <c r="UJM11" s="111"/>
      <c r="UJN11" s="111"/>
      <c r="UJO11" s="111"/>
      <c r="UJP11" s="111"/>
      <c r="UJQ11" s="111"/>
      <c r="UJR11" s="111"/>
      <c r="UJS11" s="111"/>
      <c r="UJT11" s="111"/>
      <c r="UJU11" s="111"/>
      <c r="UJV11" s="111"/>
      <c r="UJW11" s="111"/>
      <c r="UJX11" s="111"/>
      <c r="UJY11" s="111"/>
      <c r="UJZ11" s="111"/>
      <c r="UKA11" s="111"/>
      <c r="UKB11" s="111"/>
      <c r="UKC11" s="111"/>
      <c r="UKD11" s="111"/>
      <c r="UKE11" s="111"/>
      <c r="UKF11" s="111"/>
      <c r="UKG11" s="111"/>
      <c r="UKH11" s="111"/>
      <c r="UKI11" s="111"/>
      <c r="UKJ11" s="111"/>
      <c r="UKK11" s="111"/>
      <c r="UKL11" s="111"/>
      <c r="UKM11" s="111"/>
      <c r="UKN11" s="111"/>
      <c r="UKO11" s="111"/>
      <c r="UKP11" s="111"/>
      <c r="UKQ11" s="111"/>
      <c r="UKR11" s="111"/>
      <c r="UKS11" s="111"/>
      <c r="UKT11" s="111"/>
      <c r="UKU11" s="111"/>
      <c r="UKV11" s="111"/>
      <c r="UKW11" s="111"/>
      <c r="UKX11" s="111"/>
      <c r="UKY11" s="111"/>
      <c r="UKZ11" s="111"/>
      <c r="ULA11" s="111"/>
      <c r="ULB11" s="111"/>
      <c r="ULC11" s="111"/>
      <c r="ULD11" s="111"/>
      <c r="ULE11" s="111"/>
      <c r="ULF11" s="111"/>
      <c r="ULG11" s="111"/>
      <c r="ULH11" s="111"/>
      <c r="ULI11" s="111"/>
      <c r="ULJ11" s="111"/>
      <c r="ULK11" s="111"/>
      <c r="ULL11" s="111"/>
      <c r="ULM11" s="111"/>
      <c r="ULN11" s="111"/>
      <c r="ULO11" s="111"/>
      <c r="ULP11" s="111"/>
      <c r="ULQ11" s="111"/>
      <c r="ULR11" s="111"/>
      <c r="ULS11" s="111"/>
      <c r="ULT11" s="111"/>
      <c r="ULU11" s="111"/>
      <c r="ULV11" s="111"/>
      <c r="ULW11" s="111"/>
      <c r="ULX11" s="111"/>
      <c r="ULY11" s="111"/>
      <c r="ULZ11" s="111"/>
      <c r="UMA11" s="111"/>
      <c r="UMB11" s="111"/>
      <c r="UMC11" s="111"/>
      <c r="UMD11" s="111"/>
      <c r="UME11" s="111"/>
      <c r="UMF11" s="111"/>
      <c r="UMG11" s="111"/>
      <c r="UMH11" s="111"/>
      <c r="UMI11" s="111"/>
      <c r="UMJ11" s="111"/>
      <c r="UMK11" s="111"/>
      <c r="UML11" s="111"/>
      <c r="UMM11" s="111"/>
      <c r="UMN11" s="111"/>
      <c r="UMO11" s="111"/>
      <c r="UMP11" s="111"/>
      <c r="UMQ11" s="111"/>
      <c r="UMR11" s="111"/>
      <c r="UMS11" s="111"/>
      <c r="UMT11" s="111"/>
      <c r="UMU11" s="111"/>
      <c r="UMV11" s="111"/>
      <c r="UMW11" s="111"/>
      <c r="UMX11" s="111"/>
      <c r="UMY11" s="111"/>
      <c r="UMZ11" s="111"/>
      <c r="UNA11" s="111"/>
      <c r="UNB11" s="111"/>
      <c r="UNC11" s="111"/>
      <c r="UND11" s="111"/>
      <c r="UNE11" s="111"/>
      <c r="UNF11" s="111"/>
      <c r="UNG11" s="111"/>
      <c r="UNH11" s="111"/>
      <c r="UNI11" s="111"/>
      <c r="UNJ11" s="111"/>
      <c r="UNK11" s="111"/>
      <c r="UNL11" s="111"/>
      <c r="UNM11" s="111"/>
      <c r="UNN11" s="111"/>
      <c r="UNO11" s="111"/>
      <c r="UNP11" s="111"/>
      <c r="UNQ11" s="111"/>
      <c r="UNR11" s="111"/>
      <c r="UNS11" s="111"/>
      <c r="UNT11" s="111"/>
      <c r="UNU11" s="111"/>
      <c r="UNV11" s="111"/>
      <c r="UNW11" s="111"/>
      <c r="UNX11" s="111"/>
      <c r="UNY11" s="111"/>
      <c r="UNZ11" s="111"/>
      <c r="UOA11" s="111"/>
      <c r="UOB11" s="111"/>
      <c r="UOC11" s="111"/>
      <c r="UOD11" s="111"/>
      <c r="UOE11" s="111"/>
      <c r="UOF11" s="111"/>
      <c r="UOG11" s="111"/>
      <c r="UOH11" s="111"/>
      <c r="UOI11" s="111"/>
      <c r="UOJ11" s="111"/>
      <c r="UOK11" s="111"/>
      <c r="UOL11" s="111"/>
      <c r="UOM11" s="111"/>
      <c r="UON11" s="111"/>
      <c r="UOO11" s="111"/>
      <c r="UOP11" s="111"/>
      <c r="UOQ11" s="111"/>
      <c r="UOR11" s="111"/>
      <c r="UOS11" s="111"/>
      <c r="UOT11" s="111"/>
      <c r="UOU11" s="111"/>
      <c r="UOV11" s="111"/>
      <c r="UOW11" s="111"/>
      <c r="UOX11" s="111"/>
      <c r="UOY11" s="111"/>
      <c r="UOZ11" s="111"/>
      <c r="UPA11" s="111"/>
      <c r="UPB11" s="111"/>
      <c r="UPC11" s="111"/>
      <c r="UPD11" s="111"/>
      <c r="UPE11" s="111"/>
      <c r="UPF11" s="111"/>
      <c r="UPG11" s="111"/>
      <c r="UPH11" s="111"/>
      <c r="UPI11" s="111"/>
      <c r="UPJ11" s="111"/>
      <c r="UPK11" s="111"/>
      <c r="UPL11" s="111"/>
      <c r="UPM11" s="111"/>
      <c r="UPN11" s="111"/>
      <c r="UPO11" s="111"/>
      <c r="UPP11" s="111"/>
      <c r="UPQ11" s="111"/>
      <c r="UPR11" s="111"/>
      <c r="UPS11" s="111"/>
      <c r="UPT11" s="111"/>
      <c r="UPU11" s="111"/>
      <c r="UPV11" s="111"/>
      <c r="UPW11" s="111"/>
      <c r="UPX11" s="111"/>
      <c r="UPY11" s="111"/>
      <c r="UPZ11" s="111"/>
      <c r="UQA11" s="111"/>
      <c r="UQB11" s="111"/>
      <c r="UQC11" s="111"/>
      <c r="UQD11" s="111"/>
      <c r="UQE11" s="111"/>
      <c r="UQF11" s="111"/>
      <c r="UQG11" s="111"/>
      <c r="UQH11" s="111"/>
      <c r="UQI11" s="111"/>
      <c r="UQJ11" s="111"/>
      <c r="UQK11" s="111"/>
      <c r="UQL11" s="111"/>
      <c r="UQM11" s="111"/>
      <c r="UQN11" s="111"/>
      <c r="UQO11" s="111"/>
      <c r="UQP11" s="111"/>
      <c r="UQQ11" s="111"/>
      <c r="UQR11" s="111"/>
      <c r="UQS11" s="111"/>
      <c r="UQT11" s="111"/>
      <c r="UQU11" s="111"/>
      <c r="UQV11" s="111"/>
      <c r="UQW11" s="111"/>
      <c r="UQX11" s="111"/>
      <c r="UQY11" s="111"/>
      <c r="UQZ11" s="111"/>
      <c r="URA11" s="111"/>
      <c r="URB11" s="111"/>
      <c r="URC11" s="111"/>
      <c r="URD11" s="111"/>
      <c r="URE11" s="111"/>
      <c r="URF11" s="111"/>
      <c r="URG11" s="111"/>
      <c r="URH11" s="111"/>
      <c r="URI11" s="111"/>
      <c r="URJ11" s="111"/>
      <c r="URK11" s="111"/>
      <c r="URL11" s="111"/>
      <c r="URM11" s="111"/>
      <c r="URN11" s="111"/>
      <c r="URO11" s="111"/>
      <c r="URP11" s="111"/>
      <c r="URQ11" s="111"/>
      <c r="URR11" s="111"/>
      <c r="URS11" s="111"/>
      <c r="URT11" s="111"/>
      <c r="URU11" s="111"/>
      <c r="URV11" s="111"/>
      <c r="URW11" s="111"/>
      <c r="URX11" s="111"/>
      <c r="URY11" s="111"/>
      <c r="URZ11" s="111"/>
      <c r="USA11" s="111"/>
      <c r="USB11" s="111"/>
      <c r="USC11" s="111"/>
      <c r="USD11" s="111"/>
      <c r="USE11" s="111"/>
      <c r="USF11" s="111"/>
      <c r="USG11" s="111"/>
      <c r="USH11" s="111"/>
      <c r="USI11" s="111"/>
      <c r="USJ11" s="111"/>
      <c r="USK11" s="111"/>
      <c r="USL11" s="111"/>
      <c r="USM11" s="111"/>
      <c r="USN11" s="111"/>
      <c r="USO11" s="111"/>
      <c r="USP11" s="111"/>
      <c r="USQ11" s="111"/>
      <c r="USR11" s="111"/>
      <c r="USS11" s="111"/>
      <c r="UST11" s="111"/>
      <c r="USU11" s="111"/>
      <c r="USV11" s="111"/>
      <c r="USW11" s="111"/>
      <c r="USX11" s="111"/>
      <c r="USY11" s="111"/>
      <c r="USZ11" s="111"/>
      <c r="UTA11" s="111"/>
      <c r="UTB11" s="111"/>
      <c r="UTC11" s="111"/>
      <c r="UTD11" s="111"/>
      <c r="UTE11" s="111"/>
      <c r="UTF11" s="111"/>
      <c r="UTG11" s="111"/>
      <c r="UTH11" s="111"/>
      <c r="UTI11" s="111"/>
      <c r="UTJ11" s="111"/>
      <c r="UTK11" s="111"/>
      <c r="UTL11" s="111"/>
      <c r="UTM11" s="111"/>
      <c r="UTN11" s="111"/>
      <c r="UTO11" s="111"/>
      <c r="UTP11" s="111"/>
      <c r="UTQ11" s="111"/>
      <c r="UTR11" s="111"/>
      <c r="UTS11" s="111"/>
      <c r="UTT11" s="111"/>
      <c r="UTU11" s="111"/>
      <c r="UTV11" s="111"/>
      <c r="UTW11" s="111"/>
      <c r="UTX11" s="111"/>
      <c r="UTY11" s="111"/>
      <c r="UTZ11" s="111"/>
      <c r="UUA11" s="111"/>
      <c r="UUB11" s="111"/>
      <c r="UUC11" s="111"/>
      <c r="UUD11" s="111"/>
      <c r="UUE11" s="111"/>
      <c r="UUF11" s="111"/>
      <c r="UUG11" s="111"/>
      <c r="UUH11" s="111"/>
      <c r="UUI11" s="111"/>
      <c r="UUJ11" s="111"/>
      <c r="UUK11" s="111"/>
      <c r="UUL11" s="111"/>
      <c r="UUM11" s="111"/>
      <c r="UUN11" s="111"/>
      <c r="UUO11" s="111"/>
      <c r="UUP11" s="111"/>
      <c r="UUQ11" s="111"/>
      <c r="UUR11" s="111"/>
      <c r="UUS11" s="111"/>
      <c r="UUT11" s="111"/>
      <c r="UUU11" s="111"/>
      <c r="UUV11" s="111"/>
      <c r="UUW11" s="111"/>
      <c r="UUX11" s="111"/>
      <c r="UUY11" s="111"/>
      <c r="UUZ11" s="111"/>
      <c r="UVA11" s="111"/>
      <c r="UVB11" s="111"/>
      <c r="UVC11" s="111"/>
      <c r="UVD11" s="111"/>
      <c r="UVE11" s="111"/>
      <c r="UVF11" s="111"/>
      <c r="UVG11" s="111"/>
      <c r="UVH11" s="111"/>
      <c r="UVI11" s="111"/>
      <c r="UVJ11" s="111"/>
      <c r="UVK11" s="111"/>
      <c r="UVL11" s="111"/>
      <c r="UVM11" s="111"/>
      <c r="UVN11" s="111"/>
      <c r="UVO11" s="111"/>
      <c r="UVP11" s="111"/>
      <c r="UVQ11" s="111"/>
      <c r="UVR11" s="111"/>
      <c r="UVS11" s="111"/>
      <c r="UVT11" s="111"/>
      <c r="UVU11" s="111"/>
      <c r="UVV11" s="111"/>
      <c r="UVW11" s="111"/>
      <c r="UVX11" s="111"/>
      <c r="UVY11" s="111"/>
      <c r="UVZ11" s="111"/>
      <c r="UWA11" s="111"/>
      <c r="UWB11" s="111"/>
      <c r="UWC11" s="111"/>
      <c r="UWD11" s="111"/>
      <c r="UWE11" s="111"/>
      <c r="UWF11" s="111"/>
      <c r="UWG11" s="111"/>
      <c r="UWH11" s="111"/>
      <c r="UWI11" s="111"/>
      <c r="UWJ11" s="111"/>
      <c r="UWK11" s="111"/>
      <c r="UWL11" s="111"/>
      <c r="UWM11" s="111"/>
      <c r="UWN11" s="111"/>
      <c r="UWO11" s="111"/>
      <c r="UWP11" s="111"/>
      <c r="UWQ11" s="111"/>
      <c r="UWR11" s="111"/>
      <c r="UWS11" s="111"/>
      <c r="UWT11" s="111"/>
      <c r="UWU11" s="111"/>
      <c r="UWV11" s="111"/>
      <c r="UWW11" s="111"/>
      <c r="UWX11" s="111"/>
      <c r="UWY11" s="111"/>
      <c r="UWZ11" s="111"/>
      <c r="UXA11" s="111"/>
      <c r="UXB11" s="111"/>
      <c r="UXC11" s="111"/>
      <c r="UXD11" s="111"/>
      <c r="UXE11" s="111"/>
      <c r="UXF11" s="111"/>
      <c r="UXG11" s="111"/>
      <c r="UXH11" s="111"/>
      <c r="UXI11" s="111"/>
      <c r="UXJ11" s="111"/>
      <c r="UXK11" s="111"/>
      <c r="UXL11" s="111"/>
      <c r="UXM11" s="111"/>
      <c r="UXN11" s="111"/>
      <c r="UXO11" s="111"/>
      <c r="UXP11" s="111"/>
      <c r="UXQ11" s="111"/>
      <c r="UXR11" s="111"/>
      <c r="UXS11" s="111"/>
      <c r="UXT11" s="111"/>
      <c r="UXU11" s="111"/>
      <c r="UXV11" s="111"/>
      <c r="UXW11" s="111"/>
      <c r="UXX11" s="111"/>
      <c r="UXY11" s="111"/>
      <c r="UXZ11" s="111"/>
      <c r="UYA11" s="111"/>
      <c r="UYB11" s="111"/>
      <c r="UYC11" s="111"/>
      <c r="UYD11" s="111"/>
      <c r="UYE11" s="111"/>
      <c r="UYF11" s="111"/>
      <c r="UYG11" s="111"/>
      <c r="UYH11" s="111"/>
      <c r="UYI11" s="111"/>
      <c r="UYJ11" s="111"/>
      <c r="UYK11" s="111"/>
      <c r="UYL11" s="111"/>
      <c r="UYM11" s="111"/>
      <c r="UYN11" s="111"/>
      <c r="UYO11" s="111"/>
      <c r="UYP11" s="111"/>
      <c r="UYQ11" s="111"/>
      <c r="UYR11" s="111"/>
      <c r="UYS11" s="111"/>
      <c r="UYT11" s="111"/>
      <c r="UYU11" s="111"/>
      <c r="UYV11" s="111"/>
      <c r="UYW11" s="111"/>
      <c r="UYX11" s="111"/>
      <c r="UYY11" s="111"/>
      <c r="UYZ11" s="111"/>
      <c r="UZA11" s="111"/>
      <c r="UZB11" s="111"/>
      <c r="UZC11" s="111"/>
      <c r="UZD11" s="111"/>
      <c r="UZE11" s="111"/>
      <c r="UZF11" s="111"/>
      <c r="UZG11" s="111"/>
      <c r="UZH11" s="111"/>
      <c r="UZI11" s="111"/>
      <c r="UZJ11" s="111"/>
      <c r="UZK11" s="111"/>
      <c r="UZL11" s="111"/>
      <c r="UZM11" s="111"/>
      <c r="UZN11" s="111"/>
      <c r="UZO11" s="111"/>
      <c r="UZP11" s="111"/>
      <c r="UZQ11" s="111"/>
      <c r="UZR11" s="111"/>
      <c r="UZS11" s="111"/>
      <c r="UZT11" s="111"/>
      <c r="UZU11" s="111"/>
      <c r="UZV11" s="111"/>
      <c r="UZW11" s="111"/>
      <c r="UZX11" s="111"/>
      <c r="UZY11" s="111"/>
      <c r="UZZ11" s="111"/>
      <c r="VAA11" s="111"/>
      <c r="VAB11" s="111"/>
      <c r="VAC11" s="111"/>
      <c r="VAD11" s="111"/>
      <c r="VAE11" s="111"/>
      <c r="VAF11" s="111"/>
      <c r="VAG11" s="111"/>
      <c r="VAH11" s="111"/>
      <c r="VAI11" s="111"/>
      <c r="VAJ11" s="111"/>
      <c r="VAK11" s="111"/>
      <c r="VAL11" s="111"/>
      <c r="VAM11" s="111"/>
      <c r="VAN11" s="111"/>
      <c r="VAO11" s="111"/>
      <c r="VAP11" s="111"/>
      <c r="VAQ11" s="111"/>
      <c r="VAR11" s="111"/>
      <c r="VAS11" s="111"/>
      <c r="VAT11" s="111"/>
      <c r="VAU11" s="111"/>
      <c r="VAV11" s="111"/>
      <c r="VAW11" s="111"/>
      <c r="VAX11" s="111"/>
      <c r="VAY11" s="111"/>
      <c r="VAZ11" s="111"/>
      <c r="VBA11" s="111"/>
      <c r="VBB11" s="111"/>
      <c r="VBC11" s="111"/>
      <c r="VBD11" s="111"/>
      <c r="VBE11" s="111"/>
      <c r="VBF11" s="111"/>
      <c r="VBG11" s="111"/>
      <c r="VBH11" s="111"/>
      <c r="VBI11" s="111"/>
      <c r="VBJ11" s="111"/>
      <c r="VBK11" s="111"/>
      <c r="VBL11" s="111"/>
      <c r="VBM11" s="111"/>
      <c r="VBN11" s="111"/>
      <c r="VBO11" s="111"/>
      <c r="VBP11" s="111"/>
      <c r="VBQ11" s="111"/>
      <c r="VBR11" s="111"/>
      <c r="VBS11" s="111"/>
      <c r="VBT11" s="111"/>
      <c r="VBU11" s="111"/>
      <c r="VBV11" s="111"/>
      <c r="VBW11" s="111"/>
      <c r="VBX11" s="111"/>
      <c r="VBY11" s="111"/>
      <c r="VBZ11" s="111"/>
      <c r="VCA11" s="111"/>
      <c r="VCB11" s="111"/>
      <c r="VCC11" s="111"/>
      <c r="VCD11" s="111"/>
      <c r="VCE11" s="111"/>
      <c r="VCF11" s="111"/>
      <c r="VCG11" s="111"/>
      <c r="VCH11" s="111"/>
      <c r="VCI11" s="111"/>
      <c r="VCJ11" s="111"/>
      <c r="VCK11" s="111"/>
      <c r="VCL11" s="111"/>
      <c r="VCM11" s="111"/>
      <c r="VCN11" s="111"/>
      <c r="VCO11" s="111"/>
      <c r="VCP11" s="111"/>
      <c r="VCQ11" s="111"/>
      <c r="VCR11" s="111"/>
      <c r="VCS11" s="111"/>
      <c r="VCT11" s="111"/>
      <c r="VCU11" s="111"/>
      <c r="VCV11" s="111"/>
      <c r="VCW11" s="111"/>
      <c r="VCX11" s="111"/>
      <c r="VCY11" s="111"/>
      <c r="VCZ11" s="111"/>
      <c r="VDA11" s="111"/>
      <c r="VDB11" s="111"/>
      <c r="VDC11" s="111"/>
      <c r="VDD11" s="111"/>
      <c r="VDE11" s="111"/>
      <c r="VDF11" s="111"/>
      <c r="VDG11" s="111"/>
      <c r="VDH11" s="111"/>
      <c r="VDI11" s="111"/>
      <c r="VDJ11" s="111"/>
      <c r="VDK11" s="111"/>
      <c r="VDL11" s="111"/>
      <c r="VDM11" s="111"/>
      <c r="VDN11" s="111"/>
      <c r="VDO11" s="111"/>
      <c r="VDP11" s="111"/>
      <c r="VDQ11" s="111"/>
      <c r="VDR11" s="111"/>
      <c r="VDS11" s="111"/>
      <c r="VDT11" s="111"/>
      <c r="VDU11" s="111"/>
      <c r="VDV11" s="111"/>
      <c r="VDW11" s="111"/>
      <c r="VDX11" s="111"/>
      <c r="VDY11" s="111"/>
      <c r="VDZ11" s="111"/>
      <c r="VEA11" s="111"/>
      <c r="VEB11" s="111"/>
      <c r="VEC11" s="111"/>
      <c r="VED11" s="111"/>
      <c r="VEE11" s="111"/>
      <c r="VEF11" s="111"/>
      <c r="VEG11" s="111"/>
      <c r="VEH11" s="111"/>
      <c r="VEI11" s="111"/>
      <c r="VEJ11" s="111"/>
      <c r="VEK11" s="111"/>
      <c r="VEL11" s="111"/>
      <c r="VEM11" s="111"/>
      <c r="VEN11" s="111"/>
      <c r="VEO11" s="111"/>
      <c r="VEP11" s="111"/>
      <c r="VEQ11" s="111"/>
      <c r="VER11" s="111"/>
      <c r="VES11" s="111"/>
      <c r="VET11" s="111"/>
      <c r="VEU11" s="111"/>
      <c r="VEV11" s="111"/>
      <c r="VEW11" s="111"/>
      <c r="VEX11" s="111"/>
      <c r="VEY11" s="111"/>
      <c r="VEZ11" s="111"/>
      <c r="VFA11" s="111"/>
      <c r="VFB11" s="111"/>
      <c r="VFC11" s="111"/>
      <c r="VFD11" s="111"/>
      <c r="VFE11" s="111"/>
      <c r="VFF11" s="111"/>
      <c r="VFG11" s="111"/>
      <c r="VFH11" s="111"/>
      <c r="VFI11" s="111"/>
      <c r="VFJ11" s="111"/>
      <c r="VFK11" s="111"/>
      <c r="VFL11" s="111"/>
      <c r="VFM11" s="111"/>
      <c r="VFN11" s="111"/>
      <c r="VFO11" s="111"/>
      <c r="VFP11" s="111"/>
      <c r="VFQ11" s="111"/>
      <c r="VFR11" s="111"/>
      <c r="VFS11" s="111"/>
      <c r="VFT11" s="111"/>
      <c r="VFU11" s="111"/>
      <c r="VFV11" s="111"/>
      <c r="VFW11" s="111"/>
      <c r="VFX11" s="111"/>
      <c r="VFY11" s="111"/>
      <c r="VFZ11" s="111"/>
      <c r="VGA11" s="111"/>
      <c r="VGB11" s="111"/>
      <c r="VGC11" s="111"/>
      <c r="VGD11" s="111"/>
      <c r="VGE11" s="111"/>
      <c r="VGF11" s="111"/>
      <c r="VGG11" s="111"/>
      <c r="VGH11" s="111"/>
      <c r="VGI11" s="111"/>
      <c r="VGJ11" s="111"/>
      <c r="VGK11" s="111"/>
      <c r="VGL11" s="111"/>
      <c r="VGM11" s="111"/>
      <c r="VGN11" s="111"/>
      <c r="VGO11" s="111"/>
      <c r="VGP11" s="111"/>
      <c r="VGQ11" s="111"/>
      <c r="VGR11" s="111"/>
      <c r="VGS11" s="111"/>
      <c r="VGT11" s="111"/>
      <c r="VGU11" s="111"/>
      <c r="VGV11" s="111"/>
      <c r="VGW11" s="111"/>
      <c r="VGX11" s="111"/>
      <c r="VGY11" s="111"/>
      <c r="VGZ11" s="111"/>
      <c r="VHA11" s="111"/>
      <c r="VHB11" s="111"/>
      <c r="VHC11" s="111"/>
      <c r="VHD11" s="111"/>
      <c r="VHE11" s="111"/>
      <c r="VHF11" s="111"/>
      <c r="VHG11" s="111"/>
      <c r="VHH11" s="111"/>
      <c r="VHI11" s="111"/>
      <c r="VHJ11" s="111"/>
      <c r="VHK11" s="111"/>
      <c r="VHL11" s="111"/>
      <c r="VHM11" s="111"/>
      <c r="VHN11" s="111"/>
      <c r="VHO11" s="111"/>
      <c r="VHP11" s="111"/>
      <c r="VHQ11" s="111"/>
      <c r="VHR11" s="111"/>
      <c r="VHS11" s="111"/>
      <c r="VHT11" s="111"/>
      <c r="VHU11" s="111"/>
      <c r="VHV11" s="111"/>
      <c r="VHW11" s="111"/>
      <c r="VHX11" s="111"/>
      <c r="VHY11" s="111"/>
      <c r="VHZ11" s="111"/>
      <c r="VIA11" s="111"/>
      <c r="VIB11" s="111"/>
      <c r="VIC11" s="111"/>
      <c r="VID11" s="111"/>
      <c r="VIE11" s="111"/>
      <c r="VIF11" s="111"/>
      <c r="VIG11" s="111"/>
      <c r="VIH11" s="111"/>
      <c r="VII11" s="111"/>
      <c r="VIJ11" s="111"/>
      <c r="VIK11" s="111"/>
      <c r="VIL11" s="111"/>
      <c r="VIM11" s="111"/>
      <c r="VIN11" s="111"/>
      <c r="VIO11" s="111"/>
      <c r="VIP11" s="111"/>
      <c r="VIQ11" s="111"/>
      <c r="VIR11" s="111"/>
      <c r="VIS11" s="111"/>
      <c r="VIT11" s="111"/>
      <c r="VIU11" s="111"/>
      <c r="VIV11" s="111"/>
      <c r="VIW11" s="111"/>
      <c r="VIX11" s="111"/>
      <c r="VIY11" s="111"/>
      <c r="VIZ11" s="111"/>
      <c r="VJA11" s="111"/>
      <c r="VJB11" s="111"/>
      <c r="VJC11" s="111"/>
      <c r="VJD11" s="111"/>
      <c r="VJE11" s="111"/>
      <c r="VJF11" s="111"/>
      <c r="VJG11" s="111"/>
      <c r="VJH11" s="111"/>
      <c r="VJI11" s="111"/>
      <c r="VJJ11" s="111"/>
      <c r="VJK11" s="111"/>
      <c r="VJL11" s="111"/>
      <c r="VJM11" s="111"/>
      <c r="VJN11" s="111"/>
      <c r="VJO11" s="111"/>
      <c r="VJP11" s="111"/>
      <c r="VJQ11" s="111"/>
      <c r="VJR11" s="111"/>
      <c r="VJS11" s="111"/>
      <c r="VJT11" s="111"/>
      <c r="VJU11" s="111"/>
      <c r="VJV11" s="111"/>
      <c r="VJW11" s="111"/>
      <c r="VJX11" s="111"/>
      <c r="VJY11" s="111"/>
      <c r="VJZ11" s="111"/>
      <c r="VKA11" s="111"/>
      <c r="VKB11" s="111"/>
      <c r="VKC11" s="111"/>
      <c r="VKD11" s="111"/>
      <c r="VKE11" s="111"/>
      <c r="VKF11" s="111"/>
      <c r="VKG11" s="111"/>
      <c r="VKH11" s="111"/>
      <c r="VKI11" s="111"/>
      <c r="VKJ11" s="111"/>
      <c r="VKK11" s="111"/>
      <c r="VKL11" s="111"/>
      <c r="VKM11" s="111"/>
      <c r="VKN11" s="111"/>
      <c r="VKO11" s="111"/>
      <c r="VKP11" s="111"/>
      <c r="VKQ11" s="111"/>
      <c r="VKR11" s="111"/>
      <c r="VKS11" s="111"/>
      <c r="VKT11" s="111"/>
      <c r="VKU11" s="111"/>
      <c r="VKV11" s="111"/>
      <c r="VKW11" s="111"/>
      <c r="VKX11" s="111"/>
      <c r="VKY11" s="111"/>
      <c r="VKZ11" s="111"/>
      <c r="VLA11" s="111"/>
      <c r="VLB11" s="111"/>
      <c r="VLC11" s="111"/>
      <c r="VLD11" s="111"/>
      <c r="VLE11" s="111"/>
      <c r="VLF11" s="111"/>
      <c r="VLG11" s="111"/>
      <c r="VLH11" s="111"/>
      <c r="VLI11" s="111"/>
      <c r="VLJ11" s="111"/>
      <c r="VLK11" s="111"/>
      <c r="VLL11" s="111"/>
      <c r="VLM11" s="111"/>
      <c r="VLN11" s="111"/>
      <c r="VLO11" s="111"/>
      <c r="VLP11" s="111"/>
      <c r="VLQ11" s="111"/>
      <c r="VLR11" s="111"/>
      <c r="VLS11" s="111"/>
      <c r="VLT11" s="111"/>
      <c r="VLU11" s="111"/>
      <c r="VLV11" s="111"/>
      <c r="VLW11" s="111"/>
      <c r="VLX11" s="111"/>
      <c r="VLY11" s="111"/>
      <c r="VLZ11" s="111"/>
      <c r="VMA11" s="111"/>
      <c r="VMB11" s="111"/>
      <c r="VMC11" s="111"/>
      <c r="VMD11" s="111"/>
      <c r="VME11" s="111"/>
      <c r="VMF11" s="111"/>
      <c r="VMG11" s="111"/>
      <c r="VMH11" s="111"/>
      <c r="VMI11" s="111"/>
      <c r="VMJ11" s="111"/>
      <c r="VMK11" s="111"/>
      <c r="VML11" s="111"/>
      <c r="VMM11" s="111"/>
      <c r="VMN11" s="111"/>
      <c r="VMO11" s="111"/>
      <c r="VMP11" s="111"/>
      <c r="VMQ11" s="111"/>
      <c r="VMR11" s="111"/>
      <c r="VMS11" s="111"/>
      <c r="VMT11" s="111"/>
      <c r="VMU11" s="111"/>
      <c r="VMV11" s="111"/>
      <c r="VMW11" s="111"/>
      <c r="VMX11" s="111"/>
      <c r="VMY11" s="111"/>
      <c r="VMZ11" s="111"/>
      <c r="VNA11" s="111"/>
      <c r="VNB11" s="111"/>
      <c r="VNC11" s="111"/>
      <c r="VND11" s="111"/>
      <c r="VNE11" s="111"/>
      <c r="VNF11" s="111"/>
      <c r="VNG11" s="111"/>
      <c r="VNH11" s="111"/>
      <c r="VNI11" s="111"/>
      <c r="VNJ11" s="111"/>
      <c r="VNK11" s="111"/>
      <c r="VNL11" s="111"/>
      <c r="VNM11" s="111"/>
      <c r="VNN11" s="111"/>
      <c r="VNO11" s="111"/>
      <c r="VNP11" s="111"/>
      <c r="VNQ11" s="111"/>
      <c r="VNR11" s="111"/>
      <c r="VNS11" s="111"/>
      <c r="VNT11" s="111"/>
      <c r="VNU11" s="111"/>
      <c r="VNV11" s="111"/>
      <c r="VNW11" s="111"/>
      <c r="VNX11" s="111"/>
      <c r="VNY11" s="111"/>
      <c r="VNZ11" s="111"/>
      <c r="VOA11" s="111"/>
      <c r="VOB11" s="111"/>
      <c r="VOC11" s="111"/>
      <c r="VOD11" s="111"/>
      <c r="VOE11" s="111"/>
      <c r="VOF11" s="111"/>
      <c r="VOG11" s="111"/>
      <c r="VOH11" s="111"/>
      <c r="VOI11" s="111"/>
      <c r="VOJ11" s="111"/>
      <c r="VOK11" s="111"/>
      <c r="VOL11" s="111"/>
      <c r="VOM11" s="111"/>
      <c r="VON11" s="111"/>
      <c r="VOO11" s="111"/>
      <c r="VOP11" s="111"/>
      <c r="VOQ11" s="111"/>
      <c r="VOR11" s="111"/>
      <c r="VOS11" s="111"/>
      <c r="VOT11" s="111"/>
      <c r="VOU11" s="111"/>
      <c r="VOV11" s="111"/>
      <c r="VOW11" s="111"/>
      <c r="VOX11" s="111"/>
      <c r="VOY11" s="111"/>
      <c r="VOZ11" s="111"/>
      <c r="VPA11" s="111"/>
      <c r="VPB11" s="111"/>
      <c r="VPC11" s="111"/>
      <c r="VPD11" s="111"/>
      <c r="VPE11" s="111"/>
      <c r="VPF11" s="111"/>
      <c r="VPG11" s="111"/>
      <c r="VPH11" s="111"/>
      <c r="VPI11" s="111"/>
      <c r="VPJ11" s="111"/>
      <c r="VPK11" s="111"/>
      <c r="VPL11" s="111"/>
      <c r="VPM11" s="111"/>
      <c r="VPN11" s="111"/>
      <c r="VPO11" s="111"/>
      <c r="VPP11" s="111"/>
      <c r="VPQ11" s="111"/>
      <c r="VPR11" s="111"/>
      <c r="VPS11" s="111"/>
      <c r="VPT11" s="111"/>
      <c r="VPU11" s="111"/>
      <c r="VPV11" s="111"/>
      <c r="VPW11" s="111"/>
      <c r="VPX11" s="111"/>
      <c r="VPY11" s="111"/>
      <c r="VPZ11" s="111"/>
      <c r="VQA11" s="111"/>
      <c r="VQB11" s="111"/>
      <c r="VQC11" s="111"/>
      <c r="VQD11" s="111"/>
      <c r="VQE11" s="111"/>
      <c r="VQF11" s="111"/>
      <c r="VQG11" s="111"/>
      <c r="VQH11" s="111"/>
      <c r="VQI11" s="111"/>
      <c r="VQJ11" s="111"/>
      <c r="VQK11" s="111"/>
      <c r="VQL11" s="111"/>
      <c r="VQM11" s="111"/>
      <c r="VQN11" s="111"/>
      <c r="VQO11" s="111"/>
      <c r="VQP11" s="111"/>
      <c r="VQQ11" s="111"/>
      <c r="VQR11" s="111"/>
      <c r="VQS11" s="111"/>
      <c r="VQT11" s="111"/>
      <c r="VQU11" s="111"/>
      <c r="VQV11" s="111"/>
      <c r="VQW11" s="111"/>
      <c r="VQX11" s="111"/>
      <c r="VQY11" s="111"/>
      <c r="VQZ11" s="111"/>
      <c r="VRA11" s="111"/>
      <c r="VRB11" s="111"/>
      <c r="VRC11" s="111"/>
      <c r="VRD11" s="111"/>
      <c r="VRE11" s="111"/>
      <c r="VRF11" s="111"/>
      <c r="VRG11" s="111"/>
      <c r="VRH11" s="111"/>
      <c r="VRI11" s="111"/>
      <c r="VRJ11" s="111"/>
      <c r="VRK11" s="111"/>
      <c r="VRL11" s="111"/>
      <c r="VRM11" s="111"/>
      <c r="VRN11" s="111"/>
      <c r="VRO11" s="111"/>
      <c r="VRP11" s="111"/>
      <c r="VRQ11" s="111"/>
      <c r="VRR11" s="111"/>
      <c r="VRS11" s="111"/>
      <c r="VRT11" s="111"/>
      <c r="VRU11" s="111"/>
      <c r="VRV11" s="111"/>
      <c r="VRW11" s="111"/>
      <c r="VRX11" s="111"/>
      <c r="VRY11" s="111"/>
      <c r="VRZ11" s="111"/>
      <c r="VSA11" s="111"/>
      <c r="VSB11" s="111"/>
      <c r="VSC11" s="111"/>
      <c r="VSD11" s="111"/>
      <c r="VSE11" s="111"/>
      <c r="VSF11" s="111"/>
      <c r="VSG11" s="111"/>
      <c r="VSH11" s="111"/>
      <c r="VSI11" s="111"/>
      <c r="VSJ11" s="111"/>
      <c r="VSK11" s="111"/>
      <c r="VSL11" s="111"/>
      <c r="VSM11" s="111"/>
      <c r="VSN11" s="111"/>
      <c r="VSO11" s="111"/>
      <c r="VSP11" s="111"/>
      <c r="VSQ11" s="111"/>
      <c r="VSR11" s="111"/>
      <c r="VSS11" s="111"/>
      <c r="VST11" s="111"/>
      <c r="VSU11" s="111"/>
      <c r="VSV11" s="111"/>
      <c r="VSW11" s="111"/>
      <c r="VSX11" s="111"/>
      <c r="VSY11" s="111"/>
      <c r="VSZ11" s="111"/>
      <c r="VTA11" s="111"/>
      <c r="VTB11" s="111"/>
      <c r="VTC11" s="111"/>
      <c r="VTD11" s="111"/>
      <c r="VTE11" s="111"/>
      <c r="VTF11" s="111"/>
      <c r="VTG11" s="111"/>
      <c r="VTH11" s="111"/>
      <c r="VTI11" s="111"/>
      <c r="VTJ11" s="111"/>
      <c r="VTK11" s="111"/>
      <c r="VTL11" s="111"/>
      <c r="VTM11" s="111"/>
      <c r="VTN11" s="111"/>
      <c r="VTO11" s="111"/>
      <c r="VTP11" s="111"/>
      <c r="VTQ11" s="111"/>
      <c r="VTR11" s="111"/>
      <c r="VTS11" s="111"/>
      <c r="VTT11" s="111"/>
      <c r="VTU11" s="111"/>
      <c r="VTV11" s="111"/>
      <c r="VTW11" s="111"/>
      <c r="VTX11" s="111"/>
      <c r="VTY11" s="111"/>
      <c r="VTZ11" s="111"/>
      <c r="VUA11" s="111"/>
      <c r="VUB11" s="111"/>
      <c r="VUC11" s="111"/>
      <c r="VUD11" s="111"/>
      <c r="VUE11" s="111"/>
      <c r="VUF11" s="111"/>
      <c r="VUG11" s="111"/>
      <c r="VUH11" s="111"/>
      <c r="VUI11" s="111"/>
      <c r="VUJ11" s="111"/>
      <c r="VUK11" s="111"/>
      <c r="VUL11" s="111"/>
      <c r="VUM11" s="111"/>
      <c r="VUN11" s="111"/>
      <c r="VUO11" s="111"/>
      <c r="VUP11" s="111"/>
      <c r="VUQ11" s="111"/>
      <c r="VUR11" s="111"/>
      <c r="VUS11" s="111"/>
      <c r="VUT11" s="111"/>
      <c r="VUU11" s="111"/>
      <c r="VUV11" s="111"/>
      <c r="VUW11" s="111"/>
      <c r="VUX11" s="111"/>
      <c r="VUY11" s="111"/>
      <c r="VUZ11" s="111"/>
      <c r="VVA11" s="111"/>
      <c r="VVB11" s="111"/>
      <c r="VVC11" s="111"/>
      <c r="VVD11" s="111"/>
      <c r="VVE11" s="111"/>
      <c r="VVF11" s="111"/>
      <c r="VVG11" s="111"/>
      <c r="VVH11" s="111"/>
      <c r="VVI11" s="111"/>
      <c r="VVJ11" s="111"/>
      <c r="VVK11" s="111"/>
      <c r="VVL11" s="111"/>
      <c r="VVM11" s="111"/>
      <c r="VVN11" s="111"/>
      <c r="VVO11" s="111"/>
      <c r="VVP11" s="111"/>
      <c r="VVQ11" s="111"/>
      <c r="VVR11" s="111"/>
      <c r="VVS11" s="111"/>
      <c r="VVT11" s="111"/>
      <c r="VVU11" s="111"/>
      <c r="VVV11" s="111"/>
      <c r="VVW11" s="111"/>
      <c r="VVX11" s="111"/>
      <c r="VVY11" s="111"/>
      <c r="VVZ11" s="111"/>
      <c r="VWA11" s="111"/>
      <c r="VWB11" s="111"/>
      <c r="VWC11" s="111"/>
      <c r="VWD11" s="111"/>
      <c r="VWE11" s="111"/>
      <c r="VWF11" s="111"/>
      <c r="VWG11" s="111"/>
      <c r="VWH11" s="111"/>
      <c r="VWI11" s="111"/>
      <c r="VWJ11" s="111"/>
      <c r="VWK11" s="111"/>
      <c r="VWL11" s="111"/>
      <c r="VWM11" s="111"/>
      <c r="VWN11" s="111"/>
      <c r="VWO11" s="111"/>
      <c r="VWP11" s="111"/>
      <c r="VWQ11" s="111"/>
      <c r="VWR11" s="111"/>
      <c r="VWS11" s="111"/>
      <c r="VWT11" s="111"/>
      <c r="VWU11" s="111"/>
      <c r="VWV11" s="111"/>
      <c r="VWW11" s="111"/>
      <c r="VWX11" s="111"/>
      <c r="VWY11" s="111"/>
      <c r="VWZ11" s="111"/>
      <c r="VXA11" s="111"/>
      <c r="VXB11" s="111"/>
      <c r="VXC11" s="111"/>
      <c r="VXD11" s="111"/>
      <c r="VXE11" s="111"/>
      <c r="VXF11" s="111"/>
      <c r="VXG11" s="111"/>
      <c r="VXH11" s="111"/>
      <c r="VXI11" s="111"/>
      <c r="VXJ11" s="111"/>
      <c r="VXK11" s="111"/>
      <c r="VXL11" s="111"/>
      <c r="VXM11" s="111"/>
      <c r="VXN11" s="111"/>
      <c r="VXO11" s="111"/>
      <c r="VXP11" s="111"/>
      <c r="VXQ11" s="111"/>
      <c r="VXR11" s="111"/>
      <c r="VXS11" s="111"/>
      <c r="VXT11" s="111"/>
      <c r="VXU11" s="111"/>
      <c r="VXV11" s="111"/>
      <c r="VXW11" s="111"/>
      <c r="VXX11" s="111"/>
      <c r="VXY11" s="111"/>
      <c r="VXZ11" s="111"/>
      <c r="VYA11" s="111"/>
      <c r="VYB11" s="111"/>
      <c r="VYC11" s="111"/>
      <c r="VYD11" s="111"/>
      <c r="VYE11" s="111"/>
      <c r="VYF11" s="111"/>
      <c r="VYG11" s="111"/>
      <c r="VYH11" s="111"/>
      <c r="VYI11" s="111"/>
      <c r="VYJ11" s="111"/>
      <c r="VYK11" s="111"/>
      <c r="VYL11" s="111"/>
      <c r="VYM11" s="111"/>
      <c r="VYN11" s="111"/>
      <c r="VYO11" s="111"/>
      <c r="VYP11" s="111"/>
      <c r="VYQ11" s="111"/>
      <c r="VYR11" s="111"/>
      <c r="VYS11" s="111"/>
      <c r="VYT11" s="111"/>
      <c r="VYU11" s="111"/>
      <c r="VYV11" s="111"/>
      <c r="VYW11" s="111"/>
      <c r="VYX11" s="111"/>
      <c r="VYY11" s="111"/>
      <c r="VYZ11" s="111"/>
      <c r="VZA11" s="111"/>
      <c r="VZB11" s="111"/>
      <c r="VZC11" s="111"/>
      <c r="VZD11" s="111"/>
      <c r="VZE11" s="111"/>
      <c r="VZF11" s="111"/>
      <c r="VZG11" s="111"/>
      <c r="VZH11" s="111"/>
      <c r="VZI11" s="111"/>
      <c r="VZJ11" s="111"/>
      <c r="VZK11" s="111"/>
      <c r="VZL11" s="111"/>
      <c r="VZM11" s="111"/>
      <c r="VZN11" s="111"/>
      <c r="VZO11" s="111"/>
      <c r="VZP11" s="111"/>
      <c r="VZQ11" s="111"/>
      <c r="VZR11" s="111"/>
      <c r="VZS11" s="111"/>
      <c r="VZT11" s="111"/>
      <c r="VZU11" s="111"/>
      <c r="VZV11" s="111"/>
      <c r="VZW11" s="111"/>
      <c r="VZX11" s="111"/>
      <c r="VZY11" s="111"/>
      <c r="VZZ11" s="111"/>
      <c r="WAA11" s="111"/>
      <c r="WAB11" s="111"/>
      <c r="WAC11" s="111"/>
      <c r="WAD11" s="111"/>
      <c r="WAE11" s="111"/>
      <c r="WAF11" s="111"/>
      <c r="WAG11" s="111"/>
      <c r="WAH11" s="111"/>
      <c r="WAI11" s="111"/>
      <c r="WAJ11" s="111"/>
      <c r="WAK11" s="111"/>
      <c r="WAL11" s="111"/>
      <c r="WAM11" s="111"/>
      <c r="WAN11" s="111"/>
      <c r="WAO11" s="111"/>
      <c r="WAP11" s="111"/>
      <c r="WAQ11" s="111"/>
      <c r="WAR11" s="111"/>
      <c r="WAS11" s="111"/>
      <c r="WAT11" s="111"/>
      <c r="WAU11" s="111"/>
      <c r="WAV11" s="111"/>
      <c r="WAW11" s="111"/>
      <c r="WAX11" s="111"/>
      <c r="WAY11" s="111"/>
      <c r="WAZ11" s="111"/>
      <c r="WBA11" s="111"/>
      <c r="WBB11" s="111"/>
      <c r="WBC11" s="111"/>
      <c r="WBD11" s="111"/>
      <c r="WBE11" s="111"/>
      <c r="WBF11" s="111"/>
      <c r="WBG11" s="111"/>
      <c r="WBH11" s="111"/>
      <c r="WBI11" s="111"/>
      <c r="WBJ11" s="111"/>
      <c r="WBK11" s="111"/>
      <c r="WBL11" s="111"/>
      <c r="WBM11" s="111"/>
      <c r="WBN11" s="111"/>
      <c r="WBO11" s="111"/>
      <c r="WBP11" s="111"/>
      <c r="WBQ11" s="111"/>
      <c r="WBR11" s="111"/>
      <c r="WBS11" s="111"/>
      <c r="WBT11" s="111"/>
      <c r="WBU11" s="111"/>
      <c r="WBV11" s="111"/>
      <c r="WBW11" s="111"/>
      <c r="WBX11" s="111"/>
      <c r="WBY11" s="111"/>
      <c r="WBZ11" s="111"/>
      <c r="WCA11" s="111"/>
      <c r="WCB11" s="111"/>
      <c r="WCC11" s="111"/>
      <c r="WCD11" s="111"/>
      <c r="WCE11" s="111"/>
      <c r="WCF11" s="111"/>
      <c r="WCG11" s="111"/>
      <c r="WCH11" s="111"/>
      <c r="WCI11" s="111"/>
      <c r="WCJ11" s="111"/>
      <c r="WCK11" s="111"/>
      <c r="WCL11" s="111"/>
      <c r="WCM11" s="111"/>
      <c r="WCN11" s="111"/>
      <c r="WCO11" s="111"/>
      <c r="WCP11" s="111"/>
      <c r="WCQ11" s="111"/>
      <c r="WCR11" s="111"/>
      <c r="WCS11" s="111"/>
      <c r="WCT11" s="111"/>
      <c r="WCU11" s="111"/>
      <c r="WCV11" s="111"/>
      <c r="WCW11" s="111"/>
      <c r="WCX11" s="111"/>
      <c r="WCY11" s="111"/>
      <c r="WCZ11" s="111"/>
      <c r="WDA11" s="111"/>
      <c r="WDB11" s="111"/>
      <c r="WDC11" s="111"/>
      <c r="WDD11" s="111"/>
      <c r="WDE11" s="111"/>
      <c r="WDF11" s="111"/>
      <c r="WDG11" s="111"/>
      <c r="WDH11" s="111"/>
      <c r="WDI11" s="111"/>
      <c r="WDJ11" s="111"/>
      <c r="WDK11" s="111"/>
      <c r="WDL11" s="111"/>
      <c r="WDM11" s="111"/>
      <c r="WDN11" s="111"/>
      <c r="WDO11" s="111"/>
      <c r="WDP11" s="111"/>
      <c r="WDQ11" s="111"/>
      <c r="WDR11" s="111"/>
      <c r="WDS11" s="111"/>
      <c r="WDT11" s="111"/>
      <c r="WDU11" s="111"/>
      <c r="WDV11" s="111"/>
      <c r="WDW11" s="111"/>
      <c r="WDX11" s="111"/>
      <c r="WDY11" s="111"/>
      <c r="WDZ11" s="111"/>
      <c r="WEA11" s="111"/>
      <c r="WEB11" s="111"/>
      <c r="WEC11" s="111"/>
      <c r="WED11" s="111"/>
      <c r="WEE11" s="111"/>
      <c r="WEF11" s="111"/>
      <c r="WEG11" s="111"/>
      <c r="WEH11" s="111"/>
      <c r="WEI11" s="111"/>
      <c r="WEJ11" s="111"/>
      <c r="WEK11" s="111"/>
      <c r="WEL11" s="111"/>
      <c r="WEM11" s="111"/>
      <c r="WEN11" s="111"/>
      <c r="WEO11" s="111"/>
      <c r="WEP11" s="111"/>
      <c r="WEQ11" s="111"/>
      <c r="WER11" s="111"/>
      <c r="WES11" s="111"/>
      <c r="WET11" s="111"/>
      <c r="WEU11" s="111"/>
      <c r="WEV11" s="111"/>
      <c r="WEW11" s="111"/>
      <c r="WEX11" s="111"/>
      <c r="WEY11" s="111"/>
      <c r="WEZ11" s="111"/>
      <c r="WFA11" s="111"/>
      <c r="WFB11" s="111"/>
      <c r="WFC11" s="111"/>
      <c r="WFD11" s="111"/>
      <c r="WFE11" s="111"/>
      <c r="WFF11" s="111"/>
      <c r="WFG11" s="111"/>
      <c r="WFH11" s="111"/>
      <c r="WFI11" s="111"/>
      <c r="WFJ11" s="111"/>
      <c r="WFK11" s="111"/>
      <c r="WFL11" s="111"/>
      <c r="WFM11" s="111"/>
      <c r="WFN11" s="111"/>
      <c r="WFO11" s="111"/>
      <c r="WFP11" s="111"/>
      <c r="WFQ11" s="111"/>
      <c r="WFR11" s="111"/>
      <c r="WFS11" s="111"/>
      <c r="WFT11" s="111"/>
      <c r="WFU11" s="111"/>
      <c r="WFV11" s="111"/>
      <c r="WFW11" s="111"/>
      <c r="WFX11" s="111"/>
      <c r="WFY11" s="111"/>
      <c r="WFZ11" s="111"/>
      <c r="WGA11" s="111"/>
      <c r="WGB11" s="111"/>
      <c r="WGC11" s="111"/>
      <c r="WGD11" s="111"/>
      <c r="WGE11" s="111"/>
      <c r="WGF11" s="111"/>
      <c r="WGG11" s="111"/>
      <c r="WGH11" s="111"/>
      <c r="WGI11" s="111"/>
      <c r="WGJ11" s="111"/>
      <c r="WGK11" s="111"/>
      <c r="WGL11" s="111"/>
      <c r="WGM11" s="111"/>
      <c r="WGN11" s="111"/>
      <c r="WGO11" s="111"/>
      <c r="WGP11" s="111"/>
      <c r="WGQ11" s="111"/>
      <c r="WGR11" s="111"/>
      <c r="WGS11" s="111"/>
      <c r="WGT11" s="111"/>
      <c r="WGU11" s="111"/>
      <c r="WGV11" s="111"/>
      <c r="WGW11" s="111"/>
      <c r="WGX11" s="111"/>
      <c r="WGY11" s="111"/>
      <c r="WGZ11" s="111"/>
      <c r="WHA11" s="111"/>
      <c r="WHB11" s="111"/>
      <c r="WHC11" s="111"/>
      <c r="WHD11" s="111"/>
      <c r="WHE11" s="111"/>
      <c r="WHF11" s="111"/>
      <c r="WHG11" s="111"/>
      <c r="WHH11" s="111"/>
      <c r="WHI11" s="111"/>
      <c r="WHJ11" s="111"/>
      <c r="WHK11" s="111"/>
      <c r="WHL11" s="111"/>
      <c r="WHM11" s="111"/>
      <c r="WHN11" s="111"/>
      <c r="WHO11" s="111"/>
      <c r="WHP11" s="111"/>
      <c r="WHQ11" s="111"/>
      <c r="WHR11" s="111"/>
      <c r="WHS11" s="111"/>
      <c r="WHT11" s="111"/>
      <c r="WHU11" s="111"/>
      <c r="WHV11" s="111"/>
      <c r="WHW11" s="111"/>
      <c r="WHX11" s="111"/>
      <c r="WHY11" s="111"/>
      <c r="WHZ11" s="111"/>
      <c r="WIA11" s="111"/>
      <c r="WIB11" s="111"/>
      <c r="WIC11" s="111"/>
      <c r="WID11" s="111"/>
      <c r="WIE11" s="111"/>
      <c r="WIF11" s="111"/>
      <c r="WIG11" s="111"/>
      <c r="WIH11" s="111"/>
      <c r="WII11" s="111"/>
      <c r="WIJ11" s="111"/>
      <c r="WIK11" s="111"/>
      <c r="WIL11" s="111"/>
      <c r="WIM11" s="111"/>
      <c r="WIN11" s="111"/>
      <c r="WIO11" s="111"/>
      <c r="WIP11" s="111"/>
      <c r="WIQ11" s="111"/>
      <c r="WIR11" s="111"/>
      <c r="WIS11" s="111"/>
      <c r="WIT11" s="111"/>
      <c r="WIU11" s="111"/>
      <c r="WIV11" s="111"/>
      <c r="WIW11" s="111"/>
      <c r="WIX11" s="111"/>
      <c r="WIY11" s="111"/>
      <c r="WIZ11" s="111"/>
      <c r="WJA11" s="111"/>
      <c r="WJB11" s="111"/>
      <c r="WJC11" s="111"/>
      <c r="WJD11" s="111"/>
      <c r="WJE11" s="111"/>
      <c r="WJF11" s="111"/>
      <c r="WJG11" s="111"/>
      <c r="WJH11" s="111"/>
      <c r="WJI11" s="111"/>
      <c r="WJJ11" s="111"/>
      <c r="WJK11" s="111"/>
      <c r="WJL11" s="111"/>
      <c r="WJM11" s="111"/>
      <c r="WJN11" s="111"/>
      <c r="WJO11" s="111"/>
      <c r="WJP11" s="111"/>
      <c r="WJQ11" s="111"/>
      <c r="WJR11" s="111"/>
      <c r="WJS11" s="111"/>
      <c r="WJT11" s="111"/>
      <c r="WJU11" s="111"/>
      <c r="WJV11" s="111"/>
      <c r="WJW11" s="111"/>
      <c r="WJX11" s="111"/>
      <c r="WJY11" s="111"/>
      <c r="WJZ11" s="111"/>
      <c r="WKA11" s="111"/>
      <c r="WKB11" s="111"/>
      <c r="WKC11" s="111"/>
      <c r="WKD11" s="111"/>
      <c r="WKE11" s="111"/>
      <c r="WKF11" s="111"/>
      <c r="WKG11" s="111"/>
      <c r="WKH11" s="111"/>
      <c r="WKI11" s="111"/>
      <c r="WKJ11" s="111"/>
      <c r="WKK11" s="111"/>
      <c r="WKL11" s="111"/>
      <c r="WKM11" s="111"/>
      <c r="WKN11" s="111"/>
      <c r="WKO11" s="111"/>
      <c r="WKP11" s="111"/>
      <c r="WKQ11" s="111"/>
      <c r="WKR11" s="111"/>
      <c r="WKS11" s="111"/>
      <c r="WKT11" s="111"/>
      <c r="WKU11" s="111"/>
      <c r="WKV11" s="111"/>
      <c r="WKW11" s="111"/>
      <c r="WKX11" s="111"/>
      <c r="WKY11" s="111"/>
      <c r="WKZ11" s="111"/>
      <c r="WLA11" s="111"/>
      <c r="WLB11" s="111"/>
      <c r="WLC11" s="111"/>
      <c r="WLD11" s="111"/>
      <c r="WLE11" s="111"/>
      <c r="WLF11" s="111"/>
      <c r="WLG11" s="111"/>
      <c r="WLH11" s="111"/>
      <c r="WLI11" s="111"/>
      <c r="WLJ11" s="111"/>
      <c r="WLK11" s="111"/>
      <c r="WLL11" s="111"/>
      <c r="WLM11" s="111"/>
      <c r="WLN11" s="111"/>
      <c r="WLO11" s="111"/>
      <c r="WLP11" s="111"/>
      <c r="WLQ11" s="111"/>
      <c r="WLR11" s="111"/>
      <c r="WLS11" s="111"/>
      <c r="WLT11" s="111"/>
      <c r="WLU11" s="111"/>
      <c r="WLV11" s="111"/>
      <c r="WLW11" s="111"/>
      <c r="WLX11" s="111"/>
      <c r="WLY11" s="111"/>
      <c r="WLZ11" s="111"/>
      <c r="WMA11" s="111"/>
      <c r="WMB11" s="111"/>
      <c r="WMC11" s="111"/>
      <c r="WMD11" s="111"/>
      <c r="WME11" s="111"/>
      <c r="WMF11" s="111"/>
      <c r="WMG11" s="111"/>
      <c r="WMH11" s="111"/>
      <c r="WMI11" s="111"/>
      <c r="WMJ11" s="111"/>
      <c r="WMK11" s="111"/>
      <c r="WML11" s="111"/>
      <c r="WMM11" s="111"/>
      <c r="WMN11" s="111"/>
      <c r="WMO11" s="111"/>
      <c r="WMP11" s="111"/>
      <c r="WMQ11" s="111"/>
      <c r="WMR11" s="111"/>
      <c r="WMS11" s="111"/>
      <c r="WMT11" s="111"/>
      <c r="WMU11" s="111"/>
      <c r="WMV11" s="111"/>
      <c r="WMW11" s="111"/>
      <c r="WMX11" s="111"/>
      <c r="WMY11" s="111"/>
      <c r="WMZ11" s="111"/>
      <c r="WNA11" s="111"/>
      <c r="WNB11" s="111"/>
      <c r="WNC11" s="111"/>
      <c r="WND11" s="111"/>
      <c r="WNE11" s="111"/>
      <c r="WNF11" s="111"/>
      <c r="WNG11" s="111"/>
      <c r="WNH11" s="111"/>
      <c r="WNI11" s="111"/>
      <c r="WNJ11" s="111"/>
      <c r="WNK11" s="111"/>
      <c r="WNL11" s="111"/>
      <c r="WNM11" s="111"/>
      <c r="WNN11" s="111"/>
      <c r="WNO11" s="111"/>
      <c r="WNP11" s="111"/>
      <c r="WNQ11" s="111"/>
      <c r="WNR11" s="111"/>
      <c r="WNS11" s="111"/>
      <c r="WNT11" s="111"/>
      <c r="WNU11" s="111"/>
      <c r="WNV11" s="111"/>
      <c r="WNW11" s="111"/>
      <c r="WNX11" s="111"/>
      <c r="WNY11" s="111"/>
      <c r="WNZ11" s="111"/>
      <c r="WOA11" s="111"/>
      <c r="WOB11" s="111"/>
      <c r="WOC11" s="111"/>
      <c r="WOD11" s="111"/>
      <c r="WOE11" s="111"/>
      <c r="WOF11" s="111"/>
      <c r="WOG11" s="111"/>
      <c r="WOH11" s="111"/>
      <c r="WOI11" s="111"/>
      <c r="WOJ11" s="111"/>
      <c r="WOK11" s="111"/>
      <c r="WOL11" s="111"/>
      <c r="WOM11" s="111"/>
      <c r="WON11" s="111"/>
      <c r="WOO11" s="111"/>
      <c r="WOP11" s="111"/>
      <c r="WOQ11" s="111"/>
      <c r="WOR11" s="111"/>
      <c r="WOS11" s="111"/>
      <c r="WOT11" s="111"/>
      <c r="WOU11" s="111"/>
      <c r="WOV11" s="111"/>
      <c r="WOW11" s="111"/>
      <c r="WOX11" s="111"/>
      <c r="WOY11" s="111"/>
      <c r="WOZ11" s="111"/>
      <c r="WPA11" s="111"/>
      <c r="WPB11" s="111"/>
      <c r="WPC11" s="111"/>
      <c r="WPD11" s="111"/>
      <c r="WPE11" s="111"/>
      <c r="WPF11" s="111"/>
      <c r="WPG11" s="111"/>
      <c r="WPH11" s="111"/>
      <c r="WPI11" s="111"/>
      <c r="WPJ11" s="111"/>
      <c r="WPK11" s="111"/>
      <c r="WPL11" s="111"/>
      <c r="WPM11" s="111"/>
      <c r="WPN11" s="111"/>
      <c r="WPO11" s="111"/>
      <c r="WPP11" s="111"/>
      <c r="WPQ11" s="111"/>
      <c r="WPR11" s="111"/>
      <c r="WPS11" s="111"/>
      <c r="WPT11" s="111"/>
      <c r="WPU11" s="111"/>
      <c r="WPV11" s="111"/>
      <c r="WPW11" s="111"/>
      <c r="WPX11" s="111"/>
      <c r="WPY11" s="111"/>
      <c r="WPZ11" s="111"/>
      <c r="WQA11" s="111"/>
      <c r="WQB11" s="111"/>
      <c r="WQC11" s="111"/>
      <c r="WQD11" s="111"/>
      <c r="WQE11" s="111"/>
      <c r="WQF11" s="111"/>
      <c r="WQG11" s="111"/>
      <c r="WQH11" s="111"/>
      <c r="WQI11" s="111"/>
      <c r="WQJ11" s="111"/>
      <c r="WQK11" s="111"/>
      <c r="WQL11" s="111"/>
      <c r="WQM11" s="111"/>
      <c r="WQN11" s="111"/>
      <c r="WQO11" s="111"/>
      <c r="WQP11" s="111"/>
      <c r="WQQ11" s="111"/>
      <c r="WQR11" s="111"/>
      <c r="WQS11" s="111"/>
      <c r="WQT11" s="111"/>
      <c r="WQU11" s="111"/>
      <c r="WQV11" s="111"/>
      <c r="WQW11" s="111"/>
      <c r="WQX11" s="111"/>
      <c r="WQY11" s="111"/>
      <c r="WQZ11" s="111"/>
      <c r="WRA11" s="111"/>
      <c r="WRB11" s="111"/>
      <c r="WRC11" s="111"/>
      <c r="WRD11" s="111"/>
      <c r="WRE11" s="111"/>
      <c r="WRF11" s="111"/>
      <c r="WRG11" s="111"/>
      <c r="WRH11" s="111"/>
      <c r="WRI11" s="111"/>
      <c r="WRJ11" s="111"/>
      <c r="WRK11" s="111"/>
      <c r="WRL11" s="111"/>
      <c r="WRM11" s="111"/>
      <c r="WRN11" s="111"/>
      <c r="WRO11" s="111"/>
      <c r="WRP11" s="111"/>
      <c r="WRQ11" s="111"/>
      <c r="WRR11" s="111"/>
      <c r="WRS11" s="111"/>
      <c r="WRT11" s="111"/>
      <c r="WRU11" s="111"/>
      <c r="WRV11" s="111"/>
      <c r="WRW11" s="111"/>
      <c r="WRX11" s="111"/>
      <c r="WRY11" s="111"/>
      <c r="WRZ11" s="111"/>
      <c r="WSA11" s="111"/>
      <c r="WSB11" s="111"/>
      <c r="WSC11" s="111"/>
      <c r="WSD11" s="111"/>
      <c r="WSE11" s="111"/>
      <c r="WSF11" s="111"/>
      <c r="WSG11" s="111"/>
      <c r="WSH11" s="111"/>
      <c r="WSI11" s="111"/>
      <c r="WSJ11" s="111"/>
      <c r="WSK11" s="111"/>
      <c r="WSL11" s="111"/>
      <c r="WSM11" s="111"/>
      <c r="WSN11" s="111"/>
      <c r="WSO11" s="111"/>
      <c r="WSP11" s="111"/>
      <c r="WSQ11" s="111"/>
      <c r="WSR11" s="111"/>
      <c r="WSS11" s="111"/>
      <c r="WST11" s="111"/>
      <c r="WSU11" s="111"/>
      <c r="WSV11" s="111"/>
      <c r="WSW11" s="111"/>
      <c r="WSX11" s="111"/>
      <c r="WSY11" s="111"/>
      <c r="WSZ11" s="111"/>
      <c r="WTA11" s="111"/>
      <c r="WTB11" s="111"/>
      <c r="WTC11" s="111"/>
      <c r="WTD11" s="111"/>
      <c r="WTE11" s="111"/>
      <c r="WTF11" s="111"/>
      <c r="WTG11" s="111"/>
      <c r="WTH11" s="111"/>
      <c r="WTI11" s="111"/>
      <c r="WTJ11" s="111"/>
      <c r="WTK11" s="111"/>
      <c r="WTL11" s="111"/>
      <c r="WTM11" s="111"/>
      <c r="WTN11" s="111"/>
      <c r="WTO11" s="111"/>
      <c r="WTP11" s="111"/>
      <c r="WTQ11" s="111"/>
      <c r="WTR11" s="111"/>
      <c r="WTS11" s="111"/>
      <c r="WTT11" s="111"/>
      <c r="WTU11" s="111"/>
      <c r="WTV11" s="111"/>
      <c r="WTW11" s="111"/>
      <c r="WTX11" s="111"/>
      <c r="WTY11" s="111"/>
      <c r="WTZ11" s="111"/>
      <c r="WUA11" s="111"/>
      <c r="WUB11" s="111"/>
      <c r="WUC11" s="111"/>
      <c r="WUD11" s="111"/>
      <c r="WUE11" s="111"/>
      <c r="WUF11" s="111"/>
      <c r="WUG11" s="111"/>
      <c r="WUH11" s="111"/>
      <c r="WUI11" s="111"/>
      <c r="WUJ11" s="111"/>
      <c r="WUK11" s="111"/>
      <c r="WUL11" s="111"/>
      <c r="WUM11" s="111"/>
      <c r="WUN11" s="111"/>
      <c r="WUO11" s="111"/>
      <c r="WUP11" s="111"/>
      <c r="WUQ11" s="111"/>
      <c r="WUR11" s="111"/>
      <c r="WUS11" s="111"/>
      <c r="WUT11" s="111"/>
      <c r="WUU11" s="111"/>
      <c r="WUV11" s="111"/>
      <c r="WUW11" s="111"/>
      <c r="WUX11" s="111"/>
      <c r="WUY11" s="111"/>
      <c r="WUZ11" s="111"/>
      <c r="WVA11" s="111"/>
      <c r="WVB11" s="111"/>
      <c r="WVC11" s="111"/>
      <c r="WVD11" s="111"/>
      <c r="WVE11" s="111"/>
      <c r="WVF11" s="111"/>
      <c r="WVG11" s="111"/>
      <c r="WVH11" s="111"/>
      <c r="WVI11" s="111"/>
      <c r="WVJ11" s="111"/>
      <c r="WVK11" s="111"/>
      <c r="WVL11" s="111"/>
      <c r="WVM11" s="111"/>
      <c r="WVN11" s="111"/>
      <c r="WVO11" s="111"/>
      <c r="WVP11" s="111"/>
      <c r="WVQ11" s="111"/>
      <c r="WVR11" s="111"/>
      <c r="WVS11" s="111"/>
      <c r="WVT11" s="111"/>
      <c r="WVU11" s="111"/>
      <c r="WVV11" s="111"/>
      <c r="WVW11" s="111"/>
      <c r="WVX11" s="111"/>
      <c r="WVY11" s="111"/>
      <c r="WVZ11" s="111"/>
      <c r="WWA11" s="111"/>
      <c r="WWB11" s="111"/>
      <c r="WWC11" s="111"/>
      <c r="WWD11" s="111"/>
      <c r="WWE11" s="111"/>
      <c r="WWF11" s="111"/>
      <c r="WWG11" s="111"/>
      <c r="WWH11" s="111"/>
      <c r="WWI11" s="111"/>
      <c r="WWJ11" s="111"/>
      <c r="WWK11" s="111"/>
      <c r="WWL11" s="111"/>
      <c r="WWM11" s="111"/>
      <c r="WWN11" s="111"/>
      <c r="WWO11" s="111"/>
      <c r="WWP11" s="111"/>
      <c r="WWQ11" s="111"/>
      <c r="WWR11" s="111"/>
      <c r="WWS11" s="111"/>
      <c r="WWT11" s="111"/>
      <c r="WWU11" s="111"/>
      <c r="WWV11" s="111"/>
      <c r="WWW11" s="111"/>
      <c r="WWX11" s="111"/>
      <c r="WWY11" s="111"/>
      <c r="WWZ11" s="111"/>
      <c r="WXA11" s="111"/>
      <c r="WXB11" s="111"/>
      <c r="WXC11" s="111"/>
      <c r="WXD11" s="111"/>
      <c r="WXE11" s="111"/>
      <c r="WXF11" s="111"/>
      <c r="WXG11" s="111"/>
      <c r="WXH11" s="111"/>
      <c r="WXI11" s="111"/>
      <c r="WXJ11" s="111"/>
      <c r="WXK11" s="111"/>
      <c r="WXL11" s="111"/>
      <c r="WXM11" s="111"/>
      <c r="WXN11" s="111"/>
      <c r="WXO11" s="111"/>
      <c r="WXP11" s="111"/>
      <c r="WXQ11" s="111"/>
      <c r="WXR11" s="111"/>
      <c r="WXS11" s="111"/>
      <c r="WXT11" s="111"/>
      <c r="WXU11" s="111"/>
      <c r="WXV11" s="111"/>
      <c r="WXW11" s="111"/>
      <c r="WXX11" s="111"/>
      <c r="WXY11" s="111"/>
      <c r="WXZ11" s="111"/>
      <c r="WYA11" s="111"/>
      <c r="WYB11" s="111"/>
      <c r="WYC11" s="111"/>
      <c r="WYD11" s="111"/>
      <c r="WYE11" s="111"/>
      <c r="WYF11" s="111"/>
      <c r="WYG11" s="111"/>
      <c r="WYH11" s="111"/>
      <c r="WYI11" s="111"/>
      <c r="WYJ11" s="111"/>
      <c r="WYK11" s="111"/>
      <c r="WYL11" s="111"/>
      <c r="WYM11" s="111"/>
      <c r="WYN11" s="111"/>
      <c r="WYO11" s="111"/>
      <c r="WYP11" s="111"/>
      <c r="WYQ11" s="111"/>
      <c r="WYR11" s="111"/>
      <c r="WYS11" s="111"/>
      <c r="WYT11" s="111"/>
      <c r="WYU11" s="111"/>
      <c r="WYV11" s="111"/>
      <c r="WYW11" s="111"/>
      <c r="WYX11" s="111"/>
      <c r="WYY11" s="111"/>
      <c r="WYZ11" s="111"/>
      <c r="WZA11" s="111"/>
      <c r="WZB11" s="111"/>
      <c r="WZC11" s="111"/>
      <c r="WZD11" s="111"/>
      <c r="WZE11" s="111"/>
      <c r="WZF11" s="111"/>
      <c r="WZG11" s="111"/>
      <c r="WZH11" s="111"/>
      <c r="WZI11" s="111"/>
      <c r="WZJ11" s="111"/>
      <c r="WZK11" s="111"/>
      <c r="WZL11" s="111"/>
      <c r="WZM11" s="111"/>
      <c r="WZN11" s="111"/>
      <c r="WZO11" s="111"/>
      <c r="WZP11" s="111"/>
      <c r="WZQ11" s="111"/>
      <c r="WZR11" s="111"/>
      <c r="WZS11" s="111"/>
      <c r="WZT11" s="111"/>
      <c r="WZU11" s="111"/>
      <c r="WZV11" s="111"/>
      <c r="WZW11" s="111"/>
      <c r="WZX11" s="111"/>
      <c r="WZY11" s="111"/>
      <c r="WZZ11" s="111"/>
      <c r="XAA11" s="111"/>
      <c r="XAB11" s="111"/>
      <c r="XAC11" s="111"/>
      <c r="XAD11" s="111"/>
      <c r="XAE11" s="111"/>
      <c r="XAF11" s="111"/>
      <c r="XAG11" s="111"/>
      <c r="XAH11" s="111"/>
      <c r="XAI11" s="111"/>
      <c r="XAJ11" s="111"/>
      <c r="XAK11" s="111"/>
      <c r="XAL11" s="111"/>
      <c r="XAM11" s="111"/>
      <c r="XAN11" s="111"/>
      <c r="XAO11" s="111"/>
      <c r="XAP11" s="111"/>
      <c r="XAQ11" s="111"/>
      <c r="XAR11" s="111"/>
      <c r="XAS11" s="111"/>
      <c r="XAT11" s="111"/>
      <c r="XAU11" s="111"/>
      <c r="XAV11" s="111"/>
      <c r="XAW11" s="111"/>
      <c r="XAX11" s="111"/>
      <c r="XAY11" s="111"/>
      <c r="XAZ11" s="111"/>
      <c r="XBA11" s="111"/>
      <c r="XBB11" s="111"/>
      <c r="XBC11" s="111"/>
      <c r="XBD11" s="111"/>
      <c r="XBE11" s="111"/>
      <c r="XBF11" s="111"/>
      <c r="XBG11" s="111"/>
      <c r="XBH11" s="111"/>
      <c r="XBI11" s="111"/>
      <c r="XBJ11" s="111"/>
      <c r="XBK11" s="111"/>
      <c r="XBL11" s="111"/>
      <c r="XBM11" s="111"/>
      <c r="XBN11" s="111"/>
      <c r="XBO11" s="111"/>
      <c r="XBP11" s="111"/>
      <c r="XBQ11" s="111"/>
      <c r="XBR11" s="111"/>
      <c r="XBS11" s="111"/>
      <c r="XBT11" s="111"/>
      <c r="XBU11" s="111"/>
      <c r="XBV11" s="111"/>
      <c r="XBW11" s="111"/>
      <c r="XBX11" s="111"/>
      <c r="XBY11" s="111"/>
      <c r="XBZ11" s="111"/>
      <c r="XCA11" s="111"/>
      <c r="XCB11" s="111"/>
      <c r="XCC11" s="111"/>
      <c r="XCD11" s="111"/>
      <c r="XCE11" s="111"/>
      <c r="XCF11" s="111"/>
      <c r="XCG11" s="111"/>
      <c r="XCH11" s="111"/>
      <c r="XCI11" s="111"/>
      <c r="XCJ11" s="111"/>
      <c r="XCK11" s="111"/>
      <c r="XCL11" s="111"/>
      <c r="XCM11" s="111"/>
      <c r="XCN11" s="111"/>
      <c r="XCO11" s="111"/>
      <c r="XCP11" s="111"/>
      <c r="XCQ11" s="111"/>
      <c r="XCR11" s="111"/>
      <c r="XCS11" s="111"/>
      <c r="XCT11" s="111"/>
      <c r="XCU11" s="111"/>
      <c r="XCV11" s="111"/>
      <c r="XCW11" s="111"/>
      <c r="XCX11" s="111"/>
      <c r="XCY11" s="111"/>
      <c r="XCZ11" s="111"/>
      <c r="XDA11" s="111"/>
      <c r="XDB11" s="111"/>
      <c r="XDC11" s="111"/>
      <c r="XDD11" s="111"/>
      <c r="XDE11" s="111"/>
      <c r="XDF11" s="111"/>
      <c r="XDG11" s="111"/>
      <c r="XDH11" s="111"/>
      <c r="XDI11" s="111"/>
      <c r="XDJ11" s="111"/>
      <c r="XDK11" s="111"/>
      <c r="XDL11" s="111"/>
      <c r="XDM11" s="111"/>
      <c r="XDN11" s="111"/>
      <c r="XDO11" s="111"/>
      <c r="XDP11" s="111"/>
      <c r="XDQ11" s="111"/>
      <c r="XDR11" s="111"/>
      <c r="XDS11" s="111"/>
      <c r="XDT11" s="111"/>
      <c r="XDU11" s="111"/>
      <c r="XDV11" s="111"/>
      <c r="XDW11" s="111"/>
      <c r="XDX11" s="111"/>
      <c r="XDY11" s="111"/>
      <c r="XDZ11" s="111"/>
      <c r="XEA11" s="111"/>
      <c r="XEB11" s="111"/>
      <c r="XEC11" s="111"/>
      <c r="XED11" s="111"/>
      <c r="XEE11" s="111"/>
      <c r="XEF11" s="111"/>
      <c r="XEG11" s="111"/>
      <c r="XEH11" s="111"/>
      <c r="XEI11" s="111"/>
      <c r="XEJ11" s="111"/>
      <c r="XEK11" s="111"/>
      <c r="XEL11" s="111"/>
      <c r="XEM11" s="111"/>
      <c r="XEN11" s="111"/>
      <c r="XEO11" s="111"/>
      <c r="XEP11" s="111"/>
      <c r="XEQ11" s="111"/>
      <c r="XER11" s="111"/>
      <c r="XES11" s="111"/>
      <c r="XET11" s="111"/>
      <c r="XEU11" s="111"/>
      <c r="XEV11" s="111"/>
      <c r="XEW11" s="111"/>
      <c r="XEX11" s="111"/>
      <c r="XEY11" s="111"/>
      <c r="XEZ11" s="111"/>
      <c r="XFA11" s="111"/>
      <c r="XFB11" s="111"/>
      <c r="XFC11" s="111"/>
    </row>
    <row r="12" spans="1:1638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row>
    <row r="13" spans="1:16383">
      <c r="A13" s="3"/>
      <c r="B13" s="3" t="s">
        <v>968</v>
      </c>
      <c r="C13" s="3"/>
      <c r="D13" s="3" t="s">
        <v>214</v>
      </c>
      <c r="E13" s="130">
        <f>'3. Input (des)investeringen '!F237</f>
        <v>9.0830073880921361E-2</v>
      </c>
      <c r="F13" s="130">
        <f>'3. Input (des)investeringen '!G237</f>
        <v>3.6254980079681365E-2</v>
      </c>
      <c r="G13" s="130">
        <f>'3. Input (des)investeringen '!H237</f>
        <v>3.5371011149557818E-2</v>
      </c>
      <c r="H13" s="130">
        <f>'3. Input (des)investeringen '!I237</f>
        <v>6.3126624582250282E-2</v>
      </c>
      <c r="I13" s="130">
        <f>'3. Input (des)investeringen '!J237</f>
        <v>9.1163115612993242E-2</v>
      </c>
      <c r="J13" s="130">
        <f>'3. Input (des)investeringen '!K237</f>
        <v>9.6350832266325306E-2</v>
      </c>
      <c r="K13" s="130">
        <f>'3. Input (des)investeringen '!L237</f>
        <v>0</v>
      </c>
      <c r="L13" s="130">
        <f>'3. Input (des)investeringen '!M237</f>
        <v>0</v>
      </c>
      <c r="M13" s="130">
        <f>'3. Input (des)investeringen '!N237</f>
        <v>0.04</v>
      </c>
      <c r="N13" s="130">
        <f>'3. Input (des)investeringen '!O237</f>
        <v>1.909039865244248E-2</v>
      </c>
      <c r="O13" s="130">
        <f>'3. Input (des)investeringen '!P237</f>
        <v>1.9008264462809853E-2</v>
      </c>
      <c r="P13" s="130">
        <f>'3. Input (des)investeringen '!Q237</f>
        <v>6.4882400648824015E-2</v>
      </c>
      <c r="Q13" s="130">
        <f>'3. Input (des)investeringen '!R237</f>
        <v>1.7263264788017294E-2</v>
      </c>
      <c r="R13" s="130">
        <f>'3. Input (des)investeringen '!S237</f>
        <v>8.4851509857749793E-3</v>
      </c>
      <c r="S13" s="130">
        <f>'3. Input (des)investeringen '!T237</f>
        <v>2.5488740410789294E-2</v>
      </c>
      <c r="T13" s="130">
        <f>'3. Input (des)investeringen '!U237</f>
        <v>1.6650579150579235E-2</v>
      </c>
      <c r="U13" s="130">
        <f>'3. Input (des)investeringen '!V237</f>
        <v>1.92262046047946E-2</v>
      </c>
      <c r="V13" s="130">
        <f>'3. Input (des)investeringen '!W237</f>
        <v>3.8192827200745308E-2</v>
      </c>
      <c r="W13" s="130">
        <f>'3. Input (des)investeringen '!X237</f>
        <v>1.9E-2</v>
      </c>
      <c r="X13" s="130">
        <f>'3. Input (des)investeringen '!Y237</f>
        <v>8.4000000000000005E-2</v>
      </c>
      <c r="Y13" s="130">
        <f>'3. Input (des)investeringen '!Z237</f>
        <v>4.2999999999999997E-2</v>
      </c>
      <c r="Z13" s="130">
        <f>'3. Input (des)investeringen '!AA237</f>
        <v>5.7999999999999996E-2</v>
      </c>
      <c r="AA13" s="130">
        <f>'3. Input (des)investeringen '!AB237</f>
        <v>3.9E-2</v>
      </c>
      <c r="AB13" s="130">
        <f>'3. Input (des)investeringen '!AC237</f>
        <v>3.3000000000000002E-2</v>
      </c>
      <c r="AC13" s="130">
        <f>'3. Input (des)investeringen '!AD237</f>
        <v>6.9000000000000006E-2</v>
      </c>
      <c r="AD13" s="130">
        <f>'3. Input (des)investeringen '!AE237</f>
        <v>5.4000000000000006E-2</v>
      </c>
      <c r="AE13" s="130">
        <f>'3. Input (des)investeringen '!AF237</f>
        <v>7.5999999999999998E-2</v>
      </c>
      <c r="AF13" s="130">
        <f>'3. Input (des)investeringen '!AG237</f>
        <v>7.400000000000001E-2</v>
      </c>
      <c r="AG13" s="130">
        <f>'3. Input (des)investeringen '!AH237</f>
        <v>8.1000000000000003E-2</v>
      </c>
      <c r="AH13" s="130">
        <f>'3. Input (des)investeringen '!AI237</f>
        <v>9.8000000000000004E-2</v>
      </c>
      <c r="AI13" s="130">
        <f>'3. Input (des)investeringen '!AJ237</f>
        <v>0.107</v>
      </c>
      <c r="AJ13" s="130">
        <f>'3. Input (des)investeringen '!AK237</f>
        <v>8.3000000000000004E-2</v>
      </c>
      <c r="AK13" s="130">
        <f>'3. Input (des)investeringen '!AL237</f>
        <v>6.8000000000000005E-2</v>
      </c>
      <c r="AL13" s="130">
        <f>'3. Input (des)investeringen '!AM237</f>
        <v>4.2000000000000003E-2</v>
      </c>
      <c r="AM13" s="130">
        <f>'3. Input (des)investeringen '!AN237</f>
        <v>3.7999999999999999E-2</v>
      </c>
      <c r="AN13" s="130">
        <f>'3. Input (des)investeringen '!AO237</f>
        <v>7.0999999999999994E-2</v>
      </c>
      <c r="AO13" s="130">
        <f>'3. Input (des)investeringen '!AP237</f>
        <v>6.4000000000000001E-2</v>
      </c>
      <c r="AP13" s="130">
        <f>'3. Input (des)investeringen '!AQ237</f>
        <v>5.9000000000000004E-2</v>
      </c>
      <c r="AQ13" s="130">
        <f>'3. Input (des)investeringen '!AR237</f>
        <v>2.6000000000000002E-2</v>
      </c>
      <c r="AR13" s="130">
        <f>'3. Input (des)investeringen '!AS237</f>
        <v>2.7999999999999997E-2</v>
      </c>
      <c r="AS13" s="130">
        <f>'3. Input (des)investeringen '!AT237</f>
        <v>2.3E-2</v>
      </c>
      <c r="AT13" s="130">
        <f>'3. Input (des)investeringen '!AU237</f>
        <v>-5.0000000000000001E-3</v>
      </c>
      <c r="AU13" s="130">
        <f>'3. Input (des)investeringen '!AV237</f>
        <v>2E-3</v>
      </c>
      <c r="AV13" s="130">
        <f>'3. Input (des)investeringen '!AW237</f>
        <v>9.0000000000000011E-3</v>
      </c>
      <c r="AW13" s="130">
        <f>'3. Input (des)investeringen '!AX237</f>
        <v>1.1000000000000001E-2</v>
      </c>
      <c r="AX13" s="130">
        <f>'3. Input (des)investeringen '!AY237</f>
        <v>2.4E-2</v>
      </c>
      <c r="AY13" s="130">
        <f>'3. Input (des)investeringen '!AZ237</f>
        <v>4.5999999999999999E-2</v>
      </c>
      <c r="AZ13" s="130">
        <f>'3. Input (des)investeringen '!BA237</f>
        <v>3.5000000000000003E-2</v>
      </c>
      <c r="BA13" s="130">
        <f>'3. Input (des)investeringen '!BB237</f>
        <v>0.02</v>
      </c>
      <c r="BB13" s="130">
        <f>'3. Input (des)investeringen '!BC237</f>
        <v>2.6000000000000002E-2</v>
      </c>
      <c r="BC13" s="130">
        <f>'3. Input (des)investeringen '!BD237</f>
        <v>1.4999999999999999E-2</v>
      </c>
      <c r="BD13" s="130">
        <f>'3. Input (des)investeringen '!BE237</f>
        <v>1.9E-2</v>
      </c>
      <c r="BE13" s="130">
        <f>'3. Input (des)investeringen '!BF237</f>
        <v>2.6000000000000002E-2</v>
      </c>
      <c r="BF13" s="130">
        <f>'3. Input (des)investeringen '!BG237</f>
        <v>1.7000000000000001E-2</v>
      </c>
      <c r="BG13" s="130">
        <f>'3. Input (des)investeringen '!BH237</f>
        <v>2.6000000000000002E-2</v>
      </c>
      <c r="BH13" s="130">
        <f>'3. Input (des)investeringen '!BI237</f>
        <v>2.5000000000000001E-2</v>
      </c>
      <c r="BI13" s="130">
        <f>'3. Input (des)investeringen '!BJ237</f>
        <v>4.7E-2</v>
      </c>
      <c r="BJ13" s="130">
        <f>'3. Input (des)investeringen '!BK237</f>
        <v>3.3000000000000002E-2</v>
      </c>
      <c r="BK13" s="130">
        <f>'3. Input (des)investeringen '!BL237</f>
        <v>2.1000000000000001E-2</v>
      </c>
      <c r="BL13" s="130">
        <f>'3. Input (des)investeringen '!BM237</f>
        <v>1.1000000000000001E-2</v>
      </c>
      <c r="BM13" s="130">
        <f>'3. Input (des)investeringen '!BN237</f>
        <v>1.7999999999999999E-2</v>
      </c>
      <c r="BN13" s="130">
        <f>'3. Input (des)investeringen '!BO237</f>
        <v>1.4E-2</v>
      </c>
      <c r="BO13" s="130">
        <f>'3. Input (des)investeringen '!BP237</f>
        <v>1.0999999999999999E-2</v>
      </c>
      <c r="BP13" s="130">
        <f>'3. Input (des)investeringen '!BQ237</f>
        <v>3.2000000000000001E-2</v>
      </c>
      <c r="BQ13" s="130">
        <f>'3. Input (des)investeringen '!BR237</f>
        <v>3.0000000000000001E-3</v>
      </c>
      <c r="BR13" s="130">
        <f>'3. Input (des)investeringen '!BS237</f>
        <v>1.4999999999999999E-2</v>
      </c>
      <c r="BS13" s="130">
        <f>'3. Input (des)investeringen '!BT237</f>
        <v>2.5999999999999999E-2</v>
      </c>
      <c r="BT13" s="130">
        <f>'3. Input (des)investeringen '!BU237</f>
        <v>2.3E-2</v>
      </c>
      <c r="BU13" s="130">
        <f>'3. Input (des)investeringen '!BV237</f>
        <v>2.8000000000000001E-2</v>
      </c>
      <c r="BV13" s="130">
        <f>'3. Input (des)investeringen '!BW237</f>
        <v>0.01</v>
      </c>
      <c r="BW13" s="130">
        <f>'3. Input (des)investeringen '!BX237</f>
        <v>8.0000000000000002E-3</v>
      </c>
      <c r="BX13" s="130">
        <f>'3. Input (des)investeringen '!BY237</f>
        <v>2E-3</v>
      </c>
      <c r="BY13" s="130">
        <f>'3. Input (des)investeringen '!BZ237</f>
        <v>1.4E-2</v>
      </c>
      <c r="BZ13" s="130">
        <f>'3. Input (des)investeringen '!CA237</f>
        <v>1.2E-2</v>
      </c>
      <c r="CA13" s="130">
        <f>'3. Input (des)investeringen '!CB237</f>
        <v>2.5999999999999999E-2</v>
      </c>
      <c r="CB13" s="130">
        <f>'3. Input (des)investeringen '!CC237</f>
        <v>1.6E-2</v>
      </c>
      <c r="CC13" s="130">
        <f>'3. Input (des)investeringen '!CD237</f>
        <v>1.7999999999999999E-2</v>
      </c>
      <c r="CD13" s="130">
        <f>'3. Input (des)investeringen '!CE237</f>
        <v>6.2E-2</v>
      </c>
      <c r="CE13" s="130">
        <f>'3. Input (des)investeringen '!CF237</f>
        <v>0.08</v>
      </c>
      <c r="CF13" s="130">
        <f>'3. Input (des)investeringen '!CG237</f>
        <v>2.8000000000000001E-2</v>
      </c>
      <c r="CG13" s="130">
        <f>'3. Input (des)investeringen '!CH237</f>
        <v>3.7999999999999999E-2</v>
      </c>
      <c r="CH13" s="3"/>
    </row>
    <row r="14" spans="1:16383" s="121" customFormat="1">
      <c r="A14" s="89"/>
      <c r="B14" s="89"/>
      <c r="C14" s="89"/>
      <c r="D14" s="89"/>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row>
    <row r="15" spans="1:16383" s="33" customFormat="1">
      <c r="A15" s="97"/>
      <c r="B15" s="33" t="s">
        <v>969</v>
      </c>
    </row>
    <row r="16" spans="1:16383" s="34" customFormat="1">
      <c r="A16" s="98"/>
      <c r="B16" s="34" t="s">
        <v>918</v>
      </c>
      <c r="D16" s="34" t="s">
        <v>302</v>
      </c>
      <c r="E16" s="34" t="s">
        <v>576</v>
      </c>
      <c r="F16" s="34" t="s">
        <v>577</v>
      </c>
      <c r="G16" s="34" t="s">
        <v>954</v>
      </c>
    </row>
    <row r="17" spans="2:7" s="3" customFormat="1"/>
    <row r="18" spans="2:7" s="3" customFormat="1">
      <c r="B18" s="37">
        <f>'13. Desinvesteringen'!B20</f>
        <v>1</v>
      </c>
      <c r="D18" s="37" t="str">
        <f>'13. Desinvesteringen'!C20</f>
        <v>01 Regionale leidingen</v>
      </c>
      <c r="E18" s="37">
        <f>'13. Desinvesteringen'!D20</f>
        <v>1955</v>
      </c>
      <c r="F18" s="42">
        <f>'13. Desinvesteringen'!E20</f>
        <v>7756.11</v>
      </c>
      <c r="G18" s="37">
        <f>'13. Desinvesteringen'!G20</f>
        <v>2020</v>
      </c>
    </row>
    <row r="19" spans="2:7" s="3" customFormat="1">
      <c r="B19" s="37">
        <f>'13. Desinvesteringen'!B21</f>
        <v>2</v>
      </c>
      <c r="D19" s="37" t="str">
        <f>'13. Desinvesteringen'!C21</f>
        <v>01 Regionale leidingen</v>
      </c>
      <c r="E19" s="37">
        <f>'13. Desinvesteringen'!D21</f>
        <v>1957</v>
      </c>
      <c r="F19" s="42">
        <f>'13. Desinvesteringen'!E21</f>
        <v>1329.11</v>
      </c>
      <c r="G19" s="37">
        <f>'13. Desinvesteringen'!G21</f>
        <v>2020</v>
      </c>
    </row>
    <row r="20" spans="2:7" s="3" customFormat="1">
      <c r="B20" s="37">
        <f>'13. Desinvesteringen'!B22</f>
        <v>3</v>
      </c>
      <c r="D20" s="37" t="str">
        <f>'13. Desinvesteringen'!C22</f>
        <v>01 Regionale leidingen</v>
      </c>
      <c r="E20" s="37">
        <f>'13. Desinvesteringen'!D22</f>
        <v>1958</v>
      </c>
      <c r="F20" s="42">
        <f>'13. Desinvesteringen'!E22</f>
        <v>110951.25</v>
      </c>
      <c r="G20" s="37">
        <f>'13. Desinvesteringen'!G22</f>
        <v>2020</v>
      </c>
    </row>
    <row r="21" spans="2:7" s="3" customFormat="1">
      <c r="B21" s="37">
        <f>'13. Desinvesteringen'!B23</f>
        <v>4</v>
      </c>
      <c r="D21" s="37" t="str">
        <f>'13. Desinvesteringen'!C23</f>
        <v>01 Regionale leidingen</v>
      </c>
      <c r="E21" s="37">
        <f>'13. Desinvesteringen'!D23</f>
        <v>1959</v>
      </c>
      <c r="F21" s="42">
        <f>'13. Desinvesteringen'!E23</f>
        <v>1485.2</v>
      </c>
      <c r="G21" s="37">
        <f>'13. Desinvesteringen'!G23</f>
        <v>2020</v>
      </c>
    </row>
    <row r="22" spans="2:7" s="3" customFormat="1">
      <c r="B22" s="37">
        <f>'13. Desinvesteringen'!B24</f>
        <v>5</v>
      </c>
      <c r="D22" s="37" t="str">
        <f>'13. Desinvesteringen'!C24</f>
        <v>01 Regionale leidingen</v>
      </c>
      <c r="E22" s="37">
        <f>'13. Desinvesteringen'!D24</f>
        <v>1960</v>
      </c>
      <c r="F22" s="42">
        <f>'13. Desinvesteringen'!E24</f>
        <v>472102</v>
      </c>
      <c r="G22" s="37">
        <f>'13. Desinvesteringen'!G24</f>
        <v>2020</v>
      </c>
    </row>
    <row r="23" spans="2:7" s="3" customFormat="1">
      <c r="B23" s="37">
        <f>'13. Desinvesteringen'!B25</f>
        <v>6</v>
      </c>
      <c r="D23" s="37" t="str">
        <f>'13. Desinvesteringen'!C25</f>
        <v>01 Regionale leidingen</v>
      </c>
      <c r="E23" s="37">
        <f>'13. Desinvesteringen'!D25</f>
        <v>1963</v>
      </c>
      <c r="F23" s="42">
        <f>'13. Desinvesteringen'!E25</f>
        <v>5199.87</v>
      </c>
      <c r="G23" s="37">
        <f>'13. Desinvesteringen'!G25</f>
        <v>2020</v>
      </c>
    </row>
    <row r="24" spans="2:7" s="3" customFormat="1">
      <c r="B24" s="37">
        <f>'13. Desinvesteringen'!B26</f>
        <v>7</v>
      </c>
      <c r="D24" s="37" t="str">
        <f>'13. Desinvesteringen'!C26</f>
        <v>01 Regionale leidingen</v>
      </c>
      <c r="E24" s="37">
        <f>'13. Desinvesteringen'!D26</f>
        <v>1965</v>
      </c>
      <c r="F24" s="42">
        <f>'13. Desinvesteringen'!E26</f>
        <v>323801.40000000002</v>
      </c>
      <c r="G24" s="37">
        <f>'13. Desinvesteringen'!G26</f>
        <v>2020</v>
      </c>
    </row>
    <row r="25" spans="2:7" s="3" customFormat="1">
      <c r="B25" s="37">
        <f>'13. Desinvesteringen'!B27</f>
        <v>8</v>
      </c>
      <c r="D25" s="37" t="str">
        <f>'13. Desinvesteringen'!C27</f>
        <v>01 Regionale leidingen</v>
      </c>
      <c r="E25" s="37">
        <f>'13. Desinvesteringen'!D27</f>
        <v>1966</v>
      </c>
      <c r="F25" s="42">
        <f>'13. Desinvesteringen'!E27</f>
        <v>436963.19</v>
      </c>
      <c r="G25" s="37">
        <f>'13. Desinvesteringen'!G27</f>
        <v>2020</v>
      </c>
    </row>
    <row r="26" spans="2:7" s="3" customFormat="1">
      <c r="B26" s="37">
        <f>'13. Desinvesteringen'!B28</f>
        <v>9</v>
      </c>
      <c r="D26" s="37" t="str">
        <f>'13. Desinvesteringen'!C28</f>
        <v>01 Regionale leidingen</v>
      </c>
      <c r="E26" s="37">
        <f>'13. Desinvesteringen'!D28</f>
        <v>1967</v>
      </c>
      <c r="F26" s="42">
        <f>'13. Desinvesteringen'!E28</f>
        <v>527887.29</v>
      </c>
      <c r="G26" s="37">
        <f>'13. Desinvesteringen'!G28</f>
        <v>2020</v>
      </c>
    </row>
    <row r="27" spans="2:7" s="3" customFormat="1">
      <c r="B27" s="37">
        <f>'13. Desinvesteringen'!B29</f>
        <v>10</v>
      </c>
      <c r="D27" s="37" t="str">
        <f>'13. Desinvesteringen'!C29</f>
        <v>01 Regionale leidingen</v>
      </c>
      <c r="E27" s="37">
        <f>'13. Desinvesteringen'!D29</f>
        <v>1968</v>
      </c>
      <c r="F27" s="42">
        <f>'13. Desinvesteringen'!E29</f>
        <v>243220.29</v>
      </c>
      <c r="G27" s="37">
        <f>'13. Desinvesteringen'!G29</f>
        <v>2020</v>
      </c>
    </row>
    <row r="28" spans="2:7" s="3" customFormat="1">
      <c r="B28" s="37">
        <f>'13. Desinvesteringen'!B30</f>
        <v>11</v>
      </c>
      <c r="D28" s="37" t="str">
        <f>'13. Desinvesteringen'!C30</f>
        <v>01 Regionale leidingen</v>
      </c>
      <c r="E28" s="37">
        <f>'13. Desinvesteringen'!D30</f>
        <v>1969</v>
      </c>
      <c r="F28" s="42">
        <f>'13. Desinvesteringen'!E30</f>
        <v>157118.15</v>
      </c>
      <c r="G28" s="37">
        <f>'13. Desinvesteringen'!G30</f>
        <v>2020</v>
      </c>
    </row>
    <row r="29" spans="2:7" s="3" customFormat="1">
      <c r="B29" s="37">
        <f>'13. Desinvesteringen'!B31</f>
        <v>12</v>
      </c>
      <c r="D29" s="37" t="str">
        <f>'13. Desinvesteringen'!C31</f>
        <v>01 Regionale leidingen</v>
      </c>
      <c r="E29" s="37">
        <f>'13. Desinvesteringen'!D31</f>
        <v>1970</v>
      </c>
      <c r="F29" s="42">
        <f>'13. Desinvesteringen'!E31</f>
        <v>186298.57</v>
      </c>
      <c r="G29" s="37">
        <f>'13. Desinvesteringen'!G31</f>
        <v>2020</v>
      </c>
    </row>
    <row r="30" spans="2:7" s="3" customFormat="1">
      <c r="B30" s="37">
        <f>'13. Desinvesteringen'!B32</f>
        <v>13</v>
      </c>
      <c r="D30" s="37" t="str">
        <f>'13. Desinvesteringen'!C32</f>
        <v>01 Regionale leidingen</v>
      </c>
      <c r="E30" s="37">
        <f>'13. Desinvesteringen'!D32</f>
        <v>1971</v>
      </c>
      <c r="F30" s="42">
        <f>'13. Desinvesteringen'!E32</f>
        <v>161892.66</v>
      </c>
      <c r="G30" s="37">
        <f>'13. Desinvesteringen'!G32</f>
        <v>2020</v>
      </c>
    </row>
    <row r="31" spans="2:7" s="3" customFormat="1">
      <c r="B31" s="37">
        <f>'13. Desinvesteringen'!B33</f>
        <v>14</v>
      </c>
      <c r="D31" s="37" t="str">
        <f>'13. Desinvesteringen'!C33</f>
        <v>01 Regionale leidingen</v>
      </c>
      <c r="E31" s="37">
        <f>'13. Desinvesteringen'!D33</f>
        <v>1972</v>
      </c>
      <c r="F31" s="42">
        <f>'13. Desinvesteringen'!E33</f>
        <v>414299.14</v>
      </c>
      <c r="G31" s="37">
        <f>'13. Desinvesteringen'!G33</f>
        <v>2020</v>
      </c>
    </row>
    <row r="32" spans="2:7" s="3" customFormat="1">
      <c r="B32" s="37">
        <f>'13. Desinvesteringen'!B34</f>
        <v>15</v>
      </c>
      <c r="D32" s="37" t="str">
        <f>'13. Desinvesteringen'!C34</f>
        <v>01 Regionale leidingen</v>
      </c>
      <c r="E32" s="37">
        <f>'13. Desinvesteringen'!D34</f>
        <v>1973</v>
      </c>
      <c r="F32" s="42">
        <f>'13. Desinvesteringen'!E34</f>
        <v>199407.52</v>
      </c>
      <c r="G32" s="37">
        <f>'13. Desinvesteringen'!G34</f>
        <v>2020</v>
      </c>
    </row>
    <row r="33" spans="2:7" s="3" customFormat="1">
      <c r="B33" s="37">
        <f>'13. Desinvesteringen'!B35</f>
        <v>16</v>
      </c>
      <c r="D33" s="37" t="str">
        <f>'13. Desinvesteringen'!C35</f>
        <v>01 Regionale leidingen</v>
      </c>
      <c r="E33" s="37">
        <f>'13. Desinvesteringen'!D35</f>
        <v>1974</v>
      </c>
      <c r="F33" s="42">
        <f>'13. Desinvesteringen'!E35</f>
        <v>45610.86</v>
      </c>
      <c r="G33" s="37">
        <f>'13. Desinvesteringen'!G35</f>
        <v>2020</v>
      </c>
    </row>
    <row r="34" spans="2:7" s="3" customFormat="1">
      <c r="B34" s="37">
        <f>'13. Desinvesteringen'!B36</f>
        <v>17</v>
      </c>
      <c r="D34" s="37" t="str">
        <f>'13. Desinvesteringen'!C36</f>
        <v>01 Regionale leidingen</v>
      </c>
      <c r="E34" s="37">
        <f>'13. Desinvesteringen'!D36</f>
        <v>1975</v>
      </c>
      <c r="F34" s="42">
        <f>'13. Desinvesteringen'!E36</f>
        <v>26637.1</v>
      </c>
      <c r="G34" s="37">
        <f>'13. Desinvesteringen'!G36</f>
        <v>2020</v>
      </c>
    </row>
    <row r="35" spans="2:7" s="3" customFormat="1">
      <c r="B35" s="37">
        <f>'13. Desinvesteringen'!B37</f>
        <v>18</v>
      </c>
      <c r="D35" s="37" t="str">
        <f>'13. Desinvesteringen'!C37</f>
        <v>01 Regionale leidingen</v>
      </c>
      <c r="E35" s="37">
        <f>'13. Desinvesteringen'!D37</f>
        <v>1976</v>
      </c>
      <c r="F35" s="42">
        <f>'13. Desinvesteringen'!E37</f>
        <v>110116.33</v>
      </c>
      <c r="G35" s="37">
        <f>'13. Desinvesteringen'!G37</f>
        <v>2020</v>
      </c>
    </row>
    <row r="36" spans="2:7" s="3" customFormat="1">
      <c r="B36" s="37">
        <f>'13. Desinvesteringen'!B38</f>
        <v>19</v>
      </c>
      <c r="D36" s="37" t="str">
        <f>'13. Desinvesteringen'!C38</f>
        <v>01 Regionale leidingen</v>
      </c>
      <c r="E36" s="37">
        <f>'13. Desinvesteringen'!D38</f>
        <v>1977</v>
      </c>
      <c r="F36" s="42">
        <f>'13. Desinvesteringen'!E38</f>
        <v>40000</v>
      </c>
      <c r="G36" s="37">
        <f>'13. Desinvesteringen'!G38</f>
        <v>2020</v>
      </c>
    </row>
    <row r="37" spans="2:7" s="3" customFormat="1">
      <c r="B37" s="37">
        <f>'13. Desinvesteringen'!B39</f>
        <v>20</v>
      </c>
      <c r="D37" s="37" t="str">
        <f>'13. Desinvesteringen'!C39</f>
        <v>01 Regionale leidingen</v>
      </c>
      <c r="E37" s="37">
        <f>'13. Desinvesteringen'!D39</f>
        <v>1980</v>
      </c>
      <c r="F37" s="42">
        <f>'13. Desinvesteringen'!E39</f>
        <v>104178.71</v>
      </c>
      <c r="G37" s="37">
        <f>'13. Desinvesteringen'!G39</f>
        <v>2020</v>
      </c>
    </row>
    <row r="38" spans="2:7" s="3" customFormat="1">
      <c r="B38" s="37">
        <f>'13. Desinvesteringen'!B40</f>
        <v>21</v>
      </c>
      <c r="D38" s="37" t="str">
        <f>'13. Desinvesteringen'!C40</f>
        <v>01 Regionale leidingen</v>
      </c>
      <c r="E38" s="37">
        <f>'13. Desinvesteringen'!D40</f>
        <v>1986</v>
      </c>
      <c r="F38" s="42">
        <f>'13. Desinvesteringen'!E40</f>
        <v>1666.04</v>
      </c>
      <c r="G38" s="37">
        <f>'13. Desinvesteringen'!G40</f>
        <v>2020</v>
      </c>
    </row>
    <row r="39" spans="2:7" s="3" customFormat="1">
      <c r="B39" s="37">
        <f>'13. Desinvesteringen'!B41</f>
        <v>22</v>
      </c>
      <c r="D39" s="37" t="str">
        <f>'13. Desinvesteringen'!C41</f>
        <v>01 Regionale leidingen</v>
      </c>
      <c r="E39" s="37">
        <f>'13. Desinvesteringen'!D41</f>
        <v>1987</v>
      </c>
      <c r="F39" s="42">
        <f>'13. Desinvesteringen'!E41</f>
        <v>35717.06</v>
      </c>
      <c r="G39" s="37">
        <f>'13. Desinvesteringen'!G41</f>
        <v>2020</v>
      </c>
    </row>
    <row r="40" spans="2:7" s="3" customFormat="1">
      <c r="B40" s="37">
        <f>'13. Desinvesteringen'!B42</f>
        <v>23</v>
      </c>
      <c r="D40" s="37" t="str">
        <f>'13. Desinvesteringen'!C42</f>
        <v>01 Regionale leidingen</v>
      </c>
      <c r="E40" s="37">
        <f>'13. Desinvesteringen'!D42</f>
        <v>1988</v>
      </c>
      <c r="F40" s="42">
        <f>'13. Desinvesteringen'!E42</f>
        <v>4808.08</v>
      </c>
      <c r="G40" s="37">
        <f>'13. Desinvesteringen'!G42</f>
        <v>2020</v>
      </c>
    </row>
    <row r="41" spans="2:7" s="3" customFormat="1">
      <c r="B41" s="37">
        <f>'13. Desinvesteringen'!B43</f>
        <v>24</v>
      </c>
      <c r="D41" s="37" t="str">
        <f>'13. Desinvesteringen'!C43</f>
        <v>01 Regionale leidingen</v>
      </c>
      <c r="E41" s="37">
        <f>'13. Desinvesteringen'!D43</f>
        <v>1989</v>
      </c>
      <c r="F41" s="42">
        <f>'13. Desinvesteringen'!E43</f>
        <v>24785.81</v>
      </c>
      <c r="G41" s="37">
        <f>'13. Desinvesteringen'!G43</f>
        <v>2020</v>
      </c>
    </row>
    <row r="42" spans="2:7" s="3" customFormat="1">
      <c r="B42" s="37">
        <f>'13. Desinvesteringen'!B44</f>
        <v>25</v>
      </c>
      <c r="D42" s="37" t="str">
        <f>'13. Desinvesteringen'!C44</f>
        <v>01 Regionale leidingen</v>
      </c>
      <c r="E42" s="37">
        <f>'13. Desinvesteringen'!D44</f>
        <v>1992</v>
      </c>
      <c r="F42" s="42">
        <f>'13. Desinvesteringen'!E44</f>
        <v>22986.32</v>
      </c>
      <c r="G42" s="37">
        <f>'13. Desinvesteringen'!G44</f>
        <v>2020</v>
      </c>
    </row>
    <row r="43" spans="2:7" s="3" customFormat="1">
      <c r="B43" s="37">
        <f>'13. Desinvesteringen'!B45</f>
        <v>26</v>
      </c>
      <c r="D43" s="37" t="str">
        <f>'13. Desinvesteringen'!C45</f>
        <v>01 Regionale leidingen</v>
      </c>
      <c r="E43" s="37">
        <f>'13. Desinvesteringen'!D45</f>
        <v>1999</v>
      </c>
      <c r="F43" s="42">
        <f>'13. Desinvesteringen'!E45</f>
        <v>62463.15</v>
      </c>
      <c r="G43" s="37">
        <f>'13. Desinvesteringen'!G45</f>
        <v>2020</v>
      </c>
    </row>
    <row r="44" spans="2:7" s="3" customFormat="1">
      <c r="B44" s="37">
        <f>'13. Desinvesteringen'!B46</f>
        <v>27</v>
      </c>
      <c r="D44" s="37" t="str">
        <f>'13. Desinvesteringen'!C46</f>
        <v>01 Regionale leidingen</v>
      </c>
      <c r="E44" s="37">
        <f>'13. Desinvesteringen'!D46</f>
        <v>2000</v>
      </c>
      <c r="F44" s="42">
        <f>'13. Desinvesteringen'!E46</f>
        <v>184556.79</v>
      </c>
      <c r="G44" s="37">
        <f>'13. Desinvesteringen'!G46</f>
        <v>2020</v>
      </c>
    </row>
    <row r="45" spans="2:7" s="3" customFormat="1">
      <c r="B45" s="37">
        <f>'13. Desinvesteringen'!B47</f>
        <v>28</v>
      </c>
      <c r="D45" s="37" t="str">
        <f>'13. Desinvesteringen'!C47</f>
        <v>01 Regionale leidingen</v>
      </c>
      <c r="E45" s="37">
        <f>'13. Desinvesteringen'!D47</f>
        <v>2001</v>
      </c>
      <c r="F45" s="42">
        <f>'13. Desinvesteringen'!E47</f>
        <v>74893.259999999995</v>
      </c>
      <c r="G45" s="37">
        <f>'13. Desinvesteringen'!G47</f>
        <v>2020</v>
      </c>
    </row>
    <row r="46" spans="2:7" s="3" customFormat="1">
      <c r="B46" s="37">
        <f>'13. Desinvesteringen'!B48</f>
        <v>29</v>
      </c>
      <c r="D46" s="37" t="str">
        <f>'13. Desinvesteringen'!C48</f>
        <v>01 Regionale leidingen</v>
      </c>
      <c r="E46" s="37">
        <f>'13. Desinvesteringen'!D48</f>
        <v>2002</v>
      </c>
      <c r="F46" s="42">
        <f>'13. Desinvesteringen'!E48</f>
        <v>98192.88</v>
      </c>
      <c r="G46" s="37">
        <f>'13. Desinvesteringen'!G48</f>
        <v>2020</v>
      </c>
    </row>
    <row r="47" spans="2:7" s="3" customFormat="1">
      <c r="B47" s="37">
        <f>'13. Desinvesteringen'!B49</f>
        <v>30</v>
      </c>
      <c r="D47" s="37" t="str">
        <f>'13. Desinvesteringen'!C49</f>
        <v>01 Regionale leidingen</v>
      </c>
      <c r="E47" s="37">
        <f>'13. Desinvesteringen'!D49</f>
        <v>2003</v>
      </c>
      <c r="F47" s="42">
        <f>'13. Desinvesteringen'!E49</f>
        <v>117678.13</v>
      </c>
      <c r="G47" s="37">
        <f>'13. Desinvesteringen'!G49</f>
        <v>2020</v>
      </c>
    </row>
    <row r="48" spans="2:7" s="3" customFormat="1">
      <c r="B48" s="37">
        <f>'13. Desinvesteringen'!B50</f>
        <v>31</v>
      </c>
      <c r="D48" s="37" t="str">
        <f>'13. Desinvesteringen'!C50</f>
        <v>01 Regionale leidingen</v>
      </c>
      <c r="E48" s="37">
        <f>'13. Desinvesteringen'!D50</f>
        <v>2004</v>
      </c>
      <c r="F48" s="42">
        <f>'13. Desinvesteringen'!E50</f>
        <v>26579.37</v>
      </c>
      <c r="G48" s="37">
        <f>'13. Desinvesteringen'!G50</f>
        <v>2020</v>
      </c>
    </row>
    <row r="49" spans="2:7" s="3" customFormat="1">
      <c r="B49" s="37">
        <f>'13. Desinvesteringen'!B51</f>
        <v>32</v>
      </c>
      <c r="D49" s="37" t="str">
        <f>'13. Desinvesteringen'!C51</f>
        <v>01 Regionale leidingen</v>
      </c>
      <c r="E49" s="37">
        <f>'13. Desinvesteringen'!D51</f>
        <v>2005</v>
      </c>
      <c r="F49" s="42">
        <f>'13. Desinvesteringen'!E51</f>
        <v>2763.58</v>
      </c>
      <c r="G49" s="37">
        <f>'13. Desinvesteringen'!G51</f>
        <v>2020</v>
      </c>
    </row>
    <row r="50" spans="2:7" s="3" customFormat="1">
      <c r="B50" s="37">
        <f>'13. Desinvesteringen'!B52</f>
        <v>33</v>
      </c>
      <c r="D50" s="37" t="str">
        <f>'13. Desinvesteringen'!C52</f>
        <v>01 Regionale leidingen</v>
      </c>
      <c r="E50" s="37">
        <f>'13. Desinvesteringen'!D52</f>
        <v>2011</v>
      </c>
      <c r="F50" s="42">
        <f>'13. Desinvesteringen'!E52</f>
        <v>6196.9935750000004</v>
      </c>
      <c r="G50" s="37">
        <f>'13. Desinvesteringen'!G52</f>
        <v>2020</v>
      </c>
    </row>
    <row r="51" spans="2:7" s="3" customFormat="1">
      <c r="B51" s="37">
        <f>'13. Desinvesteringen'!B53</f>
        <v>34</v>
      </c>
      <c r="D51" s="37" t="str">
        <f>'13. Desinvesteringen'!C53</f>
        <v>01 Regionale leidingen</v>
      </c>
      <c r="E51" s="37">
        <f>'13. Desinvesteringen'!D53</f>
        <v>2013</v>
      </c>
      <c r="F51" s="42">
        <f>'13. Desinvesteringen'!E53</f>
        <v>800675.63015999994</v>
      </c>
      <c r="G51" s="37">
        <f>'13. Desinvesteringen'!G53</f>
        <v>2020</v>
      </c>
    </row>
    <row r="52" spans="2:7" s="3" customFormat="1">
      <c r="B52" s="37">
        <f>'13. Desinvesteringen'!B54</f>
        <v>35</v>
      </c>
      <c r="D52" s="37" t="str">
        <f>'13. Desinvesteringen'!C54</f>
        <v>01 Regionale leidingen (Waterkruisingen)</v>
      </c>
      <c r="E52" s="37">
        <f>'13. Desinvesteringen'!D54</f>
        <v>1966</v>
      </c>
      <c r="F52" s="42">
        <f>'13. Desinvesteringen'!E54</f>
        <v>185.7</v>
      </c>
      <c r="G52" s="37">
        <f>'13. Desinvesteringen'!G54</f>
        <v>2020</v>
      </c>
    </row>
    <row r="53" spans="2:7" s="3" customFormat="1">
      <c r="B53" s="37">
        <f>'13. Desinvesteringen'!B55</f>
        <v>36</v>
      </c>
      <c r="D53" s="37" t="str">
        <f>'13. Desinvesteringen'!C55</f>
        <v>01 Regionale leidingen (Waterkruisingen)</v>
      </c>
      <c r="E53" s="37">
        <f>'13. Desinvesteringen'!D55</f>
        <v>1969</v>
      </c>
      <c r="F53" s="42">
        <f>'13. Desinvesteringen'!E55</f>
        <v>16723.95</v>
      </c>
      <c r="G53" s="37">
        <f>'13. Desinvesteringen'!G55</f>
        <v>2020</v>
      </c>
    </row>
    <row r="54" spans="2:7" s="3" customFormat="1">
      <c r="B54" s="37">
        <f>'13. Desinvesteringen'!B56</f>
        <v>37</v>
      </c>
      <c r="D54" s="37" t="str">
        <f>'13. Desinvesteringen'!C56</f>
        <v>01 Regionale leidingen (Waterkruisingen)</v>
      </c>
      <c r="E54" s="37">
        <f>'13. Desinvesteringen'!D56</f>
        <v>1971</v>
      </c>
      <c r="F54" s="42">
        <f>'13. Desinvesteringen'!E56</f>
        <v>20942.86</v>
      </c>
      <c r="G54" s="37">
        <f>'13. Desinvesteringen'!G56</f>
        <v>2020</v>
      </c>
    </row>
    <row r="55" spans="2:7" s="3" customFormat="1">
      <c r="B55" s="37">
        <f>'13. Desinvesteringen'!B57</f>
        <v>38</v>
      </c>
      <c r="D55" s="37" t="str">
        <f>'13. Desinvesteringen'!C57</f>
        <v>01 Regionale leidingen (Waterkruisingen)</v>
      </c>
      <c r="E55" s="37">
        <f>'13. Desinvesteringen'!D57</f>
        <v>1972</v>
      </c>
      <c r="F55" s="42">
        <f>'13. Desinvesteringen'!E57</f>
        <v>40987.47</v>
      </c>
      <c r="G55" s="37">
        <f>'13. Desinvesteringen'!G57</f>
        <v>2020</v>
      </c>
    </row>
    <row r="56" spans="2:7" s="3" customFormat="1">
      <c r="B56" s="37">
        <f>'13. Desinvesteringen'!B58</f>
        <v>39</v>
      </c>
      <c r="D56" s="37" t="str">
        <f>'13. Desinvesteringen'!C58</f>
        <v>01 Regionale leidingen (Waterkruisingen)</v>
      </c>
      <c r="E56" s="37">
        <f>'13. Desinvesteringen'!D58</f>
        <v>1973</v>
      </c>
      <c r="F56" s="42">
        <f>'13. Desinvesteringen'!E58</f>
        <v>12298.26</v>
      </c>
      <c r="G56" s="37">
        <f>'13. Desinvesteringen'!G58</f>
        <v>2020</v>
      </c>
    </row>
    <row r="57" spans="2:7" s="3" customFormat="1">
      <c r="B57" s="37">
        <f>'13. Desinvesteringen'!B59</f>
        <v>40</v>
      </c>
      <c r="D57" s="37" t="str">
        <f>'13. Desinvesteringen'!C59</f>
        <v>01 Regionale leidingen (Waterkruisingen)</v>
      </c>
      <c r="E57" s="37">
        <f>'13. Desinvesteringen'!D59</f>
        <v>1975</v>
      </c>
      <c r="F57" s="42">
        <f>'13. Desinvesteringen'!E59</f>
        <v>13362.9</v>
      </c>
      <c r="G57" s="37">
        <f>'13. Desinvesteringen'!G59</f>
        <v>2020</v>
      </c>
    </row>
    <row r="58" spans="2:7" s="3" customFormat="1">
      <c r="B58" s="37">
        <f>'13. Desinvesteringen'!B60</f>
        <v>41</v>
      </c>
      <c r="D58" s="37" t="str">
        <f>'13. Desinvesteringen'!C60</f>
        <v>01 Regionale leidingen (Waterkruisingen)</v>
      </c>
      <c r="E58" s="37">
        <f>'13. Desinvesteringen'!D60</f>
        <v>1980</v>
      </c>
      <c r="F58" s="42">
        <f>'13. Desinvesteringen'!E60</f>
        <v>47995.57</v>
      </c>
      <c r="G58" s="37">
        <f>'13. Desinvesteringen'!G60</f>
        <v>2020</v>
      </c>
    </row>
    <row r="59" spans="2:7" s="3" customFormat="1">
      <c r="B59" s="37">
        <f>'13. Desinvesteringen'!B61</f>
        <v>42</v>
      </c>
      <c r="D59" s="37" t="str">
        <f>'13. Desinvesteringen'!C61</f>
        <v>02 Gasontvangststations</v>
      </c>
      <c r="E59" s="37">
        <f>'13. Desinvesteringen'!D61</f>
        <v>1965</v>
      </c>
      <c r="F59" s="42">
        <f>'13. Desinvesteringen'!E61</f>
        <v>162736.70000000001</v>
      </c>
      <c r="G59" s="37">
        <f>'13. Desinvesteringen'!G61</f>
        <v>2020</v>
      </c>
    </row>
    <row r="60" spans="2:7" s="3" customFormat="1">
      <c r="B60" s="37">
        <f>'13. Desinvesteringen'!B62</f>
        <v>43</v>
      </c>
      <c r="D60" s="37" t="str">
        <f>'13. Desinvesteringen'!C62</f>
        <v>02 Gasontvangststations</v>
      </c>
      <c r="E60" s="37">
        <f>'13. Desinvesteringen'!D62</f>
        <v>1966</v>
      </c>
      <c r="F60" s="42">
        <f>'13. Desinvesteringen'!E62</f>
        <v>282042.34000000003</v>
      </c>
      <c r="G60" s="37">
        <f>'13. Desinvesteringen'!G62</f>
        <v>2020</v>
      </c>
    </row>
    <row r="61" spans="2:7" s="3" customFormat="1">
      <c r="B61" s="37">
        <f>'13. Desinvesteringen'!B63</f>
        <v>44</v>
      </c>
      <c r="D61" s="37" t="str">
        <f>'13. Desinvesteringen'!C63</f>
        <v>02 Gasontvangststations</v>
      </c>
      <c r="E61" s="37">
        <f>'13. Desinvesteringen'!D63</f>
        <v>1967</v>
      </c>
      <c r="F61" s="42">
        <f>'13. Desinvesteringen'!E63</f>
        <v>390313.68</v>
      </c>
      <c r="G61" s="37">
        <f>'13. Desinvesteringen'!G63</f>
        <v>2020</v>
      </c>
    </row>
    <row r="62" spans="2:7" s="3" customFormat="1">
      <c r="B62" s="37">
        <f>'13. Desinvesteringen'!B64</f>
        <v>45</v>
      </c>
      <c r="D62" s="37" t="str">
        <f>'13. Desinvesteringen'!C64</f>
        <v>02 Gasontvangststations</v>
      </c>
      <c r="E62" s="37">
        <f>'13. Desinvesteringen'!D64</f>
        <v>1968</v>
      </c>
      <c r="F62" s="42">
        <f>'13. Desinvesteringen'!E64</f>
        <v>337925.75</v>
      </c>
      <c r="G62" s="37">
        <f>'13. Desinvesteringen'!G64</f>
        <v>2020</v>
      </c>
    </row>
    <row r="63" spans="2:7" s="3" customFormat="1">
      <c r="B63" s="37">
        <f>'13. Desinvesteringen'!B65</f>
        <v>46</v>
      </c>
      <c r="D63" s="37" t="str">
        <f>'13. Desinvesteringen'!C65</f>
        <v>02 Gasontvangststations</v>
      </c>
      <c r="E63" s="37">
        <f>'13. Desinvesteringen'!D65</f>
        <v>1969</v>
      </c>
      <c r="F63" s="42">
        <f>'13. Desinvesteringen'!E65</f>
        <v>19730</v>
      </c>
      <c r="G63" s="37">
        <f>'13. Desinvesteringen'!G65</f>
        <v>2020</v>
      </c>
    </row>
    <row r="64" spans="2:7" s="3" customFormat="1">
      <c r="B64" s="37">
        <f>'13. Desinvesteringen'!B66</f>
        <v>47</v>
      </c>
      <c r="D64" s="37" t="str">
        <f>'13. Desinvesteringen'!C66</f>
        <v>02 Gasontvangststations</v>
      </c>
      <c r="E64" s="37">
        <f>'13. Desinvesteringen'!D66</f>
        <v>1970</v>
      </c>
      <c r="F64" s="42">
        <f>'13. Desinvesteringen'!E66</f>
        <v>169357.15</v>
      </c>
      <c r="G64" s="37">
        <f>'13. Desinvesteringen'!G66</f>
        <v>2020</v>
      </c>
    </row>
    <row r="65" spans="2:7" s="3" customFormat="1">
      <c r="B65" s="37">
        <f>'13. Desinvesteringen'!B67</f>
        <v>48</v>
      </c>
      <c r="D65" s="37" t="str">
        <f>'13. Desinvesteringen'!C67</f>
        <v>02 Gasontvangststations</v>
      </c>
      <c r="E65" s="37">
        <f>'13. Desinvesteringen'!D67</f>
        <v>1971</v>
      </c>
      <c r="F65" s="42">
        <f>'13. Desinvesteringen'!E67</f>
        <v>201451.64</v>
      </c>
      <c r="G65" s="37">
        <f>'13. Desinvesteringen'!G67</f>
        <v>2020</v>
      </c>
    </row>
    <row r="66" spans="2:7" s="3" customFormat="1">
      <c r="B66" s="37">
        <f>'13. Desinvesteringen'!B68</f>
        <v>49</v>
      </c>
      <c r="D66" s="37" t="str">
        <f>'13. Desinvesteringen'!C68</f>
        <v>02 Gasontvangststations</v>
      </c>
      <c r="E66" s="37">
        <f>'13. Desinvesteringen'!D68</f>
        <v>1972</v>
      </c>
      <c r="F66" s="42">
        <f>'13. Desinvesteringen'!E68</f>
        <v>147669.32</v>
      </c>
      <c r="G66" s="37">
        <f>'13. Desinvesteringen'!G68</f>
        <v>2020</v>
      </c>
    </row>
    <row r="67" spans="2:7" s="3" customFormat="1">
      <c r="B67" s="37">
        <f>'13. Desinvesteringen'!B69</f>
        <v>50</v>
      </c>
      <c r="D67" s="37" t="str">
        <f>'13. Desinvesteringen'!C69</f>
        <v>02 Gasontvangststations</v>
      </c>
      <c r="E67" s="37">
        <f>'13. Desinvesteringen'!D69</f>
        <v>1974</v>
      </c>
      <c r="F67" s="42">
        <f>'13. Desinvesteringen'!E69</f>
        <v>27434.639999999999</v>
      </c>
      <c r="G67" s="37">
        <f>'13. Desinvesteringen'!G69</f>
        <v>2020</v>
      </c>
    </row>
    <row r="68" spans="2:7" s="3" customFormat="1">
      <c r="B68" s="37">
        <f>'13. Desinvesteringen'!B70</f>
        <v>51</v>
      </c>
      <c r="D68" s="37" t="str">
        <f>'13. Desinvesteringen'!C70</f>
        <v>02 Gasontvangststations</v>
      </c>
      <c r="E68" s="37">
        <f>'13. Desinvesteringen'!D70</f>
        <v>1975</v>
      </c>
      <c r="F68" s="42">
        <f>'13. Desinvesteringen'!E70</f>
        <v>30000</v>
      </c>
      <c r="G68" s="37">
        <f>'13. Desinvesteringen'!G70</f>
        <v>2020</v>
      </c>
    </row>
    <row r="69" spans="2:7" s="3" customFormat="1">
      <c r="B69" s="37">
        <f>'13. Desinvesteringen'!B71</f>
        <v>52</v>
      </c>
      <c r="D69" s="37" t="str">
        <f>'13. Desinvesteringen'!C71</f>
        <v>02 Gasontvangststations</v>
      </c>
      <c r="E69" s="37">
        <f>'13. Desinvesteringen'!D71</f>
        <v>1976</v>
      </c>
      <c r="F69" s="42">
        <f>'13. Desinvesteringen'!E71</f>
        <v>72000</v>
      </c>
      <c r="G69" s="37">
        <f>'13. Desinvesteringen'!G71</f>
        <v>2020</v>
      </c>
    </row>
    <row r="70" spans="2:7" s="3" customFormat="1">
      <c r="B70" s="37">
        <f>'13. Desinvesteringen'!B72</f>
        <v>53</v>
      </c>
      <c r="D70" s="37" t="str">
        <f>'13. Desinvesteringen'!C72</f>
        <v>02 Gasontvangststations</v>
      </c>
      <c r="E70" s="37">
        <f>'13. Desinvesteringen'!D72</f>
        <v>1977</v>
      </c>
      <c r="F70" s="42">
        <f>'13. Desinvesteringen'!E72</f>
        <v>104527.46</v>
      </c>
      <c r="G70" s="37">
        <f>'13. Desinvesteringen'!G72</f>
        <v>2020</v>
      </c>
    </row>
    <row r="71" spans="2:7" s="3" customFormat="1">
      <c r="B71" s="37">
        <f>'13. Desinvesteringen'!B73</f>
        <v>54</v>
      </c>
      <c r="D71" s="37" t="str">
        <f>'13. Desinvesteringen'!C73</f>
        <v>02 Gasontvangststations</v>
      </c>
      <c r="E71" s="37">
        <f>'13. Desinvesteringen'!D73</f>
        <v>1979</v>
      </c>
      <c r="F71" s="42">
        <f>'13. Desinvesteringen'!E73</f>
        <v>102180.41</v>
      </c>
      <c r="G71" s="37">
        <f>'13. Desinvesteringen'!G73</f>
        <v>2020</v>
      </c>
    </row>
    <row r="72" spans="2:7" s="3" customFormat="1">
      <c r="B72" s="37">
        <f>'13. Desinvesteringen'!B74</f>
        <v>55</v>
      </c>
      <c r="D72" s="37" t="str">
        <f>'13. Desinvesteringen'!C74</f>
        <v>02 Gasontvangststations</v>
      </c>
      <c r="E72" s="37">
        <f>'13. Desinvesteringen'!D74</f>
        <v>1982</v>
      </c>
      <c r="F72" s="42">
        <f>'13. Desinvesteringen'!E74</f>
        <v>87225.38</v>
      </c>
      <c r="G72" s="37">
        <f>'13. Desinvesteringen'!G74</f>
        <v>2020</v>
      </c>
    </row>
    <row r="73" spans="2:7" s="3" customFormat="1">
      <c r="B73" s="37">
        <f>'13. Desinvesteringen'!B75</f>
        <v>56</v>
      </c>
      <c r="D73" s="37" t="str">
        <f>'13. Desinvesteringen'!C75</f>
        <v>02 Gasontvangststations</v>
      </c>
      <c r="E73" s="37">
        <f>'13. Desinvesteringen'!D75</f>
        <v>1983</v>
      </c>
      <c r="F73" s="42">
        <f>'13. Desinvesteringen'!E75</f>
        <v>30000</v>
      </c>
      <c r="G73" s="37">
        <f>'13. Desinvesteringen'!G75</f>
        <v>2020</v>
      </c>
    </row>
    <row r="74" spans="2:7" s="3" customFormat="1">
      <c r="B74" s="37">
        <f>'13. Desinvesteringen'!B76</f>
        <v>57</v>
      </c>
      <c r="D74" s="37" t="str">
        <f>'13. Desinvesteringen'!C76</f>
        <v>02 Gasontvangststations</v>
      </c>
      <c r="E74" s="37">
        <f>'13. Desinvesteringen'!D76</f>
        <v>1985</v>
      </c>
      <c r="F74" s="42">
        <f>'13. Desinvesteringen'!E76</f>
        <v>38613.07</v>
      </c>
      <c r="G74" s="37">
        <f>'13. Desinvesteringen'!G76</f>
        <v>2020</v>
      </c>
    </row>
    <row r="75" spans="2:7" s="3" customFormat="1">
      <c r="B75" s="37">
        <f>'13. Desinvesteringen'!B77</f>
        <v>58</v>
      </c>
      <c r="D75" s="37" t="str">
        <f>'13. Desinvesteringen'!C77</f>
        <v>02 Gasontvangststations</v>
      </c>
      <c r="E75" s="37">
        <f>'13. Desinvesteringen'!D77</f>
        <v>1987</v>
      </c>
      <c r="F75" s="42">
        <f>'13. Desinvesteringen'!E77</f>
        <v>8154.43</v>
      </c>
      <c r="G75" s="37">
        <f>'13. Desinvesteringen'!G77</f>
        <v>2020</v>
      </c>
    </row>
    <row r="76" spans="2:7" s="3" customFormat="1">
      <c r="B76" s="37">
        <f>'13. Desinvesteringen'!B78</f>
        <v>59</v>
      </c>
      <c r="D76" s="37" t="str">
        <f>'13. Desinvesteringen'!C78</f>
        <v>02 Gasontvangststations</v>
      </c>
      <c r="E76" s="37">
        <f>'13. Desinvesteringen'!D78</f>
        <v>1992</v>
      </c>
      <c r="F76" s="42">
        <f>'13. Desinvesteringen'!E78</f>
        <v>79800.429999999993</v>
      </c>
      <c r="G76" s="37">
        <f>'13. Desinvesteringen'!G78</f>
        <v>2020</v>
      </c>
    </row>
    <row r="77" spans="2:7" s="3" customFormat="1">
      <c r="B77" s="37">
        <f>'13. Desinvesteringen'!B79</f>
        <v>60</v>
      </c>
      <c r="D77" s="37" t="str">
        <f>'13. Desinvesteringen'!C79</f>
        <v>02 Gasontvangststations</v>
      </c>
      <c r="E77" s="37">
        <f>'13. Desinvesteringen'!D79</f>
        <v>1995</v>
      </c>
      <c r="F77" s="42">
        <f>'13. Desinvesteringen'!E79</f>
        <v>121494.29</v>
      </c>
      <c r="G77" s="37">
        <f>'13. Desinvesteringen'!G79</f>
        <v>2020</v>
      </c>
    </row>
    <row r="78" spans="2:7" s="3" customFormat="1">
      <c r="B78" s="37">
        <f>'13. Desinvesteringen'!B80</f>
        <v>61</v>
      </c>
      <c r="D78" s="37" t="str">
        <f>'13. Desinvesteringen'!C80</f>
        <v>02 Gasontvangststations</v>
      </c>
      <c r="E78" s="37">
        <f>'13. Desinvesteringen'!D80</f>
        <v>1998</v>
      </c>
      <c r="F78" s="42">
        <f>'13. Desinvesteringen'!E80</f>
        <v>45471.44</v>
      </c>
      <c r="G78" s="37">
        <f>'13. Desinvesteringen'!G80</f>
        <v>2020</v>
      </c>
    </row>
    <row r="79" spans="2:7" s="3" customFormat="1">
      <c r="B79" s="37">
        <f>'13. Desinvesteringen'!B81</f>
        <v>62</v>
      </c>
      <c r="D79" s="37" t="str">
        <f>'13. Desinvesteringen'!C81</f>
        <v>02 Gasontvangststations</v>
      </c>
      <c r="E79" s="37">
        <f>'13. Desinvesteringen'!D81</f>
        <v>2002</v>
      </c>
      <c r="F79" s="42">
        <f>'13. Desinvesteringen'!E81</f>
        <v>10346.200000000001</v>
      </c>
      <c r="G79" s="37">
        <f>'13. Desinvesteringen'!G81</f>
        <v>2020</v>
      </c>
    </row>
    <row r="80" spans="2:7" s="3" customFormat="1">
      <c r="B80" s="37">
        <f>'13. Desinvesteringen'!B82</f>
        <v>63</v>
      </c>
      <c r="D80" s="37" t="str">
        <f>'13. Desinvesteringen'!C82</f>
        <v>02 Gasontvangststations</v>
      </c>
      <c r="E80" s="37">
        <f>'13. Desinvesteringen'!D82</f>
        <v>2003</v>
      </c>
      <c r="F80" s="42">
        <f>'13. Desinvesteringen'!E82</f>
        <v>10560.43</v>
      </c>
      <c r="G80" s="37">
        <f>'13. Desinvesteringen'!G82</f>
        <v>2020</v>
      </c>
    </row>
    <row r="81" spans="2:7" s="3" customFormat="1">
      <c r="B81" s="37">
        <f>'13. Desinvesteringen'!B83</f>
        <v>64</v>
      </c>
      <c r="D81" s="37" t="str">
        <f>'13. Desinvesteringen'!C83</f>
        <v>02 Gasontvangststations</v>
      </c>
      <c r="E81" s="37">
        <f>'13. Desinvesteringen'!D83</f>
        <v>2004</v>
      </c>
      <c r="F81" s="42">
        <f>'13. Desinvesteringen'!E83</f>
        <v>65494.31</v>
      </c>
      <c r="G81" s="37">
        <f>'13. Desinvesteringen'!G83</f>
        <v>2020</v>
      </c>
    </row>
    <row r="82" spans="2:7" s="3" customFormat="1">
      <c r="B82" s="37">
        <f>'13. Desinvesteringen'!B84</f>
        <v>65</v>
      </c>
      <c r="D82" s="37" t="str">
        <f>'13. Desinvesteringen'!C84</f>
        <v>02 Gasontvangststations</v>
      </c>
      <c r="E82" s="37">
        <f>'13. Desinvesteringen'!D84</f>
        <v>2006</v>
      </c>
      <c r="F82" s="42">
        <f>'13. Desinvesteringen'!E84</f>
        <v>28786.400000000001</v>
      </c>
      <c r="G82" s="37">
        <f>'13. Desinvesteringen'!G84</f>
        <v>2020</v>
      </c>
    </row>
    <row r="83" spans="2:7" s="3" customFormat="1">
      <c r="B83" s="37">
        <f>'13. Desinvesteringen'!B85</f>
        <v>66</v>
      </c>
      <c r="D83" s="37" t="str">
        <f>'13. Desinvesteringen'!C85</f>
        <v>02 Gasontvangststations</v>
      </c>
      <c r="E83" s="37">
        <f>'13. Desinvesteringen'!D85</f>
        <v>2008</v>
      </c>
      <c r="F83" s="42">
        <f>'13. Desinvesteringen'!E85</f>
        <v>159796.69</v>
      </c>
      <c r="G83" s="37">
        <f>'13. Desinvesteringen'!G85</f>
        <v>2020</v>
      </c>
    </row>
    <row r="84" spans="2:7" s="3" customFormat="1">
      <c r="B84" s="37">
        <f>'13. Desinvesteringen'!B86</f>
        <v>67</v>
      </c>
      <c r="D84" s="37" t="str">
        <f>'13. Desinvesteringen'!C86</f>
        <v>02 Gasontvangststations</v>
      </c>
      <c r="E84" s="37">
        <f>'13. Desinvesteringen'!D86</f>
        <v>2011</v>
      </c>
      <c r="F84" s="42">
        <f>'13. Desinvesteringen'!E86</f>
        <v>54172.756048000003</v>
      </c>
      <c r="G84" s="37">
        <f>'13. Desinvesteringen'!G86</f>
        <v>2020</v>
      </c>
    </row>
    <row r="85" spans="2:7" s="3" customFormat="1">
      <c r="B85" s="37">
        <f>'13. Desinvesteringen'!B87</f>
        <v>68</v>
      </c>
      <c r="D85" s="37" t="str">
        <f>'13. Desinvesteringen'!C87</f>
        <v>02 Gasontvangststations</v>
      </c>
      <c r="E85" s="37">
        <f>'13. Desinvesteringen'!D87</f>
        <v>2012</v>
      </c>
      <c r="F85" s="42">
        <f>'13. Desinvesteringen'!E87</f>
        <v>16860.795606</v>
      </c>
      <c r="G85" s="37">
        <f>'13. Desinvesteringen'!G87</f>
        <v>2020</v>
      </c>
    </row>
    <row r="86" spans="2:7" s="3" customFormat="1">
      <c r="B86" s="37">
        <f>'13. Desinvesteringen'!B88</f>
        <v>69</v>
      </c>
      <c r="D86" s="37" t="str">
        <f>'13. Desinvesteringen'!C88</f>
        <v>02 Gasontvangststations</v>
      </c>
      <c r="E86" s="37">
        <f>'13. Desinvesteringen'!D88</f>
        <v>2015</v>
      </c>
      <c r="F86" s="42">
        <f>'13. Desinvesteringen'!E88</f>
        <v>15275.23848</v>
      </c>
      <c r="G86" s="37">
        <f>'13. Desinvesteringen'!G88</f>
        <v>2020</v>
      </c>
    </row>
    <row r="87" spans="2:7" s="3" customFormat="1">
      <c r="B87" s="37">
        <f>'13. Desinvesteringen'!B89</f>
        <v>70</v>
      </c>
      <c r="D87" s="37" t="str">
        <f>'13. Desinvesteringen'!C89</f>
        <v>04 Terreinen</v>
      </c>
      <c r="E87" s="37">
        <f>'13. Desinvesteringen'!D89</f>
        <v>1967</v>
      </c>
      <c r="F87" s="42">
        <f>'13. Desinvesteringen'!E89</f>
        <v>74013.37</v>
      </c>
      <c r="G87" s="37">
        <f>'13. Desinvesteringen'!G89</f>
        <v>2020</v>
      </c>
    </row>
    <row r="88" spans="2:7" s="3" customFormat="1">
      <c r="B88" s="37">
        <f>'13. Desinvesteringen'!B90</f>
        <v>71</v>
      </c>
      <c r="D88" s="37" t="str">
        <f>'13. Desinvesteringen'!C90</f>
        <v>06 Utiliteitsgebouwen</v>
      </c>
      <c r="E88" s="37">
        <f>'13. Desinvesteringen'!D90</f>
        <v>1961</v>
      </c>
      <c r="F88" s="42">
        <f>'13. Desinvesteringen'!E90</f>
        <v>92634.240000000005</v>
      </c>
      <c r="G88" s="37">
        <f>'13. Desinvesteringen'!G90</f>
        <v>2020</v>
      </c>
    </row>
    <row r="89" spans="2:7" s="3" customFormat="1">
      <c r="B89" s="37">
        <f>'13. Desinvesteringen'!B91</f>
        <v>72</v>
      </c>
      <c r="D89" s="37" t="str">
        <f>'13. Desinvesteringen'!C91</f>
        <v>06 Utiliteitsgebouwen</v>
      </c>
      <c r="E89" s="37">
        <f>'13. Desinvesteringen'!D91</f>
        <v>1968</v>
      </c>
      <c r="F89" s="42">
        <f>'13. Desinvesteringen'!E91</f>
        <v>153440.79</v>
      </c>
      <c r="G89" s="37">
        <f>'13. Desinvesteringen'!G91</f>
        <v>2020</v>
      </c>
    </row>
    <row r="90" spans="2:7" s="3" customFormat="1">
      <c r="B90" s="37">
        <f>'13. Desinvesteringen'!B92</f>
        <v>73</v>
      </c>
      <c r="D90" s="37" t="str">
        <f>'13. Desinvesteringen'!C92</f>
        <v>06 Utiliteitsgebouwen</v>
      </c>
      <c r="E90" s="37">
        <f>'13. Desinvesteringen'!D92</f>
        <v>1992</v>
      </c>
      <c r="F90" s="42">
        <f>'13. Desinvesteringen'!E92</f>
        <v>267309.21999999997</v>
      </c>
      <c r="G90" s="37">
        <f>'13. Desinvesteringen'!G92</f>
        <v>2020</v>
      </c>
    </row>
    <row r="91" spans="2:7" s="3" customFormat="1">
      <c r="B91" s="37">
        <f>'13. Desinvesteringen'!B93</f>
        <v>74</v>
      </c>
      <c r="D91" s="37" t="str">
        <f>'13. Desinvesteringen'!C93</f>
        <v>06 Utiliteitsgebouwen</v>
      </c>
      <c r="E91" s="37">
        <f>'13. Desinvesteringen'!D93</f>
        <v>2003</v>
      </c>
      <c r="F91" s="42">
        <f>'13. Desinvesteringen'!E93</f>
        <v>40177</v>
      </c>
      <c r="G91" s="37">
        <f>'13. Desinvesteringen'!G93</f>
        <v>2020</v>
      </c>
    </row>
    <row r="92" spans="2:7" s="3" customFormat="1">
      <c r="B92" s="37">
        <f>'13. Desinvesteringen'!B94</f>
        <v>75</v>
      </c>
      <c r="D92" s="37" t="str">
        <f>'13. Desinvesteringen'!C94</f>
        <v>06 Utiliteitsgebouwen</v>
      </c>
      <c r="E92" s="37">
        <f>'13. Desinvesteringen'!D94</f>
        <v>2005</v>
      </c>
      <c r="F92" s="42">
        <f>'13. Desinvesteringen'!E94</f>
        <v>186030.7</v>
      </c>
      <c r="G92" s="37">
        <f>'13. Desinvesteringen'!G94</f>
        <v>2020</v>
      </c>
    </row>
    <row r="93" spans="2:7" s="3" customFormat="1">
      <c r="B93" s="37">
        <f>'13. Desinvesteringen'!B95</f>
        <v>76</v>
      </c>
      <c r="D93" s="37" t="str">
        <f>'13. Desinvesteringen'!C95</f>
        <v>06 Utiliteitsgebouwen</v>
      </c>
      <c r="E93" s="37">
        <f>'13. Desinvesteringen'!D95</f>
        <v>2010</v>
      </c>
      <c r="F93" s="42">
        <f>'13. Desinvesteringen'!E95</f>
        <v>242998.14437600001</v>
      </c>
      <c r="G93" s="37">
        <f>'13. Desinvesteringen'!G95</f>
        <v>2020</v>
      </c>
    </row>
    <row r="94" spans="2:7" s="3" customFormat="1">
      <c r="B94" s="37">
        <f>'13. Desinvesteringen'!B96</f>
        <v>77</v>
      </c>
      <c r="D94" s="37" t="str">
        <f>'13. Desinvesteringen'!C96</f>
        <v>06 Utiliteitsgebouwen</v>
      </c>
      <c r="E94" s="37">
        <f>'13. Desinvesteringen'!D96</f>
        <v>2012</v>
      </c>
      <c r="F94" s="42">
        <f>'13. Desinvesteringen'!E96</f>
        <v>156496.05558799999</v>
      </c>
      <c r="G94" s="37">
        <f>'13. Desinvesteringen'!G96</f>
        <v>2020</v>
      </c>
    </row>
    <row r="95" spans="2:7" s="3" customFormat="1">
      <c r="B95" s="37">
        <f>'13. Desinvesteringen'!B97</f>
        <v>78</v>
      </c>
      <c r="D95" s="37" t="str">
        <f>'13. Desinvesteringen'!C97</f>
        <v>08 Inrichting gebouwen</v>
      </c>
      <c r="E95" s="37">
        <f>'13. Desinvesteringen'!D97</f>
        <v>2017</v>
      </c>
      <c r="F95" s="42">
        <f>'13. Desinvesteringen'!E97</f>
        <v>41550.210188999998</v>
      </c>
      <c r="G95" s="37">
        <f>'13. Desinvesteringen'!G97</f>
        <v>2020</v>
      </c>
    </row>
    <row r="96" spans="2:7" s="3" customFormat="1">
      <c r="B96" s="37">
        <f>'13. Desinvesteringen'!B98</f>
        <v>79</v>
      </c>
      <c r="D96" s="37" t="str">
        <f>'13. Desinvesteringen'!C98</f>
        <v>09 Bedrijfsinventaris</v>
      </c>
      <c r="E96" s="37">
        <f>'13. Desinvesteringen'!D98</f>
        <v>2003</v>
      </c>
      <c r="F96" s="42">
        <f>'13. Desinvesteringen'!E98</f>
        <v>5549.99</v>
      </c>
      <c r="G96" s="37">
        <f>'13. Desinvesteringen'!G98</f>
        <v>2020</v>
      </c>
    </row>
    <row r="97" spans="2:7" s="3" customFormat="1">
      <c r="B97" s="37">
        <f>'13. Desinvesteringen'!B99</f>
        <v>80</v>
      </c>
      <c r="D97" s="37" t="str">
        <f>'13. Desinvesteringen'!C99</f>
        <v>10 Gereedschap</v>
      </c>
      <c r="E97" s="37">
        <f>'13. Desinvesteringen'!D99</f>
        <v>1998</v>
      </c>
      <c r="F97" s="42">
        <f>'13. Desinvesteringen'!E99</f>
        <v>366600.87</v>
      </c>
      <c r="G97" s="37">
        <f>'13. Desinvesteringen'!G99</f>
        <v>2020</v>
      </c>
    </row>
    <row r="98" spans="2:7" s="3" customFormat="1">
      <c r="B98" s="37">
        <f>'13. Desinvesteringen'!B100</f>
        <v>81</v>
      </c>
      <c r="D98" s="37" t="str">
        <f>'13. Desinvesteringen'!C100</f>
        <v>10 Gereedschap</v>
      </c>
      <c r="E98" s="37">
        <f>'13. Desinvesteringen'!D100</f>
        <v>1999</v>
      </c>
      <c r="F98" s="42">
        <f>'13. Desinvesteringen'!E100</f>
        <v>268665.56</v>
      </c>
      <c r="G98" s="37">
        <f>'13. Desinvesteringen'!G100</f>
        <v>2020</v>
      </c>
    </row>
    <row r="99" spans="2:7" s="3" customFormat="1">
      <c r="B99" s="37">
        <f>'13. Desinvesteringen'!B101</f>
        <v>82</v>
      </c>
      <c r="D99" s="37" t="str">
        <f>'13. Desinvesteringen'!C101</f>
        <v>10 Gereedschap</v>
      </c>
      <c r="E99" s="37">
        <f>'13. Desinvesteringen'!D101</f>
        <v>2000</v>
      </c>
      <c r="F99" s="42">
        <f>'13. Desinvesteringen'!E101</f>
        <v>92489.12</v>
      </c>
      <c r="G99" s="37">
        <f>'13. Desinvesteringen'!G101</f>
        <v>2020</v>
      </c>
    </row>
    <row r="100" spans="2:7" s="3" customFormat="1">
      <c r="B100" s="37">
        <f>'13. Desinvesteringen'!B102</f>
        <v>83</v>
      </c>
      <c r="D100" s="37" t="str">
        <f>'13. Desinvesteringen'!C102</f>
        <v>15 Compressorstations (TT-BT-AT)</v>
      </c>
      <c r="E100" s="37">
        <f>'13. Desinvesteringen'!D102</f>
        <v>1971</v>
      </c>
      <c r="F100" s="42">
        <f>'13. Desinvesteringen'!E102</f>
        <v>739448.2</v>
      </c>
      <c r="G100" s="37">
        <f>'13. Desinvesteringen'!G102</f>
        <v>2020</v>
      </c>
    </row>
    <row r="101" spans="2:7" s="3" customFormat="1">
      <c r="B101" s="37">
        <f>'13. Desinvesteringen'!B103</f>
        <v>84</v>
      </c>
      <c r="D101" s="37" t="str">
        <f>'13. Desinvesteringen'!C103</f>
        <v>15 Compressorstations (TT-BT-AT)</v>
      </c>
      <c r="E101" s="37">
        <f>'13. Desinvesteringen'!D103</f>
        <v>1977</v>
      </c>
      <c r="F101" s="42">
        <f>'13. Desinvesteringen'!E103</f>
        <v>68166.3</v>
      </c>
      <c r="G101" s="37">
        <f>'13. Desinvesteringen'!G103</f>
        <v>2020</v>
      </c>
    </row>
    <row r="102" spans="2:7" s="3" customFormat="1">
      <c r="B102" s="37">
        <f>'13. Desinvesteringen'!B104</f>
        <v>85</v>
      </c>
      <c r="D102" s="37" t="str">
        <f>'13. Desinvesteringen'!C104</f>
        <v>15 Compressorstations (TT-BT-AT)</v>
      </c>
      <c r="E102" s="37">
        <f>'13. Desinvesteringen'!D104</f>
        <v>1994</v>
      </c>
      <c r="F102" s="42">
        <f>'13. Desinvesteringen'!E104</f>
        <v>376175.8</v>
      </c>
      <c r="G102" s="37">
        <f>'13. Desinvesteringen'!G104</f>
        <v>2020</v>
      </c>
    </row>
    <row r="103" spans="2:7" s="3" customFormat="1">
      <c r="B103" s="37">
        <f>'13. Desinvesteringen'!B105</f>
        <v>86</v>
      </c>
      <c r="D103" s="37" t="str">
        <f>'13. Desinvesteringen'!C105</f>
        <v>15 Compressorstations (TT-BT-AT)</v>
      </c>
      <c r="E103" s="37">
        <f>'13. Desinvesteringen'!D105</f>
        <v>1995</v>
      </c>
      <c r="F103" s="42">
        <f>'13. Desinvesteringen'!E105</f>
        <v>1191241.1299999999</v>
      </c>
      <c r="G103" s="37">
        <f>'13. Desinvesteringen'!G105</f>
        <v>2020</v>
      </c>
    </row>
    <row r="104" spans="2:7" s="3" customFormat="1">
      <c r="B104" s="37">
        <f>'13. Desinvesteringen'!B106</f>
        <v>87</v>
      </c>
      <c r="D104" s="37" t="str">
        <f>'13. Desinvesteringen'!C106</f>
        <v>15 Compressorstations (TT-BT-AT)</v>
      </c>
      <c r="E104" s="37">
        <f>'13. Desinvesteringen'!D106</f>
        <v>1996</v>
      </c>
      <c r="F104" s="42">
        <f>'13. Desinvesteringen'!E106</f>
        <v>60266.55</v>
      </c>
      <c r="G104" s="37">
        <f>'13. Desinvesteringen'!G106</f>
        <v>2020</v>
      </c>
    </row>
    <row r="105" spans="2:7" s="3" customFormat="1">
      <c r="B105" s="37">
        <f>'13. Desinvesteringen'!B107</f>
        <v>88</v>
      </c>
      <c r="D105" s="37" t="str">
        <f>'13. Desinvesteringen'!C107</f>
        <v>15 Compressorstations (TT-BT-AT)</v>
      </c>
      <c r="E105" s="37">
        <f>'13. Desinvesteringen'!D107</f>
        <v>1998</v>
      </c>
      <c r="F105" s="42">
        <f>'13. Desinvesteringen'!E107</f>
        <v>117092.84999999999</v>
      </c>
      <c r="G105" s="37">
        <f>'13. Desinvesteringen'!G107</f>
        <v>2020</v>
      </c>
    </row>
    <row r="106" spans="2:7" s="3" customFormat="1">
      <c r="B106" s="37">
        <f>'13. Desinvesteringen'!B108</f>
        <v>89</v>
      </c>
      <c r="D106" s="37" t="str">
        <f>'13. Desinvesteringen'!C108</f>
        <v>15 Compressorstations (TT-BT-AT)</v>
      </c>
      <c r="E106" s="37">
        <f>'13. Desinvesteringen'!D108</f>
        <v>2008</v>
      </c>
      <c r="F106" s="42">
        <f>'13. Desinvesteringen'!E108</f>
        <v>526456.12101200002</v>
      </c>
      <c r="G106" s="37">
        <f>'13. Desinvesteringen'!G108</f>
        <v>2020</v>
      </c>
    </row>
    <row r="107" spans="2:7" s="3" customFormat="1">
      <c r="B107" s="37">
        <f>'13. Desinvesteringen'!B109</f>
        <v>90</v>
      </c>
      <c r="D107" s="37" t="str">
        <f>'13. Desinvesteringen'!C109</f>
        <v>15 Compressorstations (TT-BT-AT)</v>
      </c>
      <c r="E107" s="37">
        <f>'13. Desinvesteringen'!D109</f>
        <v>2010</v>
      </c>
      <c r="F107" s="42">
        <f>'13. Desinvesteringen'!E109</f>
        <v>488182.154064</v>
      </c>
      <c r="G107" s="37">
        <f>'13. Desinvesteringen'!G109</f>
        <v>2020</v>
      </c>
    </row>
    <row r="108" spans="2:7" s="3" customFormat="1">
      <c r="B108" s="37">
        <f>'13. Desinvesteringen'!B110</f>
        <v>91</v>
      </c>
      <c r="D108" s="37" t="str">
        <f>'13. Desinvesteringen'!C110</f>
        <v>15 Compressorstations (TT-BT-AT)</v>
      </c>
      <c r="E108" s="37">
        <f>'13. Desinvesteringen'!D110</f>
        <v>2015</v>
      </c>
      <c r="F108" s="42">
        <f>'13. Desinvesteringen'!E110</f>
        <v>95260.246860999992</v>
      </c>
      <c r="G108" s="37">
        <f>'13. Desinvesteringen'!G110</f>
        <v>2020</v>
      </c>
    </row>
    <row r="109" spans="2:7" s="3" customFormat="1">
      <c r="B109" s="37">
        <f>'13. Desinvesteringen'!B111</f>
        <v>92</v>
      </c>
      <c r="D109" s="37" t="str">
        <f>'13. Desinvesteringen'!C111</f>
        <v>15 Compressorstations (TT-BT-AT) (gaschromatografen en comptabele meters)</v>
      </c>
      <c r="E109" s="37">
        <f>'13. Desinvesteringen'!D111</f>
        <v>1998</v>
      </c>
      <c r="F109" s="42">
        <f>'13. Desinvesteringen'!E111</f>
        <v>127735.64</v>
      </c>
      <c r="G109" s="37">
        <f>'13. Desinvesteringen'!G111</f>
        <v>2020</v>
      </c>
    </row>
    <row r="110" spans="2:7" s="3" customFormat="1">
      <c r="B110" s="37">
        <f>'13. Desinvesteringen'!B112</f>
        <v>93</v>
      </c>
      <c r="D110" s="37" t="str">
        <f>'13. Desinvesteringen'!C112</f>
        <v>16 LNG installaties</v>
      </c>
      <c r="E110" s="37">
        <f>'13. Desinvesteringen'!D112</f>
        <v>1977</v>
      </c>
      <c r="F110" s="42">
        <f>'13. Desinvesteringen'!E112</f>
        <v>146130.37</v>
      </c>
      <c r="G110" s="37">
        <f>'13. Desinvesteringen'!G112</f>
        <v>2020</v>
      </c>
    </row>
    <row r="111" spans="2:7" s="3" customFormat="1">
      <c r="B111" s="37">
        <f>'13. Desinvesteringen'!B113</f>
        <v>94</v>
      </c>
      <c r="D111" s="37" t="str">
        <f>'13. Desinvesteringen'!C113</f>
        <v>17 Mengstations</v>
      </c>
      <c r="E111" s="37">
        <f>'13. Desinvesteringen'!D113</f>
        <v>1993</v>
      </c>
      <c r="F111" s="42">
        <f>'13. Desinvesteringen'!E113</f>
        <v>2269257</v>
      </c>
      <c r="G111" s="37">
        <f>'13. Desinvesteringen'!G113</f>
        <v>2020</v>
      </c>
    </row>
    <row r="112" spans="2:7" s="3" customFormat="1">
      <c r="B112" s="37">
        <f>'13. Desinvesteringen'!B114</f>
        <v>95</v>
      </c>
      <c r="D112" s="37" t="str">
        <f>'13. Desinvesteringen'!C114</f>
        <v>20 Kantoorgebouwen</v>
      </c>
      <c r="E112" s="37">
        <f>'13. Desinvesteringen'!D114</f>
        <v>1997</v>
      </c>
      <c r="F112" s="42">
        <f>'13. Desinvesteringen'!E114</f>
        <v>4810.9799999999996</v>
      </c>
      <c r="G112" s="37">
        <f>'13. Desinvesteringen'!G114</f>
        <v>2020</v>
      </c>
    </row>
    <row r="113" spans="2:7" s="3" customFormat="1">
      <c r="B113" s="37">
        <f>'13. Desinvesteringen'!B115</f>
        <v>96</v>
      </c>
      <c r="D113" s="37" t="str">
        <f>'13. Desinvesteringen'!C115</f>
        <v>21 Hoofdtransportleiding</v>
      </c>
      <c r="E113" s="37">
        <f>'13. Desinvesteringen'!D115</f>
        <v>1964</v>
      </c>
      <c r="F113" s="42">
        <f>'13. Desinvesteringen'!E115</f>
        <v>109225.21</v>
      </c>
      <c r="G113" s="37">
        <f>'13. Desinvesteringen'!G115</f>
        <v>2020</v>
      </c>
    </row>
    <row r="114" spans="2:7" s="3" customFormat="1">
      <c r="B114" s="37">
        <f>'13. Desinvesteringen'!B116</f>
        <v>97</v>
      </c>
      <c r="D114" s="37" t="str">
        <f>'13. Desinvesteringen'!C116</f>
        <v>21 Hoofdtransportleiding</v>
      </c>
      <c r="E114" s="37">
        <f>'13. Desinvesteringen'!D116</f>
        <v>1965</v>
      </c>
      <c r="F114" s="42">
        <f>'13. Desinvesteringen'!E116</f>
        <v>79354.039999999994</v>
      </c>
      <c r="G114" s="37">
        <f>'13. Desinvesteringen'!G116</f>
        <v>2020</v>
      </c>
    </row>
    <row r="115" spans="2:7" s="3" customFormat="1">
      <c r="B115" s="37">
        <f>'13. Desinvesteringen'!B117</f>
        <v>98</v>
      </c>
      <c r="D115" s="37" t="str">
        <f>'13. Desinvesteringen'!C117</f>
        <v>21 Hoofdtransportleiding</v>
      </c>
      <c r="E115" s="37">
        <f>'13. Desinvesteringen'!D117</f>
        <v>1969</v>
      </c>
      <c r="F115" s="42">
        <f>'13. Desinvesteringen'!E117</f>
        <v>160000</v>
      </c>
      <c r="G115" s="37">
        <f>'13. Desinvesteringen'!G117</f>
        <v>2020</v>
      </c>
    </row>
    <row r="116" spans="2:7" s="3" customFormat="1">
      <c r="B116" s="37">
        <f>'13. Desinvesteringen'!B118</f>
        <v>99</v>
      </c>
      <c r="D116" s="37" t="str">
        <f>'13. Desinvesteringen'!C118</f>
        <v>21 Hoofdtransportleiding</v>
      </c>
      <c r="E116" s="37">
        <f>'13. Desinvesteringen'!D118</f>
        <v>1970</v>
      </c>
      <c r="F116" s="42">
        <f>'13. Desinvesteringen'!E118</f>
        <v>1644.48</v>
      </c>
      <c r="G116" s="37">
        <f>'13. Desinvesteringen'!G118</f>
        <v>2020</v>
      </c>
    </row>
    <row r="117" spans="2:7" s="3" customFormat="1">
      <c r="B117" s="37">
        <f>'13. Desinvesteringen'!B119</f>
        <v>100</v>
      </c>
      <c r="D117" s="37" t="str">
        <f>'13. Desinvesteringen'!C119</f>
        <v>21 Hoofdtransportleiding</v>
      </c>
      <c r="E117" s="37">
        <f>'13. Desinvesteringen'!D119</f>
        <v>1971</v>
      </c>
      <c r="F117" s="42">
        <f>'13. Desinvesteringen'!E119</f>
        <v>104672.38</v>
      </c>
      <c r="G117" s="37">
        <f>'13. Desinvesteringen'!G119</f>
        <v>2020</v>
      </c>
    </row>
    <row r="118" spans="2:7" s="3" customFormat="1">
      <c r="B118" s="37">
        <f>'13. Desinvesteringen'!B120</f>
        <v>101</v>
      </c>
      <c r="D118" s="37" t="str">
        <f>'13. Desinvesteringen'!C120</f>
        <v>21 Hoofdtransportleiding</v>
      </c>
      <c r="E118" s="37">
        <f>'13. Desinvesteringen'!D120</f>
        <v>1972</v>
      </c>
      <c r="F118" s="42">
        <f>'13. Desinvesteringen'!E120</f>
        <v>6833.93</v>
      </c>
      <c r="G118" s="37">
        <f>'13. Desinvesteringen'!G120</f>
        <v>2020</v>
      </c>
    </row>
    <row r="119" spans="2:7" s="3" customFormat="1">
      <c r="B119" s="37">
        <f>'13. Desinvesteringen'!B121</f>
        <v>102</v>
      </c>
      <c r="D119" s="37" t="str">
        <f>'13. Desinvesteringen'!C121</f>
        <v>21 Hoofdtransportleiding</v>
      </c>
      <c r="E119" s="37">
        <f>'13. Desinvesteringen'!D121</f>
        <v>1974</v>
      </c>
      <c r="F119" s="42">
        <f>'13. Desinvesteringen'!E121</f>
        <v>78733.03</v>
      </c>
      <c r="G119" s="37">
        <f>'13. Desinvesteringen'!G121</f>
        <v>2020</v>
      </c>
    </row>
    <row r="120" spans="2:7" s="3" customFormat="1">
      <c r="B120" s="37">
        <f>'13. Desinvesteringen'!B122</f>
        <v>103</v>
      </c>
      <c r="D120" s="37" t="str">
        <f>'13. Desinvesteringen'!C122</f>
        <v>21 Hoofdtransportleiding</v>
      </c>
      <c r="E120" s="37">
        <f>'13. Desinvesteringen'!D122</f>
        <v>1975</v>
      </c>
      <c r="F120" s="42">
        <f>'13. Desinvesteringen'!E122</f>
        <v>8893.32</v>
      </c>
      <c r="G120" s="37">
        <f>'13. Desinvesteringen'!G122</f>
        <v>2020</v>
      </c>
    </row>
    <row r="121" spans="2:7" s="3" customFormat="1">
      <c r="B121" s="37">
        <f>'13. Desinvesteringen'!B123</f>
        <v>104</v>
      </c>
      <c r="D121" s="37" t="str">
        <f>'13. Desinvesteringen'!C123</f>
        <v>21 Hoofdtransportleiding</v>
      </c>
      <c r="E121" s="37">
        <f>'13. Desinvesteringen'!D123</f>
        <v>1978</v>
      </c>
      <c r="F121" s="42">
        <f>'13. Desinvesteringen'!E123</f>
        <v>174538.66</v>
      </c>
      <c r="G121" s="37">
        <f>'13. Desinvesteringen'!G123</f>
        <v>2020</v>
      </c>
    </row>
    <row r="122" spans="2:7" s="3" customFormat="1">
      <c r="B122" s="37">
        <f>'13. Desinvesteringen'!B124</f>
        <v>105</v>
      </c>
      <c r="D122" s="37" t="str">
        <f>'13. Desinvesteringen'!C124</f>
        <v>21 Hoofdtransportleiding</v>
      </c>
      <c r="E122" s="37">
        <f>'13. Desinvesteringen'!D124</f>
        <v>1983</v>
      </c>
      <c r="F122" s="42">
        <f>'13. Desinvesteringen'!E124</f>
        <v>14249.66</v>
      </c>
      <c r="G122" s="37">
        <f>'13. Desinvesteringen'!G124</f>
        <v>2020</v>
      </c>
    </row>
    <row r="123" spans="2:7" s="3" customFormat="1">
      <c r="B123" s="37">
        <f>'13. Desinvesteringen'!B125</f>
        <v>106</v>
      </c>
      <c r="D123" s="37" t="str">
        <f>'13. Desinvesteringen'!C125</f>
        <v>21 Hoofdtransportleiding</v>
      </c>
      <c r="E123" s="37">
        <f>'13. Desinvesteringen'!D125</f>
        <v>1988</v>
      </c>
      <c r="F123" s="42">
        <f>'13. Desinvesteringen'!E125</f>
        <v>44968.09</v>
      </c>
      <c r="G123" s="37">
        <f>'13. Desinvesteringen'!G125</f>
        <v>2020</v>
      </c>
    </row>
    <row r="124" spans="2:7" s="3" customFormat="1">
      <c r="B124" s="37">
        <f>'13. Desinvesteringen'!B126</f>
        <v>107</v>
      </c>
      <c r="D124" s="37" t="str">
        <f>'13. Desinvesteringen'!C126</f>
        <v>21 Hoofdtransportleiding</v>
      </c>
      <c r="E124" s="37">
        <f>'13. Desinvesteringen'!D126</f>
        <v>1995</v>
      </c>
      <c r="F124" s="42">
        <f>'13. Desinvesteringen'!E126</f>
        <v>7512.54</v>
      </c>
      <c r="G124" s="37">
        <f>'13. Desinvesteringen'!G126</f>
        <v>2020</v>
      </c>
    </row>
    <row r="125" spans="2:7" s="3" customFormat="1">
      <c r="B125" s="37">
        <f>'13. Desinvesteringen'!B127</f>
        <v>108</v>
      </c>
      <c r="D125" s="37" t="str">
        <f>'13. Desinvesteringen'!C127</f>
        <v>21 Hoofdtransportleiding</v>
      </c>
      <c r="E125" s="37">
        <f>'13. Desinvesteringen'!D127</f>
        <v>2004</v>
      </c>
      <c r="F125" s="42">
        <f>'13. Desinvesteringen'!E127</f>
        <v>187756.39</v>
      </c>
      <c r="G125" s="37">
        <f>'13. Desinvesteringen'!G127</f>
        <v>2020</v>
      </c>
    </row>
    <row r="126" spans="2:7" s="3" customFormat="1">
      <c r="B126" s="37">
        <f>'13. Desinvesteringen'!B128</f>
        <v>109</v>
      </c>
      <c r="D126" s="37" t="str">
        <f>'13. Desinvesteringen'!C128</f>
        <v>21 Hoofdtransportleiding (waterkruisingen)</v>
      </c>
      <c r="E126" s="37">
        <f>'13. Desinvesteringen'!D128</f>
        <v>1971</v>
      </c>
      <c r="F126" s="42">
        <f>'13. Desinvesteringen'!E128</f>
        <v>21999.06</v>
      </c>
      <c r="G126" s="37">
        <f>'13. Desinvesteringen'!G128</f>
        <v>2020</v>
      </c>
    </row>
    <row r="127" spans="2:7" s="3" customFormat="1">
      <c r="B127" s="37">
        <f>'13. Desinvesteringen'!B129</f>
        <v>110</v>
      </c>
      <c r="D127" s="37" t="str">
        <f>'13. Desinvesteringen'!C129</f>
        <v>33 Exportstations</v>
      </c>
      <c r="E127" s="37">
        <f>'13. Desinvesteringen'!D129</f>
        <v>2004</v>
      </c>
      <c r="F127" s="42">
        <f>'13. Desinvesteringen'!E129</f>
        <v>2028.6</v>
      </c>
      <c r="G127" s="37">
        <f>'13. Desinvesteringen'!G129</f>
        <v>2020</v>
      </c>
    </row>
    <row r="128" spans="2:7" s="3" customFormat="1">
      <c r="B128" s="37">
        <f>'13. Desinvesteringen'!B130</f>
        <v>111</v>
      </c>
      <c r="D128" s="37" t="str">
        <f>'13. Desinvesteringen'!C130</f>
        <v>33 Exportstations</v>
      </c>
      <c r="E128" s="37">
        <f>'13. Desinvesteringen'!D130</f>
        <v>2011</v>
      </c>
      <c r="F128" s="42">
        <f>'13. Desinvesteringen'!E130</f>
        <v>603616.46129999997</v>
      </c>
      <c r="G128" s="37">
        <f>'13. Desinvesteringen'!G130</f>
        <v>2020</v>
      </c>
    </row>
    <row r="129" spans="2:7" s="3" customFormat="1">
      <c r="B129" s="37">
        <f>'13. Desinvesteringen'!B131</f>
        <v>112</v>
      </c>
      <c r="D129" s="37" t="str">
        <f>'13. Desinvesteringen'!C131</f>
        <v>34 Reduceerstations</v>
      </c>
      <c r="E129" s="37">
        <f>'13. Desinvesteringen'!D131</f>
        <v>1998</v>
      </c>
      <c r="F129" s="42">
        <f>'13. Desinvesteringen'!E131</f>
        <v>500000</v>
      </c>
      <c r="G129" s="37">
        <f>'13. Desinvesteringen'!G131</f>
        <v>2020</v>
      </c>
    </row>
    <row r="130" spans="2:7" s="3" customFormat="1">
      <c r="B130" s="37">
        <f>'13. Desinvesteringen'!B132</f>
        <v>113</v>
      </c>
      <c r="D130" s="37" t="str">
        <f>'13. Desinvesteringen'!C132</f>
        <v>34 Reduceerstations</v>
      </c>
      <c r="E130" s="37">
        <f>'13. Desinvesteringen'!D132</f>
        <v>2004</v>
      </c>
      <c r="F130" s="42">
        <f>'13. Desinvesteringen'!E132</f>
        <v>45527.519999999997</v>
      </c>
      <c r="G130" s="37">
        <f>'13. Desinvesteringen'!G132</f>
        <v>2020</v>
      </c>
    </row>
    <row r="131" spans="2:7" s="3" customFormat="1">
      <c r="B131" s="37">
        <f>'13. Desinvesteringen'!B133</f>
        <v>114</v>
      </c>
      <c r="D131" s="37" t="str">
        <f>'13. Desinvesteringen'!C133</f>
        <v>34 Reduceerstations</v>
      </c>
      <c r="E131" s="37">
        <f>'13. Desinvesteringen'!D133</f>
        <v>2005</v>
      </c>
      <c r="F131" s="42">
        <f>'13. Desinvesteringen'!E133</f>
        <v>9959.0400000000009</v>
      </c>
      <c r="G131" s="37">
        <f>'13. Desinvesteringen'!G133</f>
        <v>2020</v>
      </c>
    </row>
    <row r="132" spans="2:7" s="3" customFormat="1">
      <c r="B132" s="37">
        <f>'13. Desinvesteringen'!B134</f>
        <v>115</v>
      </c>
      <c r="D132" s="37" t="str">
        <f>'13. Desinvesteringen'!C134</f>
        <v>34 Reduceerstations</v>
      </c>
      <c r="E132" s="37">
        <f>'13. Desinvesteringen'!D134</f>
        <v>2016</v>
      </c>
      <c r="F132" s="42">
        <f>'13. Desinvesteringen'!E134</f>
        <v>855977.36259199993</v>
      </c>
      <c r="G132" s="37">
        <f>'13. Desinvesteringen'!G134</f>
        <v>2020</v>
      </c>
    </row>
    <row r="133" spans="2:7" s="3" customFormat="1">
      <c r="B133" s="37">
        <f>'13. Desinvesteringen'!B135</f>
        <v>116</v>
      </c>
      <c r="D133" s="37" t="str">
        <f>'13. Desinvesteringen'!C135</f>
        <v>35 Injectiestations</v>
      </c>
      <c r="E133" s="37">
        <f>'13. Desinvesteringen'!D135</f>
        <v>2016</v>
      </c>
      <c r="F133" s="42">
        <f>'13. Desinvesteringen'!E135</f>
        <v>778785.35750399996</v>
      </c>
      <c r="G133" s="37">
        <f>'13. Desinvesteringen'!G135</f>
        <v>2020</v>
      </c>
    </row>
    <row r="134" spans="2:7" s="3" customFormat="1">
      <c r="B134" s="37">
        <f>'13. Desinvesteringen'!B136</f>
        <v>117</v>
      </c>
      <c r="D134" s="37" t="str">
        <f>'13. Desinvesteringen'!C136</f>
        <v>36 Luchtscheidingsunit</v>
      </c>
      <c r="E134" s="37">
        <f>'13. Desinvesteringen'!D136</f>
        <v>1988</v>
      </c>
      <c r="F134" s="42">
        <f>'13. Desinvesteringen'!E136</f>
        <v>2894954.5</v>
      </c>
      <c r="G134" s="37">
        <f>'13. Desinvesteringen'!G136</f>
        <v>2020</v>
      </c>
    </row>
    <row r="135" spans="2:7" s="3" customFormat="1">
      <c r="B135" s="37">
        <f>'13. Desinvesteringen'!B137</f>
        <v>118</v>
      </c>
      <c r="D135" s="37" t="str">
        <f>'13. Desinvesteringen'!C137</f>
        <v>37 ICT middelen 1</v>
      </c>
      <c r="E135" s="37">
        <f>'13. Desinvesteringen'!D137</f>
        <v>2016</v>
      </c>
      <c r="F135" s="42">
        <f>'13. Desinvesteringen'!E137</f>
        <v>362355.80583999999</v>
      </c>
      <c r="G135" s="37">
        <f>'13. Desinvesteringen'!G137</f>
        <v>2020</v>
      </c>
    </row>
    <row r="136" spans="2:7" s="3" customFormat="1">
      <c r="B136" s="37">
        <f>'13. Desinvesteringen'!B138</f>
        <v>119</v>
      </c>
      <c r="D136" s="37" t="str">
        <f>'13. Desinvesteringen'!C138</f>
        <v>41 Stikstofbuffer</v>
      </c>
      <c r="E136" s="37">
        <f>'13. Desinvesteringen'!D138</f>
        <v>2012</v>
      </c>
      <c r="F136" s="42">
        <f>'13. Desinvesteringen'!E138</f>
        <v>2282230.9217790002</v>
      </c>
      <c r="G136" s="37">
        <f>'13. Desinvesteringen'!G138</f>
        <v>2020</v>
      </c>
    </row>
    <row r="137" spans="2:7" s="3" customFormat="1">
      <c r="B137" s="37">
        <f>'13. Desinvesteringen'!B139</f>
        <v>120</v>
      </c>
      <c r="D137" s="37" t="str">
        <f>'13. Desinvesteringen'!C139</f>
        <v>01 Regionale leidingen</v>
      </c>
      <c r="E137" s="37">
        <f>'13. Desinvesteringen'!D139</f>
        <v>1950</v>
      </c>
      <c r="F137" s="42">
        <f>'13. Desinvesteringen'!E139</f>
        <v>107805.84</v>
      </c>
      <c r="G137" s="37">
        <f>'13. Desinvesteringen'!G139</f>
        <v>2021</v>
      </c>
    </row>
    <row r="138" spans="2:7" s="3" customFormat="1">
      <c r="B138" s="37">
        <f>'13. Desinvesteringen'!B140</f>
        <v>121</v>
      </c>
      <c r="D138" s="37" t="str">
        <f>'13. Desinvesteringen'!C140</f>
        <v>01 Regionale leidingen</v>
      </c>
      <c r="E138" s="37">
        <f>'13. Desinvesteringen'!D140</f>
        <v>1953</v>
      </c>
      <c r="F138" s="42">
        <f>'13. Desinvesteringen'!E140</f>
        <v>55835.41</v>
      </c>
      <c r="G138" s="37">
        <f>'13. Desinvesteringen'!G140</f>
        <v>2021</v>
      </c>
    </row>
    <row r="139" spans="2:7" s="3" customFormat="1">
      <c r="B139" s="37">
        <f>'13. Desinvesteringen'!B141</f>
        <v>122</v>
      </c>
      <c r="D139" s="37" t="str">
        <f>'13. Desinvesteringen'!C141</f>
        <v>01 Regionale leidingen</v>
      </c>
      <c r="E139" s="37">
        <f>'13. Desinvesteringen'!D141</f>
        <v>1962</v>
      </c>
      <c r="F139" s="42">
        <f>'13. Desinvesteringen'!E141</f>
        <v>40000</v>
      </c>
      <c r="G139" s="37">
        <f>'13. Desinvesteringen'!G141</f>
        <v>2021</v>
      </c>
    </row>
    <row r="140" spans="2:7" s="3" customFormat="1">
      <c r="B140" s="37">
        <f>'13. Desinvesteringen'!B142</f>
        <v>123</v>
      </c>
      <c r="D140" s="37" t="str">
        <f>'13. Desinvesteringen'!C142</f>
        <v>01 Regionale leidingen</v>
      </c>
      <c r="E140" s="37">
        <f>'13. Desinvesteringen'!D142</f>
        <v>1965</v>
      </c>
      <c r="F140" s="42">
        <f>'13. Desinvesteringen'!E142</f>
        <v>25702.75</v>
      </c>
      <c r="G140" s="37">
        <f>'13. Desinvesteringen'!G142</f>
        <v>2021</v>
      </c>
    </row>
    <row r="141" spans="2:7" s="3" customFormat="1">
      <c r="B141" s="37">
        <f>'13. Desinvesteringen'!B143</f>
        <v>124</v>
      </c>
      <c r="D141" s="37" t="str">
        <f>'13. Desinvesteringen'!C143</f>
        <v>01 Regionale leidingen</v>
      </c>
      <c r="E141" s="37">
        <f>'13. Desinvesteringen'!D143</f>
        <v>1966</v>
      </c>
      <c r="F141" s="42">
        <f>'13. Desinvesteringen'!E143</f>
        <v>109434.39</v>
      </c>
      <c r="G141" s="37">
        <f>'13. Desinvesteringen'!G143</f>
        <v>2021</v>
      </c>
    </row>
    <row r="142" spans="2:7" s="3" customFormat="1">
      <c r="B142" s="37">
        <f>'13. Desinvesteringen'!B144</f>
        <v>125</v>
      </c>
      <c r="D142" s="37" t="str">
        <f>'13. Desinvesteringen'!C144</f>
        <v>01 Regionale leidingen</v>
      </c>
      <c r="E142" s="37">
        <f>'13. Desinvesteringen'!D144</f>
        <v>1967</v>
      </c>
      <c r="F142" s="42">
        <f>'13. Desinvesteringen'!E144</f>
        <v>190675.34999999998</v>
      </c>
      <c r="G142" s="37">
        <f>'13. Desinvesteringen'!G144</f>
        <v>2021</v>
      </c>
    </row>
    <row r="143" spans="2:7" s="3" customFormat="1">
      <c r="B143" s="37">
        <f>'13. Desinvesteringen'!B145</f>
        <v>126</v>
      </c>
      <c r="D143" s="37" t="str">
        <f>'13. Desinvesteringen'!C145</f>
        <v>01 Regionale leidingen</v>
      </c>
      <c r="E143" s="37">
        <f>'13. Desinvesteringen'!D145</f>
        <v>1968</v>
      </c>
      <c r="F143" s="42">
        <f>'13. Desinvesteringen'!E145</f>
        <v>99063.760000000009</v>
      </c>
      <c r="G143" s="37">
        <f>'13. Desinvesteringen'!G145</f>
        <v>2021</v>
      </c>
    </row>
    <row r="144" spans="2:7" s="3" customFormat="1">
      <c r="B144" s="37">
        <f>'13. Desinvesteringen'!B146</f>
        <v>127</v>
      </c>
      <c r="D144" s="37" t="str">
        <f>'13. Desinvesteringen'!C146</f>
        <v>01 Regionale leidingen</v>
      </c>
      <c r="E144" s="37">
        <f>'13. Desinvesteringen'!D146</f>
        <v>1969</v>
      </c>
      <c r="F144" s="42">
        <f>'13. Desinvesteringen'!E146</f>
        <v>91756</v>
      </c>
      <c r="G144" s="37">
        <f>'13. Desinvesteringen'!G146</f>
        <v>2021</v>
      </c>
    </row>
    <row r="145" spans="2:7" s="3" customFormat="1">
      <c r="B145" s="37">
        <f>'13. Desinvesteringen'!B147</f>
        <v>128</v>
      </c>
      <c r="D145" s="37" t="str">
        <f>'13. Desinvesteringen'!C147</f>
        <v>01 Regionale leidingen</v>
      </c>
      <c r="E145" s="37">
        <f>'13. Desinvesteringen'!D147</f>
        <v>1970</v>
      </c>
      <c r="F145" s="42">
        <f>'13. Desinvesteringen'!E147</f>
        <v>226775.59999999998</v>
      </c>
      <c r="G145" s="37">
        <f>'13. Desinvesteringen'!G147</f>
        <v>2021</v>
      </c>
    </row>
    <row r="146" spans="2:7" s="3" customFormat="1">
      <c r="B146" s="37">
        <f>'13. Desinvesteringen'!B148</f>
        <v>129</v>
      </c>
      <c r="D146" s="37" t="str">
        <f>'13. Desinvesteringen'!C148</f>
        <v>01 Regionale leidingen</v>
      </c>
      <c r="E146" s="37">
        <f>'13. Desinvesteringen'!D148</f>
        <v>1971</v>
      </c>
      <c r="F146" s="42">
        <f>'13. Desinvesteringen'!E148</f>
        <v>280880.57</v>
      </c>
      <c r="G146" s="37">
        <f>'13. Desinvesteringen'!G148</f>
        <v>2021</v>
      </c>
    </row>
    <row r="147" spans="2:7" s="3" customFormat="1">
      <c r="B147" s="37">
        <f>'13. Desinvesteringen'!B149</f>
        <v>130</v>
      </c>
      <c r="D147" s="37" t="str">
        <f>'13. Desinvesteringen'!C149</f>
        <v>01 Regionale leidingen</v>
      </c>
      <c r="E147" s="37">
        <f>'13. Desinvesteringen'!D149</f>
        <v>1972</v>
      </c>
      <c r="F147" s="42">
        <f>'13. Desinvesteringen'!E149</f>
        <v>113518.65</v>
      </c>
      <c r="G147" s="37">
        <f>'13. Desinvesteringen'!G149</f>
        <v>2021</v>
      </c>
    </row>
    <row r="148" spans="2:7" s="3" customFormat="1">
      <c r="B148" s="37">
        <f>'13. Desinvesteringen'!B150</f>
        <v>131</v>
      </c>
      <c r="D148" s="37" t="str">
        <f>'13. Desinvesteringen'!C150</f>
        <v>01 Regionale leidingen</v>
      </c>
      <c r="E148" s="37">
        <f>'13. Desinvesteringen'!D150</f>
        <v>1973</v>
      </c>
      <c r="F148" s="42">
        <f>'13. Desinvesteringen'!E150</f>
        <v>71403.600000000006</v>
      </c>
      <c r="G148" s="37">
        <f>'13. Desinvesteringen'!G150</f>
        <v>2021</v>
      </c>
    </row>
    <row r="149" spans="2:7" s="3" customFormat="1">
      <c r="B149" s="37">
        <f>'13. Desinvesteringen'!B151</f>
        <v>132</v>
      </c>
      <c r="D149" s="37" t="str">
        <f>'13. Desinvesteringen'!C151</f>
        <v>01 Regionale leidingen</v>
      </c>
      <c r="E149" s="37">
        <f>'13. Desinvesteringen'!D151</f>
        <v>1975</v>
      </c>
      <c r="F149" s="42">
        <f>'13. Desinvesteringen'!E151</f>
        <v>19198.080000000002</v>
      </c>
      <c r="G149" s="37">
        <f>'13. Desinvesteringen'!G151</f>
        <v>2021</v>
      </c>
    </row>
    <row r="150" spans="2:7" s="3" customFormat="1">
      <c r="B150" s="37">
        <f>'13. Desinvesteringen'!B152</f>
        <v>133</v>
      </c>
      <c r="D150" s="37" t="str">
        <f>'13. Desinvesteringen'!C152</f>
        <v>01 Regionale leidingen</v>
      </c>
      <c r="E150" s="37">
        <f>'13. Desinvesteringen'!D152</f>
        <v>1979</v>
      </c>
      <c r="F150" s="42">
        <f>'13. Desinvesteringen'!E152</f>
        <v>42081.31</v>
      </c>
      <c r="G150" s="37">
        <f>'13. Desinvesteringen'!G152</f>
        <v>2021</v>
      </c>
    </row>
    <row r="151" spans="2:7" s="3" customFormat="1">
      <c r="B151" s="37">
        <f>'13. Desinvesteringen'!B153</f>
        <v>134</v>
      </c>
      <c r="D151" s="37" t="str">
        <f>'13. Desinvesteringen'!C153</f>
        <v>01 Regionale leidingen</v>
      </c>
      <c r="E151" s="37">
        <f>'13. Desinvesteringen'!D153</f>
        <v>1991</v>
      </c>
      <c r="F151" s="42">
        <f>'13. Desinvesteringen'!E153</f>
        <v>38721.65</v>
      </c>
      <c r="G151" s="37">
        <f>'13. Desinvesteringen'!G153</f>
        <v>2021</v>
      </c>
    </row>
    <row r="152" spans="2:7" s="3" customFormat="1">
      <c r="B152" s="37">
        <f>'13. Desinvesteringen'!B154</f>
        <v>135</v>
      </c>
      <c r="D152" s="37" t="str">
        <f>'13. Desinvesteringen'!C154</f>
        <v>01 Regionale leidingen</v>
      </c>
      <c r="E152" s="37">
        <f>'13. Desinvesteringen'!D154</f>
        <v>1992</v>
      </c>
      <c r="F152" s="42">
        <f>'13. Desinvesteringen'!E154</f>
        <v>55514.82</v>
      </c>
      <c r="G152" s="37">
        <f>'13. Desinvesteringen'!G154</f>
        <v>2021</v>
      </c>
    </row>
    <row r="153" spans="2:7" s="3" customFormat="1">
      <c r="B153" s="37">
        <f>'13. Desinvesteringen'!B155</f>
        <v>136</v>
      </c>
      <c r="D153" s="37" t="str">
        <f>'13. Desinvesteringen'!C155</f>
        <v>01 Regionale leidingen</v>
      </c>
      <c r="E153" s="37">
        <f>'13. Desinvesteringen'!D155</f>
        <v>1994</v>
      </c>
      <c r="F153" s="42">
        <f>'13. Desinvesteringen'!E155</f>
        <v>23050.77</v>
      </c>
      <c r="G153" s="37">
        <f>'13. Desinvesteringen'!G155</f>
        <v>2021</v>
      </c>
    </row>
    <row r="154" spans="2:7" s="3" customFormat="1">
      <c r="B154" s="37">
        <f>'13. Desinvesteringen'!B156</f>
        <v>137</v>
      </c>
      <c r="D154" s="37" t="str">
        <f>'13. Desinvesteringen'!C156</f>
        <v>01 Regionale leidingen</v>
      </c>
      <c r="E154" s="37">
        <f>'13. Desinvesteringen'!D156</f>
        <v>1997</v>
      </c>
      <c r="F154" s="42">
        <f>'13. Desinvesteringen'!E156</f>
        <v>27362.14</v>
      </c>
      <c r="G154" s="37">
        <f>'13. Desinvesteringen'!G156</f>
        <v>2021</v>
      </c>
    </row>
    <row r="155" spans="2:7" s="3" customFormat="1">
      <c r="B155" s="37">
        <f>'13. Desinvesteringen'!B157</f>
        <v>138</v>
      </c>
      <c r="D155" s="37" t="str">
        <f>'13. Desinvesteringen'!C157</f>
        <v>01 Regionale leidingen</v>
      </c>
      <c r="E155" s="37">
        <f>'13. Desinvesteringen'!D157</f>
        <v>2004</v>
      </c>
      <c r="F155" s="42">
        <f>'13. Desinvesteringen'!E157</f>
        <v>151657.73000000001</v>
      </c>
      <c r="G155" s="37">
        <f>'13. Desinvesteringen'!G157</f>
        <v>2021</v>
      </c>
    </row>
    <row r="156" spans="2:7" s="3" customFormat="1">
      <c r="B156" s="37">
        <f>'13. Desinvesteringen'!B158</f>
        <v>139</v>
      </c>
      <c r="D156" s="37" t="str">
        <f>'13. Desinvesteringen'!C158</f>
        <v>01 Regionale leidingen</v>
      </c>
      <c r="E156" s="37">
        <f>'13. Desinvesteringen'!D158</f>
        <v>2007</v>
      </c>
      <c r="F156" s="42">
        <f>'13. Desinvesteringen'!E158</f>
        <v>2827.55</v>
      </c>
      <c r="G156" s="37">
        <f>'13. Desinvesteringen'!G158</f>
        <v>2021</v>
      </c>
    </row>
    <row r="157" spans="2:7" s="3" customFormat="1">
      <c r="B157" s="37">
        <f>'13. Desinvesteringen'!B159</f>
        <v>140</v>
      </c>
      <c r="D157" s="37" t="str">
        <f>'13. Desinvesteringen'!C159</f>
        <v>01 Regionale leidingen</v>
      </c>
      <c r="E157" s="37">
        <f>'13. Desinvesteringen'!D159</f>
        <v>2009</v>
      </c>
      <c r="F157" s="42">
        <f>'13. Desinvesteringen'!E159</f>
        <v>124313.99</v>
      </c>
      <c r="G157" s="37">
        <f>'13. Desinvesteringen'!G159</f>
        <v>2021</v>
      </c>
    </row>
    <row r="158" spans="2:7" s="3" customFormat="1">
      <c r="B158" s="37">
        <f>'13. Desinvesteringen'!B160</f>
        <v>141</v>
      </c>
      <c r="D158" s="37" t="str">
        <f>'13. Desinvesteringen'!C160</f>
        <v>01 Regionale leidingen</v>
      </c>
      <c r="E158" s="37">
        <f>'13. Desinvesteringen'!D160</f>
        <v>2010</v>
      </c>
      <c r="F158" s="42">
        <f>'13. Desinvesteringen'!E160</f>
        <v>268395.78855748021</v>
      </c>
      <c r="G158" s="37">
        <f>'13. Desinvesteringen'!G160</f>
        <v>2021</v>
      </c>
    </row>
    <row r="159" spans="2:7" s="3" customFormat="1">
      <c r="B159" s="37">
        <f>'13. Desinvesteringen'!B161</f>
        <v>142</v>
      </c>
      <c r="D159" s="37" t="str">
        <f>'13. Desinvesteringen'!C161</f>
        <v>01 Regionale leidingen</v>
      </c>
      <c r="E159" s="37">
        <f>'13. Desinvesteringen'!D161</f>
        <v>2011</v>
      </c>
      <c r="F159" s="42">
        <f>'13. Desinvesteringen'!E161</f>
        <v>64375.815051532467</v>
      </c>
      <c r="G159" s="37">
        <f>'13. Desinvesteringen'!G161</f>
        <v>2021</v>
      </c>
    </row>
    <row r="160" spans="2:7" s="3" customFormat="1">
      <c r="B160" s="37">
        <f>'13. Desinvesteringen'!B162</f>
        <v>143</v>
      </c>
      <c r="D160" s="37" t="str">
        <f>'13. Desinvesteringen'!C162</f>
        <v>01 Regionale leidingen</v>
      </c>
      <c r="E160" s="37">
        <f>'13. Desinvesteringen'!D162</f>
        <v>2013</v>
      </c>
      <c r="F160" s="42">
        <f>'13. Desinvesteringen'!E162</f>
        <v>398931.4021603408</v>
      </c>
      <c r="G160" s="37">
        <f>'13. Desinvesteringen'!G162</f>
        <v>2021</v>
      </c>
    </row>
    <row r="161" spans="2:7" s="3" customFormat="1">
      <c r="B161" s="37">
        <f>'13. Desinvesteringen'!B163</f>
        <v>144</v>
      </c>
      <c r="D161" s="37" t="str">
        <f>'13. Desinvesteringen'!C163</f>
        <v>01 Regionale leidingen</v>
      </c>
      <c r="E161" s="37">
        <f>'13. Desinvesteringen'!D163</f>
        <v>2014</v>
      </c>
      <c r="F161" s="42">
        <f>'13. Desinvesteringen'!E163</f>
        <v>536.92166709422554</v>
      </c>
      <c r="G161" s="37">
        <f>'13. Desinvesteringen'!G163</f>
        <v>2021</v>
      </c>
    </row>
    <row r="162" spans="2:7" s="3" customFormat="1">
      <c r="B162" s="37">
        <f>'13. Desinvesteringen'!B164</f>
        <v>145</v>
      </c>
      <c r="D162" s="37" t="str">
        <f>'13. Desinvesteringen'!C164</f>
        <v>01 Regionale leidingen</v>
      </c>
      <c r="E162" s="37">
        <f>'13. Desinvesteringen'!D164</f>
        <v>2018</v>
      </c>
      <c r="F162" s="42">
        <f>'13. Desinvesteringen'!E164</f>
        <v>1020326.7510328252</v>
      </c>
      <c r="G162" s="37">
        <f>'13. Desinvesteringen'!G164</f>
        <v>2021</v>
      </c>
    </row>
    <row r="163" spans="2:7" s="3" customFormat="1">
      <c r="B163" s="37">
        <f>'13. Desinvesteringen'!B165</f>
        <v>146</v>
      </c>
      <c r="D163" s="37" t="str">
        <f>'13. Desinvesteringen'!C165</f>
        <v>01 Regionale leidingen</v>
      </c>
      <c r="E163" s="37">
        <f>'13. Desinvesteringen'!D165</f>
        <v>2019</v>
      </c>
      <c r="F163" s="42">
        <f>'13. Desinvesteringen'!E165</f>
        <v>11951.372469743606</v>
      </c>
      <c r="G163" s="37">
        <f>'13. Desinvesteringen'!G165</f>
        <v>2021</v>
      </c>
    </row>
    <row r="164" spans="2:7" s="3" customFormat="1">
      <c r="B164" s="37">
        <f>'13. Desinvesteringen'!B166</f>
        <v>147</v>
      </c>
      <c r="D164" s="37" t="str">
        <f>'13. Desinvesteringen'!C166</f>
        <v>02 Gasontvangststations</v>
      </c>
      <c r="E164" s="37">
        <f>'13. Desinvesteringen'!D166</f>
        <v>1965</v>
      </c>
      <c r="F164" s="42">
        <f>'13. Desinvesteringen'!E166</f>
        <v>37085.920000000006</v>
      </c>
      <c r="G164" s="37">
        <f>'13. Desinvesteringen'!G166</f>
        <v>2021</v>
      </c>
    </row>
    <row r="165" spans="2:7" s="3" customFormat="1">
      <c r="B165" s="37">
        <f>'13. Desinvesteringen'!B167</f>
        <v>148</v>
      </c>
      <c r="D165" s="37" t="str">
        <f>'13. Desinvesteringen'!C167</f>
        <v>02 Gasontvangststations</v>
      </c>
      <c r="E165" s="37">
        <f>'13. Desinvesteringen'!D167</f>
        <v>1966</v>
      </c>
      <c r="F165" s="42">
        <f>'13. Desinvesteringen'!E167</f>
        <v>191229.55</v>
      </c>
      <c r="G165" s="37">
        <f>'13. Desinvesteringen'!G167</f>
        <v>2021</v>
      </c>
    </row>
    <row r="166" spans="2:7" s="3" customFormat="1">
      <c r="B166" s="37">
        <f>'13. Desinvesteringen'!B168</f>
        <v>149</v>
      </c>
      <c r="D166" s="37" t="str">
        <f>'13. Desinvesteringen'!C168</f>
        <v>02 Gasontvangststations</v>
      </c>
      <c r="E166" s="37">
        <f>'13. Desinvesteringen'!D168</f>
        <v>1967</v>
      </c>
      <c r="F166" s="42">
        <f>'13. Desinvesteringen'!E168</f>
        <v>221505.32</v>
      </c>
      <c r="G166" s="37">
        <f>'13. Desinvesteringen'!G168</f>
        <v>2021</v>
      </c>
    </row>
    <row r="167" spans="2:7" s="3" customFormat="1">
      <c r="B167" s="37">
        <f>'13. Desinvesteringen'!B169</f>
        <v>150</v>
      </c>
      <c r="D167" s="37" t="str">
        <f>'13. Desinvesteringen'!C169</f>
        <v>02 Gasontvangststations</v>
      </c>
      <c r="E167" s="37">
        <f>'13. Desinvesteringen'!D169</f>
        <v>1968</v>
      </c>
      <c r="F167" s="42">
        <f>'13. Desinvesteringen'!E169</f>
        <v>138671.18999999997</v>
      </c>
      <c r="G167" s="37">
        <f>'13. Desinvesteringen'!G169</f>
        <v>2021</v>
      </c>
    </row>
    <row r="168" spans="2:7" s="3" customFormat="1">
      <c r="B168" s="37">
        <f>'13. Desinvesteringen'!B170</f>
        <v>151</v>
      </c>
      <c r="D168" s="37" t="str">
        <f>'13. Desinvesteringen'!C170</f>
        <v>02 Gasontvangststations</v>
      </c>
      <c r="E168" s="37">
        <f>'13. Desinvesteringen'!D170</f>
        <v>1969</v>
      </c>
      <c r="F168" s="42">
        <f>'13. Desinvesteringen'!E170</f>
        <v>252663.02</v>
      </c>
      <c r="G168" s="37">
        <f>'13. Desinvesteringen'!G170</f>
        <v>2021</v>
      </c>
    </row>
    <row r="169" spans="2:7" s="3" customFormat="1">
      <c r="B169" s="37">
        <f>'13. Desinvesteringen'!B171</f>
        <v>152</v>
      </c>
      <c r="D169" s="37" t="str">
        <f>'13. Desinvesteringen'!C171</f>
        <v>02 Gasontvangststations</v>
      </c>
      <c r="E169" s="37">
        <f>'13. Desinvesteringen'!D171</f>
        <v>1970</v>
      </c>
      <c r="F169" s="42">
        <f>'13. Desinvesteringen'!E171</f>
        <v>111949.98</v>
      </c>
      <c r="G169" s="37">
        <f>'13. Desinvesteringen'!G171</f>
        <v>2021</v>
      </c>
    </row>
    <row r="170" spans="2:7" s="3" customFormat="1">
      <c r="B170" s="37">
        <f>'13. Desinvesteringen'!B172</f>
        <v>153</v>
      </c>
      <c r="D170" s="37" t="str">
        <f>'13. Desinvesteringen'!C172</f>
        <v>02 Gasontvangststations</v>
      </c>
      <c r="E170" s="37">
        <f>'13. Desinvesteringen'!D172</f>
        <v>1971</v>
      </c>
      <c r="F170" s="42">
        <f>'13. Desinvesteringen'!E172</f>
        <v>158788.27000000002</v>
      </c>
      <c r="G170" s="37">
        <f>'13. Desinvesteringen'!G172</f>
        <v>2021</v>
      </c>
    </row>
    <row r="171" spans="2:7" s="3" customFormat="1">
      <c r="B171" s="37">
        <f>'13. Desinvesteringen'!B173</f>
        <v>154</v>
      </c>
      <c r="D171" s="37" t="str">
        <f>'13. Desinvesteringen'!C173</f>
        <v>02 Gasontvangststations</v>
      </c>
      <c r="E171" s="37">
        <f>'13. Desinvesteringen'!D173</f>
        <v>1972</v>
      </c>
      <c r="F171" s="42">
        <f>'13. Desinvesteringen'!E173</f>
        <v>241793.13</v>
      </c>
      <c r="G171" s="37">
        <f>'13. Desinvesteringen'!G173</f>
        <v>2021</v>
      </c>
    </row>
    <row r="172" spans="2:7" s="3" customFormat="1">
      <c r="B172" s="37">
        <f>'13. Desinvesteringen'!B174</f>
        <v>155</v>
      </c>
      <c r="D172" s="37" t="str">
        <f>'13. Desinvesteringen'!C174</f>
        <v>02 Gasontvangststations</v>
      </c>
      <c r="E172" s="37">
        <f>'13. Desinvesteringen'!D174</f>
        <v>1973</v>
      </c>
      <c r="F172" s="42">
        <f>'13. Desinvesteringen'!E174</f>
        <v>16917.16</v>
      </c>
      <c r="G172" s="37">
        <f>'13. Desinvesteringen'!G174</f>
        <v>2021</v>
      </c>
    </row>
    <row r="173" spans="2:7" s="3" customFormat="1">
      <c r="B173" s="37">
        <f>'13. Desinvesteringen'!B175</f>
        <v>156</v>
      </c>
      <c r="D173" s="37" t="str">
        <f>'13. Desinvesteringen'!C175</f>
        <v>02 Gasontvangststations</v>
      </c>
      <c r="E173" s="37">
        <f>'13. Desinvesteringen'!D175</f>
        <v>1974</v>
      </c>
      <c r="F173" s="42">
        <f>'13. Desinvesteringen'!E175</f>
        <v>19498.32</v>
      </c>
      <c r="G173" s="37">
        <f>'13. Desinvesteringen'!G175</f>
        <v>2021</v>
      </c>
    </row>
    <row r="174" spans="2:7" s="3" customFormat="1">
      <c r="B174" s="37">
        <f>'13. Desinvesteringen'!B176</f>
        <v>157</v>
      </c>
      <c r="D174" s="37" t="str">
        <f>'13. Desinvesteringen'!C176</f>
        <v>02 Gasontvangststations</v>
      </c>
      <c r="E174" s="37">
        <f>'13. Desinvesteringen'!D176</f>
        <v>1975</v>
      </c>
      <c r="F174" s="42">
        <f>'13. Desinvesteringen'!E176</f>
        <v>136362.09</v>
      </c>
      <c r="G174" s="37">
        <f>'13. Desinvesteringen'!G176</f>
        <v>2021</v>
      </c>
    </row>
    <row r="175" spans="2:7" s="3" customFormat="1">
      <c r="B175" s="37">
        <f>'13. Desinvesteringen'!B177</f>
        <v>158</v>
      </c>
      <c r="D175" s="37" t="str">
        <f>'13. Desinvesteringen'!C177</f>
        <v>02 Gasontvangststations</v>
      </c>
      <c r="E175" s="37">
        <f>'13. Desinvesteringen'!D177</f>
        <v>1976</v>
      </c>
      <c r="F175" s="42">
        <f>'13. Desinvesteringen'!E177</f>
        <v>95438.5</v>
      </c>
      <c r="G175" s="37">
        <f>'13. Desinvesteringen'!G177</f>
        <v>2021</v>
      </c>
    </row>
    <row r="176" spans="2:7" s="3" customFormat="1">
      <c r="B176" s="37">
        <f>'13. Desinvesteringen'!B178</f>
        <v>159</v>
      </c>
      <c r="D176" s="37" t="str">
        <f>'13. Desinvesteringen'!C178</f>
        <v>02 Gasontvangststations</v>
      </c>
      <c r="E176" s="37">
        <f>'13. Desinvesteringen'!D178</f>
        <v>1977</v>
      </c>
      <c r="F176" s="42">
        <f>'13. Desinvesteringen'!E178</f>
        <v>60014.03</v>
      </c>
      <c r="G176" s="37">
        <f>'13. Desinvesteringen'!G178</f>
        <v>2021</v>
      </c>
    </row>
    <row r="177" spans="2:7" s="3" customFormat="1">
      <c r="B177" s="37">
        <f>'13. Desinvesteringen'!B179</f>
        <v>160</v>
      </c>
      <c r="D177" s="37" t="str">
        <f>'13. Desinvesteringen'!C179</f>
        <v>02 Gasontvangststations</v>
      </c>
      <c r="E177" s="37">
        <f>'13. Desinvesteringen'!D179</f>
        <v>1978</v>
      </c>
      <c r="F177" s="42">
        <f>'13. Desinvesteringen'!E179</f>
        <v>16510.61</v>
      </c>
      <c r="G177" s="37">
        <f>'13. Desinvesteringen'!G179</f>
        <v>2021</v>
      </c>
    </row>
    <row r="178" spans="2:7" s="3" customFormat="1">
      <c r="B178" s="37">
        <f>'13. Desinvesteringen'!B180</f>
        <v>161</v>
      </c>
      <c r="D178" s="37" t="str">
        <f>'13. Desinvesteringen'!C180</f>
        <v>02 Gasontvangststations</v>
      </c>
      <c r="E178" s="37">
        <f>'13. Desinvesteringen'!D180</f>
        <v>1979</v>
      </c>
      <c r="F178" s="42">
        <f>'13. Desinvesteringen'!E180</f>
        <v>38157.51</v>
      </c>
      <c r="G178" s="37">
        <f>'13. Desinvesteringen'!G180</f>
        <v>2021</v>
      </c>
    </row>
    <row r="179" spans="2:7" s="3" customFormat="1">
      <c r="B179" s="37">
        <f>'13. Desinvesteringen'!B181</f>
        <v>162</v>
      </c>
      <c r="D179" s="37" t="str">
        <f>'13. Desinvesteringen'!C181</f>
        <v>02 Gasontvangststations</v>
      </c>
      <c r="E179" s="37">
        <f>'13. Desinvesteringen'!D181</f>
        <v>1986</v>
      </c>
      <c r="F179" s="42">
        <f>'13. Desinvesteringen'!E181</f>
        <v>109742.65</v>
      </c>
      <c r="G179" s="37">
        <f>'13. Desinvesteringen'!G181</f>
        <v>2021</v>
      </c>
    </row>
    <row r="180" spans="2:7" s="3" customFormat="1">
      <c r="B180" s="37">
        <f>'13. Desinvesteringen'!B182</f>
        <v>163</v>
      </c>
      <c r="D180" s="37" t="str">
        <f>'13. Desinvesteringen'!C182</f>
        <v>02 Gasontvangststations</v>
      </c>
      <c r="E180" s="37">
        <f>'13. Desinvesteringen'!D182</f>
        <v>1989</v>
      </c>
      <c r="F180" s="42">
        <f>'13. Desinvesteringen'!E182</f>
        <v>13251.86</v>
      </c>
      <c r="G180" s="37">
        <f>'13. Desinvesteringen'!G182</f>
        <v>2021</v>
      </c>
    </row>
    <row r="181" spans="2:7" s="3" customFormat="1">
      <c r="B181" s="37">
        <f>'13. Desinvesteringen'!B183</f>
        <v>164</v>
      </c>
      <c r="D181" s="37" t="str">
        <f>'13. Desinvesteringen'!C183</f>
        <v>02 Gasontvangststations</v>
      </c>
      <c r="E181" s="37">
        <f>'13. Desinvesteringen'!D183</f>
        <v>1991</v>
      </c>
      <c r="F181" s="42">
        <f>'13. Desinvesteringen'!E183</f>
        <v>8107.24</v>
      </c>
      <c r="G181" s="37">
        <f>'13. Desinvesteringen'!G183</f>
        <v>2021</v>
      </c>
    </row>
    <row r="182" spans="2:7" s="3" customFormat="1">
      <c r="B182" s="37">
        <f>'13. Desinvesteringen'!B184</f>
        <v>165</v>
      </c>
      <c r="D182" s="37" t="str">
        <f>'13. Desinvesteringen'!C184</f>
        <v>02 Gasontvangststations</v>
      </c>
      <c r="E182" s="37">
        <f>'13. Desinvesteringen'!D184</f>
        <v>1992</v>
      </c>
      <c r="F182" s="42">
        <f>'13. Desinvesteringen'!E184</f>
        <v>876626.98</v>
      </c>
      <c r="G182" s="37">
        <f>'13. Desinvesteringen'!G184</f>
        <v>2021</v>
      </c>
    </row>
    <row r="183" spans="2:7" s="3" customFormat="1">
      <c r="B183" s="37">
        <f>'13. Desinvesteringen'!B185</f>
        <v>166</v>
      </c>
      <c r="D183" s="37" t="str">
        <f>'13. Desinvesteringen'!C185</f>
        <v>02 Gasontvangststations</v>
      </c>
      <c r="E183" s="37">
        <f>'13. Desinvesteringen'!D185</f>
        <v>1993</v>
      </c>
      <c r="F183" s="42">
        <f>'13. Desinvesteringen'!E185</f>
        <v>6193.19</v>
      </c>
      <c r="G183" s="37">
        <f>'13. Desinvesteringen'!G185</f>
        <v>2021</v>
      </c>
    </row>
    <row r="184" spans="2:7" s="3" customFormat="1">
      <c r="B184" s="37">
        <f>'13. Desinvesteringen'!B186</f>
        <v>167</v>
      </c>
      <c r="D184" s="37" t="str">
        <f>'13. Desinvesteringen'!C186</f>
        <v>02 Gasontvangststations</v>
      </c>
      <c r="E184" s="37">
        <f>'13. Desinvesteringen'!D186</f>
        <v>1995</v>
      </c>
      <c r="F184" s="42">
        <f>'13. Desinvesteringen'!E186</f>
        <v>8440.31</v>
      </c>
      <c r="G184" s="37">
        <f>'13. Desinvesteringen'!G186</f>
        <v>2021</v>
      </c>
    </row>
    <row r="185" spans="2:7" s="3" customFormat="1">
      <c r="B185" s="37">
        <f>'13. Desinvesteringen'!B187</f>
        <v>168</v>
      </c>
      <c r="D185" s="37" t="str">
        <f>'13. Desinvesteringen'!C187</f>
        <v>02 Gasontvangststations</v>
      </c>
      <c r="E185" s="37">
        <f>'13. Desinvesteringen'!D187</f>
        <v>1996</v>
      </c>
      <c r="F185" s="42">
        <f>'13. Desinvesteringen'!E187</f>
        <v>6633.93</v>
      </c>
      <c r="G185" s="37">
        <f>'13. Desinvesteringen'!G187</f>
        <v>2021</v>
      </c>
    </row>
    <row r="186" spans="2:7" s="3" customFormat="1">
      <c r="B186" s="37">
        <f>'13. Desinvesteringen'!B188</f>
        <v>169</v>
      </c>
      <c r="D186" s="37" t="str">
        <f>'13. Desinvesteringen'!C188</f>
        <v>02 Gasontvangststations</v>
      </c>
      <c r="E186" s="37">
        <f>'13. Desinvesteringen'!D188</f>
        <v>1998</v>
      </c>
      <c r="F186" s="42">
        <f>'13. Desinvesteringen'!E188</f>
        <v>10371.369999999999</v>
      </c>
      <c r="G186" s="37">
        <f>'13. Desinvesteringen'!G188</f>
        <v>2021</v>
      </c>
    </row>
    <row r="187" spans="2:7" s="3" customFormat="1">
      <c r="B187" s="37">
        <f>'13. Desinvesteringen'!B189</f>
        <v>170</v>
      </c>
      <c r="D187" s="37" t="str">
        <f>'13. Desinvesteringen'!C189</f>
        <v>02 Gasontvangststations</v>
      </c>
      <c r="E187" s="37">
        <f>'13. Desinvesteringen'!D189</f>
        <v>1999</v>
      </c>
      <c r="F187" s="42">
        <f>'13. Desinvesteringen'!E189</f>
        <v>4737.3</v>
      </c>
      <c r="G187" s="37">
        <f>'13. Desinvesteringen'!G189</f>
        <v>2021</v>
      </c>
    </row>
    <row r="188" spans="2:7" s="3" customFormat="1">
      <c r="B188" s="37">
        <f>'13. Desinvesteringen'!B190</f>
        <v>171</v>
      </c>
      <c r="D188" s="37" t="str">
        <f>'13. Desinvesteringen'!C190</f>
        <v>02 Gasontvangststations</v>
      </c>
      <c r="E188" s="37">
        <f>'13. Desinvesteringen'!D190</f>
        <v>2002</v>
      </c>
      <c r="F188" s="42">
        <f>'13. Desinvesteringen'!E190</f>
        <v>49679.41</v>
      </c>
      <c r="G188" s="37">
        <f>'13. Desinvesteringen'!G190</f>
        <v>2021</v>
      </c>
    </row>
    <row r="189" spans="2:7" s="3" customFormat="1">
      <c r="B189" s="37">
        <f>'13. Desinvesteringen'!B191</f>
        <v>172</v>
      </c>
      <c r="D189" s="37" t="str">
        <f>'13. Desinvesteringen'!C191</f>
        <v>02 Gasontvangststations</v>
      </c>
      <c r="E189" s="37">
        <f>'13. Desinvesteringen'!D191</f>
        <v>2003</v>
      </c>
      <c r="F189" s="42">
        <f>'13. Desinvesteringen'!E191</f>
        <v>42948.94</v>
      </c>
      <c r="G189" s="37">
        <f>'13. Desinvesteringen'!G191</f>
        <v>2021</v>
      </c>
    </row>
    <row r="190" spans="2:7" s="3" customFormat="1">
      <c r="B190" s="37">
        <f>'13. Desinvesteringen'!B192</f>
        <v>173</v>
      </c>
      <c r="D190" s="37" t="str">
        <f>'13. Desinvesteringen'!C192</f>
        <v>02 Gasontvangststations</v>
      </c>
      <c r="E190" s="37">
        <f>'13. Desinvesteringen'!D192</f>
        <v>2005</v>
      </c>
      <c r="F190" s="42">
        <f>'13. Desinvesteringen'!E192</f>
        <v>108188.81</v>
      </c>
      <c r="G190" s="37">
        <f>'13. Desinvesteringen'!G192</f>
        <v>2021</v>
      </c>
    </row>
    <row r="191" spans="2:7" s="3" customFormat="1">
      <c r="B191" s="37">
        <f>'13. Desinvesteringen'!B193</f>
        <v>174</v>
      </c>
      <c r="D191" s="37" t="str">
        <f>'13. Desinvesteringen'!C193</f>
        <v>02 Gasontvangststations</v>
      </c>
      <c r="E191" s="37">
        <f>'13. Desinvesteringen'!D193</f>
        <v>2007</v>
      </c>
      <c r="F191" s="42">
        <f>'13. Desinvesteringen'!E193</f>
        <v>209399.48</v>
      </c>
      <c r="G191" s="37">
        <f>'13. Desinvesteringen'!G193</f>
        <v>2021</v>
      </c>
    </row>
    <row r="192" spans="2:7" s="3" customFormat="1">
      <c r="B192" s="37">
        <f>'13. Desinvesteringen'!B194</f>
        <v>175</v>
      </c>
      <c r="D192" s="37" t="str">
        <f>'13. Desinvesteringen'!C194</f>
        <v>02 Gasontvangststations</v>
      </c>
      <c r="E192" s="37">
        <f>'13. Desinvesteringen'!D194</f>
        <v>2011</v>
      </c>
      <c r="F192" s="42">
        <f>'13. Desinvesteringen'!E194</f>
        <v>326231.77348609408</v>
      </c>
      <c r="G192" s="37">
        <f>'13. Desinvesteringen'!G194</f>
        <v>2021</v>
      </c>
    </row>
    <row r="193" spans="2:7" s="3" customFormat="1">
      <c r="B193" s="37">
        <f>'13. Desinvesteringen'!B195</f>
        <v>176</v>
      </c>
      <c r="D193" s="37" t="str">
        <f>'13. Desinvesteringen'!C195</f>
        <v>02 Gasontvangststations</v>
      </c>
      <c r="E193" s="37">
        <f>'13. Desinvesteringen'!D195</f>
        <v>2012</v>
      </c>
      <c r="F193" s="42">
        <f>'13. Desinvesteringen'!E195</f>
        <v>304764.16110630898</v>
      </c>
      <c r="G193" s="37">
        <f>'13. Desinvesteringen'!G195</f>
        <v>2021</v>
      </c>
    </row>
    <row r="194" spans="2:7" s="3" customFormat="1">
      <c r="B194" s="37">
        <f>'13. Desinvesteringen'!B196</f>
        <v>177</v>
      </c>
      <c r="D194" s="37" t="str">
        <f>'13. Desinvesteringen'!C196</f>
        <v>02 Gasontvangststations</v>
      </c>
      <c r="E194" s="37">
        <f>'13. Desinvesteringen'!D196</f>
        <v>2013</v>
      </c>
      <c r="F194" s="42">
        <f>'13. Desinvesteringen'!E196</f>
        <v>38943.678871327982</v>
      </c>
      <c r="G194" s="37">
        <f>'13. Desinvesteringen'!G196</f>
        <v>2021</v>
      </c>
    </row>
    <row r="195" spans="2:7" s="3" customFormat="1">
      <c r="B195" s="37">
        <f>'13. Desinvesteringen'!B197</f>
        <v>178</v>
      </c>
      <c r="D195" s="37" t="str">
        <f>'13. Desinvesteringen'!C197</f>
        <v>02 Gasontvangststations</v>
      </c>
      <c r="E195" s="37">
        <f>'13. Desinvesteringen'!D197</f>
        <v>2018</v>
      </c>
      <c r="F195" s="42">
        <f>'13. Desinvesteringen'!E197</f>
        <v>24781.746230975445</v>
      </c>
      <c r="G195" s="37">
        <f>'13. Desinvesteringen'!G197</f>
        <v>2021</v>
      </c>
    </row>
    <row r="196" spans="2:7" s="3" customFormat="1">
      <c r="B196" s="37">
        <f>'13. Desinvesteringen'!B198</f>
        <v>179</v>
      </c>
      <c r="D196" s="37" t="str">
        <f>'13. Desinvesteringen'!C198</f>
        <v>04 Terreinen</v>
      </c>
      <c r="E196" s="37">
        <f>'13. Desinvesteringen'!D198</f>
        <v>1956</v>
      </c>
      <c r="F196" s="42">
        <f>'13. Desinvesteringen'!E198</f>
        <v>10811.2</v>
      </c>
      <c r="G196" s="37">
        <f>'13. Desinvesteringen'!G198</f>
        <v>2021</v>
      </c>
    </row>
    <row r="197" spans="2:7" s="3" customFormat="1">
      <c r="B197" s="37">
        <f>'13. Desinvesteringen'!B199</f>
        <v>180</v>
      </c>
      <c r="D197" s="37" t="str">
        <f>'13. Desinvesteringen'!C199</f>
        <v>04 Terreinen</v>
      </c>
      <c r="E197" s="37">
        <f>'13. Desinvesteringen'!D199</f>
        <v>1968</v>
      </c>
      <c r="F197" s="42">
        <f>'13. Desinvesteringen'!E199</f>
        <v>73172.06</v>
      </c>
      <c r="G197" s="37">
        <f>'13. Desinvesteringen'!G199</f>
        <v>2021</v>
      </c>
    </row>
    <row r="198" spans="2:7" s="3" customFormat="1">
      <c r="B198" s="37">
        <f>'13. Desinvesteringen'!B200</f>
        <v>181</v>
      </c>
      <c r="D198" s="37" t="str">
        <f>'13. Desinvesteringen'!C200</f>
        <v>04 Terreinen</v>
      </c>
      <c r="E198" s="37">
        <f>'13. Desinvesteringen'!D200</f>
        <v>1979</v>
      </c>
      <c r="F198" s="42">
        <f>'13. Desinvesteringen'!E200</f>
        <v>1664.95</v>
      </c>
      <c r="G198" s="37">
        <f>'13. Desinvesteringen'!G200</f>
        <v>2021</v>
      </c>
    </row>
    <row r="199" spans="2:7" s="3" customFormat="1">
      <c r="B199" s="37">
        <f>'13. Desinvesteringen'!B201</f>
        <v>182</v>
      </c>
      <c r="D199" s="37" t="str">
        <f>'13. Desinvesteringen'!C201</f>
        <v>04 Terreinen</v>
      </c>
      <c r="E199" s="37">
        <f>'13. Desinvesteringen'!D201</f>
        <v>1986</v>
      </c>
      <c r="F199" s="42">
        <f>'13. Desinvesteringen'!E201</f>
        <v>216560.83000000002</v>
      </c>
      <c r="G199" s="37">
        <f>'13. Desinvesteringen'!G201</f>
        <v>2021</v>
      </c>
    </row>
    <row r="200" spans="2:7" s="3" customFormat="1">
      <c r="B200" s="37">
        <f>'13. Desinvesteringen'!B202</f>
        <v>183</v>
      </c>
      <c r="D200" s="37" t="str">
        <f>'13. Desinvesteringen'!C202</f>
        <v>04 Terreinen</v>
      </c>
      <c r="E200" s="37">
        <f>'13. Desinvesteringen'!D202</f>
        <v>2012</v>
      </c>
      <c r="F200" s="42">
        <f>'13. Desinvesteringen'!E202</f>
        <v>492468.36169150769</v>
      </c>
      <c r="G200" s="37">
        <f>'13. Desinvesteringen'!G202</f>
        <v>2021</v>
      </c>
    </row>
    <row r="201" spans="2:7" s="3" customFormat="1">
      <c r="B201" s="37">
        <f>'13. Desinvesteringen'!B203</f>
        <v>184</v>
      </c>
      <c r="D201" s="37" t="str">
        <f>'13. Desinvesteringen'!C203</f>
        <v>05 Wegen en terreinvoorzieningen</v>
      </c>
      <c r="E201" s="37">
        <f>'13. Desinvesteringen'!D203</f>
        <v>1998</v>
      </c>
      <c r="F201" s="42">
        <f>'13. Desinvesteringen'!E203</f>
        <v>95295.21</v>
      </c>
      <c r="G201" s="37">
        <f>'13. Desinvesteringen'!G203</f>
        <v>2021</v>
      </c>
    </row>
    <row r="202" spans="2:7" s="3" customFormat="1">
      <c r="B202" s="37">
        <f>'13. Desinvesteringen'!B204</f>
        <v>185</v>
      </c>
      <c r="D202" s="37" t="str">
        <f>'13. Desinvesteringen'!C204</f>
        <v>05 Wegen en terreinvoorzieningen</v>
      </c>
      <c r="E202" s="37">
        <f>'13. Desinvesteringen'!D204</f>
        <v>2007</v>
      </c>
      <c r="F202" s="42">
        <f>'13. Desinvesteringen'!E204</f>
        <v>13693.71</v>
      </c>
      <c r="G202" s="37">
        <f>'13. Desinvesteringen'!G204</f>
        <v>2021</v>
      </c>
    </row>
    <row r="203" spans="2:7" s="3" customFormat="1">
      <c r="B203" s="37">
        <f>'13. Desinvesteringen'!B205</f>
        <v>186</v>
      </c>
      <c r="D203" s="37" t="str">
        <f>'13. Desinvesteringen'!C205</f>
        <v>05 Wegen en terreinvoorzieningen</v>
      </c>
      <c r="E203" s="37">
        <f>'13. Desinvesteringen'!D205</f>
        <v>2016</v>
      </c>
      <c r="F203" s="42">
        <f>'13. Desinvesteringen'!E205</f>
        <v>32624.757655515543</v>
      </c>
      <c r="G203" s="37">
        <f>'13. Desinvesteringen'!G205</f>
        <v>2021</v>
      </c>
    </row>
    <row r="204" spans="2:7" s="3" customFormat="1">
      <c r="B204" s="37">
        <f>'13. Desinvesteringen'!B206</f>
        <v>187</v>
      </c>
      <c r="D204" s="37" t="str">
        <f>'13. Desinvesteringen'!C206</f>
        <v>05 Wegen en terreinvoorzieningen</v>
      </c>
      <c r="E204" s="37">
        <f>'13. Desinvesteringen'!D206</f>
        <v>2018</v>
      </c>
      <c r="F204" s="42">
        <f>'13. Desinvesteringen'!E206</f>
        <v>538732.54828671971</v>
      </c>
      <c r="G204" s="37">
        <f>'13. Desinvesteringen'!G206</f>
        <v>2021</v>
      </c>
    </row>
    <row r="205" spans="2:7" s="3" customFormat="1">
      <c r="B205" s="37">
        <f>'13. Desinvesteringen'!B207</f>
        <v>188</v>
      </c>
      <c r="D205" s="37" t="str">
        <f>'13. Desinvesteringen'!C207</f>
        <v>06 Utiliteitsgebouwen</v>
      </c>
      <c r="E205" s="37">
        <f>'13. Desinvesteringen'!D207</f>
        <v>1980</v>
      </c>
      <c r="F205" s="42">
        <f>'13. Desinvesteringen'!E207</f>
        <v>15535.76</v>
      </c>
      <c r="G205" s="37">
        <f>'13. Desinvesteringen'!G207</f>
        <v>2021</v>
      </c>
    </row>
    <row r="206" spans="2:7" s="3" customFormat="1">
      <c r="B206" s="37">
        <f>'13. Desinvesteringen'!B208</f>
        <v>189</v>
      </c>
      <c r="D206" s="37" t="str">
        <f>'13. Desinvesteringen'!C208</f>
        <v>06 Utiliteitsgebouwen</v>
      </c>
      <c r="E206" s="37">
        <f>'13. Desinvesteringen'!D208</f>
        <v>2005</v>
      </c>
      <c r="F206" s="42">
        <f>'13. Desinvesteringen'!E208</f>
        <v>95475</v>
      </c>
      <c r="G206" s="37">
        <f>'13. Desinvesteringen'!G208</f>
        <v>2021</v>
      </c>
    </row>
    <row r="207" spans="2:7" s="3" customFormat="1">
      <c r="B207" s="37">
        <f>'13. Desinvesteringen'!B209</f>
        <v>190</v>
      </c>
      <c r="D207" s="37" t="str">
        <f>'13. Desinvesteringen'!C209</f>
        <v>06 Utiliteitsgebouwen</v>
      </c>
      <c r="E207" s="37">
        <f>'13. Desinvesteringen'!D209</f>
        <v>2006</v>
      </c>
      <c r="F207" s="42">
        <f>'13. Desinvesteringen'!E209</f>
        <v>43750.75</v>
      </c>
      <c r="G207" s="37">
        <f>'13. Desinvesteringen'!G209</f>
        <v>2021</v>
      </c>
    </row>
    <row r="208" spans="2:7" s="3" customFormat="1">
      <c r="B208" s="37">
        <f>'13. Desinvesteringen'!B210</f>
        <v>191</v>
      </c>
      <c r="D208" s="37" t="str">
        <f>'13. Desinvesteringen'!C210</f>
        <v>06 Utiliteitsgebouwen</v>
      </c>
      <c r="E208" s="37">
        <f>'13. Desinvesteringen'!D210</f>
        <v>2010</v>
      </c>
      <c r="F208" s="42">
        <f>'13. Desinvesteringen'!E210</f>
        <v>8444.43</v>
      </c>
      <c r="G208" s="37">
        <f>'13. Desinvesteringen'!G210</f>
        <v>2021</v>
      </c>
    </row>
    <row r="209" spans="2:7" s="3" customFormat="1">
      <c r="B209" s="37">
        <f>'13. Desinvesteringen'!B211</f>
        <v>192</v>
      </c>
      <c r="D209" s="37" t="str">
        <f>'13. Desinvesteringen'!C211</f>
        <v>06 Utiliteitsgebouwen (LNG)</v>
      </c>
      <c r="E209" s="37">
        <f>'13. Desinvesteringen'!D211</f>
        <v>2006</v>
      </c>
      <c r="F209" s="42">
        <f>'13. Desinvesteringen'!E211</f>
        <v>213008.69</v>
      </c>
      <c r="G209" s="37">
        <f>'13. Desinvesteringen'!G211</f>
        <v>2021</v>
      </c>
    </row>
    <row r="210" spans="2:7" s="3" customFormat="1">
      <c r="B210" s="37">
        <f>'13. Desinvesteringen'!B212</f>
        <v>193</v>
      </c>
      <c r="D210" s="37" t="str">
        <f>'13. Desinvesteringen'!C212</f>
        <v>08 Inrichting gebouwen</v>
      </c>
      <c r="E210" s="37">
        <f>'13. Desinvesteringen'!D212</f>
        <v>1995</v>
      </c>
      <c r="F210" s="42">
        <f>'13. Desinvesteringen'!E212</f>
        <v>21404.81</v>
      </c>
      <c r="G210" s="37">
        <f>'13. Desinvesteringen'!G212</f>
        <v>2021</v>
      </c>
    </row>
    <row r="211" spans="2:7" s="3" customFormat="1">
      <c r="B211" s="37">
        <f>'13. Desinvesteringen'!B213</f>
        <v>194</v>
      </c>
      <c r="D211" s="37" t="str">
        <f>'13. Desinvesteringen'!C213</f>
        <v>08 Inrichting gebouwen</v>
      </c>
      <c r="E211" s="37">
        <f>'13. Desinvesteringen'!D213</f>
        <v>1999</v>
      </c>
      <c r="F211" s="42">
        <f>'13. Desinvesteringen'!E213</f>
        <v>41263.57</v>
      </c>
      <c r="G211" s="37">
        <f>'13. Desinvesteringen'!G213</f>
        <v>2021</v>
      </c>
    </row>
    <row r="212" spans="2:7" s="3" customFormat="1">
      <c r="B212" s="37">
        <f>'13. Desinvesteringen'!B214</f>
        <v>195</v>
      </c>
      <c r="D212" s="37" t="str">
        <f>'13. Desinvesteringen'!C214</f>
        <v>08 Inrichting gebouwen</v>
      </c>
      <c r="E212" s="37">
        <f>'13. Desinvesteringen'!D214</f>
        <v>2004</v>
      </c>
      <c r="F212" s="42">
        <f>'13. Desinvesteringen'!E214</f>
        <v>25586.77</v>
      </c>
      <c r="G212" s="37">
        <f>'13. Desinvesteringen'!G214</f>
        <v>2021</v>
      </c>
    </row>
    <row r="213" spans="2:7" s="3" customFormat="1">
      <c r="B213" s="37">
        <f>'13. Desinvesteringen'!B215</f>
        <v>196</v>
      </c>
      <c r="D213" s="37" t="str">
        <f>'13. Desinvesteringen'!C215</f>
        <v>08 Inrichting gebouwen</v>
      </c>
      <c r="E213" s="37">
        <f>'13. Desinvesteringen'!D215</f>
        <v>2007</v>
      </c>
      <c r="F213" s="42">
        <f>'13. Desinvesteringen'!E215</f>
        <v>72524.09</v>
      </c>
      <c r="G213" s="37">
        <f>'13. Desinvesteringen'!G215</f>
        <v>2021</v>
      </c>
    </row>
    <row r="214" spans="2:7" s="3" customFormat="1">
      <c r="B214" s="37">
        <f>'13. Desinvesteringen'!B216</f>
        <v>197</v>
      </c>
      <c r="D214" s="37" t="str">
        <f>'13. Desinvesteringen'!C216</f>
        <v>08 Inrichting gebouwen</v>
      </c>
      <c r="E214" s="37">
        <f>'13. Desinvesteringen'!D216</f>
        <v>2009</v>
      </c>
      <c r="F214" s="42">
        <f>'13. Desinvesteringen'!E216</f>
        <v>43757.98</v>
      </c>
      <c r="G214" s="37">
        <f>'13. Desinvesteringen'!G216</f>
        <v>2021</v>
      </c>
    </row>
    <row r="215" spans="2:7" s="3" customFormat="1">
      <c r="B215" s="37">
        <f>'13. Desinvesteringen'!B217</f>
        <v>198</v>
      </c>
      <c r="D215" s="37" t="str">
        <f>'13. Desinvesteringen'!C217</f>
        <v>08 Inrichting gebouwen</v>
      </c>
      <c r="E215" s="37">
        <f>'13. Desinvesteringen'!D217</f>
        <v>2018</v>
      </c>
      <c r="F215" s="42">
        <f>'13. Desinvesteringen'!E217</f>
        <v>92063.762018898677</v>
      </c>
      <c r="G215" s="37">
        <f>'13. Desinvesteringen'!G217</f>
        <v>2021</v>
      </c>
    </row>
    <row r="216" spans="2:7" s="3" customFormat="1">
      <c r="B216" s="37">
        <f>'13. Desinvesteringen'!B218</f>
        <v>199</v>
      </c>
      <c r="D216" s="37" t="str">
        <f>'13. Desinvesteringen'!C218</f>
        <v>09 Bedrijfsinventaris</v>
      </c>
      <c r="E216" s="37">
        <f>'13. Desinvesteringen'!D218</f>
        <v>1999</v>
      </c>
      <c r="F216" s="42">
        <f>'13. Desinvesteringen'!E218</f>
        <v>23628.5</v>
      </c>
      <c r="G216" s="37">
        <f>'13. Desinvesteringen'!G218</f>
        <v>2021</v>
      </c>
    </row>
    <row r="217" spans="2:7" s="3" customFormat="1">
      <c r="B217" s="37">
        <f>'13. Desinvesteringen'!B219</f>
        <v>200</v>
      </c>
      <c r="D217" s="37" t="str">
        <f>'13. Desinvesteringen'!C219</f>
        <v>09 Bedrijfsinventaris</v>
      </c>
      <c r="E217" s="37">
        <f>'13. Desinvesteringen'!D219</f>
        <v>2003</v>
      </c>
      <c r="F217" s="42">
        <f>'13. Desinvesteringen'!E219</f>
        <v>5549.99</v>
      </c>
      <c r="G217" s="37">
        <f>'13. Desinvesteringen'!G219</f>
        <v>2021</v>
      </c>
    </row>
    <row r="218" spans="2:7" s="3" customFormat="1">
      <c r="B218" s="37">
        <f>'13. Desinvesteringen'!B220</f>
        <v>201</v>
      </c>
      <c r="D218" s="37" t="str">
        <f>'13. Desinvesteringen'!C220</f>
        <v>09 Bedrijfsinventaris</v>
      </c>
      <c r="E218" s="37">
        <f>'13. Desinvesteringen'!D220</f>
        <v>2004</v>
      </c>
      <c r="F218" s="42">
        <f>'13. Desinvesteringen'!E220</f>
        <v>7075.25</v>
      </c>
      <c r="G218" s="37">
        <f>'13. Desinvesteringen'!G220</f>
        <v>2021</v>
      </c>
    </row>
    <row r="219" spans="2:7" s="3" customFormat="1">
      <c r="B219" s="37">
        <f>'13. Desinvesteringen'!B221</f>
        <v>202</v>
      </c>
      <c r="D219" s="37" t="str">
        <f>'13. Desinvesteringen'!C221</f>
        <v>09 Bedrijfsinventaris</v>
      </c>
      <c r="E219" s="37">
        <f>'13. Desinvesteringen'!D221</f>
        <v>2011</v>
      </c>
      <c r="F219" s="42">
        <f>'13. Desinvesteringen'!E221</f>
        <v>32592.1</v>
      </c>
      <c r="G219" s="37">
        <f>'13. Desinvesteringen'!G221</f>
        <v>2021</v>
      </c>
    </row>
    <row r="220" spans="2:7" s="3" customFormat="1">
      <c r="B220" s="37">
        <f>'13. Desinvesteringen'!B222</f>
        <v>203</v>
      </c>
      <c r="D220" s="37" t="str">
        <f>'13. Desinvesteringen'!C222</f>
        <v>09 Bedrijfsinventaris</v>
      </c>
      <c r="E220" s="37">
        <f>'13. Desinvesteringen'!D222</f>
        <v>2012</v>
      </c>
      <c r="F220" s="42">
        <f>'13. Desinvesteringen'!E222</f>
        <v>47594.894530059231</v>
      </c>
      <c r="G220" s="37">
        <f>'13. Desinvesteringen'!G222</f>
        <v>2021</v>
      </c>
    </row>
    <row r="221" spans="2:7" s="3" customFormat="1">
      <c r="B221" s="37">
        <f>'13. Desinvesteringen'!B223</f>
        <v>204</v>
      </c>
      <c r="D221" s="37" t="str">
        <f>'13. Desinvesteringen'!C223</f>
        <v>09 Bedrijfsinventaris</v>
      </c>
      <c r="E221" s="37">
        <f>'13. Desinvesteringen'!D223</f>
        <v>2017</v>
      </c>
      <c r="F221" s="42">
        <f>'13. Desinvesteringen'!E223</f>
        <v>30787.351220734221</v>
      </c>
      <c r="G221" s="37">
        <f>'13. Desinvesteringen'!G223</f>
        <v>2021</v>
      </c>
    </row>
    <row r="222" spans="2:7" s="3" customFormat="1">
      <c r="B222" s="37">
        <f>'13. Desinvesteringen'!B224</f>
        <v>205</v>
      </c>
      <c r="D222" s="37" t="str">
        <f>'13. Desinvesteringen'!C224</f>
        <v>09 Bedrijfsinventaris</v>
      </c>
      <c r="E222" s="37">
        <f>'13. Desinvesteringen'!D224</f>
        <v>2018</v>
      </c>
      <c r="F222" s="42">
        <f>'13. Desinvesteringen'!E224</f>
        <v>15158.814286337998</v>
      </c>
      <c r="G222" s="37">
        <f>'13. Desinvesteringen'!G224</f>
        <v>2021</v>
      </c>
    </row>
    <row r="223" spans="2:7" s="3" customFormat="1">
      <c r="B223" s="37">
        <f>'13. Desinvesteringen'!B225</f>
        <v>206</v>
      </c>
      <c r="D223" s="37" t="str">
        <f>'13. Desinvesteringen'!C225</f>
        <v>10 Gereedschap</v>
      </c>
      <c r="E223" s="37">
        <f>'13. Desinvesteringen'!D225</f>
        <v>2011</v>
      </c>
      <c r="F223" s="42">
        <f>'13. Desinvesteringen'!E225</f>
        <v>327059.9632444483</v>
      </c>
      <c r="G223" s="37">
        <f>'13. Desinvesteringen'!G225</f>
        <v>2021</v>
      </c>
    </row>
    <row r="224" spans="2:7" s="3" customFormat="1">
      <c r="B224" s="37">
        <f>'13. Desinvesteringen'!B226</f>
        <v>207</v>
      </c>
      <c r="D224" s="37" t="str">
        <f>'13. Desinvesteringen'!C226</f>
        <v>10 Gereedschap</v>
      </c>
      <c r="E224" s="37">
        <f>'13. Desinvesteringen'!D226</f>
        <v>2011</v>
      </c>
      <c r="F224" s="42">
        <f>'13. Desinvesteringen'!E226</f>
        <v>204205.26050762061</v>
      </c>
      <c r="G224" s="37">
        <f>'13. Desinvesteringen'!G226</f>
        <v>2021</v>
      </c>
    </row>
    <row r="225" spans="2:7" s="3" customFormat="1">
      <c r="B225" s="37">
        <f>'13. Desinvesteringen'!B227</f>
        <v>208</v>
      </c>
      <c r="D225" s="37" t="str">
        <f>'13. Desinvesteringen'!C227</f>
        <v>15 Compressorstations (TT-BT-AT)</v>
      </c>
      <c r="E225" s="37">
        <f>'13. Desinvesteringen'!D227</f>
        <v>1970</v>
      </c>
      <c r="F225" s="42">
        <f>'13. Desinvesteringen'!E227</f>
        <v>200671.11000000002</v>
      </c>
      <c r="G225" s="37">
        <f>'13. Desinvesteringen'!G227</f>
        <v>2021</v>
      </c>
    </row>
    <row r="226" spans="2:7" s="3" customFormat="1">
      <c r="B226" s="37">
        <f>'13. Desinvesteringen'!B228</f>
        <v>209</v>
      </c>
      <c r="D226" s="37" t="str">
        <f>'13. Desinvesteringen'!C228</f>
        <v>15 Compressorstations (TT-BT-AT)</v>
      </c>
      <c r="E226" s="37">
        <f>'13. Desinvesteringen'!D228</f>
        <v>1971</v>
      </c>
      <c r="F226" s="42">
        <f>'13. Desinvesteringen'!E228</f>
        <v>31459.45</v>
      </c>
      <c r="G226" s="37">
        <f>'13. Desinvesteringen'!G228</f>
        <v>2021</v>
      </c>
    </row>
    <row r="227" spans="2:7" s="3" customFormat="1">
      <c r="B227" s="37">
        <f>'13. Desinvesteringen'!B229</f>
        <v>210</v>
      </c>
      <c r="D227" s="37" t="str">
        <f>'13. Desinvesteringen'!C229</f>
        <v>15 Compressorstations (TT-BT-AT)</v>
      </c>
      <c r="E227" s="37">
        <f>'13. Desinvesteringen'!D229</f>
        <v>1974</v>
      </c>
      <c r="F227" s="42">
        <f>'13. Desinvesteringen'!E229</f>
        <v>37307.01</v>
      </c>
      <c r="G227" s="37">
        <f>'13. Desinvesteringen'!G229</f>
        <v>2021</v>
      </c>
    </row>
    <row r="228" spans="2:7" s="3" customFormat="1">
      <c r="B228" s="37">
        <f>'13. Desinvesteringen'!B230</f>
        <v>211</v>
      </c>
      <c r="D228" s="37" t="str">
        <f>'13. Desinvesteringen'!C230</f>
        <v>15 Compressorstations (TT-BT-AT)</v>
      </c>
      <c r="E228" s="37">
        <f>'13. Desinvesteringen'!D230</f>
        <v>1977</v>
      </c>
      <c r="F228" s="42">
        <f>'13. Desinvesteringen'!E230</f>
        <v>56993.78</v>
      </c>
      <c r="G228" s="37">
        <f>'13. Desinvesteringen'!G230</f>
        <v>2021</v>
      </c>
    </row>
    <row r="229" spans="2:7" s="3" customFormat="1">
      <c r="B229" s="37">
        <f>'13. Desinvesteringen'!B231</f>
        <v>212</v>
      </c>
      <c r="D229" s="37" t="str">
        <f>'13. Desinvesteringen'!C231</f>
        <v>15 Compressorstations (TT-BT-AT)</v>
      </c>
      <c r="E229" s="37">
        <f>'13. Desinvesteringen'!D231</f>
        <v>1987</v>
      </c>
      <c r="F229" s="42">
        <f>'13. Desinvesteringen'!E231</f>
        <v>30140.38</v>
      </c>
      <c r="G229" s="37">
        <f>'13. Desinvesteringen'!G231</f>
        <v>2021</v>
      </c>
    </row>
    <row r="230" spans="2:7" s="3" customFormat="1">
      <c r="B230" s="37">
        <f>'13. Desinvesteringen'!B232</f>
        <v>213</v>
      </c>
      <c r="D230" s="37" t="str">
        <f>'13. Desinvesteringen'!C232</f>
        <v>15 Compressorstations (TT-BT-AT)</v>
      </c>
      <c r="E230" s="37">
        <f>'13. Desinvesteringen'!D232</f>
        <v>2006</v>
      </c>
      <c r="F230" s="42">
        <f>'13. Desinvesteringen'!E232</f>
        <v>220824.52000000002</v>
      </c>
      <c r="G230" s="37">
        <f>'13. Desinvesteringen'!G232</f>
        <v>2021</v>
      </c>
    </row>
    <row r="231" spans="2:7" s="3" customFormat="1">
      <c r="B231" s="37">
        <f>'13. Desinvesteringen'!B233</f>
        <v>214</v>
      </c>
      <c r="D231" s="37" t="str">
        <f>'13. Desinvesteringen'!C233</f>
        <v>15 Compressorstations (TT-BT-AT)</v>
      </c>
      <c r="E231" s="37">
        <f>'13. Desinvesteringen'!D233</f>
        <v>2007</v>
      </c>
      <c r="F231" s="42">
        <f>'13. Desinvesteringen'!E233</f>
        <v>118615.11181912628</v>
      </c>
      <c r="G231" s="37">
        <f>'13. Desinvesteringen'!G233</f>
        <v>2021</v>
      </c>
    </row>
    <row r="232" spans="2:7" s="3" customFormat="1">
      <c r="B232" s="37">
        <f>'13. Desinvesteringen'!B234</f>
        <v>215</v>
      </c>
      <c r="D232" s="37" t="str">
        <f>'13. Desinvesteringen'!C234</f>
        <v>15 Compressorstations (TT-BT-AT)</v>
      </c>
      <c r="E232" s="37">
        <f>'13. Desinvesteringen'!D234</f>
        <v>2009</v>
      </c>
      <c r="F232" s="42">
        <f>'13. Desinvesteringen'!E234</f>
        <v>36749.480000000003</v>
      </c>
      <c r="G232" s="37">
        <f>'13. Desinvesteringen'!G234</f>
        <v>2021</v>
      </c>
    </row>
    <row r="233" spans="2:7" s="3" customFormat="1">
      <c r="B233" s="37">
        <f>'13. Desinvesteringen'!B235</f>
        <v>216</v>
      </c>
      <c r="D233" s="37" t="str">
        <f>'13. Desinvesteringen'!C235</f>
        <v>15 Compressorstations (TT-BT-AT)</v>
      </c>
      <c r="E233" s="37">
        <f>'13. Desinvesteringen'!D235</f>
        <v>2010</v>
      </c>
      <c r="F233" s="42">
        <f>'13. Desinvesteringen'!E235</f>
        <v>16852.444769673708</v>
      </c>
      <c r="G233" s="37">
        <f>'13. Desinvesteringen'!G235</f>
        <v>2021</v>
      </c>
    </row>
    <row r="234" spans="2:7" s="3" customFormat="1">
      <c r="B234" s="37">
        <f>'13. Desinvesteringen'!B236</f>
        <v>217</v>
      </c>
      <c r="D234" s="37" t="str">
        <f>'13. Desinvesteringen'!C236</f>
        <v>15 Compressorstations (TT-BT-AT)</v>
      </c>
      <c r="E234" s="37">
        <f>'13. Desinvesteringen'!D236</f>
        <v>2011</v>
      </c>
      <c r="F234" s="42">
        <f>'13. Desinvesteringen'!E236</f>
        <v>161240.22989045532</v>
      </c>
      <c r="G234" s="37">
        <f>'13. Desinvesteringen'!G236</f>
        <v>2021</v>
      </c>
    </row>
    <row r="235" spans="2:7" s="3" customFormat="1">
      <c r="B235" s="37">
        <f>'13. Desinvesteringen'!B237</f>
        <v>218</v>
      </c>
      <c r="D235" s="37" t="str">
        <f>'13. Desinvesteringen'!C237</f>
        <v>16 LNG installaties</v>
      </c>
      <c r="E235" s="37">
        <f>'13. Desinvesteringen'!D237</f>
        <v>1977</v>
      </c>
      <c r="F235" s="42">
        <f>'13. Desinvesteringen'!E237</f>
        <v>35828970.149999999</v>
      </c>
      <c r="G235" s="37">
        <f>'13. Desinvesteringen'!G237</f>
        <v>2021</v>
      </c>
    </row>
    <row r="236" spans="2:7" s="3" customFormat="1">
      <c r="B236" s="37">
        <f>'13. Desinvesteringen'!B238</f>
        <v>219</v>
      </c>
      <c r="D236" s="37" t="str">
        <f>'13. Desinvesteringen'!C238</f>
        <v>16 LNG installaties</v>
      </c>
      <c r="E236" s="37">
        <f>'13. Desinvesteringen'!D238</f>
        <v>1998</v>
      </c>
      <c r="F236" s="42">
        <f>'13. Desinvesteringen'!E238</f>
        <v>75833.259999999995</v>
      </c>
      <c r="G236" s="37">
        <f>'13. Desinvesteringen'!G238</f>
        <v>2021</v>
      </c>
    </row>
    <row r="237" spans="2:7" s="3" customFormat="1">
      <c r="B237" s="37">
        <f>'13. Desinvesteringen'!B239</f>
        <v>220</v>
      </c>
      <c r="D237" s="37" t="str">
        <f>'13. Desinvesteringen'!C239</f>
        <v>16 LNG installaties</v>
      </c>
      <c r="E237" s="37">
        <f>'13. Desinvesteringen'!D239</f>
        <v>2004</v>
      </c>
      <c r="F237" s="42">
        <f>'13. Desinvesteringen'!E239</f>
        <v>698617.72</v>
      </c>
      <c r="G237" s="37">
        <f>'13. Desinvesteringen'!G239</f>
        <v>2021</v>
      </c>
    </row>
    <row r="238" spans="2:7" s="3" customFormat="1">
      <c r="B238" s="37">
        <f>'13. Desinvesteringen'!B240</f>
        <v>221</v>
      </c>
      <c r="D238" s="37" t="str">
        <f>'13. Desinvesteringen'!C240</f>
        <v>16 LNG installaties</v>
      </c>
      <c r="E238" s="37">
        <f>'13. Desinvesteringen'!D240</f>
        <v>2006</v>
      </c>
      <c r="F238" s="42">
        <f>'13. Desinvesteringen'!E240</f>
        <v>134414.63</v>
      </c>
      <c r="G238" s="37">
        <f>'13. Desinvesteringen'!G240</f>
        <v>2021</v>
      </c>
    </row>
    <row r="239" spans="2:7" s="3" customFormat="1">
      <c r="B239" s="37">
        <f>'13. Desinvesteringen'!B241</f>
        <v>222</v>
      </c>
      <c r="D239" s="37" t="str">
        <f>'13. Desinvesteringen'!C241</f>
        <v>16 LNG installaties</v>
      </c>
      <c r="E239" s="37">
        <f>'13. Desinvesteringen'!D241</f>
        <v>2007</v>
      </c>
      <c r="F239" s="42">
        <f>'13. Desinvesteringen'!E241</f>
        <v>295840.56</v>
      </c>
      <c r="G239" s="37">
        <f>'13. Desinvesteringen'!G241</f>
        <v>2021</v>
      </c>
    </row>
    <row r="240" spans="2:7" s="3" customFormat="1">
      <c r="B240" s="37">
        <f>'13. Desinvesteringen'!B242</f>
        <v>223</v>
      </c>
      <c r="D240" s="37" t="str">
        <f>'13. Desinvesteringen'!C242</f>
        <v>16 LNG installaties</v>
      </c>
      <c r="E240" s="37">
        <f>'13. Desinvesteringen'!D242</f>
        <v>2008</v>
      </c>
      <c r="F240" s="42">
        <f>'13. Desinvesteringen'!E242</f>
        <v>422693.60000000003</v>
      </c>
      <c r="G240" s="37">
        <f>'13. Desinvesteringen'!G242</f>
        <v>2021</v>
      </c>
    </row>
    <row r="241" spans="2:7" s="3" customFormat="1">
      <c r="B241" s="37">
        <f>'13. Desinvesteringen'!B243</f>
        <v>224</v>
      </c>
      <c r="D241" s="37" t="str">
        <f>'13. Desinvesteringen'!C243</f>
        <v>16 LNG installaties</v>
      </c>
      <c r="E241" s="37">
        <f>'13. Desinvesteringen'!D243</f>
        <v>2009</v>
      </c>
      <c r="F241" s="42">
        <f>'13. Desinvesteringen'!E243</f>
        <v>7501964.5199999996</v>
      </c>
      <c r="G241" s="37">
        <f>'13. Desinvesteringen'!G243</f>
        <v>2021</v>
      </c>
    </row>
    <row r="242" spans="2:7" s="3" customFormat="1">
      <c r="B242" s="37">
        <f>'13. Desinvesteringen'!B244</f>
        <v>225</v>
      </c>
      <c r="D242" s="37" t="str">
        <f>'13. Desinvesteringen'!C244</f>
        <v>16 LNG installaties</v>
      </c>
      <c r="E242" s="37">
        <f>'13. Desinvesteringen'!D244</f>
        <v>2010</v>
      </c>
      <c r="F242" s="42">
        <f>'13. Desinvesteringen'!E244</f>
        <v>1044433.3749015761</v>
      </c>
      <c r="G242" s="37">
        <f>'13. Desinvesteringen'!G244</f>
        <v>2021</v>
      </c>
    </row>
    <row r="243" spans="2:7" s="3" customFormat="1">
      <c r="B243" s="37">
        <f>'13. Desinvesteringen'!B245</f>
        <v>226</v>
      </c>
      <c r="D243" s="37" t="str">
        <f>'13. Desinvesteringen'!C245</f>
        <v>16 LNG installaties</v>
      </c>
      <c r="E243" s="37">
        <f>'13. Desinvesteringen'!D245</f>
        <v>2011</v>
      </c>
      <c r="F243" s="42">
        <f>'13. Desinvesteringen'!E245</f>
        <v>55479.276483167145</v>
      </c>
      <c r="G243" s="37">
        <f>'13. Desinvesteringen'!G245</f>
        <v>2021</v>
      </c>
    </row>
    <row r="244" spans="2:7" s="3" customFormat="1">
      <c r="B244" s="37">
        <f>'13. Desinvesteringen'!B246</f>
        <v>227</v>
      </c>
      <c r="D244" s="37" t="str">
        <f>'13. Desinvesteringen'!C246</f>
        <v>16 LNG installaties</v>
      </c>
      <c r="E244" s="37">
        <f>'13. Desinvesteringen'!D246</f>
        <v>2012</v>
      </c>
      <c r="F244" s="42">
        <f>'13. Desinvesteringen'!E246</f>
        <v>3622072.4393920866</v>
      </c>
      <c r="G244" s="37">
        <f>'13. Desinvesteringen'!G246</f>
        <v>2021</v>
      </c>
    </row>
    <row r="245" spans="2:7" s="3" customFormat="1">
      <c r="B245" s="37">
        <f>'13. Desinvesteringen'!B247</f>
        <v>228</v>
      </c>
      <c r="D245" s="37" t="str">
        <f>'13. Desinvesteringen'!C247</f>
        <v>16 LNG installaties</v>
      </c>
      <c r="E245" s="37">
        <f>'13. Desinvesteringen'!D247</f>
        <v>2013</v>
      </c>
      <c r="F245" s="42">
        <f>'13. Desinvesteringen'!E247</f>
        <v>3696661.0956130447</v>
      </c>
      <c r="G245" s="37">
        <f>'13. Desinvesteringen'!G247</f>
        <v>2021</v>
      </c>
    </row>
    <row r="246" spans="2:7" s="3" customFormat="1">
      <c r="B246" s="37">
        <f>'13. Desinvesteringen'!B248</f>
        <v>229</v>
      </c>
      <c r="D246" s="37" t="str">
        <f>'13. Desinvesteringen'!C248</f>
        <v>16 LNG installaties</v>
      </c>
      <c r="E246" s="37">
        <f>'13. Desinvesteringen'!D248</f>
        <v>2014</v>
      </c>
      <c r="F246" s="42">
        <f>'13. Desinvesteringen'!E248</f>
        <v>-211261.47377242689</v>
      </c>
      <c r="G246" s="37">
        <f>'13. Desinvesteringen'!G248</f>
        <v>2021</v>
      </c>
    </row>
    <row r="247" spans="2:7" s="3" customFormat="1">
      <c r="B247" s="37">
        <f>'13. Desinvesteringen'!B249</f>
        <v>230</v>
      </c>
      <c r="D247" s="37" t="str">
        <f>'13. Desinvesteringen'!C249</f>
        <v>16 LNG installaties</v>
      </c>
      <c r="E247" s="37">
        <f>'13. Desinvesteringen'!D249</f>
        <v>2015</v>
      </c>
      <c r="F247" s="42">
        <f>'13. Desinvesteringen'!E249</f>
        <v>1410348.6255901323</v>
      </c>
      <c r="G247" s="37">
        <f>'13. Desinvesteringen'!G249</f>
        <v>2021</v>
      </c>
    </row>
    <row r="248" spans="2:7" s="3" customFormat="1">
      <c r="B248" s="37">
        <f>'13. Desinvesteringen'!B250</f>
        <v>231</v>
      </c>
      <c r="D248" s="37" t="str">
        <f>'13. Desinvesteringen'!C250</f>
        <v>16 LNG installaties</v>
      </c>
      <c r="E248" s="37">
        <f>'13. Desinvesteringen'!D250</f>
        <v>2016</v>
      </c>
      <c r="F248" s="42">
        <f>'13. Desinvesteringen'!E250</f>
        <v>1210083.3299999998</v>
      </c>
      <c r="G248" s="37">
        <f>'13. Desinvesteringen'!G250</f>
        <v>2021</v>
      </c>
    </row>
    <row r="249" spans="2:7" s="3" customFormat="1">
      <c r="B249" s="37">
        <f>'13. Desinvesteringen'!B251</f>
        <v>232</v>
      </c>
      <c r="D249" s="37" t="str">
        <f>'13. Desinvesteringen'!C251</f>
        <v>16 LNG installaties</v>
      </c>
      <c r="E249" s="37">
        <f>'13. Desinvesteringen'!D251</f>
        <v>2016</v>
      </c>
      <c r="F249" s="42">
        <f>'13. Desinvesteringen'!E251</f>
        <v>4463010.1800000006</v>
      </c>
      <c r="G249" s="37">
        <f>'13. Desinvesteringen'!G251</f>
        <v>2021</v>
      </c>
    </row>
    <row r="250" spans="2:7" s="3" customFormat="1">
      <c r="B250" s="37">
        <f>'13. Desinvesteringen'!B252</f>
        <v>233</v>
      </c>
      <c r="D250" s="37" t="str">
        <f>'13. Desinvesteringen'!C252</f>
        <v>17 Mengstations</v>
      </c>
      <c r="E250" s="37">
        <f>'13. Desinvesteringen'!D252</f>
        <v>1993</v>
      </c>
      <c r="F250" s="42">
        <f>'13. Desinvesteringen'!E252</f>
        <v>7214.43</v>
      </c>
      <c r="G250" s="37">
        <f>'13. Desinvesteringen'!G252</f>
        <v>2021</v>
      </c>
    </row>
    <row r="251" spans="2:7" s="3" customFormat="1">
      <c r="B251" s="37">
        <f>'13. Desinvesteringen'!B253</f>
        <v>234</v>
      </c>
      <c r="D251" s="37" t="str">
        <f>'13. Desinvesteringen'!C253</f>
        <v>17 Mengstations</v>
      </c>
      <c r="E251" s="37">
        <f>'13. Desinvesteringen'!D253</f>
        <v>2006</v>
      </c>
      <c r="F251" s="42">
        <f>'13. Desinvesteringen'!E253</f>
        <v>90670.522605892213</v>
      </c>
      <c r="G251" s="37">
        <f>'13. Desinvesteringen'!G253</f>
        <v>2021</v>
      </c>
    </row>
    <row r="252" spans="2:7" s="3" customFormat="1">
      <c r="B252" s="37">
        <f>'13. Desinvesteringen'!B254</f>
        <v>235</v>
      </c>
      <c r="D252" s="37" t="str">
        <f>'13. Desinvesteringen'!C254</f>
        <v>17 Mengstations</v>
      </c>
      <c r="E252" s="37">
        <f>'13. Desinvesteringen'!D254</f>
        <v>2007</v>
      </c>
      <c r="F252" s="42">
        <f>'13. Desinvesteringen'!E254</f>
        <v>15457.31</v>
      </c>
      <c r="G252" s="37">
        <f>'13. Desinvesteringen'!G254</f>
        <v>2021</v>
      </c>
    </row>
    <row r="253" spans="2:7" s="3" customFormat="1">
      <c r="B253" s="37">
        <f>'13. Desinvesteringen'!B255</f>
        <v>236</v>
      </c>
      <c r="D253" s="37" t="str">
        <f>'13. Desinvesteringen'!C255</f>
        <v>17 Mengstations</v>
      </c>
      <c r="E253" s="37">
        <f>'13. Desinvesteringen'!D255</f>
        <v>2011</v>
      </c>
      <c r="F253" s="42">
        <f>'13. Desinvesteringen'!E255</f>
        <v>17709.499967104181</v>
      </c>
      <c r="G253" s="37">
        <f>'13. Desinvesteringen'!G255</f>
        <v>2021</v>
      </c>
    </row>
    <row r="254" spans="2:7" s="3" customFormat="1">
      <c r="B254" s="37">
        <f>'13. Desinvesteringen'!B256</f>
        <v>237</v>
      </c>
      <c r="D254" s="37" t="str">
        <f>'13. Desinvesteringen'!C256</f>
        <v>20 Kantoorgebouwen</v>
      </c>
      <c r="E254" s="37">
        <f>'13. Desinvesteringen'!D256</f>
        <v>1998</v>
      </c>
      <c r="F254" s="42">
        <f>'13. Desinvesteringen'!E256</f>
        <v>1145228.3699999999</v>
      </c>
      <c r="G254" s="37">
        <f>'13. Desinvesteringen'!G256</f>
        <v>2021</v>
      </c>
    </row>
    <row r="255" spans="2:7" s="3" customFormat="1">
      <c r="B255" s="37">
        <f>'13. Desinvesteringen'!B257</f>
        <v>238</v>
      </c>
      <c r="D255" s="37" t="str">
        <f>'13. Desinvesteringen'!C257</f>
        <v>20 Kantoorgebouwen</v>
      </c>
      <c r="E255" s="37">
        <f>'13. Desinvesteringen'!D257</f>
        <v>2002</v>
      </c>
      <c r="F255" s="42">
        <f>'13. Desinvesteringen'!E257</f>
        <v>207275.81</v>
      </c>
      <c r="G255" s="37">
        <f>'13. Desinvesteringen'!G257</f>
        <v>2021</v>
      </c>
    </row>
    <row r="256" spans="2:7" s="3" customFormat="1">
      <c r="B256" s="37">
        <f>'13. Desinvesteringen'!B258</f>
        <v>239</v>
      </c>
      <c r="D256" s="37" t="str">
        <f>'13. Desinvesteringen'!C258</f>
        <v>20 Kantoorgebouwen</v>
      </c>
      <c r="E256" s="37">
        <f>'13. Desinvesteringen'!D258</f>
        <v>2004</v>
      </c>
      <c r="F256" s="42">
        <f>'13. Desinvesteringen'!E258</f>
        <v>114452.9</v>
      </c>
      <c r="G256" s="37">
        <f>'13. Desinvesteringen'!G258</f>
        <v>2021</v>
      </c>
    </row>
    <row r="257" spans="2:7" s="3" customFormat="1">
      <c r="B257" s="37">
        <f>'13. Desinvesteringen'!B259</f>
        <v>240</v>
      </c>
      <c r="D257" s="37" t="str">
        <f>'13. Desinvesteringen'!C259</f>
        <v>20 Kantoorgebouwen</v>
      </c>
      <c r="E257" s="37">
        <f>'13. Desinvesteringen'!D259</f>
        <v>2005</v>
      </c>
      <c r="F257" s="42">
        <f>'13. Desinvesteringen'!E259</f>
        <v>188996.13</v>
      </c>
      <c r="G257" s="37">
        <f>'13. Desinvesteringen'!G259</f>
        <v>2021</v>
      </c>
    </row>
    <row r="258" spans="2:7" s="3" customFormat="1">
      <c r="B258" s="37">
        <f>'13. Desinvesteringen'!B260</f>
        <v>241</v>
      </c>
      <c r="D258" s="37" t="str">
        <f>'13. Desinvesteringen'!C260</f>
        <v>20 Kantoorgebouwen</v>
      </c>
      <c r="E258" s="37">
        <f>'13. Desinvesteringen'!D260</f>
        <v>2008</v>
      </c>
      <c r="F258" s="42">
        <f>'13. Desinvesteringen'!E260</f>
        <v>84567.28</v>
      </c>
      <c r="G258" s="37">
        <f>'13. Desinvesteringen'!G260</f>
        <v>2021</v>
      </c>
    </row>
    <row r="259" spans="2:7" s="3" customFormat="1">
      <c r="B259" s="37">
        <f>'13. Desinvesteringen'!B261</f>
        <v>242</v>
      </c>
      <c r="D259" s="37" t="str">
        <f>'13. Desinvesteringen'!C261</f>
        <v>20 Kantoorgebouwen</v>
      </c>
      <c r="E259" s="37">
        <f>'13. Desinvesteringen'!D261</f>
        <v>2009</v>
      </c>
      <c r="F259" s="42">
        <f>'13. Desinvesteringen'!E261</f>
        <v>163009.45000000001</v>
      </c>
      <c r="G259" s="37">
        <f>'13. Desinvesteringen'!G261</f>
        <v>2021</v>
      </c>
    </row>
    <row r="260" spans="2:7" s="3" customFormat="1">
      <c r="B260" s="37">
        <f>'13. Desinvesteringen'!B262</f>
        <v>243</v>
      </c>
      <c r="D260" s="37" t="str">
        <f>'13. Desinvesteringen'!C262</f>
        <v>20 Kantoorgebouwen</v>
      </c>
      <c r="E260" s="37">
        <f>'13. Desinvesteringen'!D262</f>
        <v>2010</v>
      </c>
      <c r="F260" s="42">
        <f>'13. Desinvesteringen'!E262</f>
        <v>137160.34344793225</v>
      </c>
      <c r="G260" s="37">
        <f>'13. Desinvesteringen'!G262</f>
        <v>2021</v>
      </c>
    </row>
    <row r="261" spans="2:7" s="3" customFormat="1">
      <c r="B261" s="37">
        <f>'13. Desinvesteringen'!B263</f>
        <v>244</v>
      </c>
      <c r="D261" s="37" t="str">
        <f>'13. Desinvesteringen'!C263</f>
        <v>20 Kantoorgebouwen</v>
      </c>
      <c r="E261" s="37">
        <f>'13. Desinvesteringen'!D263</f>
        <v>2011</v>
      </c>
      <c r="F261" s="42">
        <f>'13. Desinvesteringen'!E263</f>
        <v>28002.195226489926</v>
      </c>
      <c r="G261" s="37">
        <f>'13. Desinvesteringen'!G263</f>
        <v>2021</v>
      </c>
    </row>
    <row r="262" spans="2:7" s="3" customFormat="1">
      <c r="B262" s="37">
        <f>'13. Desinvesteringen'!B264</f>
        <v>245</v>
      </c>
      <c r="D262" s="37" t="str">
        <f>'13. Desinvesteringen'!C264</f>
        <v>20 Kantoorgebouwen</v>
      </c>
      <c r="E262" s="37">
        <f>'13. Desinvesteringen'!D264</f>
        <v>2012</v>
      </c>
      <c r="F262" s="42">
        <f>'13. Desinvesteringen'!E264</f>
        <v>418308.90169201128</v>
      </c>
      <c r="G262" s="37">
        <f>'13. Desinvesteringen'!G264</f>
        <v>2021</v>
      </c>
    </row>
    <row r="263" spans="2:7" s="3" customFormat="1">
      <c r="B263" s="37">
        <f>'13. Desinvesteringen'!B265</f>
        <v>246</v>
      </c>
      <c r="D263" s="37" t="str">
        <f>'13. Desinvesteringen'!C265</f>
        <v>20 Kantoorgebouwen</v>
      </c>
      <c r="E263" s="37">
        <f>'13. Desinvesteringen'!D265</f>
        <v>2012</v>
      </c>
      <c r="F263" s="42">
        <f>'13. Desinvesteringen'!E265</f>
        <v>34493.89</v>
      </c>
      <c r="G263" s="37">
        <f>'13. Desinvesteringen'!G265</f>
        <v>2021</v>
      </c>
    </row>
    <row r="264" spans="2:7" s="3" customFormat="1">
      <c r="B264" s="37">
        <f>'13. Desinvesteringen'!B266</f>
        <v>247</v>
      </c>
      <c r="D264" s="37" t="str">
        <f>'13. Desinvesteringen'!C266</f>
        <v>20 Kantoorgebouwen</v>
      </c>
      <c r="E264" s="37">
        <f>'13. Desinvesteringen'!D266</f>
        <v>2014</v>
      </c>
      <c r="F264" s="42">
        <f>'13. Desinvesteringen'!E266</f>
        <v>119209.70383364368</v>
      </c>
      <c r="G264" s="37">
        <f>'13. Desinvesteringen'!G266</f>
        <v>2021</v>
      </c>
    </row>
    <row r="265" spans="2:7" s="3" customFormat="1">
      <c r="B265" s="37">
        <f>'13. Desinvesteringen'!B267</f>
        <v>248</v>
      </c>
      <c r="D265" s="37" t="str">
        <f>'13. Desinvesteringen'!C267</f>
        <v>20 Kantoorgebouwen</v>
      </c>
      <c r="E265" s="37">
        <f>'13. Desinvesteringen'!D267</f>
        <v>2015</v>
      </c>
      <c r="F265" s="42">
        <f>'13. Desinvesteringen'!E267</f>
        <v>86744.489646918475</v>
      </c>
      <c r="G265" s="37">
        <f>'13. Desinvesteringen'!G267</f>
        <v>2021</v>
      </c>
    </row>
    <row r="266" spans="2:7" s="3" customFormat="1">
      <c r="B266" s="37">
        <f>'13. Desinvesteringen'!B268</f>
        <v>249</v>
      </c>
      <c r="D266" s="37" t="str">
        <f>'13. Desinvesteringen'!C268</f>
        <v>20 Kantoorgebouwen</v>
      </c>
      <c r="E266" s="37">
        <f>'13. Desinvesteringen'!D268</f>
        <v>2016</v>
      </c>
      <c r="F266" s="42">
        <f>'13. Desinvesteringen'!E268</f>
        <v>872938.23153047287</v>
      </c>
      <c r="G266" s="37">
        <f>'13. Desinvesteringen'!G268</f>
        <v>2021</v>
      </c>
    </row>
    <row r="267" spans="2:7" s="3" customFormat="1">
      <c r="B267" s="37">
        <f>'13. Desinvesteringen'!B269</f>
        <v>250</v>
      </c>
      <c r="D267" s="37" t="str">
        <f>'13. Desinvesteringen'!C269</f>
        <v>20 Kantoorgebouwen</v>
      </c>
      <c r="E267" s="37">
        <f>'13. Desinvesteringen'!D269</f>
        <v>2018</v>
      </c>
      <c r="F267" s="42">
        <f>'13. Desinvesteringen'!E269</f>
        <v>318444.09968867822</v>
      </c>
      <c r="G267" s="37">
        <f>'13. Desinvesteringen'!G269</f>
        <v>2021</v>
      </c>
    </row>
    <row r="268" spans="2:7" s="3" customFormat="1">
      <c r="B268" s="37">
        <f>'13. Desinvesteringen'!B270</f>
        <v>251</v>
      </c>
      <c r="D268" s="37" t="str">
        <f>'13. Desinvesteringen'!C270</f>
        <v>20 Kantoorgebouwen</v>
      </c>
      <c r="E268" s="37">
        <f>'13. Desinvesteringen'!D270</f>
        <v>2019</v>
      </c>
      <c r="F268" s="42">
        <f>'13. Desinvesteringen'!E270</f>
        <v>470203.71904289688</v>
      </c>
      <c r="G268" s="37">
        <f>'13. Desinvesteringen'!G270</f>
        <v>2021</v>
      </c>
    </row>
    <row r="269" spans="2:7" s="3" customFormat="1">
      <c r="B269" s="37">
        <f>'13. Desinvesteringen'!B271</f>
        <v>252</v>
      </c>
      <c r="D269" s="37" t="str">
        <f>'13. Desinvesteringen'!C271</f>
        <v>21 Hoofdtransportleiding</v>
      </c>
      <c r="E269" s="37">
        <f>'13. Desinvesteringen'!D271</f>
        <v>1964</v>
      </c>
      <c r="F269" s="42">
        <f>'13. Desinvesteringen'!E271</f>
        <v>1904</v>
      </c>
      <c r="G269" s="37">
        <f>'13. Desinvesteringen'!G271</f>
        <v>2021</v>
      </c>
    </row>
    <row r="270" spans="2:7" s="3" customFormat="1">
      <c r="B270" s="37">
        <f>'13. Desinvesteringen'!B272</f>
        <v>253</v>
      </c>
      <c r="D270" s="37" t="str">
        <f>'13. Desinvesteringen'!C272</f>
        <v>21 Hoofdtransportleiding</v>
      </c>
      <c r="E270" s="37">
        <f>'13. Desinvesteringen'!D272</f>
        <v>1966</v>
      </c>
      <c r="F270" s="42">
        <f>'13. Desinvesteringen'!E272</f>
        <v>360</v>
      </c>
      <c r="G270" s="37">
        <f>'13. Desinvesteringen'!G272</f>
        <v>2021</v>
      </c>
    </row>
    <row r="271" spans="2:7" s="3" customFormat="1">
      <c r="B271" s="37">
        <f>'13. Desinvesteringen'!B273</f>
        <v>254</v>
      </c>
      <c r="D271" s="37" t="str">
        <f>'13. Desinvesteringen'!C273</f>
        <v>21 Hoofdtransportleiding</v>
      </c>
      <c r="E271" s="37">
        <f>'13. Desinvesteringen'!D273</f>
        <v>1967</v>
      </c>
      <c r="F271" s="42">
        <f>'13. Desinvesteringen'!E273</f>
        <v>168</v>
      </c>
      <c r="G271" s="37">
        <f>'13. Desinvesteringen'!G273</f>
        <v>2021</v>
      </c>
    </row>
    <row r="272" spans="2:7" s="3" customFormat="1">
      <c r="B272" s="37">
        <f>'13. Desinvesteringen'!B274</f>
        <v>255</v>
      </c>
      <c r="D272" s="37" t="str">
        <f>'13. Desinvesteringen'!C274</f>
        <v>21 Hoofdtransportleiding</v>
      </c>
      <c r="E272" s="37">
        <f>'13. Desinvesteringen'!D274</f>
        <v>1968</v>
      </c>
      <c r="F272" s="42">
        <f>'13. Desinvesteringen'!E274</f>
        <v>10784</v>
      </c>
      <c r="G272" s="37">
        <f>'13. Desinvesteringen'!G274</f>
        <v>2021</v>
      </c>
    </row>
    <row r="273" spans="2:7" s="3" customFormat="1">
      <c r="B273" s="37">
        <f>'13. Desinvesteringen'!B275</f>
        <v>256</v>
      </c>
      <c r="D273" s="37" t="str">
        <f>'13. Desinvesteringen'!C275</f>
        <v>21 Hoofdtransportleiding</v>
      </c>
      <c r="E273" s="37">
        <f>'13. Desinvesteringen'!D275</f>
        <v>1969</v>
      </c>
      <c r="F273" s="42">
        <f>'13. Desinvesteringen'!E275</f>
        <v>528</v>
      </c>
      <c r="G273" s="37">
        <f>'13. Desinvesteringen'!G275</f>
        <v>2021</v>
      </c>
    </row>
    <row r="274" spans="2:7" s="3" customFormat="1">
      <c r="B274" s="37">
        <f>'13. Desinvesteringen'!B276</f>
        <v>257</v>
      </c>
      <c r="D274" s="37" t="str">
        <f>'13. Desinvesteringen'!C276</f>
        <v>21 Hoofdtransportleiding</v>
      </c>
      <c r="E274" s="37">
        <f>'13. Desinvesteringen'!D276</f>
        <v>1970</v>
      </c>
      <c r="F274" s="42">
        <f>'13. Desinvesteringen'!E276</f>
        <v>126766.11</v>
      </c>
      <c r="G274" s="37">
        <f>'13. Desinvesteringen'!G276</f>
        <v>2021</v>
      </c>
    </row>
    <row r="275" spans="2:7" s="3" customFormat="1">
      <c r="B275" s="37">
        <f>'13. Desinvesteringen'!B277</f>
        <v>258</v>
      </c>
      <c r="D275" s="37" t="str">
        <f>'13. Desinvesteringen'!C277</f>
        <v>21 Hoofdtransportleiding</v>
      </c>
      <c r="E275" s="37">
        <f>'13. Desinvesteringen'!D277</f>
        <v>1971</v>
      </c>
      <c r="F275" s="42">
        <f>'13. Desinvesteringen'!E277</f>
        <v>13448</v>
      </c>
      <c r="G275" s="37">
        <f>'13. Desinvesteringen'!G277</f>
        <v>2021</v>
      </c>
    </row>
    <row r="276" spans="2:7" s="3" customFormat="1">
      <c r="B276" s="37">
        <f>'13. Desinvesteringen'!B278</f>
        <v>259</v>
      </c>
      <c r="D276" s="37" t="str">
        <f>'13. Desinvesteringen'!C278</f>
        <v>21 Hoofdtransportleiding</v>
      </c>
      <c r="E276" s="37">
        <f>'13. Desinvesteringen'!D278</f>
        <v>1972</v>
      </c>
      <c r="F276" s="42">
        <f>'13. Desinvesteringen'!E278</f>
        <v>3048</v>
      </c>
      <c r="G276" s="37">
        <f>'13. Desinvesteringen'!G278</f>
        <v>2021</v>
      </c>
    </row>
    <row r="277" spans="2:7" s="3" customFormat="1">
      <c r="B277" s="37">
        <f>'13. Desinvesteringen'!B279</f>
        <v>260</v>
      </c>
      <c r="D277" s="37" t="str">
        <f>'13. Desinvesteringen'!C279</f>
        <v>21 Hoofdtransportleiding</v>
      </c>
      <c r="E277" s="37">
        <f>'13. Desinvesteringen'!D279</f>
        <v>1973</v>
      </c>
      <c r="F277" s="42">
        <f>'13. Desinvesteringen'!E279</f>
        <v>216</v>
      </c>
      <c r="G277" s="37">
        <f>'13. Desinvesteringen'!G279</f>
        <v>2021</v>
      </c>
    </row>
    <row r="278" spans="2:7" s="3" customFormat="1">
      <c r="B278" s="37">
        <f>'13. Desinvesteringen'!B280</f>
        <v>261</v>
      </c>
      <c r="D278" s="37" t="str">
        <f>'13. Desinvesteringen'!C280</f>
        <v>21 Hoofdtransportleiding</v>
      </c>
      <c r="E278" s="37">
        <f>'13. Desinvesteringen'!D280</f>
        <v>1974</v>
      </c>
      <c r="F278" s="42">
        <f>'13. Desinvesteringen'!E280</f>
        <v>3688</v>
      </c>
      <c r="G278" s="37">
        <f>'13. Desinvesteringen'!G280</f>
        <v>2021</v>
      </c>
    </row>
    <row r="279" spans="2:7" s="3" customFormat="1">
      <c r="B279" s="37">
        <f>'13. Desinvesteringen'!B281</f>
        <v>262</v>
      </c>
      <c r="D279" s="37" t="str">
        <f>'13. Desinvesteringen'!C281</f>
        <v>21 Hoofdtransportleiding</v>
      </c>
      <c r="E279" s="37">
        <f>'13. Desinvesteringen'!D281</f>
        <v>1975</v>
      </c>
      <c r="F279" s="42">
        <f>'13. Desinvesteringen'!E281</f>
        <v>4480.3200000000006</v>
      </c>
      <c r="G279" s="37">
        <f>'13. Desinvesteringen'!G281</f>
        <v>2021</v>
      </c>
    </row>
    <row r="280" spans="2:7" s="3" customFormat="1">
      <c r="B280" s="37">
        <f>'13. Desinvesteringen'!B282</f>
        <v>263</v>
      </c>
      <c r="D280" s="37" t="str">
        <f>'13. Desinvesteringen'!C282</f>
        <v>21 Hoofdtransportleiding</v>
      </c>
      <c r="E280" s="37">
        <f>'13. Desinvesteringen'!D282</f>
        <v>1977</v>
      </c>
      <c r="F280" s="42">
        <f>'13. Desinvesteringen'!E282</f>
        <v>745.37</v>
      </c>
      <c r="G280" s="37">
        <f>'13. Desinvesteringen'!G282</f>
        <v>2021</v>
      </c>
    </row>
    <row r="281" spans="2:7" s="3" customFormat="1">
      <c r="B281" s="37">
        <f>'13. Desinvesteringen'!B283</f>
        <v>264</v>
      </c>
      <c r="D281" s="37" t="str">
        <f>'13. Desinvesteringen'!C283</f>
        <v>21 Hoofdtransportleiding</v>
      </c>
      <c r="E281" s="37">
        <f>'13. Desinvesteringen'!D283</f>
        <v>1978</v>
      </c>
      <c r="F281" s="42">
        <f>'13. Desinvesteringen'!E283</f>
        <v>25825.9</v>
      </c>
      <c r="G281" s="37">
        <f>'13. Desinvesteringen'!G283</f>
        <v>2021</v>
      </c>
    </row>
    <row r="282" spans="2:7" s="3" customFormat="1">
      <c r="B282" s="37">
        <f>'13. Desinvesteringen'!B284</f>
        <v>265</v>
      </c>
      <c r="D282" s="37" t="str">
        <f>'13. Desinvesteringen'!C284</f>
        <v>21 Hoofdtransportleiding</v>
      </c>
      <c r="E282" s="37">
        <f>'13. Desinvesteringen'!D284</f>
        <v>1980</v>
      </c>
      <c r="F282" s="42">
        <f>'13. Desinvesteringen'!E284</f>
        <v>1675.53</v>
      </c>
      <c r="G282" s="37">
        <f>'13. Desinvesteringen'!G284</f>
        <v>2021</v>
      </c>
    </row>
    <row r="283" spans="2:7" s="3" customFormat="1">
      <c r="B283" s="37">
        <f>'13. Desinvesteringen'!B285</f>
        <v>266</v>
      </c>
      <c r="D283" s="37" t="str">
        <f>'13. Desinvesteringen'!C285</f>
        <v>21 Hoofdtransportleiding</v>
      </c>
      <c r="E283" s="37">
        <f>'13. Desinvesteringen'!D285</f>
        <v>1981</v>
      </c>
      <c r="F283" s="42">
        <f>'13. Desinvesteringen'!E285</f>
        <v>2145.67</v>
      </c>
      <c r="G283" s="37">
        <f>'13. Desinvesteringen'!G285</f>
        <v>2021</v>
      </c>
    </row>
    <row r="284" spans="2:7" s="3" customFormat="1">
      <c r="B284" s="37">
        <f>'13. Desinvesteringen'!B286</f>
        <v>267</v>
      </c>
      <c r="D284" s="37" t="str">
        <f>'13. Desinvesteringen'!C286</f>
        <v>21 Hoofdtransportleiding</v>
      </c>
      <c r="E284" s="37">
        <f>'13. Desinvesteringen'!D286</f>
        <v>1983</v>
      </c>
      <c r="F284" s="42">
        <f>'13. Desinvesteringen'!E286</f>
        <v>47940.21</v>
      </c>
      <c r="G284" s="37">
        <f>'13. Desinvesteringen'!G286</f>
        <v>2021</v>
      </c>
    </row>
    <row r="285" spans="2:7" s="3" customFormat="1">
      <c r="B285" s="37">
        <f>'13. Desinvesteringen'!B287</f>
        <v>268</v>
      </c>
      <c r="D285" s="37" t="str">
        <f>'13. Desinvesteringen'!C287</f>
        <v>21 Hoofdtransportleiding</v>
      </c>
      <c r="E285" s="37">
        <f>'13. Desinvesteringen'!D287</f>
        <v>1984</v>
      </c>
      <c r="F285" s="42">
        <f>'13. Desinvesteringen'!E287</f>
        <v>3028.66</v>
      </c>
      <c r="G285" s="37">
        <f>'13. Desinvesteringen'!G287</f>
        <v>2021</v>
      </c>
    </row>
    <row r="286" spans="2:7" s="3" customFormat="1">
      <c r="B286" s="37">
        <f>'13. Desinvesteringen'!B288</f>
        <v>269</v>
      </c>
      <c r="D286" s="37" t="str">
        <f>'13. Desinvesteringen'!C288</f>
        <v>21 Hoofdtransportleiding</v>
      </c>
      <c r="E286" s="37">
        <f>'13. Desinvesteringen'!D288</f>
        <v>1985</v>
      </c>
      <c r="F286" s="42">
        <f>'13. Desinvesteringen'!E288</f>
        <v>5162.49</v>
      </c>
      <c r="G286" s="37">
        <f>'13. Desinvesteringen'!G288</f>
        <v>2021</v>
      </c>
    </row>
    <row r="287" spans="2:7" s="3" customFormat="1">
      <c r="B287" s="37">
        <f>'13. Desinvesteringen'!B289</f>
        <v>270</v>
      </c>
      <c r="D287" s="37" t="str">
        <f>'13. Desinvesteringen'!C289</f>
        <v>21 Hoofdtransportleiding</v>
      </c>
      <c r="E287" s="37">
        <f>'13. Desinvesteringen'!D289</f>
        <v>1986</v>
      </c>
      <c r="F287" s="42">
        <f>'13. Desinvesteringen'!E289</f>
        <v>6123683.1800000006</v>
      </c>
      <c r="G287" s="37">
        <f>'13. Desinvesteringen'!G289</f>
        <v>2021</v>
      </c>
    </row>
    <row r="288" spans="2:7" s="3" customFormat="1">
      <c r="B288" s="37">
        <f>'13. Desinvesteringen'!B290</f>
        <v>271</v>
      </c>
      <c r="D288" s="37" t="str">
        <f>'13. Desinvesteringen'!C290</f>
        <v>21 Hoofdtransportleiding</v>
      </c>
      <c r="E288" s="37">
        <f>'13. Desinvesteringen'!D290</f>
        <v>1987</v>
      </c>
      <c r="F288" s="42">
        <f>'13. Desinvesteringen'!E290</f>
        <v>5769.73</v>
      </c>
      <c r="G288" s="37">
        <f>'13. Desinvesteringen'!G290</f>
        <v>2021</v>
      </c>
    </row>
    <row r="289" spans="2:7" s="3" customFormat="1">
      <c r="B289" s="37">
        <f>'13. Desinvesteringen'!B291</f>
        <v>272</v>
      </c>
      <c r="D289" s="37" t="str">
        <f>'13. Desinvesteringen'!C291</f>
        <v>21 Hoofdtransportleiding</v>
      </c>
      <c r="E289" s="37">
        <f>'13. Desinvesteringen'!D291</f>
        <v>1988</v>
      </c>
      <c r="F289" s="42">
        <f>'13. Desinvesteringen'!E291</f>
        <v>2251.5500000000002</v>
      </c>
      <c r="G289" s="37">
        <f>'13. Desinvesteringen'!G291</f>
        <v>2021</v>
      </c>
    </row>
    <row r="290" spans="2:7" s="3" customFormat="1">
      <c r="B290" s="37">
        <f>'13. Desinvesteringen'!B292</f>
        <v>273</v>
      </c>
      <c r="D290" s="37" t="str">
        <f>'13. Desinvesteringen'!C292</f>
        <v>21 Hoofdtransportleiding</v>
      </c>
      <c r="E290" s="37">
        <f>'13. Desinvesteringen'!D292</f>
        <v>1990</v>
      </c>
      <c r="F290" s="42">
        <f>'13. Desinvesteringen'!E292</f>
        <v>2264.98</v>
      </c>
      <c r="G290" s="37">
        <f>'13. Desinvesteringen'!G292</f>
        <v>2021</v>
      </c>
    </row>
    <row r="291" spans="2:7" s="3" customFormat="1">
      <c r="B291" s="37">
        <f>'13. Desinvesteringen'!B293</f>
        <v>274</v>
      </c>
      <c r="D291" s="37" t="str">
        <f>'13. Desinvesteringen'!C293</f>
        <v>21 Hoofdtransportleiding</v>
      </c>
      <c r="E291" s="37">
        <f>'13. Desinvesteringen'!D293</f>
        <v>1991</v>
      </c>
      <c r="F291" s="42">
        <f>'13. Desinvesteringen'!E293</f>
        <v>212044.27000000002</v>
      </c>
      <c r="G291" s="37">
        <f>'13. Desinvesteringen'!G293</f>
        <v>2021</v>
      </c>
    </row>
    <row r="292" spans="2:7" s="3" customFormat="1">
      <c r="B292" s="37">
        <f>'13. Desinvesteringen'!B294</f>
        <v>275</v>
      </c>
      <c r="D292" s="37" t="str">
        <f>'13. Desinvesteringen'!C294</f>
        <v>21 Hoofdtransportleiding</v>
      </c>
      <c r="E292" s="37">
        <f>'13. Desinvesteringen'!D294</f>
        <v>1992</v>
      </c>
      <c r="F292" s="42">
        <f>'13. Desinvesteringen'!E294</f>
        <v>17214.810000000001</v>
      </c>
      <c r="G292" s="37">
        <f>'13. Desinvesteringen'!G294</f>
        <v>2021</v>
      </c>
    </row>
    <row r="293" spans="2:7" s="3" customFormat="1">
      <c r="B293" s="37">
        <f>'13. Desinvesteringen'!B295</f>
        <v>276</v>
      </c>
      <c r="D293" s="37" t="str">
        <f>'13. Desinvesteringen'!C295</f>
        <v>21 Hoofdtransportleiding</v>
      </c>
      <c r="E293" s="37">
        <f>'13. Desinvesteringen'!D295</f>
        <v>1993</v>
      </c>
      <c r="F293" s="42">
        <f>'13. Desinvesteringen'!E295</f>
        <v>955.02</v>
      </c>
      <c r="G293" s="37">
        <f>'13. Desinvesteringen'!G295</f>
        <v>2021</v>
      </c>
    </row>
    <row r="294" spans="2:7" s="3" customFormat="1">
      <c r="B294" s="37">
        <f>'13. Desinvesteringen'!B296</f>
        <v>277</v>
      </c>
      <c r="D294" s="37" t="str">
        <f>'13. Desinvesteringen'!C296</f>
        <v>21 Hoofdtransportleiding</v>
      </c>
      <c r="E294" s="37">
        <f>'13. Desinvesteringen'!D296</f>
        <v>1994</v>
      </c>
      <c r="F294" s="42">
        <f>'13. Desinvesteringen'!E296</f>
        <v>2215.4899999999998</v>
      </c>
      <c r="G294" s="37">
        <f>'13. Desinvesteringen'!G296</f>
        <v>2021</v>
      </c>
    </row>
    <row r="295" spans="2:7" s="3" customFormat="1">
      <c r="B295" s="37">
        <f>'13. Desinvesteringen'!B297</f>
        <v>278</v>
      </c>
      <c r="D295" s="37" t="str">
        <f>'13. Desinvesteringen'!C297</f>
        <v>21 Hoofdtransportleiding</v>
      </c>
      <c r="E295" s="37">
        <f>'13. Desinvesteringen'!D297</f>
        <v>1995</v>
      </c>
      <c r="F295" s="42">
        <f>'13. Desinvesteringen'!E297</f>
        <v>2202.9899999999998</v>
      </c>
      <c r="G295" s="37">
        <f>'13. Desinvesteringen'!G297</f>
        <v>2021</v>
      </c>
    </row>
    <row r="296" spans="2:7" s="3" customFormat="1">
      <c r="B296" s="37">
        <f>'13. Desinvesteringen'!B298</f>
        <v>279</v>
      </c>
      <c r="D296" s="37" t="str">
        <f>'13. Desinvesteringen'!C298</f>
        <v>21 Hoofdtransportleiding</v>
      </c>
      <c r="E296" s="37">
        <f>'13. Desinvesteringen'!D298</f>
        <v>1996</v>
      </c>
      <c r="F296" s="42">
        <f>'13. Desinvesteringen'!E298</f>
        <v>25933.81</v>
      </c>
      <c r="G296" s="37">
        <f>'13. Desinvesteringen'!G298</f>
        <v>2021</v>
      </c>
    </row>
    <row r="297" spans="2:7" s="3" customFormat="1">
      <c r="B297" s="37">
        <f>'13. Desinvesteringen'!B299</f>
        <v>280</v>
      </c>
      <c r="D297" s="37" t="str">
        <f>'13. Desinvesteringen'!C299</f>
        <v>21 Hoofdtransportleiding</v>
      </c>
      <c r="E297" s="37">
        <f>'13. Desinvesteringen'!D299</f>
        <v>1998</v>
      </c>
      <c r="F297" s="42">
        <f>'13. Desinvesteringen'!E299</f>
        <v>218.17</v>
      </c>
      <c r="G297" s="37">
        <f>'13. Desinvesteringen'!G299</f>
        <v>2021</v>
      </c>
    </row>
    <row r="298" spans="2:7" s="3" customFormat="1">
      <c r="B298" s="37">
        <f>'13. Desinvesteringen'!B300</f>
        <v>281</v>
      </c>
      <c r="D298" s="37" t="str">
        <f>'13. Desinvesteringen'!C300</f>
        <v>21 Hoofdtransportleiding</v>
      </c>
      <c r="E298" s="37">
        <f>'13. Desinvesteringen'!D300</f>
        <v>2000</v>
      </c>
      <c r="F298" s="42">
        <f>'13. Desinvesteringen'!E300</f>
        <v>3336.46</v>
      </c>
      <c r="G298" s="37">
        <f>'13. Desinvesteringen'!G300</f>
        <v>2021</v>
      </c>
    </row>
    <row r="299" spans="2:7" s="3" customFormat="1">
      <c r="B299" s="37">
        <f>'13. Desinvesteringen'!B301</f>
        <v>282</v>
      </c>
      <c r="D299" s="37" t="str">
        <f>'13. Desinvesteringen'!C301</f>
        <v>21 Hoofdtransportleiding</v>
      </c>
      <c r="E299" s="37">
        <f>'13. Desinvesteringen'!D301</f>
        <v>2001</v>
      </c>
      <c r="F299" s="42">
        <f>'13. Desinvesteringen'!E301</f>
        <v>7332.67</v>
      </c>
      <c r="G299" s="37">
        <f>'13. Desinvesteringen'!G301</f>
        <v>2021</v>
      </c>
    </row>
    <row r="300" spans="2:7" s="3" customFormat="1">
      <c r="B300" s="37">
        <f>'13. Desinvesteringen'!B302</f>
        <v>283</v>
      </c>
      <c r="D300" s="37" t="str">
        <f>'13. Desinvesteringen'!C302</f>
        <v>21 Hoofdtransportleiding</v>
      </c>
      <c r="E300" s="37">
        <f>'13. Desinvesteringen'!D302</f>
        <v>2004</v>
      </c>
      <c r="F300" s="42">
        <f>'13. Desinvesteringen'!E302</f>
        <v>32470.219999999998</v>
      </c>
      <c r="G300" s="37">
        <f>'13. Desinvesteringen'!G302</f>
        <v>2021</v>
      </c>
    </row>
    <row r="301" spans="2:7" s="3" customFormat="1">
      <c r="B301" s="37">
        <f>'13. Desinvesteringen'!B303</f>
        <v>284</v>
      </c>
      <c r="D301" s="37" t="str">
        <f>'13. Desinvesteringen'!C303</f>
        <v>21 Hoofdtransportleiding</v>
      </c>
      <c r="E301" s="37">
        <f>'13. Desinvesteringen'!D303</f>
        <v>2007</v>
      </c>
      <c r="F301" s="42">
        <f>'13. Desinvesteringen'!E303</f>
        <v>36698.050000000003</v>
      </c>
      <c r="G301" s="37">
        <f>'13. Desinvesteringen'!G303</f>
        <v>2021</v>
      </c>
    </row>
    <row r="302" spans="2:7" s="3" customFormat="1">
      <c r="B302" s="37">
        <f>'13. Desinvesteringen'!B304</f>
        <v>285</v>
      </c>
      <c r="D302" s="37" t="str">
        <f>'13. Desinvesteringen'!C304</f>
        <v>21 Hoofdtransportleiding</v>
      </c>
      <c r="E302" s="37">
        <f>'13. Desinvesteringen'!D304</f>
        <v>2007</v>
      </c>
      <c r="F302" s="42">
        <f>'13. Desinvesteringen'!E304</f>
        <v>814.86374062264201</v>
      </c>
      <c r="G302" s="37">
        <f>'13. Desinvesteringen'!G304</f>
        <v>2021</v>
      </c>
    </row>
    <row r="303" spans="2:7" s="3" customFormat="1">
      <c r="B303" s="37">
        <f>'13. Desinvesteringen'!B305</f>
        <v>286</v>
      </c>
      <c r="D303" s="37" t="str">
        <f>'13. Desinvesteringen'!C305</f>
        <v>21 Hoofdtransportleiding</v>
      </c>
      <c r="E303" s="37">
        <f>'13. Desinvesteringen'!D305</f>
        <v>2008</v>
      </c>
      <c r="F303" s="42">
        <f>'13. Desinvesteringen'!E305</f>
        <v>1697.82</v>
      </c>
      <c r="G303" s="37">
        <f>'13. Desinvesteringen'!G305</f>
        <v>2021</v>
      </c>
    </row>
    <row r="304" spans="2:7" s="3" customFormat="1">
      <c r="B304" s="37">
        <f>'13. Desinvesteringen'!B306</f>
        <v>287</v>
      </c>
      <c r="D304" s="37" t="str">
        <f>'13. Desinvesteringen'!C306</f>
        <v>21 Hoofdtransportleiding</v>
      </c>
      <c r="E304" s="37">
        <f>'13. Desinvesteringen'!D306</f>
        <v>2009</v>
      </c>
      <c r="F304" s="42">
        <f>'13. Desinvesteringen'!E306</f>
        <v>306.17</v>
      </c>
      <c r="G304" s="37">
        <f>'13. Desinvesteringen'!G306</f>
        <v>2021</v>
      </c>
    </row>
    <row r="305" spans="2:7" s="3" customFormat="1">
      <c r="B305" s="37">
        <f>'13. Desinvesteringen'!B307</f>
        <v>288</v>
      </c>
      <c r="D305" s="37" t="str">
        <f>'13. Desinvesteringen'!C307</f>
        <v>21 Hoofdtransportleiding</v>
      </c>
      <c r="E305" s="37">
        <f>'13. Desinvesteringen'!D307</f>
        <v>2013</v>
      </c>
      <c r="F305" s="42">
        <f>'13. Desinvesteringen'!E307</f>
        <v>111081.36098285067</v>
      </c>
      <c r="G305" s="37">
        <f>'13. Desinvesteringen'!G307</f>
        <v>2021</v>
      </c>
    </row>
    <row r="306" spans="2:7" s="3" customFormat="1">
      <c r="B306" s="37">
        <f>'13. Desinvesteringen'!B308</f>
        <v>289</v>
      </c>
      <c r="D306" s="37" t="str">
        <f>'13. Desinvesteringen'!C308</f>
        <v>21 Hoofdtransportleiding</v>
      </c>
      <c r="E306" s="37">
        <f>'13. Desinvesteringen'!D308</f>
        <v>2015</v>
      </c>
      <c r="F306" s="42">
        <f>'13. Desinvesteringen'!E308</f>
        <v>10546.74451914087</v>
      </c>
      <c r="G306" s="37">
        <f>'13. Desinvesteringen'!G308</f>
        <v>2021</v>
      </c>
    </row>
    <row r="307" spans="2:7" s="3" customFormat="1">
      <c r="B307" s="37">
        <f>'13. Desinvesteringen'!B309</f>
        <v>290</v>
      </c>
      <c r="D307" s="37" t="str">
        <f>'13. Desinvesteringen'!C309</f>
        <v>21 Hoofdtransportleiding</v>
      </c>
      <c r="E307" s="37">
        <f>'13. Desinvesteringen'!D309</f>
        <v>2016</v>
      </c>
      <c r="F307" s="42">
        <f>'13. Desinvesteringen'!E309</f>
        <v>23513.843749704858</v>
      </c>
      <c r="G307" s="37">
        <f>'13. Desinvesteringen'!G309</f>
        <v>2021</v>
      </c>
    </row>
    <row r="308" spans="2:7" s="3" customFormat="1">
      <c r="B308" s="37">
        <f>'13. Desinvesteringen'!B310</f>
        <v>291</v>
      </c>
      <c r="D308" s="37" t="str">
        <f>'13. Desinvesteringen'!C310</f>
        <v>23 Brigittaleiding</v>
      </c>
      <c r="E308" s="37">
        <f>'13. Desinvesteringen'!D310</f>
        <v>1980</v>
      </c>
      <c r="F308" s="42">
        <f>'13. Desinvesteringen'!E310</f>
        <v>634.20000000000005</v>
      </c>
      <c r="G308" s="37">
        <f>'13. Desinvesteringen'!G310</f>
        <v>2021</v>
      </c>
    </row>
    <row r="309" spans="2:7" s="3" customFormat="1">
      <c r="B309" s="37">
        <f>'13. Desinvesteringen'!B311</f>
        <v>292</v>
      </c>
      <c r="D309" s="37" t="str">
        <f>'13. Desinvesteringen'!C311</f>
        <v>23 Brigittaleiding</v>
      </c>
      <c r="E309" s="37">
        <f>'13. Desinvesteringen'!D311</f>
        <v>1995</v>
      </c>
      <c r="F309" s="42">
        <f>'13. Desinvesteringen'!E311</f>
        <v>3276.15</v>
      </c>
      <c r="G309" s="37">
        <f>'13. Desinvesteringen'!G311</f>
        <v>2021</v>
      </c>
    </row>
    <row r="310" spans="2:7" s="3" customFormat="1">
      <c r="B310" s="37">
        <f>'13. Desinvesteringen'!B312</f>
        <v>293</v>
      </c>
      <c r="D310" s="37" t="str">
        <f>'13. Desinvesteringen'!C312</f>
        <v>32 M&amp;R stations</v>
      </c>
      <c r="E310" s="37">
        <f>'13. Desinvesteringen'!D312</f>
        <v>1964</v>
      </c>
      <c r="F310" s="42">
        <f>'13. Desinvesteringen'!E312</f>
        <v>6186.9699999999993</v>
      </c>
      <c r="G310" s="37">
        <f>'13. Desinvesteringen'!G312</f>
        <v>2021</v>
      </c>
    </row>
    <row r="311" spans="2:7" s="3" customFormat="1">
      <c r="B311" s="37">
        <f>'13. Desinvesteringen'!B313</f>
        <v>294</v>
      </c>
      <c r="D311" s="37" t="str">
        <f>'13. Desinvesteringen'!C313</f>
        <v>32 M&amp;R stations</v>
      </c>
      <c r="E311" s="37">
        <f>'13. Desinvesteringen'!D313</f>
        <v>1966</v>
      </c>
      <c r="F311" s="42">
        <f>'13. Desinvesteringen'!E313</f>
        <v>944.59</v>
      </c>
      <c r="G311" s="37">
        <f>'13. Desinvesteringen'!G313</f>
        <v>2021</v>
      </c>
    </row>
    <row r="312" spans="2:7" s="3" customFormat="1">
      <c r="B312" s="37">
        <f>'13. Desinvesteringen'!B314</f>
        <v>295</v>
      </c>
      <c r="D312" s="37" t="str">
        <f>'13. Desinvesteringen'!C314</f>
        <v>32 M&amp;R stations</v>
      </c>
      <c r="E312" s="37">
        <f>'13. Desinvesteringen'!D314</f>
        <v>1967</v>
      </c>
      <c r="F312" s="42">
        <f>'13. Desinvesteringen'!E314</f>
        <v>5645.93</v>
      </c>
      <c r="G312" s="37">
        <f>'13. Desinvesteringen'!G314</f>
        <v>2021</v>
      </c>
    </row>
    <row r="313" spans="2:7" s="3" customFormat="1">
      <c r="B313" s="37">
        <f>'13. Desinvesteringen'!B315</f>
        <v>296</v>
      </c>
      <c r="D313" s="37" t="str">
        <f>'13. Desinvesteringen'!C315</f>
        <v>32 M&amp;R stations</v>
      </c>
      <c r="E313" s="37">
        <f>'13. Desinvesteringen'!D315</f>
        <v>1972</v>
      </c>
      <c r="F313" s="42">
        <f>'13. Desinvesteringen'!E315</f>
        <v>33239.620000000003</v>
      </c>
      <c r="G313" s="37">
        <f>'13. Desinvesteringen'!G315</f>
        <v>2021</v>
      </c>
    </row>
    <row r="314" spans="2:7" s="3" customFormat="1">
      <c r="B314" s="37">
        <f>'13. Desinvesteringen'!B316</f>
        <v>297</v>
      </c>
      <c r="D314" s="37" t="str">
        <f>'13. Desinvesteringen'!C316</f>
        <v>32 M&amp;R stations</v>
      </c>
      <c r="E314" s="37">
        <f>'13. Desinvesteringen'!D316</f>
        <v>1973</v>
      </c>
      <c r="F314" s="42">
        <f>'13. Desinvesteringen'!E316</f>
        <v>126124.84</v>
      </c>
      <c r="G314" s="37">
        <f>'13. Desinvesteringen'!G316</f>
        <v>2021</v>
      </c>
    </row>
    <row r="315" spans="2:7" s="3" customFormat="1">
      <c r="B315" s="37">
        <f>'13. Desinvesteringen'!B317</f>
        <v>298</v>
      </c>
      <c r="D315" s="37" t="str">
        <f>'13. Desinvesteringen'!C317</f>
        <v>32 M&amp;R stations</v>
      </c>
      <c r="E315" s="37">
        <f>'13. Desinvesteringen'!D317</f>
        <v>1974</v>
      </c>
      <c r="F315" s="42">
        <f>'13. Desinvesteringen'!E317</f>
        <v>12379.830000000002</v>
      </c>
      <c r="G315" s="37">
        <f>'13. Desinvesteringen'!G317</f>
        <v>2021</v>
      </c>
    </row>
    <row r="316" spans="2:7" s="3" customFormat="1">
      <c r="B316" s="37">
        <f>'13. Desinvesteringen'!B318</f>
        <v>299</v>
      </c>
      <c r="D316" s="37" t="str">
        <f>'13. Desinvesteringen'!C318</f>
        <v>32 M&amp;R stations</v>
      </c>
      <c r="E316" s="37">
        <f>'13. Desinvesteringen'!D318</f>
        <v>1996</v>
      </c>
      <c r="F316" s="42">
        <f>'13. Desinvesteringen'!E318</f>
        <v>4334.99</v>
      </c>
      <c r="G316" s="37">
        <f>'13. Desinvesteringen'!G318</f>
        <v>2021</v>
      </c>
    </row>
    <row r="317" spans="2:7" s="3" customFormat="1">
      <c r="B317" s="37">
        <f>'13. Desinvesteringen'!B319</f>
        <v>300</v>
      </c>
      <c r="D317" s="37" t="str">
        <f>'13. Desinvesteringen'!C319</f>
        <v>32 M&amp;R stations</v>
      </c>
      <c r="E317" s="37">
        <f>'13. Desinvesteringen'!D319</f>
        <v>2004</v>
      </c>
      <c r="F317" s="42">
        <f>'13. Desinvesteringen'!E319</f>
        <v>3261.03</v>
      </c>
      <c r="G317" s="37">
        <f>'13. Desinvesteringen'!G319</f>
        <v>2021</v>
      </c>
    </row>
    <row r="318" spans="2:7" s="3" customFormat="1">
      <c r="B318" s="37">
        <f>'13. Desinvesteringen'!B320</f>
        <v>301</v>
      </c>
      <c r="D318" s="37" t="str">
        <f>'13. Desinvesteringen'!C320</f>
        <v>32 M&amp;R stations</v>
      </c>
      <c r="E318" s="37">
        <f>'13. Desinvesteringen'!D320</f>
        <v>2005</v>
      </c>
      <c r="F318" s="42">
        <f>'13. Desinvesteringen'!E320</f>
        <v>6498.35</v>
      </c>
      <c r="G318" s="37">
        <f>'13. Desinvesteringen'!G320</f>
        <v>2021</v>
      </c>
    </row>
    <row r="319" spans="2:7" s="3" customFormat="1">
      <c r="B319" s="37">
        <f>'13. Desinvesteringen'!B321</f>
        <v>302</v>
      </c>
      <c r="D319" s="37" t="str">
        <f>'13. Desinvesteringen'!C321</f>
        <v>33 Exportstations</v>
      </c>
      <c r="E319" s="37">
        <f>'13. Desinvesteringen'!D321</f>
        <v>1966</v>
      </c>
      <c r="F319" s="42">
        <f>'13. Desinvesteringen'!E321</f>
        <v>9693.7099999999991</v>
      </c>
      <c r="G319" s="37">
        <f>'13. Desinvesteringen'!G321</f>
        <v>2021</v>
      </c>
    </row>
    <row r="320" spans="2:7" s="3" customFormat="1">
      <c r="B320" s="37">
        <f>'13. Desinvesteringen'!B322</f>
        <v>303</v>
      </c>
      <c r="D320" s="37" t="str">
        <f>'13. Desinvesteringen'!C322</f>
        <v>33 Exportstations</v>
      </c>
      <c r="E320" s="37">
        <f>'13. Desinvesteringen'!D322</f>
        <v>1975</v>
      </c>
      <c r="F320" s="42">
        <f>'13. Desinvesteringen'!E322</f>
        <v>41515.949999999997</v>
      </c>
      <c r="G320" s="37">
        <f>'13. Desinvesteringen'!G322</f>
        <v>2021</v>
      </c>
    </row>
    <row r="321" spans="2:7" s="3" customFormat="1">
      <c r="B321" s="37">
        <f>'13. Desinvesteringen'!B323</f>
        <v>304</v>
      </c>
      <c r="D321" s="37" t="str">
        <f>'13. Desinvesteringen'!C323</f>
        <v>33 Exportstations</v>
      </c>
      <c r="E321" s="37">
        <f>'13. Desinvesteringen'!D323</f>
        <v>1998</v>
      </c>
      <c r="F321" s="42">
        <f>'13. Desinvesteringen'!E323</f>
        <v>15977.01</v>
      </c>
      <c r="G321" s="37">
        <f>'13. Desinvesteringen'!G323</f>
        <v>2021</v>
      </c>
    </row>
    <row r="322" spans="2:7" s="3" customFormat="1">
      <c r="B322" s="37">
        <f>'13. Desinvesteringen'!B324</f>
        <v>305</v>
      </c>
      <c r="D322" s="37" t="str">
        <f>'13. Desinvesteringen'!C324</f>
        <v>33 Exportstations</v>
      </c>
      <c r="E322" s="37">
        <f>'13. Desinvesteringen'!D324</f>
        <v>2006</v>
      </c>
      <c r="F322" s="42">
        <f>'13. Desinvesteringen'!E324</f>
        <v>102233.51999999999</v>
      </c>
      <c r="G322" s="37">
        <f>'13. Desinvesteringen'!G324</f>
        <v>2021</v>
      </c>
    </row>
    <row r="323" spans="2:7" s="3" customFormat="1">
      <c r="B323" s="37">
        <f>'13. Desinvesteringen'!B325</f>
        <v>306</v>
      </c>
      <c r="D323" s="37" t="str">
        <f>'13. Desinvesteringen'!C325</f>
        <v>34 Reduceerstations</v>
      </c>
      <c r="E323" s="37">
        <f>'13. Desinvesteringen'!D325</f>
        <v>1986</v>
      </c>
      <c r="F323" s="42">
        <f>'13. Desinvesteringen'!E325</f>
        <v>11474.46</v>
      </c>
      <c r="G323" s="37">
        <f>'13. Desinvesteringen'!G325</f>
        <v>2021</v>
      </c>
    </row>
    <row r="324" spans="2:7" s="3" customFormat="1">
      <c r="B324" s="37">
        <f>'13. Desinvesteringen'!B326</f>
        <v>307</v>
      </c>
      <c r="D324" s="37" t="str">
        <f>'13. Desinvesteringen'!C326</f>
        <v>34 Reduceerstations</v>
      </c>
      <c r="E324" s="37">
        <f>'13. Desinvesteringen'!D326</f>
        <v>1996</v>
      </c>
      <c r="F324" s="42">
        <f>'13. Desinvesteringen'!E326</f>
        <v>3094.13</v>
      </c>
      <c r="G324" s="37">
        <f>'13. Desinvesteringen'!G326</f>
        <v>2021</v>
      </c>
    </row>
    <row r="325" spans="2:7" s="3" customFormat="1">
      <c r="B325" s="37">
        <f>'13. Desinvesteringen'!B327</f>
        <v>308</v>
      </c>
      <c r="D325" s="37" t="str">
        <f>'13. Desinvesteringen'!C327</f>
        <v>34 Reduceerstations</v>
      </c>
      <c r="E325" s="37">
        <f>'13. Desinvesteringen'!D327</f>
        <v>1997</v>
      </c>
      <c r="F325" s="42">
        <f>'13. Desinvesteringen'!E327</f>
        <v>31484.79</v>
      </c>
      <c r="G325" s="37">
        <f>'13. Desinvesteringen'!G327</f>
        <v>2021</v>
      </c>
    </row>
    <row r="326" spans="2:7" s="3" customFormat="1">
      <c r="B326" s="37">
        <f>'13. Desinvesteringen'!B328</f>
        <v>309</v>
      </c>
      <c r="D326" s="37" t="str">
        <f>'13. Desinvesteringen'!C328</f>
        <v>34 Reduceerstations</v>
      </c>
      <c r="E326" s="37">
        <f>'13. Desinvesteringen'!D328</f>
        <v>1998</v>
      </c>
      <c r="F326" s="42">
        <f>'13. Desinvesteringen'!E328</f>
        <v>1479.93</v>
      </c>
      <c r="G326" s="37">
        <f>'13. Desinvesteringen'!G328</f>
        <v>2021</v>
      </c>
    </row>
    <row r="327" spans="2:7" s="3" customFormat="1">
      <c r="B327" s="37">
        <f>'13. Desinvesteringen'!B329</f>
        <v>310</v>
      </c>
      <c r="D327" s="37" t="str">
        <f>'13. Desinvesteringen'!C329</f>
        <v>37 ICT middelen 1</v>
      </c>
      <c r="E327" s="37">
        <f>'13. Desinvesteringen'!D329</f>
        <v>2014</v>
      </c>
      <c r="F327" s="42">
        <f>'13. Desinvesteringen'!E329</f>
        <v>389821.72686058586</v>
      </c>
      <c r="G327" s="37">
        <f>'13. Desinvesteringen'!G329</f>
        <v>2021</v>
      </c>
    </row>
    <row r="328" spans="2:7" s="3" customFormat="1">
      <c r="B328" s="37">
        <f>'13. Desinvesteringen'!B330</f>
        <v>311</v>
      </c>
      <c r="D328" s="37" t="str">
        <f>'13. Desinvesteringen'!C330</f>
        <v>37 ICT middelen 1</v>
      </c>
      <c r="E328" s="37">
        <f>'13. Desinvesteringen'!D330</f>
        <v>2016</v>
      </c>
      <c r="F328" s="42">
        <f>'13. Desinvesteringen'!E330</f>
        <v>6703956.690605375</v>
      </c>
      <c r="G328" s="37">
        <f>'13. Desinvesteringen'!G330</f>
        <v>2021</v>
      </c>
    </row>
    <row r="329" spans="2:7" s="3" customFormat="1">
      <c r="B329" s="37">
        <f>'13. Desinvesteringen'!B331</f>
        <v>312</v>
      </c>
      <c r="D329" s="37" t="str">
        <f>'13. Desinvesteringen'!C331</f>
        <v>37 ICT middelen 1</v>
      </c>
      <c r="E329" s="37">
        <f>'13. Desinvesteringen'!D331</f>
        <v>2017</v>
      </c>
      <c r="F329" s="42">
        <f>'13. Desinvesteringen'!E331</f>
        <v>684727.21448209102</v>
      </c>
      <c r="G329" s="37">
        <f>'13. Desinvesteringen'!G331</f>
        <v>2021</v>
      </c>
    </row>
    <row r="330" spans="2:7" s="3" customFormat="1">
      <c r="B330" s="37">
        <f>'13. Desinvesteringen'!B332</f>
        <v>313</v>
      </c>
      <c r="D330" s="37" t="str">
        <f>'13. Desinvesteringen'!C332</f>
        <v>37 ICT middelen 1</v>
      </c>
      <c r="E330" s="37">
        <f>'13. Desinvesteringen'!D332</f>
        <v>2018</v>
      </c>
      <c r="F330" s="42">
        <f>'13. Desinvesteringen'!E332</f>
        <v>493959.41966385196</v>
      </c>
      <c r="G330" s="37">
        <f>'13. Desinvesteringen'!G332</f>
        <v>2021</v>
      </c>
    </row>
    <row r="331" spans="2:7" s="3" customFormat="1">
      <c r="B331" s="37">
        <f>'13. Desinvesteringen'!B333</f>
        <v>314</v>
      </c>
      <c r="D331" s="37" t="str">
        <f>'13. Desinvesteringen'!C333</f>
        <v>37 ICT middelen 1</v>
      </c>
      <c r="E331" s="37">
        <f>'13. Desinvesteringen'!D333</f>
        <v>2019</v>
      </c>
      <c r="F331" s="42">
        <f>'13. Desinvesteringen'!E333</f>
        <v>890860.60513630731</v>
      </c>
      <c r="G331" s="37">
        <f>'13. Desinvesteringen'!G333</f>
        <v>2021</v>
      </c>
    </row>
    <row r="332" spans="2:7" s="3" customFormat="1">
      <c r="B332" s="37">
        <f>'13. Desinvesteringen'!B334</f>
        <v>315</v>
      </c>
      <c r="D332" s="37" t="str">
        <f>'13. Desinvesteringen'!C334</f>
        <v>38 ICT middelen 2</v>
      </c>
      <c r="E332" s="37">
        <f>'13. Desinvesteringen'!D334</f>
        <v>2019</v>
      </c>
      <c r="F332" s="42">
        <f>'13. Desinvesteringen'!E334</f>
        <v>211448.77498552162</v>
      </c>
      <c r="G332" s="37">
        <f>'13. Desinvesteringen'!G334</f>
        <v>2021</v>
      </c>
    </row>
    <row r="333" spans="2:7" s="3" customFormat="1">
      <c r="B333" s="37">
        <f>'13. Desinvesteringen'!B335</f>
        <v>316</v>
      </c>
      <c r="D333" s="37" t="str">
        <f>'13. Desinvesteringen'!C335</f>
        <v>01 Regionale leidingen</v>
      </c>
      <c r="E333" s="37">
        <f>'13. Desinvesteringen'!D335</f>
        <v>1949</v>
      </c>
      <c r="F333" s="42">
        <f>'13. Desinvesteringen'!E335</f>
        <v>160877.82</v>
      </c>
      <c r="G333" s="37">
        <f>'13. Desinvesteringen'!G335</f>
        <v>2022</v>
      </c>
    </row>
    <row r="334" spans="2:7" s="3" customFormat="1">
      <c r="B334" s="37">
        <f>'13. Desinvesteringen'!B336</f>
        <v>317</v>
      </c>
      <c r="D334" s="37" t="str">
        <f>'13. Desinvesteringen'!C336</f>
        <v>01 Regionale leidingen</v>
      </c>
      <c r="E334" s="37">
        <f>'13. Desinvesteringen'!D336</f>
        <v>1951</v>
      </c>
      <c r="F334" s="42">
        <f>'13. Desinvesteringen'!E336</f>
        <v>84605.79</v>
      </c>
      <c r="G334" s="37">
        <f>'13. Desinvesteringen'!G336</f>
        <v>2022</v>
      </c>
    </row>
    <row r="335" spans="2:7" s="3" customFormat="1">
      <c r="B335" s="37">
        <f>'13. Desinvesteringen'!B337</f>
        <v>318</v>
      </c>
      <c r="D335" s="37" t="str">
        <f>'13. Desinvesteringen'!C337</f>
        <v>01 Regionale leidingen</v>
      </c>
      <c r="E335" s="37">
        <f>'13. Desinvesteringen'!D337</f>
        <v>1955</v>
      </c>
      <c r="F335" s="42">
        <f>'13. Desinvesteringen'!E337</f>
        <v>144.74</v>
      </c>
      <c r="G335" s="37">
        <f>'13. Desinvesteringen'!G337</f>
        <v>2022</v>
      </c>
    </row>
    <row r="336" spans="2:7" s="3" customFormat="1">
      <c r="B336" s="37">
        <f>'13. Desinvesteringen'!B338</f>
        <v>319</v>
      </c>
      <c r="D336" s="37" t="str">
        <f>'13. Desinvesteringen'!C338</f>
        <v>01 Regionale leidingen</v>
      </c>
      <c r="E336" s="37">
        <f>'13. Desinvesteringen'!D338</f>
        <v>1960</v>
      </c>
      <c r="F336" s="42">
        <f>'13. Desinvesteringen'!E338</f>
        <v>0.01</v>
      </c>
      <c r="G336" s="37">
        <f>'13. Desinvesteringen'!G338</f>
        <v>2022</v>
      </c>
    </row>
    <row r="337" spans="2:7" s="3" customFormat="1">
      <c r="B337" s="37">
        <f>'13. Desinvesteringen'!B339</f>
        <v>320</v>
      </c>
      <c r="D337" s="37" t="str">
        <f>'13. Desinvesteringen'!C339</f>
        <v>01 Regionale leidingen</v>
      </c>
      <c r="E337" s="37">
        <f>'13. Desinvesteringen'!D339</f>
        <v>1964</v>
      </c>
      <c r="F337" s="42">
        <f>'13. Desinvesteringen'!E339</f>
        <v>30000</v>
      </c>
      <c r="G337" s="37">
        <f>'13. Desinvesteringen'!G339</f>
        <v>2022</v>
      </c>
    </row>
    <row r="338" spans="2:7" s="3" customFormat="1">
      <c r="B338" s="37">
        <f>'13. Desinvesteringen'!B340</f>
        <v>321</v>
      </c>
      <c r="D338" s="37" t="str">
        <f>'13. Desinvesteringen'!C340</f>
        <v>01 Regionale leidingen</v>
      </c>
      <c r="E338" s="37">
        <f>'13. Desinvesteringen'!D340</f>
        <v>1965</v>
      </c>
      <c r="F338" s="42">
        <f>'13. Desinvesteringen'!E340</f>
        <v>138426.70000000001</v>
      </c>
      <c r="G338" s="37">
        <f>'13. Desinvesteringen'!G340</f>
        <v>2022</v>
      </c>
    </row>
    <row r="339" spans="2:7" s="3" customFormat="1">
      <c r="B339" s="37">
        <f>'13. Desinvesteringen'!B341</f>
        <v>322</v>
      </c>
      <c r="D339" s="37" t="str">
        <f>'13. Desinvesteringen'!C341</f>
        <v>01 Regionale leidingen</v>
      </c>
      <c r="E339" s="37">
        <f>'13. Desinvesteringen'!D341</f>
        <v>1966</v>
      </c>
      <c r="F339" s="42">
        <f>'13. Desinvesteringen'!E341</f>
        <v>234290.08</v>
      </c>
      <c r="G339" s="37">
        <f>'13. Desinvesteringen'!G341</f>
        <v>2022</v>
      </c>
    </row>
    <row r="340" spans="2:7" s="3" customFormat="1">
      <c r="B340" s="37">
        <f>'13. Desinvesteringen'!B342</f>
        <v>323</v>
      </c>
      <c r="D340" s="37" t="str">
        <f>'13. Desinvesteringen'!C342</f>
        <v>01 Regionale leidingen</v>
      </c>
      <c r="E340" s="37">
        <f>'13. Desinvesteringen'!D342</f>
        <v>1967</v>
      </c>
      <c r="F340" s="42">
        <f>'13. Desinvesteringen'!E342</f>
        <v>91461.86</v>
      </c>
      <c r="G340" s="37">
        <f>'13. Desinvesteringen'!G342</f>
        <v>2022</v>
      </c>
    </row>
    <row r="341" spans="2:7" s="3" customFormat="1">
      <c r="B341" s="37">
        <f>'13. Desinvesteringen'!B343</f>
        <v>324</v>
      </c>
      <c r="D341" s="37" t="str">
        <f>'13. Desinvesteringen'!C343</f>
        <v>01 Regionale leidingen</v>
      </c>
      <c r="E341" s="37">
        <f>'13. Desinvesteringen'!D343</f>
        <v>1968</v>
      </c>
      <c r="F341" s="42">
        <f>'13. Desinvesteringen'!E343</f>
        <v>48585.87</v>
      </c>
      <c r="G341" s="37">
        <f>'13. Desinvesteringen'!G343</f>
        <v>2022</v>
      </c>
    </row>
    <row r="342" spans="2:7" s="3" customFormat="1">
      <c r="B342" s="37">
        <f>'13. Desinvesteringen'!B344</f>
        <v>325</v>
      </c>
      <c r="D342" s="37" t="str">
        <f>'13. Desinvesteringen'!C344</f>
        <v>01 Regionale leidingen</v>
      </c>
      <c r="E342" s="37">
        <f>'13. Desinvesteringen'!D344</f>
        <v>1969</v>
      </c>
      <c r="F342" s="42">
        <f>'13. Desinvesteringen'!E344</f>
        <v>78148.28</v>
      </c>
      <c r="G342" s="37">
        <f>'13. Desinvesteringen'!G344</f>
        <v>2022</v>
      </c>
    </row>
    <row r="343" spans="2:7" s="3" customFormat="1">
      <c r="B343" s="37">
        <f>'13. Desinvesteringen'!B345</f>
        <v>326</v>
      </c>
      <c r="D343" s="37" t="str">
        <f>'13. Desinvesteringen'!C345</f>
        <v>01 Regionale leidingen</v>
      </c>
      <c r="E343" s="37">
        <f>'13. Desinvesteringen'!D345</f>
        <v>1970</v>
      </c>
      <c r="F343" s="42">
        <f>'13. Desinvesteringen'!E345</f>
        <v>107313.68999999999</v>
      </c>
      <c r="G343" s="37">
        <f>'13. Desinvesteringen'!G345</f>
        <v>2022</v>
      </c>
    </row>
    <row r="344" spans="2:7" s="3" customFormat="1">
      <c r="B344" s="37">
        <f>'13. Desinvesteringen'!B346</f>
        <v>327</v>
      </c>
      <c r="D344" s="37" t="str">
        <f>'13. Desinvesteringen'!C346</f>
        <v>01 Regionale leidingen</v>
      </c>
      <c r="E344" s="37">
        <f>'13. Desinvesteringen'!D346</f>
        <v>1971</v>
      </c>
      <c r="F344" s="42">
        <f>'13. Desinvesteringen'!E346</f>
        <v>63212.38</v>
      </c>
      <c r="G344" s="37">
        <f>'13. Desinvesteringen'!G346</f>
        <v>2022</v>
      </c>
    </row>
    <row r="345" spans="2:7" s="3" customFormat="1">
      <c r="B345" s="37">
        <f>'13. Desinvesteringen'!B347</f>
        <v>328</v>
      </c>
      <c r="D345" s="37" t="str">
        <f>'13. Desinvesteringen'!C347</f>
        <v>01 Regionale leidingen</v>
      </c>
      <c r="E345" s="37">
        <f>'13. Desinvesteringen'!D347</f>
        <v>1972</v>
      </c>
      <c r="F345" s="42">
        <f>'13. Desinvesteringen'!E347</f>
        <v>191127.04000000001</v>
      </c>
      <c r="G345" s="37">
        <f>'13. Desinvesteringen'!G347</f>
        <v>2022</v>
      </c>
    </row>
    <row r="346" spans="2:7" s="3" customFormat="1">
      <c r="B346" s="37">
        <f>'13. Desinvesteringen'!B348</f>
        <v>329</v>
      </c>
      <c r="D346" s="37" t="str">
        <f>'13. Desinvesteringen'!C348</f>
        <v>01 Regionale leidingen</v>
      </c>
      <c r="E346" s="37">
        <f>'13. Desinvesteringen'!D348</f>
        <v>1973</v>
      </c>
      <c r="F346" s="42">
        <f>'13. Desinvesteringen'!E348</f>
        <v>149822.34</v>
      </c>
      <c r="G346" s="37">
        <f>'13. Desinvesteringen'!G348</f>
        <v>2022</v>
      </c>
    </row>
    <row r="347" spans="2:7" s="3" customFormat="1">
      <c r="B347" s="37">
        <f>'13. Desinvesteringen'!B349</f>
        <v>330</v>
      </c>
      <c r="D347" s="37" t="str">
        <f>'13. Desinvesteringen'!C349</f>
        <v>01 Regionale leidingen</v>
      </c>
      <c r="E347" s="37">
        <f>'13. Desinvesteringen'!D349</f>
        <v>1974</v>
      </c>
      <c r="F347" s="42">
        <f>'13. Desinvesteringen'!E349</f>
        <v>54981.1</v>
      </c>
      <c r="G347" s="37">
        <f>'13. Desinvesteringen'!G349</f>
        <v>2022</v>
      </c>
    </row>
    <row r="348" spans="2:7" s="3" customFormat="1">
      <c r="B348" s="37">
        <f>'13. Desinvesteringen'!B350</f>
        <v>331</v>
      </c>
      <c r="D348" s="37" t="str">
        <f>'13. Desinvesteringen'!C350</f>
        <v>01 Regionale leidingen</v>
      </c>
      <c r="E348" s="37">
        <f>'13. Desinvesteringen'!D350</f>
        <v>1975</v>
      </c>
      <c r="F348" s="42">
        <f>'13. Desinvesteringen'!E350</f>
        <v>42603.9</v>
      </c>
      <c r="G348" s="37">
        <f>'13. Desinvesteringen'!G350</f>
        <v>2022</v>
      </c>
    </row>
    <row r="349" spans="2:7" s="3" customFormat="1">
      <c r="B349" s="37">
        <f>'13. Desinvesteringen'!B351</f>
        <v>332</v>
      </c>
      <c r="D349" s="37" t="str">
        <f>'13. Desinvesteringen'!C351</f>
        <v>01 Regionale leidingen</v>
      </c>
      <c r="E349" s="37">
        <f>'13. Desinvesteringen'!D351</f>
        <v>1976</v>
      </c>
      <c r="F349" s="42">
        <f>'13. Desinvesteringen'!E351</f>
        <v>96350.659999999989</v>
      </c>
      <c r="G349" s="37">
        <f>'13. Desinvesteringen'!G351</f>
        <v>2022</v>
      </c>
    </row>
    <row r="350" spans="2:7" s="3" customFormat="1">
      <c r="B350" s="37">
        <f>'13. Desinvesteringen'!B352</f>
        <v>333</v>
      </c>
      <c r="D350" s="37" t="str">
        <f>'13. Desinvesteringen'!C352</f>
        <v>01 Regionale leidingen</v>
      </c>
      <c r="E350" s="37">
        <f>'13. Desinvesteringen'!D352</f>
        <v>1977</v>
      </c>
      <c r="F350" s="42">
        <f>'13. Desinvesteringen'!E352</f>
        <v>40000</v>
      </c>
      <c r="G350" s="37">
        <f>'13. Desinvesteringen'!G352</f>
        <v>2022</v>
      </c>
    </row>
    <row r="351" spans="2:7" s="3" customFormat="1">
      <c r="B351" s="37">
        <f>'13. Desinvesteringen'!B353</f>
        <v>334</v>
      </c>
      <c r="D351" s="37" t="str">
        <f>'13. Desinvesteringen'!C353</f>
        <v>01 Regionale leidingen</v>
      </c>
      <c r="E351" s="37">
        <f>'13. Desinvesteringen'!D353</f>
        <v>1980</v>
      </c>
      <c r="F351" s="42">
        <f>'13. Desinvesteringen'!E353</f>
        <v>120440.92</v>
      </c>
      <c r="G351" s="37">
        <f>'13. Desinvesteringen'!G353</f>
        <v>2022</v>
      </c>
    </row>
    <row r="352" spans="2:7" s="3" customFormat="1">
      <c r="B352" s="37">
        <f>'13. Desinvesteringen'!B354</f>
        <v>335</v>
      </c>
      <c r="D352" s="37" t="str">
        <f>'13. Desinvesteringen'!C354</f>
        <v>01 Regionale leidingen</v>
      </c>
      <c r="E352" s="37">
        <f>'13. Desinvesteringen'!D354</f>
        <v>1986</v>
      </c>
      <c r="F352" s="42">
        <f>'13. Desinvesteringen'!E354</f>
        <v>522.41999999999996</v>
      </c>
      <c r="G352" s="37">
        <f>'13. Desinvesteringen'!G354</f>
        <v>2022</v>
      </c>
    </row>
    <row r="353" spans="2:7" s="3" customFormat="1">
      <c r="B353" s="37">
        <f>'13. Desinvesteringen'!B355</f>
        <v>336</v>
      </c>
      <c r="D353" s="37" t="str">
        <f>'13. Desinvesteringen'!C355</f>
        <v>01 Regionale leidingen</v>
      </c>
      <c r="E353" s="37">
        <f>'13. Desinvesteringen'!D355</f>
        <v>1987</v>
      </c>
      <c r="F353" s="42">
        <f>'13. Desinvesteringen'!E355</f>
        <v>53825.87</v>
      </c>
      <c r="G353" s="37">
        <f>'13. Desinvesteringen'!G355</f>
        <v>2022</v>
      </c>
    </row>
    <row r="354" spans="2:7" s="3" customFormat="1">
      <c r="B354" s="37">
        <f>'13. Desinvesteringen'!B356</f>
        <v>337</v>
      </c>
      <c r="D354" s="37" t="str">
        <f>'13. Desinvesteringen'!C356</f>
        <v>01 Regionale leidingen</v>
      </c>
      <c r="E354" s="37">
        <f>'13. Desinvesteringen'!D356</f>
        <v>1991</v>
      </c>
      <c r="F354" s="42">
        <f>'13. Desinvesteringen'!E356</f>
        <v>27309.98</v>
      </c>
      <c r="G354" s="37">
        <f>'13. Desinvesteringen'!G356</f>
        <v>2022</v>
      </c>
    </row>
    <row r="355" spans="2:7" s="3" customFormat="1">
      <c r="B355" s="37">
        <f>'13. Desinvesteringen'!B357</f>
        <v>338</v>
      </c>
      <c r="D355" s="37" t="str">
        <f>'13. Desinvesteringen'!C357</f>
        <v>01 Regionale leidingen</v>
      </c>
      <c r="E355" s="37">
        <f>'13. Desinvesteringen'!D357</f>
        <v>1994</v>
      </c>
      <c r="F355" s="42">
        <f>'13. Desinvesteringen'!E357</f>
        <v>108598.45</v>
      </c>
      <c r="G355" s="37">
        <f>'13. Desinvesteringen'!G357</f>
        <v>2022</v>
      </c>
    </row>
    <row r="356" spans="2:7" s="3" customFormat="1">
      <c r="B356" s="37">
        <f>'13. Desinvesteringen'!B358</f>
        <v>339</v>
      </c>
      <c r="D356" s="37" t="str">
        <f>'13. Desinvesteringen'!C358</f>
        <v>01 Regionale leidingen</v>
      </c>
      <c r="E356" s="37">
        <f>'13. Desinvesteringen'!D358</f>
        <v>1995</v>
      </c>
      <c r="F356" s="42">
        <f>'13. Desinvesteringen'!E358</f>
        <v>22977.040000000001</v>
      </c>
      <c r="G356" s="37">
        <f>'13. Desinvesteringen'!G358</f>
        <v>2022</v>
      </c>
    </row>
    <row r="357" spans="2:7" s="3" customFormat="1">
      <c r="B357" s="37">
        <f>'13. Desinvesteringen'!B359</f>
        <v>340</v>
      </c>
      <c r="D357" s="37" t="str">
        <f>'13. Desinvesteringen'!C359</f>
        <v>01 Regionale leidingen</v>
      </c>
      <c r="E357" s="37">
        <f>'13. Desinvesteringen'!D359</f>
        <v>1997</v>
      </c>
      <c r="F357" s="42">
        <f>'13. Desinvesteringen'!E359</f>
        <v>4863.96</v>
      </c>
      <c r="G357" s="37">
        <f>'13. Desinvesteringen'!G359</f>
        <v>2022</v>
      </c>
    </row>
    <row r="358" spans="2:7" s="3" customFormat="1">
      <c r="B358" s="37">
        <f>'13. Desinvesteringen'!B360</f>
        <v>341</v>
      </c>
      <c r="D358" s="37" t="str">
        <f>'13. Desinvesteringen'!C360</f>
        <v>01 Regionale leidingen</v>
      </c>
      <c r="E358" s="37">
        <f>'13. Desinvesteringen'!D360</f>
        <v>2001</v>
      </c>
      <c r="F358" s="42">
        <f>'13. Desinvesteringen'!E360</f>
        <v>6708.79</v>
      </c>
      <c r="G358" s="37">
        <f>'13. Desinvesteringen'!G360</f>
        <v>2022</v>
      </c>
    </row>
    <row r="359" spans="2:7" s="3" customFormat="1">
      <c r="B359" s="37">
        <f>'13. Desinvesteringen'!B361</f>
        <v>342</v>
      </c>
      <c r="D359" s="37" t="str">
        <f>'13. Desinvesteringen'!C361</f>
        <v>01 Regionale leidingen</v>
      </c>
      <c r="E359" s="37">
        <f>'13. Desinvesteringen'!D361</f>
        <v>2002</v>
      </c>
      <c r="F359" s="42">
        <f>'13. Desinvesteringen'!E361</f>
        <v>4460.3999999999996</v>
      </c>
      <c r="G359" s="37">
        <f>'13. Desinvesteringen'!G361</f>
        <v>2022</v>
      </c>
    </row>
    <row r="360" spans="2:7" s="3" customFormat="1">
      <c r="B360" s="37">
        <f>'13. Desinvesteringen'!B362</f>
        <v>343</v>
      </c>
      <c r="D360" s="37" t="str">
        <f>'13. Desinvesteringen'!C362</f>
        <v>01 Regionale leidingen</v>
      </c>
      <c r="E360" s="37">
        <f>'13. Desinvesteringen'!D362</f>
        <v>2004</v>
      </c>
      <c r="F360" s="42">
        <f>'13. Desinvesteringen'!E362</f>
        <v>111686.38999999998</v>
      </c>
      <c r="G360" s="37">
        <f>'13. Desinvesteringen'!G362</f>
        <v>2022</v>
      </c>
    </row>
    <row r="361" spans="2:7" s="3" customFormat="1">
      <c r="B361" s="37">
        <f>'13. Desinvesteringen'!B363</f>
        <v>344</v>
      </c>
      <c r="D361" s="37" t="str">
        <f>'13. Desinvesteringen'!C363</f>
        <v>01 Regionale leidingen</v>
      </c>
      <c r="E361" s="37">
        <f>'13. Desinvesteringen'!D363</f>
        <v>2005</v>
      </c>
      <c r="F361" s="42">
        <f>'13. Desinvesteringen'!E363</f>
        <v>24040.95</v>
      </c>
      <c r="G361" s="37">
        <f>'13. Desinvesteringen'!G363</f>
        <v>2022</v>
      </c>
    </row>
    <row r="362" spans="2:7" s="3" customFormat="1">
      <c r="B362" s="37">
        <f>'13. Desinvesteringen'!B364</f>
        <v>345</v>
      </c>
      <c r="D362" s="37" t="str">
        <f>'13. Desinvesteringen'!C364</f>
        <v>01 Regionale leidingen</v>
      </c>
      <c r="E362" s="37">
        <f>'13. Desinvesteringen'!D364</f>
        <v>2009</v>
      </c>
      <c r="F362" s="42">
        <f>'13. Desinvesteringen'!E364</f>
        <v>382357.44</v>
      </c>
      <c r="G362" s="37">
        <f>'13. Desinvesteringen'!G364</f>
        <v>2022</v>
      </c>
    </row>
    <row r="363" spans="2:7" s="3" customFormat="1">
      <c r="B363" s="37">
        <f>'13. Desinvesteringen'!B365</f>
        <v>346</v>
      </c>
      <c r="D363" s="37" t="str">
        <f>'13. Desinvesteringen'!C365</f>
        <v>01 Regionale leidingen</v>
      </c>
      <c r="E363" s="37">
        <f>'13. Desinvesteringen'!D365</f>
        <v>2010</v>
      </c>
      <c r="F363" s="42">
        <f>'13. Desinvesteringen'!E365</f>
        <v>161319.04441174126</v>
      </c>
      <c r="G363" s="37">
        <f>'13. Desinvesteringen'!G365</f>
        <v>2022</v>
      </c>
    </row>
    <row r="364" spans="2:7" s="3" customFormat="1">
      <c r="B364" s="37">
        <f>'13. Desinvesteringen'!B366</f>
        <v>347</v>
      </c>
      <c r="D364" s="37" t="str">
        <f>'13. Desinvesteringen'!C366</f>
        <v>01 Regionale leidingen</v>
      </c>
      <c r="E364" s="37">
        <f>'13. Desinvesteringen'!D366</f>
        <v>2011</v>
      </c>
      <c r="F364" s="42">
        <f>'13. Desinvesteringen'!E366</f>
        <v>58878.280274353092</v>
      </c>
      <c r="G364" s="37">
        <f>'13. Desinvesteringen'!G366</f>
        <v>2022</v>
      </c>
    </row>
    <row r="365" spans="2:7" s="3" customFormat="1">
      <c r="B365" s="37">
        <f>'13. Desinvesteringen'!B367</f>
        <v>348</v>
      </c>
      <c r="D365" s="37" t="str">
        <f>'13. Desinvesteringen'!C367</f>
        <v>01 Regionale leidingen</v>
      </c>
      <c r="E365" s="37">
        <f>'13. Desinvesteringen'!D367</f>
        <v>2012</v>
      </c>
      <c r="F365" s="42">
        <f>'13. Desinvesteringen'!E367</f>
        <v>93953.985920705352</v>
      </c>
      <c r="G365" s="37">
        <f>'13. Desinvesteringen'!G367</f>
        <v>2022</v>
      </c>
    </row>
    <row r="366" spans="2:7" s="3" customFormat="1">
      <c r="B366" s="37">
        <f>'13. Desinvesteringen'!B368</f>
        <v>349</v>
      </c>
      <c r="D366" s="37" t="str">
        <f>'13. Desinvesteringen'!C368</f>
        <v>01 Regionale leidingen</v>
      </c>
      <c r="E366" s="37">
        <f>'13. Desinvesteringen'!D368</f>
        <v>2013</v>
      </c>
      <c r="F366" s="42">
        <f>'13. Desinvesteringen'!E368</f>
        <v>168956.89717004116</v>
      </c>
      <c r="G366" s="37">
        <f>'13. Desinvesteringen'!G368</f>
        <v>2022</v>
      </c>
    </row>
    <row r="367" spans="2:7" s="3" customFormat="1">
      <c r="B367" s="37">
        <f>'13. Desinvesteringen'!B369</f>
        <v>350</v>
      </c>
      <c r="D367" s="37" t="str">
        <f>'13. Desinvesteringen'!C369</f>
        <v>02 Gasontvangststations</v>
      </c>
      <c r="E367" s="37">
        <f>'13. Desinvesteringen'!D369</f>
        <v>1965</v>
      </c>
      <c r="F367" s="42">
        <f>'13. Desinvesteringen'!E369</f>
        <v>59962.48</v>
      </c>
      <c r="G367" s="37">
        <f>'13. Desinvesteringen'!G369</f>
        <v>2022</v>
      </c>
    </row>
    <row r="368" spans="2:7" s="3" customFormat="1">
      <c r="B368" s="37">
        <f>'13. Desinvesteringen'!B370</f>
        <v>351</v>
      </c>
      <c r="D368" s="37" t="str">
        <f>'13. Desinvesteringen'!C370</f>
        <v>02 Gasontvangststations</v>
      </c>
      <c r="E368" s="37">
        <f>'13. Desinvesteringen'!D370</f>
        <v>1966</v>
      </c>
      <c r="F368" s="42">
        <f>'13. Desinvesteringen'!E370</f>
        <v>318047.64</v>
      </c>
      <c r="G368" s="37">
        <f>'13. Desinvesteringen'!G370</f>
        <v>2022</v>
      </c>
    </row>
    <row r="369" spans="2:7" s="3" customFormat="1">
      <c r="B369" s="37">
        <f>'13. Desinvesteringen'!B371</f>
        <v>352</v>
      </c>
      <c r="D369" s="37" t="str">
        <f>'13. Desinvesteringen'!C371</f>
        <v>02 Gasontvangststations</v>
      </c>
      <c r="E369" s="37">
        <f>'13. Desinvesteringen'!D371</f>
        <v>1967</v>
      </c>
      <c r="F369" s="42">
        <f>'13. Desinvesteringen'!E371</f>
        <v>109472.13</v>
      </c>
      <c r="G369" s="37">
        <f>'13. Desinvesteringen'!G371</f>
        <v>2022</v>
      </c>
    </row>
    <row r="370" spans="2:7" s="3" customFormat="1">
      <c r="B370" s="37">
        <f>'13. Desinvesteringen'!B372</f>
        <v>353</v>
      </c>
      <c r="D370" s="37" t="str">
        <f>'13. Desinvesteringen'!C372</f>
        <v>02 Gasontvangststations</v>
      </c>
      <c r="E370" s="37">
        <f>'13. Desinvesteringen'!D372</f>
        <v>1968</v>
      </c>
      <c r="F370" s="42">
        <f>'13. Desinvesteringen'!E372</f>
        <v>205157.75</v>
      </c>
      <c r="G370" s="37">
        <f>'13. Desinvesteringen'!G372</f>
        <v>2022</v>
      </c>
    </row>
    <row r="371" spans="2:7" s="3" customFormat="1">
      <c r="B371" s="37">
        <f>'13. Desinvesteringen'!B373</f>
        <v>354</v>
      </c>
      <c r="D371" s="37" t="str">
        <f>'13. Desinvesteringen'!C373</f>
        <v>02 Gasontvangststations</v>
      </c>
      <c r="E371" s="37">
        <f>'13. Desinvesteringen'!D373</f>
        <v>1969</v>
      </c>
      <c r="F371" s="42">
        <f>'13. Desinvesteringen'!E373</f>
        <v>384223.42</v>
      </c>
      <c r="G371" s="37">
        <f>'13. Desinvesteringen'!G373</f>
        <v>2022</v>
      </c>
    </row>
    <row r="372" spans="2:7" s="3" customFormat="1">
      <c r="B372" s="37">
        <f>'13. Desinvesteringen'!B374</f>
        <v>355</v>
      </c>
      <c r="D372" s="37" t="str">
        <f>'13. Desinvesteringen'!C374</f>
        <v>02 Gasontvangststations</v>
      </c>
      <c r="E372" s="37">
        <f>'13. Desinvesteringen'!D374</f>
        <v>1970</v>
      </c>
      <c r="F372" s="42">
        <f>'13. Desinvesteringen'!E374</f>
        <v>158864.33000000002</v>
      </c>
      <c r="G372" s="37">
        <f>'13. Desinvesteringen'!G374</f>
        <v>2022</v>
      </c>
    </row>
    <row r="373" spans="2:7" s="3" customFormat="1">
      <c r="B373" s="37">
        <f>'13. Desinvesteringen'!B375</f>
        <v>356</v>
      </c>
      <c r="D373" s="37" t="str">
        <f>'13. Desinvesteringen'!C375</f>
        <v>02 Gasontvangststations</v>
      </c>
      <c r="E373" s="37">
        <f>'13. Desinvesteringen'!D375</f>
        <v>1971</v>
      </c>
      <c r="F373" s="42">
        <f>'13. Desinvesteringen'!E375</f>
        <v>262805.23</v>
      </c>
      <c r="G373" s="37">
        <f>'13. Desinvesteringen'!G375</f>
        <v>2022</v>
      </c>
    </row>
    <row r="374" spans="2:7" s="3" customFormat="1">
      <c r="B374" s="37">
        <f>'13. Desinvesteringen'!B376</f>
        <v>357</v>
      </c>
      <c r="D374" s="37" t="str">
        <f>'13. Desinvesteringen'!C376</f>
        <v>02 Gasontvangststations</v>
      </c>
      <c r="E374" s="37">
        <f>'13. Desinvesteringen'!D376</f>
        <v>1972</v>
      </c>
      <c r="F374" s="42">
        <f>'13. Desinvesteringen'!E376</f>
        <v>114985.86000000002</v>
      </c>
      <c r="G374" s="37">
        <f>'13. Desinvesteringen'!G376</f>
        <v>2022</v>
      </c>
    </row>
    <row r="375" spans="2:7" s="3" customFormat="1">
      <c r="B375" s="37">
        <f>'13. Desinvesteringen'!B377</f>
        <v>358</v>
      </c>
      <c r="D375" s="37" t="str">
        <f>'13. Desinvesteringen'!C377</f>
        <v>02 Gasontvangststations</v>
      </c>
      <c r="E375" s="37">
        <f>'13. Desinvesteringen'!D377</f>
        <v>1973</v>
      </c>
      <c r="F375" s="42">
        <f>'13. Desinvesteringen'!E377</f>
        <v>120091.87999999999</v>
      </c>
      <c r="G375" s="37">
        <f>'13. Desinvesteringen'!G377</f>
        <v>2022</v>
      </c>
    </row>
    <row r="376" spans="2:7" s="3" customFormat="1">
      <c r="B376" s="37">
        <f>'13. Desinvesteringen'!B378</f>
        <v>359</v>
      </c>
      <c r="D376" s="37" t="str">
        <f>'13. Desinvesteringen'!C378</f>
        <v>02 Gasontvangststations</v>
      </c>
      <c r="E376" s="37">
        <f>'13. Desinvesteringen'!D378</f>
        <v>1974</v>
      </c>
      <c r="F376" s="42">
        <f>'13. Desinvesteringen'!E378</f>
        <v>93174.06</v>
      </c>
      <c r="G376" s="37">
        <f>'13. Desinvesteringen'!G378</f>
        <v>2022</v>
      </c>
    </row>
    <row r="377" spans="2:7" s="3" customFormat="1">
      <c r="B377" s="37">
        <f>'13. Desinvesteringen'!B379</f>
        <v>360</v>
      </c>
      <c r="D377" s="37" t="str">
        <f>'13. Desinvesteringen'!C379</f>
        <v>02 Gasontvangststations</v>
      </c>
      <c r="E377" s="37">
        <f>'13. Desinvesteringen'!D379</f>
        <v>1975</v>
      </c>
      <c r="F377" s="42">
        <f>'13. Desinvesteringen'!E379</f>
        <v>4893.67</v>
      </c>
      <c r="G377" s="37">
        <f>'13. Desinvesteringen'!G379</f>
        <v>2022</v>
      </c>
    </row>
    <row r="378" spans="2:7" s="3" customFormat="1">
      <c r="B378" s="37">
        <f>'13. Desinvesteringen'!B380</f>
        <v>361</v>
      </c>
      <c r="D378" s="37" t="str">
        <f>'13. Desinvesteringen'!C380</f>
        <v>02 Gasontvangststations</v>
      </c>
      <c r="E378" s="37">
        <f>'13. Desinvesteringen'!D380</f>
        <v>1976</v>
      </c>
      <c r="F378" s="42">
        <f>'13. Desinvesteringen'!E380</f>
        <v>22029.58</v>
      </c>
      <c r="G378" s="37">
        <f>'13. Desinvesteringen'!G380</f>
        <v>2022</v>
      </c>
    </row>
    <row r="379" spans="2:7" s="3" customFormat="1">
      <c r="B379" s="37">
        <f>'13. Desinvesteringen'!B381</f>
        <v>362</v>
      </c>
      <c r="D379" s="37" t="str">
        <f>'13. Desinvesteringen'!C381</f>
        <v>02 Gasontvangststations</v>
      </c>
      <c r="E379" s="37">
        <f>'13. Desinvesteringen'!D381</f>
        <v>1977</v>
      </c>
      <c r="F379" s="42">
        <f>'13. Desinvesteringen'!E381</f>
        <v>46858.65</v>
      </c>
      <c r="G379" s="37">
        <f>'13. Desinvesteringen'!G381</f>
        <v>2022</v>
      </c>
    </row>
    <row r="380" spans="2:7" s="3" customFormat="1">
      <c r="B380" s="37">
        <f>'13. Desinvesteringen'!B382</f>
        <v>363</v>
      </c>
      <c r="D380" s="37" t="str">
        <f>'13. Desinvesteringen'!C382</f>
        <v>02 Gasontvangststations</v>
      </c>
      <c r="E380" s="37">
        <f>'13. Desinvesteringen'!D382</f>
        <v>1979</v>
      </c>
      <c r="F380" s="42">
        <f>'13. Desinvesteringen'!E382</f>
        <v>5905.65</v>
      </c>
      <c r="G380" s="37">
        <f>'13. Desinvesteringen'!G382</f>
        <v>2022</v>
      </c>
    </row>
    <row r="381" spans="2:7" s="3" customFormat="1">
      <c r="B381" s="37">
        <f>'13. Desinvesteringen'!B383</f>
        <v>364</v>
      </c>
      <c r="D381" s="37" t="str">
        <f>'13. Desinvesteringen'!C383</f>
        <v>02 Gasontvangststations</v>
      </c>
      <c r="E381" s="37">
        <f>'13. Desinvesteringen'!D383</f>
        <v>1980</v>
      </c>
      <c r="F381" s="42">
        <f>'13. Desinvesteringen'!E383</f>
        <v>150815.79</v>
      </c>
      <c r="G381" s="37">
        <f>'13. Desinvesteringen'!G383</f>
        <v>2022</v>
      </c>
    </row>
    <row r="382" spans="2:7" s="3" customFormat="1">
      <c r="B382" s="37">
        <f>'13. Desinvesteringen'!B384</f>
        <v>365</v>
      </c>
      <c r="D382" s="37" t="str">
        <f>'13. Desinvesteringen'!C384</f>
        <v>02 Gasontvangststations</v>
      </c>
      <c r="E382" s="37">
        <f>'13. Desinvesteringen'!D384</f>
        <v>1981</v>
      </c>
      <c r="F382" s="42">
        <f>'13. Desinvesteringen'!E384</f>
        <v>32315.9</v>
      </c>
      <c r="G382" s="37">
        <f>'13. Desinvesteringen'!G384</f>
        <v>2022</v>
      </c>
    </row>
    <row r="383" spans="2:7" s="3" customFormat="1">
      <c r="B383" s="37">
        <f>'13. Desinvesteringen'!B385</f>
        <v>366</v>
      </c>
      <c r="D383" s="37" t="str">
        <f>'13. Desinvesteringen'!C385</f>
        <v>02 Gasontvangststations</v>
      </c>
      <c r="E383" s="37">
        <f>'13. Desinvesteringen'!D385</f>
        <v>1982</v>
      </c>
      <c r="F383" s="42">
        <f>'13. Desinvesteringen'!E385</f>
        <v>8847.35</v>
      </c>
      <c r="G383" s="37">
        <f>'13. Desinvesteringen'!G385</f>
        <v>2022</v>
      </c>
    </row>
    <row r="384" spans="2:7" s="3" customFormat="1">
      <c r="B384" s="37">
        <f>'13. Desinvesteringen'!B386</f>
        <v>367</v>
      </c>
      <c r="D384" s="37" t="str">
        <f>'13. Desinvesteringen'!C386</f>
        <v>02 Gasontvangststations</v>
      </c>
      <c r="E384" s="37">
        <f>'13. Desinvesteringen'!D386</f>
        <v>1984</v>
      </c>
      <c r="F384" s="42">
        <f>'13. Desinvesteringen'!E386</f>
        <v>4950.9399999999996</v>
      </c>
      <c r="G384" s="37">
        <f>'13. Desinvesteringen'!G386</f>
        <v>2022</v>
      </c>
    </row>
    <row r="385" spans="2:7" s="3" customFormat="1">
      <c r="B385" s="37">
        <f>'13. Desinvesteringen'!B387</f>
        <v>368</v>
      </c>
      <c r="D385" s="37" t="str">
        <f>'13. Desinvesteringen'!C387</f>
        <v>02 Gasontvangststations</v>
      </c>
      <c r="E385" s="37">
        <f>'13. Desinvesteringen'!D387</f>
        <v>1989</v>
      </c>
      <c r="F385" s="42">
        <f>'13. Desinvesteringen'!E387</f>
        <v>51009.69</v>
      </c>
      <c r="G385" s="37">
        <f>'13. Desinvesteringen'!G387</f>
        <v>2022</v>
      </c>
    </row>
    <row r="386" spans="2:7" s="3" customFormat="1">
      <c r="B386" s="37">
        <f>'13. Desinvesteringen'!B388</f>
        <v>369</v>
      </c>
      <c r="D386" s="37" t="str">
        <f>'13. Desinvesteringen'!C388</f>
        <v>02 Gasontvangststations</v>
      </c>
      <c r="E386" s="37">
        <f>'13. Desinvesteringen'!D388</f>
        <v>1990</v>
      </c>
      <c r="F386" s="42">
        <f>'13. Desinvesteringen'!E388</f>
        <v>160044.32</v>
      </c>
      <c r="G386" s="37">
        <f>'13. Desinvesteringen'!G388</f>
        <v>2022</v>
      </c>
    </row>
    <row r="387" spans="2:7" s="3" customFormat="1">
      <c r="B387" s="37">
        <f>'13. Desinvesteringen'!B389</f>
        <v>370</v>
      </c>
      <c r="D387" s="37" t="str">
        <f>'13. Desinvesteringen'!C389</f>
        <v>02 Gasontvangststations</v>
      </c>
      <c r="E387" s="37">
        <f>'13. Desinvesteringen'!D389</f>
        <v>1991</v>
      </c>
      <c r="F387" s="42">
        <f>'13. Desinvesteringen'!E389</f>
        <v>8034.15</v>
      </c>
      <c r="G387" s="37">
        <f>'13. Desinvesteringen'!G389</f>
        <v>2022</v>
      </c>
    </row>
    <row r="388" spans="2:7" s="3" customFormat="1">
      <c r="B388" s="37">
        <f>'13. Desinvesteringen'!B390</f>
        <v>371</v>
      </c>
      <c r="D388" s="37" t="str">
        <f>'13. Desinvesteringen'!C390</f>
        <v>02 Gasontvangststations</v>
      </c>
      <c r="E388" s="37">
        <f>'13. Desinvesteringen'!D390</f>
        <v>1992</v>
      </c>
      <c r="F388" s="42">
        <f>'13. Desinvesteringen'!E390</f>
        <v>21906.92</v>
      </c>
      <c r="G388" s="37">
        <f>'13. Desinvesteringen'!G390</f>
        <v>2022</v>
      </c>
    </row>
    <row r="389" spans="2:7" s="3" customFormat="1">
      <c r="B389" s="37">
        <f>'13. Desinvesteringen'!B391</f>
        <v>372</v>
      </c>
      <c r="D389" s="37" t="str">
        <f>'13. Desinvesteringen'!C391</f>
        <v>02 Gasontvangststations</v>
      </c>
      <c r="E389" s="37">
        <f>'13. Desinvesteringen'!D391</f>
        <v>1993</v>
      </c>
      <c r="F389" s="42">
        <f>'13. Desinvesteringen'!E391</f>
        <v>15863.25</v>
      </c>
      <c r="G389" s="37">
        <f>'13. Desinvesteringen'!G391</f>
        <v>2022</v>
      </c>
    </row>
    <row r="390" spans="2:7" s="3" customFormat="1">
      <c r="B390" s="37">
        <f>'13. Desinvesteringen'!B392</f>
        <v>373</v>
      </c>
      <c r="D390" s="37" t="str">
        <f>'13. Desinvesteringen'!C392</f>
        <v>02 Gasontvangststations</v>
      </c>
      <c r="E390" s="37">
        <f>'13. Desinvesteringen'!D392</f>
        <v>1994</v>
      </c>
      <c r="F390" s="42">
        <f>'13. Desinvesteringen'!E392</f>
        <v>51450.05</v>
      </c>
      <c r="G390" s="37">
        <f>'13. Desinvesteringen'!G392</f>
        <v>2022</v>
      </c>
    </row>
    <row r="391" spans="2:7" s="3" customFormat="1">
      <c r="B391" s="37">
        <f>'13. Desinvesteringen'!B393</f>
        <v>374</v>
      </c>
      <c r="D391" s="37" t="str">
        <f>'13. Desinvesteringen'!C393</f>
        <v>02 Gasontvangststations</v>
      </c>
      <c r="E391" s="37">
        <f>'13. Desinvesteringen'!D393</f>
        <v>1995</v>
      </c>
      <c r="F391" s="42">
        <f>'13. Desinvesteringen'!E393</f>
        <v>62522.97</v>
      </c>
      <c r="G391" s="37">
        <f>'13. Desinvesteringen'!G393</f>
        <v>2022</v>
      </c>
    </row>
    <row r="392" spans="2:7" s="3" customFormat="1">
      <c r="B392" s="37">
        <f>'13. Desinvesteringen'!B394</f>
        <v>375</v>
      </c>
      <c r="D392" s="37" t="str">
        <f>'13. Desinvesteringen'!C394</f>
        <v>02 Gasontvangststations</v>
      </c>
      <c r="E392" s="37">
        <f>'13. Desinvesteringen'!D394</f>
        <v>1996</v>
      </c>
      <c r="F392" s="42">
        <f>'13. Desinvesteringen'!E394</f>
        <v>16582.84</v>
      </c>
      <c r="G392" s="37">
        <f>'13. Desinvesteringen'!G394</f>
        <v>2022</v>
      </c>
    </row>
    <row r="393" spans="2:7" s="3" customFormat="1">
      <c r="B393" s="37">
        <f>'13. Desinvesteringen'!B395</f>
        <v>376</v>
      </c>
      <c r="D393" s="37" t="str">
        <f>'13. Desinvesteringen'!C395</f>
        <v>02 Gasontvangststations</v>
      </c>
      <c r="E393" s="37">
        <f>'13. Desinvesteringen'!D395</f>
        <v>1997</v>
      </c>
      <c r="F393" s="42">
        <f>'13. Desinvesteringen'!E395</f>
        <v>16150.88</v>
      </c>
      <c r="G393" s="37">
        <f>'13. Desinvesteringen'!G395</f>
        <v>2022</v>
      </c>
    </row>
    <row r="394" spans="2:7" s="3" customFormat="1">
      <c r="B394" s="37">
        <f>'13. Desinvesteringen'!B396</f>
        <v>377</v>
      </c>
      <c r="D394" s="37" t="str">
        <f>'13. Desinvesteringen'!C396</f>
        <v>02 Gasontvangststations</v>
      </c>
      <c r="E394" s="37">
        <f>'13. Desinvesteringen'!D396</f>
        <v>2000</v>
      </c>
      <c r="F394" s="42">
        <f>'13. Desinvesteringen'!E396</f>
        <v>11054.31</v>
      </c>
      <c r="G394" s="37">
        <f>'13. Desinvesteringen'!G396</f>
        <v>2022</v>
      </c>
    </row>
    <row r="395" spans="2:7" s="3" customFormat="1">
      <c r="B395" s="37">
        <f>'13. Desinvesteringen'!B397</f>
        <v>378</v>
      </c>
      <c r="D395" s="37" t="str">
        <f>'13. Desinvesteringen'!C397</f>
        <v>02 Gasontvangststations</v>
      </c>
      <c r="E395" s="37">
        <f>'13. Desinvesteringen'!D397</f>
        <v>2002</v>
      </c>
      <c r="F395" s="42">
        <f>'13. Desinvesteringen'!E397</f>
        <v>9572.0400000000009</v>
      </c>
      <c r="G395" s="37">
        <f>'13. Desinvesteringen'!G397</f>
        <v>2022</v>
      </c>
    </row>
    <row r="396" spans="2:7" s="3" customFormat="1">
      <c r="B396" s="37">
        <f>'13. Desinvesteringen'!B398</f>
        <v>379</v>
      </c>
      <c r="D396" s="37" t="str">
        <f>'13. Desinvesteringen'!C398</f>
        <v>02 Gasontvangststations</v>
      </c>
      <c r="E396" s="37">
        <f>'13. Desinvesteringen'!D398</f>
        <v>2003</v>
      </c>
      <c r="F396" s="42">
        <f>'13. Desinvesteringen'!E398</f>
        <v>37361.589999999997</v>
      </c>
      <c r="G396" s="37">
        <f>'13. Desinvesteringen'!G398</f>
        <v>2022</v>
      </c>
    </row>
    <row r="397" spans="2:7" s="3" customFormat="1">
      <c r="B397" s="37">
        <f>'13. Desinvesteringen'!B399</f>
        <v>380</v>
      </c>
      <c r="D397" s="37" t="str">
        <f>'13. Desinvesteringen'!C399</f>
        <v>02 Gasontvangststations</v>
      </c>
      <c r="E397" s="37">
        <f>'13. Desinvesteringen'!D399</f>
        <v>2005</v>
      </c>
      <c r="F397" s="42">
        <f>'13. Desinvesteringen'!E399</f>
        <v>13619.77</v>
      </c>
      <c r="G397" s="37">
        <f>'13. Desinvesteringen'!G399</f>
        <v>2022</v>
      </c>
    </row>
    <row r="398" spans="2:7" s="3" customFormat="1">
      <c r="B398" s="37">
        <f>'13. Desinvesteringen'!B400</f>
        <v>381</v>
      </c>
      <c r="D398" s="37" t="str">
        <f>'13. Desinvesteringen'!C400</f>
        <v>02 Gasontvangststations</v>
      </c>
      <c r="E398" s="37">
        <f>'13. Desinvesteringen'!D400</f>
        <v>2007</v>
      </c>
      <c r="F398" s="42">
        <f>'13. Desinvesteringen'!E400</f>
        <v>316887.66000000003</v>
      </c>
      <c r="G398" s="37">
        <f>'13. Desinvesteringen'!G400</f>
        <v>2022</v>
      </c>
    </row>
    <row r="399" spans="2:7" s="3" customFormat="1">
      <c r="B399" s="37">
        <f>'13. Desinvesteringen'!B401</f>
        <v>382</v>
      </c>
      <c r="D399" s="37" t="str">
        <f>'13. Desinvesteringen'!C401</f>
        <v>02 Gasontvangststations</v>
      </c>
      <c r="E399" s="37">
        <f>'13. Desinvesteringen'!D401</f>
        <v>2010</v>
      </c>
      <c r="F399" s="42">
        <f>'13. Desinvesteringen'!E401</f>
        <v>154710.54390000002</v>
      </c>
      <c r="G399" s="37">
        <f>'13. Desinvesteringen'!G401</f>
        <v>2022</v>
      </c>
    </row>
    <row r="400" spans="2:7" s="3" customFormat="1">
      <c r="B400" s="37">
        <f>'13. Desinvesteringen'!B402</f>
        <v>383</v>
      </c>
      <c r="D400" s="37" t="str">
        <f>'13. Desinvesteringen'!C402</f>
        <v>02 Gasontvangststations</v>
      </c>
      <c r="E400" s="37">
        <f>'13. Desinvesteringen'!D402</f>
        <v>2012</v>
      </c>
      <c r="F400" s="42">
        <f>'13. Desinvesteringen'!E402</f>
        <v>41792.986548232657</v>
      </c>
      <c r="G400" s="37">
        <f>'13. Desinvesteringen'!G402</f>
        <v>2022</v>
      </c>
    </row>
    <row r="401" spans="2:7" s="3" customFormat="1">
      <c r="B401" s="37">
        <f>'13. Desinvesteringen'!B403</f>
        <v>384</v>
      </c>
      <c r="D401" s="37" t="str">
        <f>'13. Desinvesteringen'!C403</f>
        <v>06 Utiliteitsgebouwen</v>
      </c>
      <c r="E401" s="37">
        <f>'13. Desinvesteringen'!D403</f>
        <v>1980</v>
      </c>
      <c r="F401" s="42">
        <f>'13. Desinvesteringen'!E403</f>
        <v>47081.56</v>
      </c>
      <c r="G401" s="37">
        <f>'13. Desinvesteringen'!G403</f>
        <v>2022</v>
      </c>
    </row>
    <row r="402" spans="2:7" s="3" customFormat="1">
      <c r="B402" s="37">
        <f>'13. Desinvesteringen'!B404</f>
        <v>385</v>
      </c>
      <c r="D402" s="37" t="str">
        <f>'13. Desinvesteringen'!C404</f>
        <v>15 Compressorstations (TT-BT-AT)</v>
      </c>
      <c r="E402" s="37">
        <f>'13. Desinvesteringen'!D404</f>
        <v>1970</v>
      </c>
      <c r="F402" s="42">
        <f>'13. Desinvesteringen'!E404</f>
        <v>81298.009999999995</v>
      </c>
      <c r="G402" s="37">
        <f>'13. Desinvesteringen'!G404</f>
        <v>2022</v>
      </c>
    </row>
    <row r="403" spans="2:7" s="3" customFormat="1">
      <c r="B403" s="37">
        <f>'13. Desinvesteringen'!B405</f>
        <v>386</v>
      </c>
      <c r="D403" s="37" t="str">
        <f>'13. Desinvesteringen'!C405</f>
        <v>15 Compressorstations (TT-BT-AT)</v>
      </c>
      <c r="E403" s="37">
        <f>'13. Desinvesteringen'!D405</f>
        <v>1971</v>
      </c>
      <c r="F403" s="42">
        <f>'13. Desinvesteringen'!E405</f>
        <v>86713.88</v>
      </c>
      <c r="G403" s="37">
        <f>'13. Desinvesteringen'!G405</f>
        <v>2022</v>
      </c>
    </row>
    <row r="404" spans="2:7" s="3" customFormat="1">
      <c r="B404" s="37">
        <f>'13. Desinvesteringen'!B406</f>
        <v>387</v>
      </c>
      <c r="D404" s="37" t="str">
        <f>'13. Desinvesteringen'!C406</f>
        <v>15 Compressorstations (TT-BT-AT)</v>
      </c>
      <c r="E404" s="37">
        <f>'13. Desinvesteringen'!D406</f>
        <v>1974</v>
      </c>
      <c r="F404" s="42">
        <f>'13. Desinvesteringen'!E406</f>
        <v>177923.75</v>
      </c>
      <c r="G404" s="37">
        <f>'13. Desinvesteringen'!G406</f>
        <v>2022</v>
      </c>
    </row>
    <row r="405" spans="2:7" s="3" customFormat="1">
      <c r="B405" s="37">
        <f>'13. Desinvesteringen'!B407</f>
        <v>388</v>
      </c>
      <c r="D405" s="37" t="str">
        <f>'13. Desinvesteringen'!C407</f>
        <v>15 Compressorstations (TT-BT-AT)</v>
      </c>
      <c r="E405" s="37">
        <f>'13. Desinvesteringen'!D407</f>
        <v>1997</v>
      </c>
      <c r="F405" s="42">
        <f>'13. Desinvesteringen'!E407</f>
        <v>15658.35</v>
      </c>
      <c r="G405" s="37">
        <f>'13. Desinvesteringen'!G407</f>
        <v>2022</v>
      </c>
    </row>
    <row r="406" spans="2:7" s="3" customFormat="1">
      <c r="B406" s="37">
        <f>'13. Desinvesteringen'!B408</f>
        <v>389</v>
      </c>
      <c r="D406" s="37" t="str">
        <f>'13. Desinvesteringen'!C408</f>
        <v>15 Compressorstations (TT-BT-AT)</v>
      </c>
      <c r="E406" s="37">
        <f>'13. Desinvesteringen'!D408</f>
        <v>2011</v>
      </c>
      <c r="F406" s="42">
        <f>'13. Desinvesteringen'!E408</f>
        <v>117399.27471035083</v>
      </c>
      <c r="G406" s="37">
        <f>'13. Desinvesteringen'!G408</f>
        <v>2022</v>
      </c>
    </row>
    <row r="407" spans="2:7" s="3" customFormat="1">
      <c r="B407" s="37">
        <f>'13. Desinvesteringen'!B409</f>
        <v>390</v>
      </c>
      <c r="D407" s="37" t="str">
        <f>'13. Desinvesteringen'!C409</f>
        <v>16 LNG installaties</v>
      </c>
      <c r="E407" s="37">
        <f>'13. Desinvesteringen'!D409</f>
        <v>1977</v>
      </c>
      <c r="F407" s="42">
        <f>'13. Desinvesteringen'!E409</f>
        <v>1111944.56</v>
      </c>
      <c r="G407" s="37">
        <f>'13. Desinvesteringen'!G409</f>
        <v>2022</v>
      </c>
    </row>
    <row r="408" spans="2:7" s="3" customFormat="1">
      <c r="B408" s="37">
        <f>'13. Desinvesteringen'!B410</f>
        <v>391</v>
      </c>
      <c r="D408" s="37" t="str">
        <f>'13. Desinvesteringen'!C410</f>
        <v>16 LNG installaties</v>
      </c>
      <c r="E408" s="37">
        <f>'13. Desinvesteringen'!D410</f>
        <v>1998</v>
      </c>
      <c r="F408" s="42">
        <f>'13. Desinvesteringen'!E410</f>
        <v>1841303.44</v>
      </c>
      <c r="G408" s="37">
        <f>'13. Desinvesteringen'!G410</f>
        <v>2022</v>
      </c>
    </row>
    <row r="409" spans="2:7" s="3" customFormat="1">
      <c r="B409" s="37">
        <f>'13. Desinvesteringen'!B411</f>
        <v>392</v>
      </c>
      <c r="D409" s="37" t="str">
        <f>'13. Desinvesteringen'!C411</f>
        <v>17 Mengstations</v>
      </c>
      <c r="E409" s="37">
        <f>'13. Desinvesteringen'!D411</f>
        <v>2019</v>
      </c>
      <c r="F409" s="42">
        <f>'13. Desinvesteringen'!E411</f>
        <v>64295.18960042399</v>
      </c>
      <c r="G409" s="37">
        <f>'13. Desinvesteringen'!G411</f>
        <v>2022</v>
      </c>
    </row>
    <row r="410" spans="2:7" s="3" customFormat="1">
      <c r="B410" s="37">
        <f>'13. Desinvesteringen'!B412</f>
        <v>393</v>
      </c>
      <c r="D410" s="37" t="str">
        <f>'13. Desinvesteringen'!C412</f>
        <v>21 Hoofdtransportleiding</v>
      </c>
      <c r="E410" s="37">
        <f>'13. Desinvesteringen'!D412</f>
        <v>1964</v>
      </c>
      <c r="F410" s="42">
        <f>'13. Desinvesteringen'!E412</f>
        <v>1445.34</v>
      </c>
      <c r="G410" s="37">
        <f>'13. Desinvesteringen'!G412</f>
        <v>2022</v>
      </c>
    </row>
    <row r="411" spans="2:7" s="3" customFormat="1">
      <c r="B411" s="37">
        <f>'13. Desinvesteringen'!B413</f>
        <v>394</v>
      </c>
      <c r="D411" s="37" t="str">
        <f>'13. Desinvesteringen'!C413</f>
        <v>21 Hoofdtransportleiding</v>
      </c>
      <c r="E411" s="37">
        <f>'13. Desinvesteringen'!D413</f>
        <v>1977</v>
      </c>
      <c r="F411" s="42">
        <f>'13. Desinvesteringen'!E413</f>
        <v>50000</v>
      </c>
      <c r="G411" s="37">
        <f>'13. Desinvesteringen'!G413</f>
        <v>2022</v>
      </c>
    </row>
    <row r="412" spans="2:7" s="3" customFormat="1">
      <c r="B412" s="37">
        <f>'13. Desinvesteringen'!B414</f>
        <v>395</v>
      </c>
      <c r="D412" s="37" t="str">
        <f>'13. Desinvesteringen'!C414</f>
        <v>21 Hoofdtransportleiding</v>
      </c>
      <c r="E412" s="37">
        <f>'13. Desinvesteringen'!D414</f>
        <v>1978</v>
      </c>
      <c r="F412" s="42">
        <f>'13. Desinvesteringen'!E414</f>
        <v>16458.09</v>
      </c>
      <c r="G412" s="37">
        <f>'13. Desinvesteringen'!G414</f>
        <v>2022</v>
      </c>
    </row>
    <row r="413" spans="2:7" s="3" customFormat="1">
      <c r="B413" s="37">
        <f>'13. Desinvesteringen'!B415</f>
        <v>396</v>
      </c>
      <c r="D413" s="37" t="str">
        <f>'13. Desinvesteringen'!C415</f>
        <v>21 Hoofdtransportleiding</v>
      </c>
      <c r="E413" s="37">
        <f>'13. Desinvesteringen'!D415</f>
        <v>1983</v>
      </c>
      <c r="F413" s="42">
        <f>'13. Desinvesteringen'!E415</f>
        <v>44290.400000000001</v>
      </c>
      <c r="G413" s="37">
        <f>'13. Desinvesteringen'!G415</f>
        <v>2022</v>
      </c>
    </row>
    <row r="414" spans="2:7" s="3" customFormat="1">
      <c r="B414" s="37">
        <f>'13. Desinvesteringen'!B416</f>
        <v>397</v>
      </c>
      <c r="D414" s="37" t="str">
        <f>'13. Desinvesteringen'!C416</f>
        <v>21 Hoofdtransportleiding</v>
      </c>
      <c r="E414" s="37">
        <f>'13. Desinvesteringen'!D416</f>
        <v>1987</v>
      </c>
      <c r="F414" s="42">
        <f>'13. Desinvesteringen'!E416</f>
        <v>90000</v>
      </c>
      <c r="G414" s="37">
        <f>'13. Desinvesteringen'!G416</f>
        <v>2022</v>
      </c>
    </row>
    <row r="415" spans="2:7" s="3" customFormat="1">
      <c r="B415" s="37">
        <f>'13. Desinvesteringen'!B417</f>
        <v>398</v>
      </c>
      <c r="D415" s="37" t="str">
        <f>'13. Desinvesteringen'!C417</f>
        <v>32 M&amp;R stations</v>
      </c>
      <c r="E415" s="37">
        <f>'13. Desinvesteringen'!D417</f>
        <v>1964</v>
      </c>
      <c r="F415" s="42">
        <f>'13. Desinvesteringen'!E417</f>
        <v>184143.09</v>
      </c>
      <c r="G415" s="37">
        <f>'13. Desinvesteringen'!G417</f>
        <v>2022</v>
      </c>
    </row>
    <row r="416" spans="2:7" s="3" customFormat="1">
      <c r="B416" s="37">
        <f>'13. Desinvesteringen'!B418</f>
        <v>399</v>
      </c>
      <c r="D416" s="37" t="str">
        <f>'13. Desinvesteringen'!C418</f>
        <v>32 M&amp;R stations</v>
      </c>
      <c r="E416" s="37">
        <f>'13. Desinvesteringen'!D418</f>
        <v>1967</v>
      </c>
      <c r="F416" s="42">
        <f>'13. Desinvesteringen'!E418</f>
        <v>477869.69</v>
      </c>
      <c r="G416" s="37">
        <f>'13. Desinvesteringen'!G418</f>
        <v>2022</v>
      </c>
    </row>
    <row r="417" spans="2:13" s="3" customFormat="1">
      <c r="B417" s="37">
        <f>'13. Desinvesteringen'!B419</f>
        <v>400</v>
      </c>
      <c r="D417" s="37" t="str">
        <f>'13. Desinvesteringen'!C419</f>
        <v>32 M&amp;R stations</v>
      </c>
      <c r="E417" s="37">
        <f>'13. Desinvesteringen'!D419</f>
        <v>1968</v>
      </c>
      <c r="F417" s="42">
        <f>'13. Desinvesteringen'!E419</f>
        <v>7990.16</v>
      </c>
      <c r="G417" s="37">
        <f>'13. Desinvesteringen'!G419</f>
        <v>2022</v>
      </c>
    </row>
    <row r="418" spans="2:13" s="3" customFormat="1">
      <c r="B418" s="37">
        <f>'13. Desinvesteringen'!B420</f>
        <v>401</v>
      </c>
      <c r="D418" s="37" t="str">
        <f>'13. Desinvesteringen'!C420</f>
        <v>32 M&amp;R stations</v>
      </c>
      <c r="E418" s="37">
        <f>'13. Desinvesteringen'!D420</f>
        <v>1969</v>
      </c>
      <c r="F418" s="42">
        <f>'13. Desinvesteringen'!E420</f>
        <v>64322.44</v>
      </c>
      <c r="G418" s="37">
        <f>'13. Desinvesteringen'!G420</f>
        <v>2022</v>
      </c>
    </row>
    <row r="419" spans="2:13" s="3" customFormat="1">
      <c r="B419" s="37">
        <f>'13. Desinvesteringen'!B421</f>
        <v>402</v>
      </c>
      <c r="D419" s="37" t="str">
        <f>'13. Desinvesteringen'!C421</f>
        <v>32 M&amp;R stations</v>
      </c>
      <c r="E419" s="37">
        <f>'13. Desinvesteringen'!D421</f>
        <v>1972</v>
      </c>
      <c r="F419" s="42">
        <f>'13. Desinvesteringen'!E421</f>
        <v>58241.78</v>
      </c>
      <c r="G419" s="37">
        <f>'13. Desinvesteringen'!G421</f>
        <v>2022</v>
      </c>
    </row>
    <row r="420" spans="2:13" s="3" customFormat="1">
      <c r="B420" s="37">
        <f>'13. Desinvesteringen'!B422</f>
        <v>403</v>
      </c>
      <c r="D420" s="37" t="str">
        <f>'13. Desinvesteringen'!C422</f>
        <v>32 M&amp;R stations</v>
      </c>
      <c r="E420" s="37">
        <f>'13. Desinvesteringen'!D422</f>
        <v>1974</v>
      </c>
      <c r="F420" s="42">
        <f>'13. Desinvesteringen'!E422</f>
        <v>117946.1</v>
      </c>
      <c r="G420" s="37">
        <f>'13. Desinvesteringen'!G422</f>
        <v>2022</v>
      </c>
    </row>
    <row r="421" spans="2:13" s="3" customFormat="1">
      <c r="B421" s="37">
        <f>'13. Desinvesteringen'!B423</f>
        <v>404</v>
      </c>
      <c r="D421" s="37" t="str">
        <f>'13. Desinvesteringen'!C423</f>
        <v>32 M&amp;R stations</v>
      </c>
      <c r="E421" s="37">
        <f>'13. Desinvesteringen'!D423</f>
        <v>1978</v>
      </c>
      <c r="F421" s="42">
        <f>'13. Desinvesteringen'!E423</f>
        <v>1289616.6000000001</v>
      </c>
      <c r="G421" s="37">
        <f>'13. Desinvesteringen'!G423</f>
        <v>2022</v>
      </c>
    </row>
    <row r="422" spans="2:13" s="3" customFormat="1">
      <c r="B422" s="37">
        <f>'13. Desinvesteringen'!B424</f>
        <v>405</v>
      </c>
      <c r="D422" s="37" t="str">
        <f>'13. Desinvesteringen'!C424</f>
        <v>32 M&amp;R stations</v>
      </c>
      <c r="E422" s="37">
        <f>'13. Desinvesteringen'!D424</f>
        <v>1995</v>
      </c>
      <c r="F422" s="42">
        <f>'13. Desinvesteringen'!E424</f>
        <v>15754.34</v>
      </c>
      <c r="G422" s="37">
        <f>'13. Desinvesteringen'!G424</f>
        <v>2022</v>
      </c>
    </row>
    <row r="423" spans="2:13" s="3" customFormat="1">
      <c r="B423" s="37">
        <f>'13. Desinvesteringen'!B425</f>
        <v>406</v>
      </c>
      <c r="D423" s="37" t="str">
        <f>'13. Desinvesteringen'!C425</f>
        <v>32 M&amp;R stations</v>
      </c>
      <c r="E423" s="37">
        <f>'13. Desinvesteringen'!D425</f>
        <v>2012</v>
      </c>
      <c r="F423" s="42">
        <f>'13. Desinvesteringen'!E425</f>
        <v>386956.48760918935</v>
      </c>
      <c r="G423" s="37">
        <f>'13. Desinvesteringen'!G425</f>
        <v>2022</v>
      </c>
    </row>
    <row r="424" spans="2:13" s="3" customFormat="1">
      <c r="B424" s="37">
        <f>'13. Desinvesteringen'!B426</f>
        <v>407</v>
      </c>
      <c r="D424" s="37" t="str">
        <f>'13. Desinvesteringen'!C426</f>
        <v>34 Reduceerstations</v>
      </c>
      <c r="E424" s="37">
        <f>'13. Desinvesteringen'!D426</f>
        <v>1986</v>
      </c>
      <c r="F424" s="42">
        <f>'13. Desinvesteringen'!E426</f>
        <v>29497.66</v>
      </c>
      <c r="G424" s="37">
        <f>'13. Desinvesteringen'!G426</f>
        <v>2022</v>
      </c>
      <c r="M424" s="88"/>
    </row>
    <row r="425" spans="2:13" s="227" customFormat="1">
      <c r="B425" s="37">
        <f>'13. Desinvesteringen'!B427</f>
        <v>408</v>
      </c>
      <c r="C425" s="3"/>
      <c r="D425" s="37" t="str">
        <f>'13. Desinvesteringen'!C427</f>
        <v>01 Regionale leidingen</v>
      </c>
      <c r="E425" s="37">
        <f>'13. Desinvesteringen'!D427</f>
        <v>1954</v>
      </c>
      <c r="F425" s="42">
        <f>'13. Desinvesteringen'!E427</f>
        <v>30000</v>
      </c>
      <c r="G425" s="37">
        <f>'13. Desinvesteringen'!G427</f>
        <v>2023</v>
      </c>
    </row>
    <row r="426" spans="2:13" s="227" customFormat="1">
      <c r="B426" s="37">
        <f>'13. Desinvesteringen'!B428</f>
        <v>409</v>
      </c>
      <c r="C426" s="3"/>
      <c r="D426" s="37" t="str">
        <f>'13. Desinvesteringen'!C428</f>
        <v>01 Regionale leidingen</v>
      </c>
      <c r="E426" s="37">
        <f>'13. Desinvesteringen'!D428</f>
        <v>1955</v>
      </c>
      <c r="F426" s="42">
        <f>'13. Desinvesteringen'!E428</f>
        <v>26680</v>
      </c>
      <c r="G426" s="37">
        <f>'13. Desinvesteringen'!G428</f>
        <v>2023</v>
      </c>
    </row>
    <row r="427" spans="2:13" s="227" customFormat="1">
      <c r="B427" s="37">
        <f>'13. Desinvesteringen'!B429</f>
        <v>410</v>
      </c>
      <c r="C427" s="3"/>
      <c r="D427" s="37" t="str">
        <f>'13. Desinvesteringen'!C429</f>
        <v>01 Regionale leidingen</v>
      </c>
      <c r="E427" s="37">
        <f>'13. Desinvesteringen'!D429</f>
        <v>1958</v>
      </c>
      <c r="F427" s="42">
        <f>'13. Desinvesteringen'!E429</f>
        <v>41066</v>
      </c>
      <c r="G427" s="37">
        <f>'13. Desinvesteringen'!G429</f>
        <v>2023</v>
      </c>
    </row>
    <row r="428" spans="2:13" s="227" customFormat="1">
      <c r="B428" s="37">
        <f>'13. Desinvesteringen'!B430</f>
        <v>411</v>
      </c>
      <c r="C428" s="3"/>
      <c r="D428" s="37" t="str">
        <f>'13. Desinvesteringen'!C430</f>
        <v>01 Regionale leidingen</v>
      </c>
      <c r="E428" s="37">
        <f>'13. Desinvesteringen'!D430</f>
        <v>1959</v>
      </c>
      <c r="F428" s="42">
        <f>'13. Desinvesteringen'!E430</f>
        <v>38260</v>
      </c>
      <c r="G428" s="37">
        <f>'13. Desinvesteringen'!G430</f>
        <v>2023</v>
      </c>
    </row>
    <row r="429" spans="2:13" s="227" customFormat="1">
      <c r="B429" s="37">
        <f>'13. Desinvesteringen'!B431</f>
        <v>412</v>
      </c>
      <c r="C429" s="3"/>
      <c r="D429" s="37" t="str">
        <f>'13. Desinvesteringen'!C431</f>
        <v>01 Regionale leidingen</v>
      </c>
      <c r="E429" s="37">
        <f>'13. Desinvesteringen'!D431</f>
        <v>1965</v>
      </c>
      <c r="F429" s="42">
        <f>'13. Desinvesteringen'!E431</f>
        <v>125091</v>
      </c>
      <c r="G429" s="37">
        <f>'13. Desinvesteringen'!G431</f>
        <v>2023</v>
      </c>
    </row>
    <row r="430" spans="2:13" s="227" customFormat="1">
      <c r="B430" s="37">
        <f>'13. Desinvesteringen'!B432</f>
        <v>413</v>
      </c>
      <c r="C430" s="3"/>
      <c r="D430" s="37" t="str">
        <f>'13. Desinvesteringen'!C432</f>
        <v>01 Regionale leidingen</v>
      </c>
      <c r="E430" s="37">
        <f>'13. Desinvesteringen'!D432</f>
        <v>1966</v>
      </c>
      <c r="F430" s="42">
        <f>'13. Desinvesteringen'!E432</f>
        <v>71100</v>
      </c>
      <c r="G430" s="37">
        <f>'13. Desinvesteringen'!G432</f>
        <v>2023</v>
      </c>
    </row>
    <row r="431" spans="2:13" s="227" customFormat="1">
      <c r="B431" s="37">
        <f>'13. Desinvesteringen'!B433</f>
        <v>414</v>
      </c>
      <c r="C431" s="3"/>
      <c r="D431" s="37" t="str">
        <f>'13. Desinvesteringen'!C433</f>
        <v>01 Regionale leidingen</v>
      </c>
      <c r="E431" s="37">
        <f>'13. Desinvesteringen'!D433</f>
        <v>1967</v>
      </c>
      <c r="F431" s="42">
        <f>'13. Desinvesteringen'!E433</f>
        <v>77488</v>
      </c>
      <c r="G431" s="37">
        <f>'13. Desinvesteringen'!G433</f>
        <v>2023</v>
      </c>
    </row>
    <row r="432" spans="2:13" s="227" customFormat="1">
      <c r="B432" s="37">
        <f>'13. Desinvesteringen'!B434</f>
        <v>415</v>
      </c>
      <c r="C432" s="3"/>
      <c r="D432" s="37" t="str">
        <f>'13. Desinvesteringen'!C434</f>
        <v>01 Regionale leidingen</v>
      </c>
      <c r="E432" s="37">
        <f>'13. Desinvesteringen'!D434</f>
        <v>1968</v>
      </c>
      <c r="F432" s="42">
        <f>'13. Desinvesteringen'!E434</f>
        <v>477209</v>
      </c>
      <c r="G432" s="37">
        <f>'13. Desinvesteringen'!G434</f>
        <v>2023</v>
      </c>
    </row>
    <row r="433" spans="2:7" s="227" customFormat="1">
      <c r="B433" s="37">
        <f>'13. Desinvesteringen'!B435</f>
        <v>416</v>
      </c>
      <c r="C433" s="3"/>
      <c r="D433" s="37" t="str">
        <f>'13. Desinvesteringen'!C435</f>
        <v>01 Regionale leidingen</v>
      </c>
      <c r="E433" s="37">
        <f>'13. Desinvesteringen'!D435</f>
        <v>1969</v>
      </c>
      <c r="F433" s="42">
        <f>'13. Desinvesteringen'!E435</f>
        <v>160414</v>
      </c>
      <c r="G433" s="37">
        <f>'13. Desinvesteringen'!G435</f>
        <v>2023</v>
      </c>
    </row>
    <row r="434" spans="2:7" s="227" customFormat="1">
      <c r="B434" s="37">
        <f>'13. Desinvesteringen'!B436</f>
        <v>417</v>
      </c>
      <c r="C434" s="3"/>
      <c r="D434" s="37" t="str">
        <f>'13. Desinvesteringen'!C436</f>
        <v>01 Regionale leidingen</v>
      </c>
      <c r="E434" s="37">
        <f>'13. Desinvesteringen'!D436</f>
        <v>1970</v>
      </c>
      <c r="F434" s="42">
        <f>'13. Desinvesteringen'!E436</f>
        <v>218021</v>
      </c>
      <c r="G434" s="37">
        <f>'13. Desinvesteringen'!G436</f>
        <v>2023</v>
      </c>
    </row>
    <row r="435" spans="2:7" s="227" customFormat="1">
      <c r="B435" s="37">
        <f>'13. Desinvesteringen'!B437</f>
        <v>418</v>
      </c>
      <c r="C435" s="3"/>
      <c r="D435" s="37" t="str">
        <f>'13. Desinvesteringen'!C437</f>
        <v>01 Regionale leidingen</v>
      </c>
      <c r="E435" s="37">
        <f>'13. Desinvesteringen'!D437</f>
        <v>1971</v>
      </c>
      <c r="F435" s="42">
        <f>'13. Desinvesteringen'!E437</f>
        <v>98792</v>
      </c>
      <c r="G435" s="37">
        <f>'13. Desinvesteringen'!G437</f>
        <v>2023</v>
      </c>
    </row>
    <row r="436" spans="2:7" s="227" customFormat="1">
      <c r="B436" s="37">
        <f>'13. Desinvesteringen'!B438</f>
        <v>419</v>
      </c>
      <c r="C436" s="3"/>
      <c r="D436" s="37" t="str">
        <f>'13. Desinvesteringen'!C438</f>
        <v>01 Regionale leidingen</v>
      </c>
      <c r="E436" s="37">
        <f>'13. Desinvesteringen'!D438</f>
        <v>1972</v>
      </c>
      <c r="F436" s="42">
        <f>'13. Desinvesteringen'!E438</f>
        <v>49371</v>
      </c>
      <c r="G436" s="37">
        <f>'13. Desinvesteringen'!G438</f>
        <v>2023</v>
      </c>
    </row>
    <row r="437" spans="2:7" s="227" customFormat="1">
      <c r="B437" s="37">
        <f>'13. Desinvesteringen'!B439</f>
        <v>420</v>
      </c>
      <c r="C437" s="3"/>
      <c r="D437" s="37" t="str">
        <f>'13. Desinvesteringen'!C439</f>
        <v>01 Regionale leidingen</v>
      </c>
      <c r="E437" s="37">
        <f>'13. Desinvesteringen'!D439</f>
        <v>1973</v>
      </c>
      <c r="F437" s="42">
        <f>'13. Desinvesteringen'!E439</f>
        <v>35155</v>
      </c>
      <c r="G437" s="37">
        <f>'13. Desinvesteringen'!G439</f>
        <v>2023</v>
      </c>
    </row>
    <row r="438" spans="2:7" s="227" customFormat="1">
      <c r="B438" s="37">
        <f>'13. Desinvesteringen'!B440</f>
        <v>421</v>
      </c>
      <c r="C438" s="3"/>
      <c r="D438" s="37" t="str">
        <f>'13. Desinvesteringen'!C440</f>
        <v>01 Regionale leidingen</v>
      </c>
      <c r="E438" s="37">
        <f>'13. Desinvesteringen'!D440</f>
        <v>1985</v>
      </c>
      <c r="F438" s="42">
        <f>'13. Desinvesteringen'!E440</f>
        <v>4444</v>
      </c>
      <c r="G438" s="37">
        <f>'13. Desinvesteringen'!G440</f>
        <v>2023</v>
      </c>
    </row>
    <row r="439" spans="2:7" s="227" customFormat="1">
      <c r="B439" s="37">
        <f>'13. Desinvesteringen'!B441</f>
        <v>422</v>
      </c>
      <c r="C439" s="3"/>
      <c r="D439" s="37" t="str">
        <f>'13. Desinvesteringen'!C441</f>
        <v>01 Regionale leidingen</v>
      </c>
      <c r="E439" s="37">
        <f>'13. Desinvesteringen'!D441</f>
        <v>1988</v>
      </c>
      <c r="F439" s="42">
        <f>'13. Desinvesteringen'!E441</f>
        <v>1378</v>
      </c>
      <c r="G439" s="37">
        <f>'13. Desinvesteringen'!G441</f>
        <v>2023</v>
      </c>
    </row>
    <row r="440" spans="2:7" s="227" customFormat="1">
      <c r="B440" s="37">
        <f>'13. Desinvesteringen'!B442</f>
        <v>423</v>
      </c>
      <c r="C440" s="3"/>
      <c r="D440" s="37" t="str">
        <f>'13. Desinvesteringen'!C442</f>
        <v>01 Regionale leidingen</v>
      </c>
      <c r="E440" s="37">
        <f>'13. Desinvesteringen'!D442</f>
        <v>1989</v>
      </c>
      <c r="F440" s="42">
        <f>'13. Desinvesteringen'!E442</f>
        <v>2017</v>
      </c>
      <c r="G440" s="37">
        <f>'13. Desinvesteringen'!G442</f>
        <v>2023</v>
      </c>
    </row>
    <row r="441" spans="2:7" s="227" customFormat="1">
      <c r="B441" s="37">
        <f>'13. Desinvesteringen'!B443</f>
        <v>424</v>
      </c>
      <c r="C441" s="3"/>
      <c r="D441" s="37" t="str">
        <f>'13. Desinvesteringen'!C443</f>
        <v>01 Regionale leidingen</v>
      </c>
      <c r="E441" s="37">
        <f>'13. Desinvesteringen'!D443</f>
        <v>1992</v>
      </c>
      <c r="F441" s="42">
        <f>'13. Desinvesteringen'!E443</f>
        <v>8976</v>
      </c>
      <c r="G441" s="37">
        <f>'13. Desinvesteringen'!G443</f>
        <v>2023</v>
      </c>
    </row>
    <row r="442" spans="2:7" s="227" customFormat="1">
      <c r="B442" s="37">
        <f>'13. Desinvesteringen'!B444</f>
        <v>425</v>
      </c>
      <c r="C442" s="3"/>
      <c r="D442" s="37" t="str">
        <f>'13. Desinvesteringen'!C444</f>
        <v>01 Regionale leidingen</v>
      </c>
      <c r="E442" s="37">
        <f>'13. Desinvesteringen'!D444</f>
        <v>1993</v>
      </c>
      <c r="F442" s="42">
        <f>'13. Desinvesteringen'!E444</f>
        <v>168038</v>
      </c>
      <c r="G442" s="37">
        <f>'13. Desinvesteringen'!G444</f>
        <v>2023</v>
      </c>
    </row>
    <row r="443" spans="2:7" s="227" customFormat="1">
      <c r="B443" s="37">
        <f>'13. Desinvesteringen'!B445</f>
        <v>426</v>
      </c>
      <c r="C443" s="3"/>
      <c r="D443" s="37" t="str">
        <f>'13. Desinvesteringen'!C445</f>
        <v>01 Regionale leidingen</v>
      </c>
      <c r="E443" s="37">
        <f>'13. Desinvesteringen'!D445</f>
        <v>1998</v>
      </c>
      <c r="F443" s="42">
        <f>'13. Desinvesteringen'!E445</f>
        <v>0</v>
      </c>
      <c r="G443" s="37">
        <f>'13. Desinvesteringen'!G445</f>
        <v>2023</v>
      </c>
    </row>
    <row r="444" spans="2:7" s="227" customFormat="1">
      <c r="B444" s="37">
        <f>'13. Desinvesteringen'!B446</f>
        <v>427</v>
      </c>
      <c r="C444" s="3"/>
      <c r="D444" s="37" t="str">
        <f>'13. Desinvesteringen'!C446</f>
        <v>01 Regionale leidingen</v>
      </c>
      <c r="E444" s="37">
        <f>'13. Desinvesteringen'!D446</f>
        <v>1999</v>
      </c>
      <c r="F444" s="42">
        <f>'13. Desinvesteringen'!E446</f>
        <v>34291</v>
      </c>
      <c r="G444" s="37">
        <f>'13. Desinvesteringen'!G446</f>
        <v>2023</v>
      </c>
    </row>
    <row r="445" spans="2:7" s="227" customFormat="1">
      <c r="B445" s="37">
        <f>'13. Desinvesteringen'!B447</f>
        <v>428</v>
      </c>
      <c r="C445" s="3"/>
      <c r="D445" s="37" t="str">
        <f>'13. Desinvesteringen'!C447</f>
        <v>01 Regionale leidingen</v>
      </c>
      <c r="E445" s="37">
        <f>'13. Desinvesteringen'!D447</f>
        <v>2002</v>
      </c>
      <c r="F445" s="42">
        <f>'13. Desinvesteringen'!E447</f>
        <v>15500</v>
      </c>
      <c r="G445" s="37">
        <f>'13. Desinvesteringen'!G447</f>
        <v>2023</v>
      </c>
    </row>
    <row r="446" spans="2:7" s="227" customFormat="1">
      <c r="B446" s="37">
        <f>'13. Desinvesteringen'!B448</f>
        <v>429</v>
      </c>
      <c r="C446" s="3"/>
      <c r="D446" s="37" t="str">
        <f>'13. Desinvesteringen'!C448</f>
        <v>01 Regionale leidingen</v>
      </c>
      <c r="E446" s="37">
        <f>'13. Desinvesteringen'!D448</f>
        <v>2004</v>
      </c>
      <c r="F446" s="42">
        <f>'13. Desinvesteringen'!E448</f>
        <v>43774</v>
      </c>
      <c r="G446" s="37">
        <f>'13. Desinvesteringen'!G448</f>
        <v>2023</v>
      </c>
    </row>
    <row r="447" spans="2:7" s="227" customFormat="1">
      <c r="B447" s="37">
        <f>'13. Desinvesteringen'!B449</f>
        <v>430</v>
      </c>
      <c r="C447" s="3"/>
      <c r="D447" s="37" t="str">
        <f>'13. Desinvesteringen'!C449</f>
        <v>01 Regionale leidingen</v>
      </c>
      <c r="E447" s="37">
        <f>'13. Desinvesteringen'!D449</f>
        <v>2005</v>
      </c>
      <c r="F447" s="42">
        <f>'13. Desinvesteringen'!E449</f>
        <v>54999</v>
      </c>
      <c r="G447" s="37">
        <f>'13. Desinvesteringen'!G449</f>
        <v>2023</v>
      </c>
    </row>
    <row r="448" spans="2:7" s="227" customFormat="1">
      <c r="B448" s="37">
        <f>'13. Desinvesteringen'!B450</f>
        <v>431</v>
      </c>
      <c r="C448" s="3"/>
      <c r="D448" s="37" t="str">
        <f>'13. Desinvesteringen'!C450</f>
        <v>01 Regionale leidingen</v>
      </c>
      <c r="E448" s="37">
        <f>'13. Desinvesteringen'!D450</f>
        <v>2006</v>
      </c>
      <c r="F448" s="42">
        <f>'13. Desinvesteringen'!E450</f>
        <v>10076</v>
      </c>
      <c r="G448" s="37">
        <f>'13. Desinvesteringen'!G450</f>
        <v>2023</v>
      </c>
    </row>
    <row r="449" spans="2:7" s="227" customFormat="1">
      <c r="B449" s="37">
        <f>'13. Desinvesteringen'!B451</f>
        <v>432</v>
      </c>
      <c r="C449" s="3"/>
      <c r="D449" s="37" t="str">
        <f>'13. Desinvesteringen'!C451</f>
        <v>01 Regionale leidingen</v>
      </c>
      <c r="E449" s="37">
        <f>'13. Desinvesteringen'!D451</f>
        <v>2009</v>
      </c>
      <c r="F449" s="42">
        <f>'13. Desinvesteringen'!E451</f>
        <v>378063</v>
      </c>
      <c r="G449" s="37">
        <f>'13. Desinvesteringen'!G451</f>
        <v>2023</v>
      </c>
    </row>
    <row r="450" spans="2:7" s="227" customFormat="1">
      <c r="B450" s="37">
        <f>'13. Desinvesteringen'!B452</f>
        <v>433</v>
      </c>
      <c r="C450" s="3"/>
      <c r="D450" s="37" t="str">
        <f>'13. Desinvesteringen'!C452</f>
        <v>01 Regionale leidingen</v>
      </c>
      <c r="E450" s="37">
        <f>'13. Desinvesteringen'!D452</f>
        <v>2011</v>
      </c>
      <c r="F450" s="42">
        <f>'13. Desinvesteringen'!E452</f>
        <v>17627</v>
      </c>
      <c r="G450" s="37">
        <f>'13. Desinvesteringen'!G452</f>
        <v>2023</v>
      </c>
    </row>
    <row r="451" spans="2:7" s="227" customFormat="1">
      <c r="B451" s="37">
        <f>'13. Desinvesteringen'!B453</f>
        <v>434</v>
      </c>
      <c r="C451" s="3"/>
      <c r="D451" s="37" t="str">
        <f>'13. Desinvesteringen'!C453</f>
        <v>01 Regionale leidingen</v>
      </c>
      <c r="E451" s="37">
        <f>'13. Desinvesteringen'!D453</f>
        <v>2012</v>
      </c>
      <c r="F451" s="42">
        <f>'13. Desinvesteringen'!E453</f>
        <v>388523</v>
      </c>
      <c r="G451" s="37">
        <f>'13. Desinvesteringen'!G453</f>
        <v>2023</v>
      </c>
    </row>
    <row r="452" spans="2:7" s="227" customFormat="1">
      <c r="B452" s="37">
        <f>'13. Desinvesteringen'!B454</f>
        <v>435</v>
      </c>
      <c r="C452" s="3"/>
      <c r="D452" s="37" t="str">
        <f>'13. Desinvesteringen'!C454</f>
        <v>02 Gasontvangststations</v>
      </c>
      <c r="E452" s="37">
        <f>'13. Desinvesteringen'!D454</f>
        <v>1965</v>
      </c>
      <c r="F452" s="42">
        <f>'13. Desinvesteringen'!E454</f>
        <v>15848</v>
      </c>
      <c r="G452" s="37">
        <f>'13. Desinvesteringen'!G454</f>
        <v>2023</v>
      </c>
    </row>
    <row r="453" spans="2:7" s="227" customFormat="1">
      <c r="B453" s="37">
        <f>'13. Desinvesteringen'!B455</f>
        <v>436</v>
      </c>
      <c r="C453" s="3"/>
      <c r="D453" s="37" t="str">
        <f>'13. Desinvesteringen'!C455</f>
        <v>02 Gasontvangststations</v>
      </c>
      <c r="E453" s="37">
        <f>'13. Desinvesteringen'!D455</f>
        <v>1966</v>
      </c>
      <c r="F453" s="42">
        <f>'13. Desinvesteringen'!E455</f>
        <v>120953</v>
      </c>
      <c r="G453" s="37">
        <f>'13. Desinvesteringen'!G455</f>
        <v>2023</v>
      </c>
    </row>
    <row r="454" spans="2:7" s="227" customFormat="1">
      <c r="B454" s="37">
        <f>'13. Desinvesteringen'!B456</f>
        <v>437</v>
      </c>
      <c r="C454" s="3"/>
      <c r="D454" s="37" t="str">
        <f>'13. Desinvesteringen'!C456</f>
        <v>02 Gasontvangststations</v>
      </c>
      <c r="E454" s="37">
        <f>'13. Desinvesteringen'!D456</f>
        <v>1967</v>
      </c>
      <c r="F454" s="42">
        <f>'13. Desinvesteringen'!E456</f>
        <v>165153</v>
      </c>
      <c r="G454" s="37">
        <f>'13. Desinvesteringen'!G456</f>
        <v>2023</v>
      </c>
    </row>
    <row r="455" spans="2:7" s="227" customFormat="1">
      <c r="B455" s="37">
        <f>'13. Desinvesteringen'!B457</f>
        <v>438</v>
      </c>
      <c r="C455" s="3"/>
      <c r="D455" s="37" t="str">
        <f>'13. Desinvesteringen'!C457</f>
        <v>02 Gasontvangststations</v>
      </c>
      <c r="E455" s="37">
        <f>'13. Desinvesteringen'!D457</f>
        <v>1968</v>
      </c>
      <c r="F455" s="42">
        <f>'13. Desinvesteringen'!E457</f>
        <v>28853</v>
      </c>
      <c r="G455" s="37">
        <f>'13. Desinvesteringen'!G457</f>
        <v>2023</v>
      </c>
    </row>
    <row r="456" spans="2:7" s="227" customFormat="1">
      <c r="B456" s="37">
        <f>'13. Desinvesteringen'!B458</f>
        <v>439</v>
      </c>
      <c r="C456" s="3"/>
      <c r="D456" s="37" t="str">
        <f>'13. Desinvesteringen'!C458</f>
        <v>02 Gasontvangststations</v>
      </c>
      <c r="E456" s="37">
        <f>'13. Desinvesteringen'!D458</f>
        <v>1969</v>
      </c>
      <c r="F456" s="42">
        <f>'13. Desinvesteringen'!E458</f>
        <v>89836</v>
      </c>
      <c r="G456" s="37">
        <f>'13. Desinvesteringen'!G458</f>
        <v>2023</v>
      </c>
    </row>
    <row r="457" spans="2:7" s="227" customFormat="1">
      <c r="B457" s="37">
        <f>'13. Desinvesteringen'!B459</f>
        <v>440</v>
      </c>
      <c r="C457" s="3"/>
      <c r="D457" s="37" t="str">
        <f>'13. Desinvesteringen'!C459</f>
        <v>02 Gasontvangststations</v>
      </c>
      <c r="E457" s="37">
        <f>'13. Desinvesteringen'!D459</f>
        <v>1970</v>
      </c>
      <c r="F457" s="42">
        <f>'13. Desinvesteringen'!E459</f>
        <v>72338</v>
      </c>
      <c r="G457" s="37">
        <f>'13. Desinvesteringen'!G459</f>
        <v>2023</v>
      </c>
    </row>
    <row r="458" spans="2:7" s="227" customFormat="1">
      <c r="B458" s="37">
        <f>'13. Desinvesteringen'!B460</f>
        <v>441</v>
      </c>
      <c r="C458" s="3"/>
      <c r="D458" s="37" t="str">
        <f>'13. Desinvesteringen'!C460</f>
        <v>02 Gasontvangststations</v>
      </c>
      <c r="E458" s="37">
        <f>'13. Desinvesteringen'!D460</f>
        <v>1971</v>
      </c>
      <c r="F458" s="42">
        <f>'13. Desinvesteringen'!E460</f>
        <v>139522</v>
      </c>
      <c r="G458" s="37">
        <f>'13. Desinvesteringen'!G460</f>
        <v>2023</v>
      </c>
    </row>
    <row r="459" spans="2:7" s="227" customFormat="1">
      <c r="B459" s="37">
        <f>'13. Desinvesteringen'!B461</f>
        <v>442</v>
      </c>
      <c r="C459" s="3"/>
      <c r="D459" s="37" t="str">
        <f>'13. Desinvesteringen'!C461</f>
        <v>02 Gasontvangststations</v>
      </c>
      <c r="E459" s="37">
        <f>'13. Desinvesteringen'!D461</f>
        <v>1972</v>
      </c>
      <c r="F459" s="42">
        <f>'13. Desinvesteringen'!E461</f>
        <v>67745</v>
      </c>
      <c r="G459" s="37">
        <f>'13. Desinvesteringen'!G461</f>
        <v>2023</v>
      </c>
    </row>
    <row r="460" spans="2:7" s="227" customFormat="1">
      <c r="B460" s="37">
        <f>'13. Desinvesteringen'!B462</f>
        <v>443</v>
      </c>
      <c r="C460" s="3"/>
      <c r="D460" s="37" t="str">
        <f>'13. Desinvesteringen'!C462</f>
        <v>02 Gasontvangststations</v>
      </c>
      <c r="E460" s="37">
        <f>'13. Desinvesteringen'!D462</f>
        <v>1973</v>
      </c>
      <c r="F460" s="42">
        <f>'13. Desinvesteringen'!E462</f>
        <v>44525</v>
      </c>
      <c r="G460" s="37">
        <f>'13. Desinvesteringen'!G462</f>
        <v>2023</v>
      </c>
    </row>
    <row r="461" spans="2:7" s="227" customFormat="1">
      <c r="B461" s="37">
        <f>'13. Desinvesteringen'!B463</f>
        <v>444</v>
      </c>
      <c r="C461" s="3"/>
      <c r="D461" s="37" t="str">
        <f>'13. Desinvesteringen'!C463</f>
        <v>02 Gasontvangststations</v>
      </c>
      <c r="E461" s="37">
        <f>'13. Desinvesteringen'!D463</f>
        <v>1974</v>
      </c>
      <c r="F461" s="42">
        <f>'13. Desinvesteringen'!E463</f>
        <v>39757</v>
      </c>
      <c r="G461" s="37">
        <f>'13. Desinvesteringen'!G463</f>
        <v>2023</v>
      </c>
    </row>
    <row r="462" spans="2:7" s="227" customFormat="1">
      <c r="B462" s="37">
        <f>'13. Desinvesteringen'!B464</f>
        <v>445</v>
      </c>
      <c r="C462" s="3"/>
      <c r="D462" s="37" t="str">
        <f>'13. Desinvesteringen'!C464</f>
        <v>02 Gasontvangststations</v>
      </c>
      <c r="E462" s="37">
        <f>'13. Desinvesteringen'!D464</f>
        <v>1976</v>
      </c>
      <c r="F462" s="42">
        <f>'13. Desinvesteringen'!E464</f>
        <v>3452</v>
      </c>
      <c r="G462" s="37">
        <f>'13. Desinvesteringen'!G464</f>
        <v>2023</v>
      </c>
    </row>
    <row r="463" spans="2:7" s="227" customFormat="1">
      <c r="B463" s="37">
        <f>'13. Desinvesteringen'!B465</f>
        <v>446</v>
      </c>
      <c r="C463" s="3"/>
      <c r="D463" s="37" t="str">
        <f>'13. Desinvesteringen'!C465</f>
        <v>02 Gasontvangststations</v>
      </c>
      <c r="E463" s="37">
        <f>'13. Desinvesteringen'!D465</f>
        <v>1979</v>
      </c>
      <c r="F463" s="42">
        <f>'13. Desinvesteringen'!E465</f>
        <v>44473</v>
      </c>
      <c r="G463" s="37">
        <f>'13. Desinvesteringen'!G465</f>
        <v>2023</v>
      </c>
    </row>
    <row r="464" spans="2:7" s="227" customFormat="1">
      <c r="B464" s="37">
        <f>'13. Desinvesteringen'!B466</f>
        <v>447</v>
      </c>
      <c r="C464" s="3"/>
      <c r="D464" s="37" t="str">
        <f>'13. Desinvesteringen'!C466</f>
        <v>02 Gasontvangststations</v>
      </c>
      <c r="E464" s="37">
        <f>'13. Desinvesteringen'!D466</f>
        <v>1980</v>
      </c>
      <c r="F464" s="42">
        <f>'13. Desinvesteringen'!E466</f>
        <v>55424</v>
      </c>
      <c r="G464" s="37">
        <f>'13. Desinvesteringen'!G466</f>
        <v>2023</v>
      </c>
    </row>
    <row r="465" spans="2:7" s="227" customFormat="1">
      <c r="B465" s="37">
        <f>'13. Desinvesteringen'!B467</f>
        <v>448</v>
      </c>
      <c r="C465" s="3"/>
      <c r="D465" s="37" t="str">
        <f>'13. Desinvesteringen'!C467</f>
        <v>02 Gasontvangststations</v>
      </c>
      <c r="E465" s="37">
        <f>'13. Desinvesteringen'!D467</f>
        <v>1983</v>
      </c>
      <c r="F465" s="42">
        <f>'13. Desinvesteringen'!E467</f>
        <v>83092</v>
      </c>
      <c r="G465" s="37">
        <f>'13. Desinvesteringen'!G467</f>
        <v>2023</v>
      </c>
    </row>
    <row r="466" spans="2:7" s="227" customFormat="1">
      <c r="B466" s="37">
        <f>'13. Desinvesteringen'!B468</f>
        <v>449</v>
      </c>
      <c r="C466" s="3"/>
      <c r="D466" s="37" t="str">
        <f>'13. Desinvesteringen'!C468</f>
        <v>02 Gasontvangststations</v>
      </c>
      <c r="E466" s="37">
        <f>'13. Desinvesteringen'!D468</f>
        <v>1986</v>
      </c>
      <c r="F466" s="42">
        <f>'13. Desinvesteringen'!E468</f>
        <v>7736</v>
      </c>
      <c r="G466" s="37">
        <f>'13. Desinvesteringen'!G468</f>
        <v>2023</v>
      </c>
    </row>
    <row r="467" spans="2:7" s="227" customFormat="1">
      <c r="B467" s="37">
        <f>'13. Desinvesteringen'!B469</f>
        <v>450</v>
      </c>
      <c r="C467" s="3"/>
      <c r="D467" s="37" t="str">
        <f>'13. Desinvesteringen'!C469</f>
        <v>02 Gasontvangststations</v>
      </c>
      <c r="E467" s="37">
        <f>'13. Desinvesteringen'!D469</f>
        <v>1990</v>
      </c>
      <c r="F467" s="42">
        <f>'13. Desinvesteringen'!E469</f>
        <v>2988</v>
      </c>
      <c r="G467" s="37">
        <f>'13. Desinvesteringen'!G469</f>
        <v>2023</v>
      </c>
    </row>
    <row r="468" spans="2:7" s="227" customFormat="1">
      <c r="B468" s="37">
        <f>'13. Desinvesteringen'!B470</f>
        <v>451</v>
      </c>
      <c r="C468" s="3"/>
      <c r="D468" s="37" t="str">
        <f>'13. Desinvesteringen'!C470</f>
        <v>02 Gasontvangststations</v>
      </c>
      <c r="E468" s="37">
        <f>'13. Desinvesteringen'!D470</f>
        <v>1992</v>
      </c>
      <c r="F468" s="42">
        <f>'13. Desinvesteringen'!E470</f>
        <v>6529</v>
      </c>
      <c r="G468" s="37">
        <f>'13. Desinvesteringen'!G470</f>
        <v>2023</v>
      </c>
    </row>
    <row r="469" spans="2:7" s="227" customFormat="1">
      <c r="B469" s="37">
        <f>'13. Desinvesteringen'!B471</f>
        <v>452</v>
      </c>
      <c r="C469" s="3"/>
      <c r="D469" s="37" t="str">
        <f>'13. Desinvesteringen'!C471</f>
        <v>02 Gasontvangststations</v>
      </c>
      <c r="E469" s="37">
        <f>'13. Desinvesteringen'!D471</f>
        <v>1993</v>
      </c>
      <c r="F469" s="42">
        <f>'13. Desinvesteringen'!E471</f>
        <v>204300</v>
      </c>
      <c r="G469" s="37">
        <f>'13. Desinvesteringen'!G471</f>
        <v>2023</v>
      </c>
    </row>
    <row r="470" spans="2:7" s="227" customFormat="1">
      <c r="B470" s="37">
        <f>'13. Desinvesteringen'!B472</f>
        <v>453</v>
      </c>
      <c r="C470" s="3"/>
      <c r="D470" s="37" t="str">
        <f>'13. Desinvesteringen'!C472</f>
        <v>02 Gasontvangststations</v>
      </c>
      <c r="E470" s="37">
        <f>'13. Desinvesteringen'!D472</f>
        <v>1995</v>
      </c>
      <c r="F470" s="42">
        <f>'13. Desinvesteringen'!E472</f>
        <v>9078</v>
      </c>
      <c r="G470" s="37">
        <f>'13. Desinvesteringen'!G472</f>
        <v>2023</v>
      </c>
    </row>
    <row r="471" spans="2:7" s="227" customFormat="1">
      <c r="B471" s="37">
        <f>'13. Desinvesteringen'!B473</f>
        <v>454</v>
      </c>
      <c r="C471" s="3"/>
      <c r="D471" s="37" t="str">
        <f>'13. Desinvesteringen'!C473</f>
        <v>02 Gasontvangststations</v>
      </c>
      <c r="E471" s="37">
        <f>'13. Desinvesteringen'!D473</f>
        <v>1997</v>
      </c>
      <c r="F471" s="42">
        <f>'13. Desinvesteringen'!E473</f>
        <v>9837</v>
      </c>
      <c r="G471" s="37">
        <f>'13. Desinvesteringen'!G473</f>
        <v>2023</v>
      </c>
    </row>
    <row r="472" spans="2:7" s="227" customFormat="1">
      <c r="B472" s="37">
        <f>'13. Desinvesteringen'!B474</f>
        <v>455</v>
      </c>
      <c r="C472" s="3"/>
      <c r="D472" s="37" t="str">
        <f>'13. Desinvesteringen'!C474</f>
        <v>02 Gasontvangststations</v>
      </c>
      <c r="E472" s="37">
        <f>'13. Desinvesteringen'!D474</f>
        <v>2003</v>
      </c>
      <c r="F472" s="42">
        <f>'13. Desinvesteringen'!E474</f>
        <v>18238</v>
      </c>
      <c r="G472" s="37">
        <f>'13. Desinvesteringen'!G474</f>
        <v>2023</v>
      </c>
    </row>
    <row r="473" spans="2:7" s="227" customFormat="1">
      <c r="B473" s="37">
        <f>'13. Desinvesteringen'!B475</f>
        <v>456</v>
      </c>
      <c r="C473" s="3"/>
      <c r="D473" s="37" t="str">
        <f>'13. Desinvesteringen'!C475</f>
        <v>02 Gasontvangststations</v>
      </c>
      <c r="E473" s="37">
        <f>'13. Desinvesteringen'!D475</f>
        <v>2005</v>
      </c>
      <c r="F473" s="42">
        <f>'13. Desinvesteringen'!E475</f>
        <v>24460</v>
      </c>
      <c r="G473" s="37">
        <f>'13. Desinvesteringen'!G475</f>
        <v>2023</v>
      </c>
    </row>
    <row r="474" spans="2:7" s="227" customFormat="1">
      <c r="B474" s="37">
        <f>'13. Desinvesteringen'!B476</f>
        <v>457</v>
      </c>
      <c r="C474" s="3"/>
      <c r="D474" s="37" t="str">
        <f>'13. Desinvesteringen'!C476</f>
        <v>02 Gasontvangststations</v>
      </c>
      <c r="E474" s="37">
        <f>'13. Desinvesteringen'!D476</f>
        <v>2007</v>
      </c>
      <c r="F474" s="42">
        <f>'13. Desinvesteringen'!E476</f>
        <v>58086</v>
      </c>
      <c r="G474" s="37">
        <f>'13. Desinvesteringen'!G476</f>
        <v>2023</v>
      </c>
    </row>
    <row r="475" spans="2:7" s="227" customFormat="1">
      <c r="B475" s="37">
        <f>'13. Desinvesteringen'!B477</f>
        <v>458</v>
      </c>
      <c r="C475" s="3"/>
      <c r="D475" s="37" t="str">
        <f>'13. Desinvesteringen'!C477</f>
        <v>02 Gasontvangststations</v>
      </c>
      <c r="E475" s="37">
        <f>'13. Desinvesteringen'!D477</f>
        <v>2009</v>
      </c>
      <c r="F475" s="42">
        <f>'13. Desinvesteringen'!E477</f>
        <v>26309</v>
      </c>
      <c r="G475" s="37">
        <f>'13. Desinvesteringen'!G477</f>
        <v>2023</v>
      </c>
    </row>
    <row r="476" spans="2:7" s="227" customFormat="1">
      <c r="B476" s="37">
        <f>'13. Desinvesteringen'!B478</f>
        <v>459</v>
      </c>
      <c r="C476" s="3"/>
      <c r="D476" s="37" t="str">
        <f>'13. Desinvesteringen'!C478</f>
        <v>06 Utiliteitsgebouwen</v>
      </c>
      <c r="E476" s="37">
        <f>'13. Desinvesteringen'!D478</f>
        <v>2007</v>
      </c>
      <c r="F476" s="42">
        <f>'13. Desinvesteringen'!E478</f>
        <v>70174</v>
      </c>
      <c r="G476" s="37">
        <f>'13. Desinvesteringen'!G478</f>
        <v>2023</v>
      </c>
    </row>
    <row r="477" spans="2:7" s="227" customFormat="1">
      <c r="B477" s="37">
        <f>'13. Desinvesteringen'!B479</f>
        <v>460</v>
      </c>
      <c r="C477" s="3"/>
      <c r="D477" s="37" t="str">
        <f>'13. Desinvesteringen'!C479</f>
        <v>09 Bedrijfsinventaris</v>
      </c>
      <c r="E477" s="37">
        <f>'13. Desinvesteringen'!D479</f>
        <v>2003</v>
      </c>
      <c r="F477" s="42">
        <f>'13. Desinvesteringen'!E479</f>
        <v>5550</v>
      </c>
      <c r="G477" s="37">
        <f>'13. Desinvesteringen'!G479</f>
        <v>2023</v>
      </c>
    </row>
    <row r="478" spans="2:7" s="227" customFormat="1">
      <c r="B478" s="37">
        <f>'13. Desinvesteringen'!B480</f>
        <v>461</v>
      </c>
      <c r="C478" s="3"/>
      <c r="D478" s="37" t="str">
        <f>'13. Desinvesteringen'!C480</f>
        <v>15 Compressorstations (KC)</v>
      </c>
      <c r="E478" s="37">
        <f>'13. Desinvesteringen'!D480</f>
        <v>1970</v>
      </c>
      <c r="F478" s="42">
        <f>'13. Desinvesteringen'!E480</f>
        <v>37182</v>
      </c>
      <c r="G478" s="37">
        <f>'13. Desinvesteringen'!G480</f>
        <v>2023</v>
      </c>
    </row>
    <row r="479" spans="2:7" s="227" customFormat="1">
      <c r="B479" s="37">
        <f>'13. Desinvesteringen'!B481</f>
        <v>462</v>
      </c>
      <c r="C479" s="3"/>
      <c r="D479" s="37" t="str">
        <f>'13. Desinvesteringen'!C481</f>
        <v>15 Compressorstations (KC)</v>
      </c>
      <c r="E479" s="37">
        <f>'13. Desinvesteringen'!D481</f>
        <v>1971</v>
      </c>
      <c r="F479" s="42">
        <f>'13. Desinvesteringen'!E481</f>
        <v>5302</v>
      </c>
      <c r="G479" s="37">
        <f>'13. Desinvesteringen'!G481</f>
        <v>2023</v>
      </c>
    </row>
    <row r="480" spans="2:7" s="227" customFormat="1">
      <c r="B480" s="37">
        <f>'13. Desinvesteringen'!B482</f>
        <v>463</v>
      </c>
      <c r="C480" s="3"/>
      <c r="D480" s="37" t="str">
        <f>'13. Desinvesteringen'!C482</f>
        <v>15 Compressorstations (TT-BT-AT)</v>
      </c>
      <c r="E480" s="37">
        <f>'13. Desinvesteringen'!D482</f>
        <v>1970</v>
      </c>
      <c r="F480" s="42">
        <f>'13. Desinvesteringen'!E482</f>
        <v>386046</v>
      </c>
      <c r="G480" s="37">
        <f>'13. Desinvesteringen'!G482</f>
        <v>2023</v>
      </c>
    </row>
    <row r="481" spans="2:7" s="227" customFormat="1">
      <c r="B481" s="37">
        <f>'13. Desinvesteringen'!B483</f>
        <v>464</v>
      </c>
      <c r="C481" s="3"/>
      <c r="D481" s="37" t="str">
        <f>'13. Desinvesteringen'!C483</f>
        <v>15 Compressorstations (TT-BT-AT)</v>
      </c>
      <c r="E481" s="37">
        <f>'13. Desinvesteringen'!D483</f>
        <v>1971</v>
      </c>
      <c r="F481" s="42">
        <f>'13. Desinvesteringen'!E483</f>
        <v>17164</v>
      </c>
      <c r="G481" s="37">
        <f>'13. Desinvesteringen'!G483</f>
        <v>2023</v>
      </c>
    </row>
    <row r="482" spans="2:7" s="227" customFormat="1">
      <c r="B482" s="37">
        <f>'13. Desinvesteringen'!B484</f>
        <v>465</v>
      </c>
      <c r="C482" s="3"/>
      <c r="D482" s="37" t="str">
        <f>'13. Desinvesteringen'!C484</f>
        <v>15 Compressorstations (TT-BT-AT)</v>
      </c>
      <c r="E482" s="37">
        <f>'13. Desinvesteringen'!D484</f>
        <v>1973</v>
      </c>
      <c r="F482" s="42">
        <f>'13. Desinvesteringen'!E484</f>
        <v>15941</v>
      </c>
      <c r="G482" s="37">
        <f>'13. Desinvesteringen'!G484</f>
        <v>2023</v>
      </c>
    </row>
    <row r="483" spans="2:7" s="227" customFormat="1">
      <c r="B483" s="37">
        <f>'13. Desinvesteringen'!B485</f>
        <v>466</v>
      </c>
      <c r="C483" s="3"/>
      <c r="D483" s="37" t="str">
        <f>'13. Desinvesteringen'!C485</f>
        <v>15 Compressorstations (TT-BT-AT)</v>
      </c>
      <c r="E483" s="37">
        <f>'13. Desinvesteringen'!D485</f>
        <v>1974</v>
      </c>
      <c r="F483" s="42">
        <f>'13. Desinvesteringen'!E485</f>
        <v>14358</v>
      </c>
      <c r="G483" s="37">
        <f>'13. Desinvesteringen'!G485</f>
        <v>2023</v>
      </c>
    </row>
    <row r="484" spans="2:7" s="227" customFormat="1">
      <c r="B484" s="37">
        <f>'13. Desinvesteringen'!B486</f>
        <v>467</v>
      </c>
      <c r="C484" s="3"/>
      <c r="D484" s="37" t="str">
        <f>'13. Desinvesteringen'!C486</f>
        <v>15 Compressorstations (TT-BT-AT)</v>
      </c>
      <c r="E484" s="37">
        <f>'13. Desinvesteringen'!D486</f>
        <v>1977</v>
      </c>
      <c r="F484" s="42">
        <f>'13. Desinvesteringen'!E486</f>
        <v>5493996</v>
      </c>
      <c r="G484" s="37">
        <f>'13. Desinvesteringen'!G486</f>
        <v>2023</v>
      </c>
    </row>
    <row r="485" spans="2:7" s="227" customFormat="1">
      <c r="B485" s="37">
        <f>'13. Desinvesteringen'!B487</f>
        <v>468</v>
      </c>
      <c r="C485" s="3"/>
      <c r="D485" s="37" t="str">
        <f>'13. Desinvesteringen'!C487</f>
        <v>15 Compressorstations (TT-BT-AT)</v>
      </c>
      <c r="E485" s="37">
        <f>'13. Desinvesteringen'!D487</f>
        <v>1978</v>
      </c>
      <c r="F485" s="42">
        <f>'13. Desinvesteringen'!E487</f>
        <v>488039</v>
      </c>
      <c r="G485" s="37">
        <f>'13. Desinvesteringen'!G487</f>
        <v>2023</v>
      </c>
    </row>
    <row r="486" spans="2:7" s="227" customFormat="1">
      <c r="B486" s="37">
        <f>'13. Desinvesteringen'!B488</f>
        <v>469</v>
      </c>
      <c r="C486" s="3"/>
      <c r="D486" s="37" t="str">
        <f>'13. Desinvesteringen'!C488</f>
        <v>15 Compressorstations (TT-BT-AT)</v>
      </c>
      <c r="E486" s="37">
        <f>'13. Desinvesteringen'!D488</f>
        <v>1980</v>
      </c>
      <c r="F486" s="42">
        <f>'13. Desinvesteringen'!E488</f>
        <v>1219567</v>
      </c>
      <c r="G486" s="37">
        <f>'13. Desinvesteringen'!G488</f>
        <v>2023</v>
      </c>
    </row>
    <row r="487" spans="2:7" s="227" customFormat="1">
      <c r="B487" s="37">
        <f>'13. Desinvesteringen'!B489</f>
        <v>470</v>
      </c>
      <c r="C487" s="3"/>
      <c r="D487" s="37" t="str">
        <f>'13. Desinvesteringen'!C489</f>
        <v>15 Compressorstations (TT-BT-AT)</v>
      </c>
      <c r="E487" s="37">
        <f>'13. Desinvesteringen'!D489</f>
        <v>1989</v>
      </c>
      <c r="F487" s="42">
        <f>'13. Desinvesteringen'!E489</f>
        <v>920373</v>
      </c>
      <c r="G487" s="37">
        <f>'13. Desinvesteringen'!G489</f>
        <v>2023</v>
      </c>
    </row>
    <row r="488" spans="2:7" s="227" customFormat="1">
      <c r="B488" s="37">
        <f>'13. Desinvesteringen'!B490</f>
        <v>471</v>
      </c>
      <c r="C488" s="3"/>
      <c r="D488" s="37" t="str">
        <f>'13. Desinvesteringen'!C490</f>
        <v>15 Compressorstations (TT-BT-AT)</v>
      </c>
      <c r="E488" s="37">
        <f>'13. Desinvesteringen'!D490</f>
        <v>1990</v>
      </c>
      <c r="F488" s="42">
        <f>'13. Desinvesteringen'!E490</f>
        <v>17770</v>
      </c>
      <c r="G488" s="37">
        <f>'13. Desinvesteringen'!G490</f>
        <v>2023</v>
      </c>
    </row>
    <row r="489" spans="2:7" s="227" customFormat="1">
      <c r="B489" s="37">
        <f>'13. Desinvesteringen'!B491</f>
        <v>472</v>
      </c>
      <c r="C489" s="3"/>
      <c r="D489" s="37" t="str">
        <f>'13. Desinvesteringen'!C491</f>
        <v>15 Compressorstations (TT-BT-AT)</v>
      </c>
      <c r="E489" s="37">
        <f>'13. Desinvesteringen'!D491</f>
        <v>1992</v>
      </c>
      <c r="F489" s="42">
        <f>'13. Desinvesteringen'!E491</f>
        <v>697451</v>
      </c>
      <c r="G489" s="37">
        <f>'13. Desinvesteringen'!G491</f>
        <v>2023</v>
      </c>
    </row>
    <row r="490" spans="2:7" s="227" customFormat="1">
      <c r="B490" s="37">
        <f>'13. Desinvesteringen'!B492</f>
        <v>473</v>
      </c>
      <c r="C490" s="3"/>
      <c r="D490" s="37" t="str">
        <f>'13. Desinvesteringen'!C492</f>
        <v>15 Compressorstations (TT-BT-AT)</v>
      </c>
      <c r="E490" s="37">
        <f>'13. Desinvesteringen'!D492</f>
        <v>1998</v>
      </c>
      <c r="F490" s="42">
        <f>'13. Desinvesteringen'!E492</f>
        <v>18065</v>
      </c>
      <c r="G490" s="37">
        <f>'13. Desinvesteringen'!G492</f>
        <v>2023</v>
      </c>
    </row>
    <row r="491" spans="2:7" s="227" customFormat="1">
      <c r="B491" s="37">
        <f>'13. Desinvesteringen'!B493</f>
        <v>474</v>
      </c>
      <c r="C491" s="3"/>
      <c r="D491" s="37" t="str">
        <f>'13. Desinvesteringen'!C493</f>
        <v>15 Compressorstations (TT-BT-AT)</v>
      </c>
      <c r="E491" s="37">
        <f>'13. Desinvesteringen'!D493</f>
        <v>2002</v>
      </c>
      <c r="F491" s="42">
        <f>'13. Desinvesteringen'!E493</f>
        <v>237214</v>
      </c>
      <c r="G491" s="37">
        <f>'13. Desinvesteringen'!G493</f>
        <v>2023</v>
      </c>
    </row>
    <row r="492" spans="2:7" s="227" customFormat="1">
      <c r="B492" s="37">
        <f>'13. Desinvesteringen'!B494</f>
        <v>475</v>
      </c>
      <c r="C492" s="3"/>
      <c r="D492" s="37" t="str">
        <f>'13. Desinvesteringen'!C494</f>
        <v>15 Compressorstations (TT-BT-AT)</v>
      </c>
      <c r="E492" s="37">
        <f>'13. Desinvesteringen'!D494</f>
        <v>2004</v>
      </c>
      <c r="F492" s="42">
        <f>'13. Desinvesteringen'!E494</f>
        <v>1858941</v>
      </c>
      <c r="G492" s="37">
        <f>'13. Desinvesteringen'!G494</f>
        <v>2023</v>
      </c>
    </row>
    <row r="493" spans="2:7" s="227" customFormat="1">
      <c r="B493" s="37">
        <f>'13. Desinvesteringen'!B495</f>
        <v>476</v>
      </c>
      <c r="C493" s="3"/>
      <c r="D493" s="37" t="str">
        <f>'13. Desinvesteringen'!C495</f>
        <v>15 Compressorstations (TT-BT-AT)</v>
      </c>
      <c r="E493" s="37">
        <f>'13. Desinvesteringen'!D495</f>
        <v>2005</v>
      </c>
      <c r="F493" s="42">
        <f>'13. Desinvesteringen'!E495</f>
        <v>189548</v>
      </c>
      <c r="G493" s="37">
        <f>'13. Desinvesteringen'!G495</f>
        <v>2023</v>
      </c>
    </row>
    <row r="494" spans="2:7" s="227" customFormat="1">
      <c r="B494" s="37">
        <f>'13. Desinvesteringen'!B496</f>
        <v>477</v>
      </c>
      <c r="C494" s="3"/>
      <c r="D494" s="37" t="str">
        <f>'13. Desinvesteringen'!C496</f>
        <v>15 Compressorstations (TT-BT-AT)</v>
      </c>
      <c r="E494" s="37">
        <f>'13. Desinvesteringen'!D496</f>
        <v>2006</v>
      </c>
      <c r="F494" s="42">
        <f>'13. Desinvesteringen'!E496</f>
        <v>43450</v>
      </c>
      <c r="G494" s="37">
        <f>'13. Desinvesteringen'!G496</f>
        <v>2023</v>
      </c>
    </row>
    <row r="495" spans="2:7" s="227" customFormat="1">
      <c r="B495" s="37">
        <f>'13. Desinvesteringen'!B497</f>
        <v>478</v>
      </c>
      <c r="C495" s="3"/>
      <c r="D495" s="37" t="str">
        <f>'13. Desinvesteringen'!C497</f>
        <v>15 Compressorstations (TT-BT-AT)</v>
      </c>
      <c r="E495" s="37">
        <f>'13. Desinvesteringen'!D497</f>
        <v>2008</v>
      </c>
      <c r="F495" s="42">
        <f>'13. Desinvesteringen'!E497</f>
        <v>2149449</v>
      </c>
      <c r="G495" s="37">
        <f>'13. Desinvesteringen'!G497</f>
        <v>2023</v>
      </c>
    </row>
    <row r="496" spans="2:7" s="227" customFormat="1">
      <c r="B496" s="37">
        <f>'13. Desinvesteringen'!B498</f>
        <v>479</v>
      </c>
      <c r="C496" s="3"/>
      <c r="D496" s="37" t="str">
        <f>'13. Desinvesteringen'!C498</f>
        <v>15 Compressorstations (TT-BT-AT)</v>
      </c>
      <c r="E496" s="37">
        <f>'13. Desinvesteringen'!D498</f>
        <v>2009</v>
      </c>
      <c r="F496" s="42">
        <f>'13. Desinvesteringen'!E498</f>
        <v>38325</v>
      </c>
      <c r="G496" s="37">
        <f>'13. Desinvesteringen'!G498</f>
        <v>2023</v>
      </c>
    </row>
    <row r="497" spans="2:7" s="227" customFormat="1">
      <c r="B497" s="37">
        <f>'13. Desinvesteringen'!B499</f>
        <v>480</v>
      </c>
      <c r="C497" s="3"/>
      <c r="D497" s="37" t="str">
        <f>'13. Desinvesteringen'!C499</f>
        <v>15 Compressorstations (TT-BT-AT)</v>
      </c>
      <c r="E497" s="37">
        <f>'13. Desinvesteringen'!D499</f>
        <v>2010</v>
      </c>
      <c r="F497" s="42">
        <f>'13. Desinvesteringen'!E499</f>
        <v>194639</v>
      </c>
      <c r="G497" s="37">
        <f>'13. Desinvesteringen'!G499</f>
        <v>2023</v>
      </c>
    </row>
    <row r="498" spans="2:7" s="227" customFormat="1">
      <c r="B498" s="37">
        <f>'13. Desinvesteringen'!B500</f>
        <v>481</v>
      </c>
      <c r="C498" s="3"/>
      <c r="D498" s="37" t="str">
        <f>'13. Desinvesteringen'!C500</f>
        <v>15 Compressorstations (TT-BT-AT)</v>
      </c>
      <c r="E498" s="37">
        <f>'13. Desinvesteringen'!D500</f>
        <v>2011</v>
      </c>
      <c r="F498" s="42">
        <f>'13. Desinvesteringen'!E500</f>
        <v>49243</v>
      </c>
      <c r="G498" s="37">
        <f>'13. Desinvesteringen'!G500</f>
        <v>2023</v>
      </c>
    </row>
    <row r="499" spans="2:7" s="227" customFormat="1">
      <c r="B499" s="37">
        <f>'13. Desinvesteringen'!B501</f>
        <v>482</v>
      </c>
      <c r="C499" s="3"/>
      <c r="D499" s="37" t="str">
        <f>'13. Desinvesteringen'!C501</f>
        <v>15 Compressorstations (TT-BT-AT)</v>
      </c>
      <c r="E499" s="37">
        <f>'13. Desinvesteringen'!D501</f>
        <v>2012</v>
      </c>
      <c r="F499" s="42">
        <f>'13. Desinvesteringen'!E501</f>
        <v>7253368</v>
      </c>
      <c r="G499" s="37">
        <f>'13. Desinvesteringen'!G501</f>
        <v>2023</v>
      </c>
    </row>
    <row r="500" spans="2:7" s="227" customFormat="1">
      <c r="B500" s="37">
        <f>'13. Desinvesteringen'!B502</f>
        <v>483</v>
      </c>
      <c r="C500" s="3"/>
      <c r="D500" s="37" t="str">
        <f>'13. Desinvesteringen'!C502</f>
        <v>15 Compressorstations (TT-BT-AT)</v>
      </c>
      <c r="E500" s="37">
        <f>'13. Desinvesteringen'!D502</f>
        <v>2014</v>
      </c>
      <c r="F500" s="42">
        <f>'13. Desinvesteringen'!E502</f>
        <v>746917</v>
      </c>
      <c r="G500" s="37">
        <f>'13. Desinvesteringen'!G502</f>
        <v>2023</v>
      </c>
    </row>
    <row r="501" spans="2:7" s="227" customFormat="1">
      <c r="B501" s="37">
        <f>'13. Desinvesteringen'!B503</f>
        <v>484</v>
      </c>
      <c r="C501" s="3"/>
      <c r="D501" s="37" t="str">
        <f>'13. Desinvesteringen'!C503</f>
        <v>15 Compressorstations (TT-BT-AT)</v>
      </c>
      <c r="E501" s="37">
        <f>'13. Desinvesteringen'!D503</f>
        <v>2015</v>
      </c>
      <c r="F501" s="42">
        <f>'13. Desinvesteringen'!E503</f>
        <v>411557</v>
      </c>
      <c r="G501" s="37">
        <f>'13. Desinvesteringen'!G503</f>
        <v>2023</v>
      </c>
    </row>
    <row r="502" spans="2:7" s="227" customFormat="1">
      <c r="B502" s="37">
        <f>'13. Desinvesteringen'!B504</f>
        <v>485</v>
      </c>
      <c r="C502" s="3"/>
      <c r="D502" s="37" t="str">
        <f>'13. Desinvesteringen'!C504</f>
        <v>15 Compressorstations (TT-BT-AT)</v>
      </c>
      <c r="E502" s="37">
        <f>'13. Desinvesteringen'!D504</f>
        <v>2016</v>
      </c>
      <c r="F502" s="42">
        <f>'13. Desinvesteringen'!E504</f>
        <v>136755</v>
      </c>
      <c r="G502" s="37">
        <f>'13. Desinvesteringen'!G504</f>
        <v>2023</v>
      </c>
    </row>
    <row r="503" spans="2:7" s="227" customFormat="1">
      <c r="B503" s="37">
        <f>'13. Desinvesteringen'!B505</f>
        <v>486</v>
      </c>
      <c r="C503" s="3"/>
      <c r="D503" s="37" t="str">
        <f>'13. Desinvesteringen'!C505</f>
        <v>16 LNG installaties</v>
      </c>
      <c r="E503" s="37">
        <f>'13. Desinvesteringen'!D505</f>
        <v>1977</v>
      </c>
      <c r="F503" s="42">
        <f>'13. Desinvesteringen'!E505</f>
        <v>804746</v>
      </c>
      <c r="G503" s="37">
        <f>'13. Desinvesteringen'!G505</f>
        <v>2023</v>
      </c>
    </row>
    <row r="504" spans="2:7" s="227" customFormat="1">
      <c r="B504" s="37">
        <f>'13. Desinvesteringen'!B506</f>
        <v>487</v>
      </c>
      <c r="C504" s="3"/>
      <c r="D504" s="37" t="str">
        <f>'13. Desinvesteringen'!C506</f>
        <v>17 Mengstations</v>
      </c>
      <c r="E504" s="37">
        <f>'13. Desinvesteringen'!D506</f>
        <v>1985</v>
      </c>
      <c r="F504" s="42">
        <f>'13. Desinvesteringen'!E506</f>
        <v>7919770</v>
      </c>
      <c r="G504" s="37">
        <f>'13. Desinvesteringen'!G506</f>
        <v>2023</v>
      </c>
    </row>
    <row r="505" spans="2:7" s="227" customFormat="1">
      <c r="B505" s="37">
        <f>'13. Desinvesteringen'!B507</f>
        <v>488</v>
      </c>
      <c r="C505" s="3"/>
      <c r="D505" s="37" t="str">
        <f>'13. Desinvesteringen'!C507</f>
        <v>17 Mengstations</v>
      </c>
      <c r="E505" s="37">
        <f>'13. Desinvesteringen'!D507</f>
        <v>1988</v>
      </c>
      <c r="F505" s="42">
        <f>'13. Desinvesteringen'!E507</f>
        <v>378309</v>
      </c>
      <c r="G505" s="37">
        <f>'13. Desinvesteringen'!G507</f>
        <v>2023</v>
      </c>
    </row>
    <row r="506" spans="2:7" s="227" customFormat="1">
      <c r="B506" s="37">
        <f>'13. Desinvesteringen'!B508</f>
        <v>489</v>
      </c>
      <c r="C506" s="3"/>
      <c r="D506" s="37" t="str">
        <f>'13. Desinvesteringen'!C508</f>
        <v>17 Mengstations</v>
      </c>
      <c r="E506" s="37">
        <f>'13. Desinvesteringen'!D508</f>
        <v>1990</v>
      </c>
      <c r="F506" s="42">
        <f>'13. Desinvesteringen'!E508</f>
        <v>29867</v>
      </c>
      <c r="G506" s="37">
        <f>'13. Desinvesteringen'!G508</f>
        <v>2023</v>
      </c>
    </row>
    <row r="507" spans="2:7" s="227" customFormat="1">
      <c r="B507" s="37">
        <f>'13. Desinvesteringen'!B509</f>
        <v>490</v>
      </c>
      <c r="C507" s="3"/>
      <c r="D507" s="37" t="str">
        <f>'13. Desinvesteringen'!C509</f>
        <v>17 Mengstations</v>
      </c>
      <c r="E507" s="37">
        <f>'13. Desinvesteringen'!D509</f>
        <v>1992</v>
      </c>
      <c r="F507" s="42">
        <f>'13. Desinvesteringen'!E509</f>
        <v>5605988</v>
      </c>
      <c r="G507" s="37">
        <f>'13. Desinvesteringen'!G509</f>
        <v>2023</v>
      </c>
    </row>
    <row r="508" spans="2:7" s="227" customFormat="1">
      <c r="B508" s="37">
        <f>'13. Desinvesteringen'!B510</f>
        <v>491</v>
      </c>
      <c r="C508" s="3"/>
      <c r="D508" s="37" t="str">
        <f>'13. Desinvesteringen'!C510</f>
        <v>17 Mengstations</v>
      </c>
      <c r="E508" s="37">
        <f>'13. Desinvesteringen'!D510</f>
        <v>1995</v>
      </c>
      <c r="F508" s="42">
        <f>'13. Desinvesteringen'!E510</f>
        <v>2552054</v>
      </c>
      <c r="G508" s="37">
        <f>'13. Desinvesteringen'!G510</f>
        <v>2023</v>
      </c>
    </row>
    <row r="509" spans="2:7" s="227" customFormat="1">
      <c r="B509" s="37">
        <f>'13. Desinvesteringen'!B511</f>
        <v>492</v>
      </c>
      <c r="C509" s="3"/>
      <c r="D509" s="37" t="str">
        <f>'13. Desinvesteringen'!C511</f>
        <v>17 Mengstations</v>
      </c>
      <c r="E509" s="37">
        <f>'13. Desinvesteringen'!D511</f>
        <v>1996</v>
      </c>
      <c r="F509" s="42">
        <f>'13. Desinvesteringen'!E511</f>
        <v>11549</v>
      </c>
      <c r="G509" s="37">
        <f>'13. Desinvesteringen'!G511</f>
        <v>2023</v>
      </c>
    </row>
    <row r="510" spans="2:7" s="227" customFormat="1">
      <c r="B510" s="37">
        <f>'13. Desinvesteringen'!B512</f>
        <v>493</v>
      </c>
      <c r="C510" s="3"/>
      <c r="D510" s="37" t="str">
        <f>'13. Desinvesteringen'!C512</f>
        <v>17 Mengstations</v>
      </c>
      <c r="E510" s="37">
        <f>'13. Desinvesteringen'!D512</f>
        <v>1998</v>
      </c>
      <c r="F510" s="42">
        <f>'13. Desinvesteringen'!E512</f>
        <v>28291</v>
      </c>
      <c r="G510" s="37">
        <f>'13. Desinvesteringen'!G512</f>
        <v>2023</v>
      </c>
    </row>
    <row r="511" spans="2:7" s="227" customFormat="1">
      <c r="B511" s="37">
        <f>'13. Desinvesteringen'!B513</f>
        <v>494</v>
      </c>
      <c r="C511" s="3"/>
      <c r="D511" s="37" t="str">
        <f>'13. Desinvesteringen'!C513</f>
        <v>17 Mengstations</v>
      </c>
      <c r="E511" s="37">
        <f>'13. Desinvesteringen'!D513</f>
        <v>2001</v>
      </c>
      <c r="F511" s="42">
        <f>'13. Desinvesteringen'!E513</f>
        <v>273838</v>
      </c>
      <c r="G511" s="37">
        <f>'13. Desinvesteringen'!G513</f>
        <v>2023</v>
      </c>
    </row>
    <row r="512" spans="2:7" s="227" customFormat="1">
      <c r="B512" s="37">
        <f>'13. Desinvesteringen'!B514</f>
        <v>495</v>
      </c>
      <c r="C512" s="3"/>
      <c r="D512" s="37" t="str">
        <f>'13. Desinvesteringen'!C514</f>
        <v>17 Mengstations</v>
      </c>
      <c r="E512" s="37">
        <f>'13. Desinvesteringen'!D514</f>
        <v>2003</v>
      </c>
      <c r="F512" s="42">
        <f>'13. Desinvesteringen'!E514</f>
        <v>35370</v>
      </c>
      <c r="G512" s="37">
        <f>'13. Desinvesteringen'!G514</f>
        <v>2023</v>
      </c>
    </row>
    <row r="513" spans="2:7" s="227" customFormat="1">
      <c r="B513" s="37">
        <f>'13. Desinvesteringen'!B515</f>
        <v>496</v>
      </c>
      <c r="C513" s="3"/>
      <c r="D513" s="37" t="str">
        <f>'13. Desinvesteringen'!C515</f>
        <v>17 Mengstations</v>
      </c>
      <c r="E513" s="37">
        <f>'13. Desinvesteringen'!D515</f>
        <v>2004</v>
      </c>
      <c r="F513" s="42">
        <f>'13. Desinvesteringen'!E515</f>
        <v>45503</v>
      </c>
      <c r="G513" s="37">
        <f>'13. Desinvesteringen'!G515</f>
        <v>2023</v>
      </c>
    </row>
    <row r="514" spans="2:7" s="227" customFormat="1">
      <c r="B514" s="37">
        <f>'13. Desinvesteringen'!B516</f>
        <v>497</v>
      </c>
      <c r="C514" s="3"/>
      <c r="D514" s="37" t="str">
        <f>'13. Desinvesteringen'!C516</f>
        <v>17 Mengstations</v>
      </c>
      <c r="E514" s="37">
        <f>'13. Desinvesteringen'!D516</f>
        <v>2005</v>
      </c>
      <c r="F514" s="42">
        <f>'13. Desinvesteringen'!E516</f>
        <v>165266</v>
      </c>
      <c r="G514" s="37">
        <f>'13. Desinvesteringen'!G516</f>
        <v>2023</v>
      </c>
    </row>
    <row r="515" spans="2:7" s="227" customFormat="1">
      <c r="B515" s="37">
        <f>'13. Desinvesteringen'!B517</f>
        <v>498</v>
      </c>
      <c r="C515" s="3"/>
      <c r="D515" s="37" t="str">
        <f>'13. Desinvesteringen'!C517</f>
        <v>17 Mengstations</v>
      </c>
      <c r="E515" s="37">
        <f>'13. Desinvesteringen'!D517</f>
        <v>2006</v>
      </c>
      <c r="F515" s="42">
        <f>'13. Desinvesteringen'!E517</f>
        <v>419198</v>
      </c>
      <c r="G515" s="37">
        <f>'13. Desinvesteringen'!G517</f>
        <v>2023</v>
      </c>
    </row>
    <row r="516" spans="2:7" s="227" customFormat="1">
      <c r="B516" s="37">
        <f>'13. Desinvesteringen'!B518</f>
        <v>499</v>
      </c>
      <c r="C516" s="3"/>
      <c r="D516" s="37" t="str">
        <f>'13. Desinvesteringen'!C518</f>
        <v>17 Mengstations</v>
      </c>
      <c r="E516" s="37">
        <f>'13. Desinvesteringen'!D518</f>
        <v>2007</v>
      </c>
      <c r="F516" s="42">
        <f>'13. Desinvesteringen'!E518</f>
        <v>1086511</v>
      </c>
      <c r="G516" s="37">
        <f>'13. Desinvesteringen'!G518</f>
        <v>2023</v>
      </c>
    </row>
    <row r="517" spans="2:7" s="227" customFormat="1">
      <c r="B517" s="37">
        <f>'13. Desinvesteringen'!B519</f>
        <v>500</v>
      </c>
      <c r="C517" s="3"/>
      <c r="D517" s="37" t="str">
        <f>'13. Desinvesteringen'!C519</f>
        <v>17 Mengstations</v>
      </c>
      <c r="E517" s="37">
        <f>'13. Desinvesteringen'!D519</f>
        <v>2008</v>
      </c>
      <c r="F517" s="42">
        <f>'13. Desinvesteringen'!E519</f>
        <v>1532964</v>
      </c>
      <c r="G517" s="37">
        <f>'13. Desinvesteringen'!G519</f>
        <v>2023</v>
      </c>
    </row>
    <row r="518" spans="2:7" s="227" customFormat="1">
      <c r="B518" s="37">
        <f>'13. Desinvesteringen'!B520</f>
        <v>501</v>
      </c>
      <c r="C518" s="3"/>
      <c r="D518" s="37" t="str">
        <f>'13. Desinvesteringen'!C520</f>
        <v>17 Mengstations</v>
      </c>
      <c r="E518" s="37">
        <f>'13. Desinvesteringen'!D520</f>
        <v>2009</v>
      </c>
      <c r="F518" s="42">
        <f>'13. Desinvesteringen'!E520</f>
        <v>100227</v>
      </c>
      <c r="G518" s="37">
        <f>'13. Desinvesteringen'!G520</f>
        <v>2023</v>
      </c>
    </row>
    <row r="519" spans="2:7" s="227" customFormat="1">
      <c r="B519" s="37">
        <f>'13. Desinvesteringen'!B521</f>
        <v>502</v>
      </c>
      <c r="C519" s="3"/>
      <c r="D519" s="37" t="str">
        <f>'13. Desinvesteringen'!C521</f>
        <v>17 Mengstations</v>
      </c>
      <c r="E519" s="37">
        <f>'13. Desinvesteringen'!D521</f>
        <v>2010</v>
      </c>
      <c r="F519" s="42">
        <f>'13. Desinvesteringen'!E521</f>
        <v>956327</v>
      </c>
      <c r="G519" s="37">
        <f>'13. Desinvesteringen'!G521</f>
        <v>2023</v>
      </c>
    </row>
    <row r="520" spans="2:7" s="227" customFormat="1">
      <c r="B520" s="37">
        <f>'13. Desinvesteringen'!B522</f>
        <v>503</v>
      </c>
      <c r="C520" s="3"/>
      <c r="D520" s="37" t="str">
        <f>'13. Desinvesteringen'!C522</f>
        <v>17 Mengstations</v>
      </c>
      <c r="E520" s="37">
        <f>'13. Desinvesteringen'!D522</f>
        <v>2011</v>
      </c>
      <c r="F520" s="42">
        <f>'13. Desinvesteringen'!E522</f>
        <v>1338329</v>
      </c>
      <c r="G520" s="37">
        <f>'13. Desinvesteringen'!G522</f>
        <v>2023</v>
      </c>
    </row>
    <row r="521" spans="2:7" s="227" customFormat="1">
      <c r="B521" s="37">
        <f>'13. Desinvesteringen'!B523</f>
        <v>504</v>
      </c>
      <c r="C521" s="3"/>
      <c r="D521" s="37" t="str">
        <f>'13. Desinvesteringen'!C523</f>
        <v>17 Mengstations</v>
      </c>
      <c r="E521" s="37">
        <f>'13. Desinvesteringen'!D523</f>
        <v>2012</v>
      </c>
      <c r="F521" s="42">
        <f>'13. Desinvesteringen'!E523</f>
        <v>479994</v>
      </c>
      <c r="G521" s="37">
        <f>'13. Desinvesteringen'!G523</f>
        <v>2023</v>
      </c>
    </row>
    <row r="522" spans="2:7" s="227" customFormat="1">
      <c r="B522" s="37">
        <f>'13. Desinvesteringen'!B524</f>
        <v>505</v>
      </c>
      <c r="C522" s="3"/>
      <c r="D522" s="37" t="str">
        <f>'13. Desinvesteringen'!C524</f>
        <v>17 Mengstations</v>
      </c>
      <c r="E522" s="37">
        <f>'13. Desinvesteringen'!D524</f>
        <v>2013</v>
      </c>
      <c r="F522" s="42">
        <f>'13. Desinvesteringen'!E524</f>
        <v>640497</v>
      </c>
      <c r="G522" s="37">
        <f>'13. Desinvesteringen'!G524</f>
        <v>2023</v>
      </c>
    </row>
    <row r="523" spans="2:7" s="227" customFormat="1">
      <c r="B523" s="37">
        <f>'13. Desinvesteringen'!B525</f>
        <v>506</v>
      </c>
      <c r="C523" s="3"/>
      <c r="D523" s="37" t="str">
        <f>'13. Desinvesteringen'!C525</f>
        <v>17 Mengstations</v>
      </c>
      <c r="E523" s="37">
        <f>'13. Desinvesteringen'!D525</f>
        <v>2014</v>
      </c>
      <c r="F523" s="42">
        <f>'13. Desinvesteringen'!E525</f>
        <v>1591</v>
      </c>
      <c r="G523" s="37">
        <f>'13. Desinvesteringen'!G525</f>
        <v>2023</v>
      </c>
    </row>
    <row r="524" spans="2:7" s="227" customFormat="1">
      <c r="B524" s="37">
        <f>'13. Desinvesteringen'!B526</f>
        <v>507</v>
      </c>
      <c r="C524" s="3"/>
      <c r="D524" s="37" t="str">
        <f>'13. Desinvesteringen'!C526</f>
        <v>17 Mengstations</v>
      </c>
      <c r="E524" s="37">
        <f>'13. Desinvesteringen'!D526</f>
        <v>2016</v>
      </c>
      <c r="F524" s="42">
        <f>'13. Desinvesteringen'!E526</f>
        <v>36980</v>
      </c>
      <c r="G524" s="37">
        <f>'13. Desinvesteringen'!G526</f>
        <v>2023</v>
      </c>
    </row>
    <row r="525" spans="2:7" s="227" customFormat="1">
      <c r="B525" s="37">
        <f>'13. Desinvesteringen'!B527</f>
        <v>508</v>
      </c>
      <c r="C525" s="3"/>
      <c r="D525" s="37" t="str">
        <f>'13. Desinvesteringen'!C527</f>
        <v>21 Hoofdtransportleiding</v>
      </c>
      <c r="E525" s="37">
        <f>'13. Desinvesteringen'!D527</f>
        <v>1964</v>
      </c>
      <c r="F525" s="42">
        <f>'13. Desinvesteringen'!E527</f>
        <v>3025</v>
      </c>
      <c r="G525" s="37">
        <f>'13. Desinvesteringen'!G527</f>
        <v>2023</v>
      </c>
    </row>
    <row r="526" spans="2:7" s="227" customFormat="1">
      <c r="B526" s="37">
        <f>'13. Desinvesteringen'!B528</f>
        <v>509</v>
      </c>
      <c r="C526" s="3"/>
      <c r="D526" s="37" t="str">
        <f>'13. Desinvesteringen'!C528</f>
        <v>21 Hoofdtransportleiding</v>
      </c>
      <c r="E526" s="37">
        <f>'13. Desinvesteringen'!D528</f>
        <v>1966</v>
      </c>
      <c r="F526" s="42">
        <f>'13. Desinvesteringen'!E528</f>
        <v>70000</v>
      </c>
      <c r="G526" s="37">
        <f>'13. Desinvesteringen'!G528</f>
        <v>2023</v>
      </c>
    </row>
    <row r="527" spans="2:7" s="227" customFormat="1">
      <c r="B527" s="37">
        <f>'13. Desinvesteringen'!B529</f>
        <v>510</v>
      </c>
      <c r="C527" s="3"/>
      <c r="D527" s="37" t="str">
        <f>'13. Desinvesteringen'!C529</f>
        <v>21 Hoofdtransportleiding</v>
      </c>
      <c r="E527" s="37">
        <f>'13. Desinvesteringen'!D529</f>
        <v>1967</v>
      </c>
      <c r="F527" s="42">
        <f>'13. Desinvesteringen'!E529</f>
        <v>7455</v>
      </c>
      <c r="G527" s="37">
        <f>'13. Desinvesteringen'!G529</f>
        <v>2023</v>
      </c>
    </row>
    <row r="528" spans="2:7" s="227" customFormat="1">
      <c r="B528" s="37">
        <f>'13. Desinvesteringen'!B530</f>
        <v>511</v>
      </c>
      <c r="C528" s="3"/>
      <c r="D528" s="37" t="str">
        <f>'13. Desinvesteringen'!C530</f>
        <v>21 Hoofdtransportleiding</v>
      </c>
      <c r="E528" s="37">
        <f>'13. Desinvesteringen'!D530</f>
        <v>1970</v>
      </c>
      <c r="F528" s="42">
        <f>'13. Desinvesteringen'!E530</f>
        <v>18136</v>
      </c>
      <c r="G528" s="37">
        <f>'13. Desinvesteringen'!G530</f>
        <v>2023</v>
      </c>
    </row>
    <row r="529" spans="2:7" s="227" customFormat="1">
      <c r="B529" s="37">
        <f>'13. Desinvesteringen'!B531</f>
        <v>512</v>
      </c>
      <c r="C529" s="3"/>
      <c r="D529" s="37" t="str">
        <f>'13. Desinvesteringen'!C531</f>
        <v>21 Hoofdtransportleiding</v>
      </c>
      <c r="E529" s="37">
        <f>'13. Desinvesteringen'!D531</f>
        <v>1971</v>
      </c>
      <c r="F529" s="42">
        <f>'13. Desinvesteringen'!E531</f>
        <v>9848</v>
      </c>
      <c r="G529" s="37">
        <f>'13. Desinvesteringen'!G531</f>
        <v>2023</v>
      </c>
    </row>
    <row r="530" spans="2:7" s="227" customFormat="1">
      <c r="B530" s="37">
        <f>'13. Desinvesteringen'!B532</f>
        <v>513</v>
      </c>
      <c r="C530" s="3"/>
      <c r="D530" s="37" t="str">
        <f>'13. Desinvesteringen'!C532</f>
        <v>21 Hoofdtransportleiding</v>
      </c>
      <c r="E530" s="37">
        <f>'13. Desinvesteringen'!D532</f>
        <v>1975</v>
      </c>
      <c r="F530" s="42">
        <f>'13. Desinvesteringen'!E532</f>
        <v>126847</v>
      </c>
      <c r="G530" s="37">
        <f>'13. Desinvesteringen'!G532</f>
        <v>2023</v>
      </c>
    </row>
    <row r="531" spans="2:7" s="227" customFormat="1">
      <c r="B531" s="37">
        <f>'13. Desinvesteringen'!B533</f>
        <v>514</v>
      </c>
      <c r="C531" s="3"/>
      <c r="D531" s="37" t="str">
        <f>'13. Desinvesteringen'!C533</f>
        <v>21 Hoofdtransportleiding</v>
      </c>
      <c r="E531" s="37">
        <f>'13. Desinvesteringen'!D533</f>
        <v>1976</v>
      </c>
      <c r="F531" s="42">
        <f>'13. Desinvesteringen'!E533</f>
        <v>34143</v>
      </c>
      <c r="G531" s="37">
        <f>'13. Desinvesteringen'!G533</f>
        <v>2023</v>
      </c>
    </row>
    <row r="532" spans="2:7" s="227" customFormat="1">
      <c r="B532" s="37">
        <f>'13. Desinvesteringen'!B534</f>
        <v>515</v>
      </c>
      <c r="C532" s="3"/>
      <c r="D532" s="37" t="str">
        <f>'13. Desinvesteringen'!C534</f>
        <v>21 Hoofdtransportleiding</v>
      </c>
      <c r="E532" s="37">
        <f>'13. Desinvesteringen'!D534</f>
        <v>1978</v>
      </c>
      <c r="F532" s="42">
        <f>'13. Desinvesteringen'!E534</f>
        <v>16987</v>
      </c>
      <c r="G532" s="37">
        <f>'13. Desinvesteringen'!G534</f>
        <v>2023</v>
      </c>
    </row>
    <row r="533" spans="2:7" s="227" customFormat="1">
      <c r="B533" s="37">
        <f>'13. Desinvesteringen'!B535</f>
        <v>516</v>
      </c>
      <c r="C533" s="3"/>
      <c r="D533" s="37" t="str">
        <f>'13. Desinvesteringen'!C535</f>
        <v>21 Hoofdtransportleiding</v>
      </c>
      <c r="E533" s="37">
        <f>'13. Desinvesteringen'!D535</f>
        <v>1980</v>
      </c>
      <c r="F533" s="42">
        <f>'13. Desinvesteringen'!E535</f>
        <v>18508</v>
      </c>
      <c r="G533" s="37">
        <f>'13. Desinvesteringen'!G535</f>
        <v>2023</v>
      </c>
    </row>
    <row r="534" spans="2:7" s="227" customFormat="1">
      <c r="B534" s="37">
        <f>'13. Desinvesteringen'!B536</f>
        <v>517</v>
      </c>
      <c r="C534" s="3"/>
      <c r="D534" s="37" t="str">
        <f>'13. Desinvesteringen'!C536</f>
        <v>21 Hoofdtransportleiding</v>
      </c>
      <c r="E534" s="37">
        <f>'13. Desinvesteringen'!D536</f>
        <v>1982</v>
      </c>
      <c r="F534" s="42">
        <f>'13. Desinvesteringen'!E536</f>
        <v>28372</v>
      </c>
      <c r="G534" s="37">
        <f>'13. Desinvesteringen'!G536</f>
        <v>2023</v>
      </c>
    </row>
    <row r="535" spans="2:7" s="227" customFormat="1">
      <c r="B535" s="37">
        <f>'13. Desinvesteringen'!B537</f>
        <v>518</v>
      </c>
      <c r="C535" s="3"/>
      <c r="D535" s="37" t="str">
        <f>'13. Desinvesteringen'!C537</f>
        <v>21 Hoofdtransportleiding</v>
      </c>
      <c r="E535" s="37">
        <f>'13. Desinvesteringen'!D537</f>
        <v>1986</v>
      </c>
      <c r="F535" s="42">
        <f>'13. Desinvesteringen'!E537</f>
        <v>22360</v>
      </c>
      <c r="G535" s="37">
        <f>'13. Desinvesteringen'!G537</f>
        <v>2023</v>
      </c>
    </row>
    <row r="536" spans="2:7" s="227" customFormat="1">
      <c r="B536" s="37">
        <f>'13. Desinvesteringen'!B538</f>
        <v>519</v>
      </c>
      <c r="C536" s="3"/>
      <c r="D536" s="37" t="str">
        <f>'13. Desinvesteringen'!C538</f>
        <v>21 Hoofdtransportleiding</v>
      </c>
      <c r="E536" s="37">
        <f>'13. Desinvesteringen'!D538</f>
        <v>1987</v>
      </c>
      <c r="F536" s="42">
        <f>'13. Desinvesteringen'!E538</f>
        <v>22132</v>
      </c>
      <c r="G536" s="37">
        <f>'13. Desinvesteringen'!G538</f>
        <v>2023</v>
      </c>
    </row>
    <row r="537" spans="2:7" s="227" customFormat="1">
      <c r="B537" s="37">
        <f>'13. Desinvesteringen'!B539</f>
        <v>520</v>
      </c>
      <c r="C537" s="3"/>
      <c r="D537" s="37" t="str">
        <f>'13. Desinvesteringen'!C539</f>
        <v>21 Hoofdtransportleiding</v>
      </c>
      <c r="E537" s="37">
        <f>'13. Desinvesteringen'!D539</f>
        <v>1993</v>
      </c>
      <c r="F537" s="42">
        <f>'13. Desinvesteringen'!E539</f>
        <v>24502</v>
      </c>
      <c r="G537" s="37">
        <f>'13. Desinvesteringen'!G539</f>
        <v>2023</v>
      </c>
    </row>
    <row r="538" spans="2:7" s="227" customFormat="1">
      <c r="B538" s="37">
        <f>'13. Desinvesteringen'!B540</f>
        <v>521</v>
      </c>
      <c r="C538" s="3"/>
      <c r="D538" s="37" t="str">
        <f>'13. Desinvesteringen'!C540</f>
        <v>21 Hoofdtransportleiding</v>
      </c>
      <c r="E538" s="37">
        <f>'13. Desinvesteringen'!D540</f>
        <v>1996</v>
      </c>
      <c r="F538" s="42">
        <f>'13. Desinvesteringen'!E540</f>
        <v>67710</v>
      </c>
      <c r="G538" s="37">
        <f>'13. Desinvesteringen'!G540</f>
        <v>2023</v>
      </c>
    </row>
    <row r="539" spans="2:7" s="227" customFormat="1">
      <c r="B539" s="37">
        <f>'13. Desinvesteringen'!B541</f>
        <v>522</v>
      </c>
      <c r="C539" s="3"/>
      <c r="D539" s="37" t="str">
        <f>'13. Desinvesteringen'!C541</f>
        <v>21 Hoofdtransportleiding</v>
      </c>
      <c r="E539" s="37">
        <f>'13. Desinvesteringen'!D541</f>
        <v>2002</v>
      </c>
      <c r="F539" s="42">
        <f>'13. Desinvesteringen'!E541</f>
        <v>278598</v>
      </c>
      <c r="G539" s="37">
        <f>'13. Desinvesteringen'!G541</f>
        <v>2023</v>
      </c>
    </row>
    <row r="540" spans="2:7" s="227" customFormat="1">
      <c r="B540" s="37">
        <f>'13. Desinvesteringen'!B542</f>
        <v>523</v>
      </c>
      <c r="C540" s="3"/>
      <c r="D540" s="37" t="str">
        <f>'13. Desinvesteringen'!C542</f>
        <v>21 Hoofdtransportleiding</v>
      </c>
      <c r="E540" s="37">
        <f>'13. Desinvesteringen'!D542</f>
        <v>2008</v>
      </c>
      <c r="F540" s="42">
        <f>'13. Desinvesteringen'!E542</f>
        <v>34070</v>
      </c>
      <c r="G540" s="37">
        <f>'13. Desinvesteringen'!G542</f>
        <v>2023</v>
      </c>
    </row>
    <row r="541" spans="2:7" s="227" customFormat="1">
      <c r="B541" s="37">
        <f>'13. Desinvesteringen'!B543</f>
        <v>524</v>
      </c>
      <c r="C541" s="3"/>
      <c r="D541" s="37" t="str">
        <f>'13. Desinvesteringen'!C543</f>
        <v>32 M&amp;R stations</v>
      </c>
      <c r="E541" s="37">
        <f>'13. Desinvesteringen'!D543</f>
        <v>1974</v>
      </c>
      <c r="F541" s="42">
        <f>'13. Desinvesteringen'!E543</f>
        <v>91446</v>
      </c>
      <c r="G541" s="37">
        <f>'13. Desinvesteringen'!G543</f>
        <v>2023</v>
      </c>
    </row>
    <row r="542" spans="2:7" s="227" customFormat="1">
      <c r="B542" s="37">
        <f>'13. Desinvesteringen'!B544</f>
        <v>525</v>
      </c>
      <c r="C542" s="3"/>
      <c r="D542" s="37" t="str">
        <f>'13. Desinvesteringen'!C544</f>
        <v>33 Exportstations</v>
      </c>
      <c r="E542" s="37">
        <f>'13. Desinvesteringen'!D544</f>
        <v>1966</v>
      </c>
      <c r="F542" s="42">
        <f>'13. Desinvesteringen'!E544</f>
        <v>5667</v>
      </c>
      <c r="G542" s="37">
        <f>'13. Desinvesteringen'!G544</f>
        <v>2023</v>
      </c>
    </row>
    <row r="543" spans="2:7" s="227" customFormat="1">
      <c r="B543" s="37">
        <f>'13. Desinvesteringen'!B545</f>
        <v>526</v>
      </c>
      <c r="C543" s="3"/>
      <c r="D543" s="37" t="str">
        <f>'13. Desinvesteringen'!C545</f>
        <v>33 Exportstations</v>
      </c>
      <c r="E543" s="37">
        <f>'13. Desinvesteringen'!D545</f>
        <v>1967</v>
      </c>
      <c r="F543" s="42">
        <f>'13. Desinvesteringen'!E545</f>
        <v>13495</v>
      </c>
      <c r="G543" s="37">
        <f>'13. Desinvesteringen'!G545</f>
        <v>2023</v>
      </c>
    </row>
    <row r="544" spans="2:7" s="227" customFormat="1">
      <c r="B544" s="37">
        <f>'13. Desinvesteringen'!B546</f>
        <v>527</v>
      </c>
      <c r="C544" s="3"/>
      <c r="D544" s="37" t="str">
        <f>'13. Desinvesteringen'!C546</f>
        <v>33 Exportstations</v>
      </c>
      <c r="E544" s="37">
        <f>'13. Desinvesteringen'!D546</f>
        <v>1972</v>
      </c>
      <c r="F544" s="42">
        <f>'13. Desinvesteringen'!E546</f>
        <v>7627</v>
      </c>
      <c r="G544" s="37">
        <f>'13. Desinvesteringen'!G546</f>
        <v>2023</v>
      </c>
    </row>
    <row r="545" spans="1:7" s="227" customFormat="1">
      <c r="B545" s="37">
        <f>'13. Desinvesteringen'!B547</f>
        <v>528</v>
      </c>
      <c r="C545" s="3"/>
      <c r="D545" s="37" t="str">
        <f>'13. Desinvesteringen'!C547</f>
        <v>33 Exportstations</v>
      </c>
      <c r="E545" s="37">
        <f>'13. Desinvesteringen'!D547</f>
        <v>1974</v>
      </c>
      <c r="F545" s="42">
        <f>'13. Desinvesteringen'!E547</f>
        <v>12366</v>
      </c>
      <c r="G545" s="37">
        <f>'13. Desinvesteringen'!G547</f>
        <v>2023</v>
      </c>
    </row>
    <row r="546" spans="1:7" s="227" customFormat="1">
      <c r="B546" s="37">
        <f>'13. Desinvesteringen'!B548</f>
        <v>529</v>
      </c>
      <c r="C546" s="3"/>
      <c r="D546" s="37" t="str">
        <f>'13. Desinvesteringen'!C548</f>
        <v>33 Exportstations</v>
      </c>
      <c r="E546" s="37">
        <f>'13. Desinvesteringen'!D548</f>
        <v>1975</v>
      </c>
      <c r="F546" s="42">
        <f>'13. Desinvesteringen'!E548</f>
        <v>28804</v>
      </c>
      <c r="G546" s="37">
        <f>'13. Desinvesteringen'!G548</f>
        <v>2023</v>
      </c>
    </row>
    <row r="547" spans="1:7" s="227" customFormat="1">
      <c r="B547" s="37">
        <f>'13. Desinvesteringen'!B549</f>
        <v>530</v>
      </c>
      <c r="C547" s="3"/>
      <c r="D547" s="37" t="str">
        <f>'13. Desinvesteringen'!C549</f>
        <v>34 Reduceerstations</v>
      </c>
      <c r="E547" s="37">
        <f>'13. Desinvesteringen'!D549</f>
        <v>1979</v>
      </c>
      <c r="F547" s="42">
        <f>'13. Desinvesteringen'!E549</f>
        <v>1824</v>
      </c>
      <c r="G547" s="37">
        <f>'13. Desinvesteringen'!G549</f>
        <v>2023</v>
      </c>
    </row>
    <row r="548" spans="1:7" s="227" customFormat="1">
      <c r="B548" s="37">
        <f>'13. Desinvesteringen'!B550</f>
        <v>531</v>
      </c>
      <c r="C548" s="3"/>
      <c r="D548" s="37" t="str">
        <f>'13. Desinvesteringen'!C550</f>
        <v>36 Luchtscheidingsunit</v>
      </c>
      <c r="E548" s="37">
        <f>'13. Desinvesteringen'!D550</f>
        <v>2007</v>
      </c>
      <c r="F548" s="42">
        <f>'13. Desinvesteringen'!E550</f>
        <v>4508703</v>
      </c>
      <c r="G548" s="37">
        <f>'13. Desinvesteringen'!G550</f>
        <v>2023</v>
      </c>
    </row>
    <row r="549" spans="1:7" s="332" customFormat="1">
      <c r="A549" s="227"/>
      <c r="B549" s="37">
        <f>'13. Desinvesteringen'!B551</f>
        <v>532</v>
      </c>
      <c r="C549" s="3"/>
      <c r="D549" s="37" t="str">
        <f>'13. Desinvesteringen'!C551</f>
        <v>01 Regionale leidingen</v>
      </c>
      <c r="E549" s="37">
        <f>'13. Desinvesteringen'!D551</f>
        <v>1946</v>
      </c>
      <c r="F549" s="42">
        <f>'13. Desinvesteringen'!E551</f>
        <v>881</v>
      </c>
      <c r="G549" s="37">
        <f>'13. Desinvesteringen'!G551</f>
        <v>2024</v>
      </c>
    </row>
    <row r="550" spans="1:7" s="332" customFormat="1">
      <c r="A550" s="227"/>
      <c r="B550" s="37">
        <f>'13. Desinvesteringen'!B552</f>
        <v>533</v>
      </c>
      <c r="C550" s="3"/>
      <c r="D550" s="37" t="str">
        <f>'13. Desinvesteringen'!C552</f>
        <v>01 Regionale leidingen</v>
      </c>
      <c r="E550" s="37">
        <f>'13. Desinvesteringen'!D552</f>
        <v>1949</v>
      </c>
      <c r="F550" s="42">
        <f>'13. Desinvesteringen'!E552</f>
        <v>4199</v>
      </c>
      <c r="G550" s="37">
        <f>'13. Desinvesteringen'!G552</f>
        <v>2024</v>
      </c>
    </row>
    <row r="551" spans="1:7" s="332" customFormat="1">
      <c r="A551" s="227"/>
      <c r="B551" s="37">
        <f>'13. Desinvesteringen'!B553</f>
        <v>534</v>
      </c>
      <c r="C551" s="3"/>
      <c r="D551" s="37" t="str">
        <f>'13. Desinvesteringen'!C553</f>
        <v>01 Regionale leidingen</v>
      </c>
      <c r="E551" s="37">
        <f>'13. Desinvesteringen'!D553</f>
        <v>1958</v>
      </c>
      <c r="F551" s="42">
        <f>'13. Desinvesteringen'!E553</f>
        <v>75794</v>
      </c>
      <c r="G551" s="37">
        <f>'13. Desinvesteringen'!G553</f>
        <v>2024</v>
      </c>
    </row>
    <row r="552" spans="1:7" s="332" customFormat="1">
      <c r="A552" s="227"/>
      <c r="B552" s="37">
        <f>'13. Desinvesteringen'!B554</f>
        <v>535</v>
      </c>
      <c r="C552" s="3"/>
      <c r="D552" s="37" t="str">
        <f>'13. Desinvesteringen'!C554</f>
        <v>01 Regionale leidingen</v>
      </c>
      <c r="E552" s="37">
        <f>'13. Desinvesteringen'!D554</f>
        <v>1961</v>
      </c>
      <c r="F552" s="42">
        <f>'13. Desinvesteringen'!E554</f>
        <v>43899</v>
      </c>
      <c r="G552" s="37">
        <f>'13. Desinvesteringen'!G554</f>
        <v>2024</v>
      </c>
    </row>
    <row r="553" spans="1:7" s="332" customFormat="1">
      <c r="A553" s="227"/>
      <c r="B553" s="37">
        <f>'13. Desinvesteringen'!B555</f>
        <v>536</v>
      </c>
      <c r="C553" s="3"/>
      <c r="D553" s="37" t="str">
        <f>'13. Desinvesteringen'!C555</f>
        <v>01 Regionale leidingen</v>
      </c>
      <c r="E553" s="37">
        <f>'13. Desinvesteringen'!D555</f>
        <v>1965</v>
      </c>
      <c r="F553" s="42">
        <f>'13. Desinvesteringen'!E555</f>
        <v>65000</v>
      </c>
      <c r="G553" s="37">
        <f>'13. Desinvesteringen'!G555</f>
        <v>2024</v>
      </c>
    </row>
    <row r="554" spans="1:7" s="332" customFormat="1">
      <c r="A554" s="227"/>
      <c r="B554" s="37">
        <f>'13. Desinvesteringen'!B556</f>
        <v>537</v>
      </c>
      <c r="C554" s="3"/>
      <c r="D554" s="37" t="str">
        <f>'13. Desinvesteringen'!C556</f>
        <v>01 Regionale leidingen</v>
      </c>
      <c r="E554" s="37">
        <f>'13. Desinvesteringen'!D556</f>
        <v>1966</v>
      </c>
      <c r="F554" s="42">
        <f>'13. Desinvesteringen'!E556</f>
        <v>84988</v>
      </c>
      <c r="G554" s="37">
        <f>'13. Desinvesteringen'!G556</f>
        <v>2024</v>
      </c>
    </row>
    <row r="555" spans="1:7" s="332" customFormat="1">
      <c r="A555" s="227"/>
      <c r="B555" s="37">
        <f>'13. Desinvesteringen'!B557</f>
        <v>538</v>
      </c>
      <c r="C555" s="3"/>
      <c r="D555" s="37" t="str">
        <f>'13. Desinvesteringen'!C557</f>
        <v>01 Regionale leidingen</v>
      </c>
      <c r="E555" s="37">
        <f>'13. Desinvesteringen'!D557</f>
        <v>1967</v>
      </c>
      <c r="F555" s="42">
        <f>'13. Desinvesteringen'!E557</f>
        <v>30000</v>
      </c>
      <c r="G555" s="37">
        <f>'13. Desinvesteringen'!G557</f>
        <v>2024</v>
      </c>
    </row>
    <row r="556" spans="1:7" s="332" customFormat="1">
      <c r="A556" s="227"/>
      <c r="B556" s="37">
        <f>'13. Desinvesteringen'!B558</f>
        <v>539</v>
      </c>
      <c r="C556" s="3"/>
      <c r="D556" s="37" t="str">
        <f>'13. Desinvesteringen'!C558</f>
        <v>01 Regionale leidingen</v>
      </c>
      <c r="E556" s="37">
        <f>'13. Desinvesteringen'!D558</f>
        <v>1968</v>
      </c>
      <c r="F556" s="42">
        <f>'13. Desinvesteringen'!E558</f>
        <v>135146</v>
      </c>
      <c r="G556" s="37">
        <f>'13. Desinvesteringen'!G558</f>
        <v>2024</v>
      </c>
    </row>
    <row r="557" spans="1:7" s="332" customFormat="1">
      <c r="A557" s="227"/>
      <c r="B557" s="37">
        <f>'13. Desinvesteringen'!B559</f>
        <v>540</v>
      </c>
      <c r="C557" s="3"/>
      <c r="D557" s="37" t="str">
        <f>'13. Desinvesteringen'!C559</f>
        <v>01 Regionale leidingen</v>
      </c>
      <c r="E557" s="37">
        <f>'13. Desinvesteringen'!D559</f>
        <v>1969</v>
      </c>
      <c r="F557" s="42">
        <f>'13. Desinvesteringen'!E559</f>
        <v>103785</v>
      </c>
      <c r="G557" s="37">
        <f>'13. Desinvesteringen'!G559</f>
        <v>2024</v>
      </c>
    </row>
    <row r="558" spans="1:7" s="332" customFormat="1">
      <c r="A558" s="227"/>
      <c r="B558" s="37">
        <f>'13. Desinvesteringen'!B560</f>
        <v>541</v>
      </c>
      <c r="C558" s="3"/>
      <c r="D558" s="37" t="str">
        <f>'13. Desinvesteringen'!C560</f>
        <v>01 Regionale leidingen</v>
      </c>
      <c r="E558" s="37">
        <f>'13. Desinvesteringen'!D560</f>
        <v>1970</v>
      </c>
      <c r="F558" s="42">
        <f>'13. Desinvesteringen'!E560</f>
        <v>60959</v>
      </c>
      <c r="G558" s="37">
        <f>'13. Desinvesteringen'!G560</f>
        <v>2024</v>
      </c>
    </row>
    <row r="559" spans="1:7" s="332" customFormat="1">
      <c r="A559" s="227"/>
      <c r="B559" s="37">
        <f>'13. Desinvesteringen'!B561</f>
        <v>542</v>
      </c>
      <c r="C559" s="3"/>
      <c r="D559" s="37" t="str">
        <f>'13. Desinvesteringen'!C561</f>
        <v>01 Regionale leidingen</v>
      </c>
      <c r="E559" s="37">
        <f>'13. Desinvesteringen'!D561</f>
        <v>1971</v>
      </c>
      <c r="F559" s="42">
        <f>'13. Desinvesteringen'!E561</f>
        <v>286240</v>
      </c>
      <c r="G559" s="37">
        <f>'13. Desinvesteringen'!G561</f>
        <v>2024</v>
      </c>
    </row>
    <row r="560" spans="1:7" s="332" customFormat="1">
      <c r="A560" s="227"/>
      <c r="B560" s="37">
        <f>'13. Desinvesteringen'!B562</f>
        <v>543</v>
      </c>
      <c r="C560" s="3"/>
      <c r="D560" s="37" t="str">
        <f>'13. Desinvesteringen'!C562</f>
        <v>01 Regionale leidingen</v>
      </c>
      <c r="E560" s="37">
        <f>'13. Desinvesteringen'!D562</f>
        <v>1972</v>
      </c>
      <c r="F560" s="42">
        <f>'13. Desinvesteringen'!E562</f>
        <v>71451</v>
      </c>
      <c r="G560" s="37">
        <f>'13. Desinvesteringen'!G562</f>
        <v>2024</v>
      </c>
    </row>
    <row r="561" spans="1:7" s="332" customFormat="1">
      <c r="A561" s="227"/>
      <c r="B561" s="37">
        <f>'13. Desinvesteringen'!B563</f>
        <v>544</v>
      </c>
      <c r="C561" s="3"/>
      <c r="D561" s="37" t="str">
        <f>'13. Desinvesteringen'!C563</f>
        <v>01 Regionale leidingen</v>
      </c>
      <c r="E561" s="37">
        <f>'13. Desinvesteringen'!D563</f>
        <v>1973</v>
      </c>
      <c r="F561" s="42">
        <f>'13. Desinvesteringen'!E563</f>
        <v>102767</v>
      </c>
      <c r="G561" s="37">
        <f>'13. Desinvesteringen'!G563</f>
        <v>2024</v>
      </c>
    </row>
    <row r="562" spans="1:7" s="332" customFormat="1">
      <c r="A562" s="227"/>
      <c r="B562" s="37">
        <f>'13. Desinvesteringen'!B564</f>
        <v>545</v>
      </c>
      <c r="C562" s="3"/>
      <c r="D562" s="37" t="str">
        <f>'13. Desinvesteringen'!C564</f>
        <v>01 Regionale leidingen</v>
      </c>
      <c r="E562" s="37">
        <f>'13. Desinvesteringen'!D564</f>
        <v>1974</v>
      </c>
      <c r="F562" s="42">
        <f>'13. Desinvesteringen'!E564</f>
        <v>39996</v>
      </c>
      <c r="G562" s="37">
        <f>'13. Desinvesteringen'!G564</f>
        <v>2024</v>
      </c>
    </row>
    <row r="563" spans="1:7" s="332" customFormat="1">
      <c r="A563" s="227"/>
      <c r="B563" s="37">
        <f>'13. Desinvesteringen'!B565</f>
        <v>546</v>
      </c>
      <c r="C563" s="3"/>
      <c r="D563" s="37" t="str">
        <f>'13. Desinvesteringen'!C565</f>
        <v>01 Regionale leidingen</v>
      </c>
      <c r="E563" s="37">
        <f>'13. Desinvesteringen'!D565</f>
        <v>1975</v>
      </c>
      <c r="F563" s="42">
        <f>'13. Desinvesteringen'!E565</f>
        <v>39996</v>
      </c>
      <c r="G563" s="37">
        <f>'13. Desinvesteringen'!G565</f>
        <v>2024</v>
      </c>
    </row>
    <row r="564" spans="1:7" s="332" customFormat="1">
      <c r="A564" s="227"/>
      <c r="B564" s="37">
        <f>'13. Desinvesteringen'!B566</f>
        <v>547</v>
      </c>
      <c r="C564" s="3"/>
      <c r="D564" s="37" t="str">
        <f>'13. Desinvesteringen'!C566</f>
        <v>01 Regionale leidingen</v>
      </c>
      <c r="E564" s="37">
        <f>'13. Desinvesteringen'!D566</f>
        <v>1976</v>
      </c>
      <c r="F564" s="42">
        <f>'13. Desinvesteringen'!E566</f>
        <v>230753</v>
      </c>
      <c r="G564" s="37">
        <f>'13. Desinvesteringen'!G566</f>
        <v>2024</v>
      </c>
    </row>
    <row r="565" spans="1:7" s="332" customFormat="1">
      <c r="A565" s="227"/>
      <c r="B565" s="37">
        <f>'13. Desinvesteringen'!B567</f>
        <v>548</v>
      </c>
      <c r="C565" s="3"/>
      <c r="D565" s="37" t="str">
        <f>'13. Desinvesteringen'!C567</f>
        <v>01 Regionale leidingen</v>
      </c>
      <c r="E565" s="37">
        <f>'13. Desinvesteringen'!D567</f>
        <v>1977</v>
      </c>
      <c r="F565" s="42">
        <f>'13. Desinvesteringen'!E567</f>
        <v>19732</v>
      </c>
      <c r="G565" s="37">
        <f>'13. Desinvesteringen'!G567</f>
        <v>2024</v>
      </c>
    </row>
    <row r="566" spans="1:7" s="332" customFormat="1">
      <c r="A566" s="227"/>
      <c r="B566" s="37">
        <f>'13. Desinvesteringen'!B568</f>
        <v>549</v>
      </c>
      <c r="C566" s="3"/>
      <c r="D566" s="37" t="str">
        <f>'13. Desinvesteringen'!C568</f>
        <v>01 Regionale leidingen</v>
      </c>
      <c r="E566" s="37">
        <f>'13. Desinvesteringen'!D568</f>
        <v>1979</v>
      </c>
      <c r="F566" s="42">
        <f>'13. Desinvesteringen'!E568</f>
        <v>1056</v>
      </c>
      <c r="G566" s="37">
        <f>'13. Desinvesteringen'!G568</f>
        <v>2024</v>
      </c>
    </row>
    <row r="567" spans="1:7" s="332" customFormat="1">
      <c r="A567" s="227"/>
      <c r="B567" s="37">
        <f>'13. Desinvesteringen'!B569</f>
        <v>550</v>
      </c>
      <c r="C567" s="3"/>
      <c r="D567" s="37" t="str">
        <f>'13. Desinvesteringen'!C569</f>
        <v>01 Regionale leidingen</v>
      </c>
      <c r="E567" s="37">
        <f>'13. Desinvesteringen'!D569</f>
        <v>1985</v>
      </c>
      <c r="F567" s="42">
        <f>'13. Desinvesteringen'!E569</f>
        <v>2726</v>
      </c>
      <c r="G567" s="37">
        <f>'13. Desinvesteringen'!G569</f>
        <v>2024</v>
      </c>
    </row>
    <row r="568" spans="1:7" s="332" customFormat="1">
      <c r="A568" s="227"/>
      <c r="B568" s="37">
        <f>'13. Desinvesteringen'!B570</f>
        <v>551</v>
      </c>
      <c r="C568" s="3"/>
      <c r="D568" s="37" t="str">
        <f>'13. Desinvesteringen'!C570</f>
        <v>01 Regionale leidingen</v>
      </c>
      <c r="E568" s="37">
        <f>'13. Desinvesteringen'!D570</f>
        <v>1988</v>
      </c>
      <c r="F568" s="42">
        <f>'13. Desinvesteringen'!E570</f>
        <v>14341</v>
      </c>
      <c r="G568" s="37">
        <f>'13. Desinvesteringen'!G570</f>
        <v>2024</v>
      </c>
    </row>
    <row r="569" spans="1:7" s="332" customFormat="1">
      <c r="A569" s="227"/>
      <c r="B569" s="37">
        <f>'13. Desinvesteringen'!B571</f>
        <v>552</v>
      </c>
      <c r="C569" s="3"/>
      <c r="D569" s="37" t="str">
        <f>'13. Desinvesteringen'!C571</f>
        <v>01 Regionale leidingen</v>
      </c>
      <c r="E569" s="37">
        <f>'13. Desinvesteringen'!D571</f>
        <v>1990</v>
      </c>
      <c r="F569" s="42">
        <f>'13. Desinvesteringen'!E571</f>
        <v>10387</v>
      </c>
      <c r="G569" s="37">
        <f>'13. Desinvesteringen'!G571</f>
        <v>2024</v>
      </c>
    </row>
    <row r="570" spans="1:7" s="332" customFormat="1">
      <c r="A570" s="227"/>
      <c r="B570" s="37">
        <f>'13. Desinvesteringen'!B572</f>
        <v>553</v>
      </c>
      <c r="C570" s="3"/>
      <c r="D570" s="37" t="str">
        <f>'13. Desinvesteringen'!C572</f>
        <v>01 Regionale leidingen</v>
      </c>
      <c r="E570" s="37">
        <f>'13. Desinvesteringen'!D572</f>
        <v>1992</v>
      </c>
      <c r="F570" s="42">
        <f>'13. Desinvesteringen'!E572</f>
        <v>127354</v>
      </c>
      <c r="G570" s="37">
        <f>'13. Desinvesteringen'!G572</f>
        <v>2024</v>
      </c>
    </row>
    <row r="571" spans="1:7" s="332" customFormat="1">
      <c r="A571" s="227"/>
      <c r="B571" s="37">
        <f>'13. Desinvesteringen'!B573</f>
        <v>554</v>
      </c>
      <c r="C571" s="3"/>
      <c r="D571" s="37" t="str">
        <f>'13. Desinvesteringen'!C573</f>
        <v>01 Regionale leidingen</v>
      </c>
      <c r="E571" s="37">
        <f>'13. Desinvesteringen'!D573</f>
        <v>1993</v>
      </c>
      <c r="F571" s="42">
        <f>'13. Desinvesteringen'!E573</f>
        <v>60000</v>
      </c>
      <c r="G571" s="37">
        <f>'13. Desinvesteringen'!G573</f>
        <v>2024</v>
      </c>
    </row>
    <row r="572" spans="1:7" s="332" customFormat="1">
      <c r="A572" s="227"/>
      <c r="B572" s="37">
        <f>'13. Desinvesteringen'!B574</f>
        <v>555</v>
      </c>
      <c r="C572" s="3"/>
      <c r="D572" s="37" t="str">
        <f>'13. Desinvesteringen'!C574</f>
        <v>01 Regionale leidingen</v>
      </c>
      <c r="E572" s="37">
        <f>'13. Desinvesteringen'!D574</f>
        <v>1998</v>
      </c>
      <c r="F572" s="42">
        <f>'13. Desinvesteringen'!E574</f>
        <v>7648</v>
      </c>
      <c r="G572" s="37">
        <f>'13. Desinvesteringen'!G574</f>
        <v>2024</v>
      </c>
    </row>
    <row r="573" spans="1:7" s="332" customFormat="1">
      <c r="A573" s="227"/>
      <c r="B573" s="37">
        <f>'13. Desinvesteringen'!B575</f>
        <v>556</v>
      </c>
      <c r="C573" s="3"/>
      <c r="D573" s="37" t="str">
        <f>'13. Desinvesteringen'!C575</f>
        <v>01 Regionale leidingen</v>
      </c>
      <c r="E573" s="37">
        <f>'13. Desinvesteringen'!D575</f>
        <v>2004</v>
      </c>
      <c r="F573" s="42">
        <f>'13. Desinvesteringen'!E575</f>
        <v>77652</v>
      </c>
      <c r="G573" s="37">
        <f>'13. Desinvesteringen'!G575</f>
        <v>2024</v>
      </c>
    </row>
    <row r="574" spans="1:7" s="332" customFormat="1">
      <c r="A574" s="227"/>
      <c r="B574" s="37">
        <f>'13. Desinvesteringen'!B576</f>
        <v>557</v>
      </c>
      <c r="C574" s="3"/>
      <c r="D574" s="37" t="str">
        <f>'13. Desinvesteringen'!C576</f>
        <v>01 Regionale leidingen</v>
      </c>
      <c r="E574" s="37">
        <f>'13. Desinvesteringen'!D576</f>
        <v>2006</v>
      </c>
      <c r="F574" s="42">
        <f>'13. Desinvesteringen'!E576</f>
        <v>5864</v>
      </c>
      <c r="G574" s="37">
        <f>'13. Desinvesteringen'!G576</f>
        <v>2024</v>
      </c>
    </row>
    <row r="575" spans="1:7" s="332" customFormat="1">
      <c r="A575" s="227"/>
      <c r="B575" s="37">
        <f>'13. Desinvesteringen'!B577</f>
        <v>558</v>
      </c>
      <c r="C575" s="3"/>
      <c r="D575" s="37" t="str">
        <f>'13. Desinvesteringen'!C577</f>
        <v>01 Regionale leidingen</v>
      </c>
      <c r="E575" s="37">
        <f>'13. Desinvesteringen'!D577</f>
        <v>2007</v>
      </c>
      <c r="F575" s="42">
        <f>'13. Desinvesteringen'!E577</f>
        <v>6736</v>
      </c>
      <c r="G575" s="37">
        <f>'13. Desinvesteringen'!G577</f>
        <v>2024</v>
      </c>
    </row>
    <row r="576" spans="1:7" s="332" customFormat="1">
      <c r="A576" s="227"/>
      <c r="B576" s="37">
        <f>'13. Desinvesteringen'!B578</f>
        <v>559</v>
      </c>
      <c r="C576" s="3"/>
      <c r="D576" s="37" t="str">
        <f>'13. Desinvesteringen'!C578</f>
        <v>01 Regionale leidingen</v>
      </c>
      <c r="E576" s="37">
        <f>'13. Desinvesteringen'!D578</f>
        <v>2009</v>
      </c>
      <c r="F576" s="42">
        <f>'13. Desinvesteringen'!E578</f>
        <v>396714</v>
      </c>
      <c r="G576" s="37">
        <f>'13. Desinvesteringen'!G578</f>
        <v>2024</v>
      </c>
    </row>
    <row r="577" spans="1:7" s="332" customFormat="1">
      <c r="A577" s="227"/>
      <c r="B577" s="37">
        <f>'13. Desinvesteringen'!B579</f>
        <v>560</v>
      </c>
      <c r="C577" s="3"/>
      <c r="D577" s="37" t="str">
        <f>'13. Desinvesteringen'!C579</f>
        <v>01 Regionale leidingen</v>
      </c>
      <c r="E577" s="37">
        <f>'13. Desinvesteringen'!D579</f>
        <v>2010</v>
      </c>
      <c r="F577" s="42">
        <f>'13. Desinvesteringen'!E579</f>
        <v>521890</v>
      </c>
      <c r="G577" s="37">
        <f>'13. Desinvesteringen'!G579</f>
        <v>2024</v>
      </c>
    </row>
    <row r="578" spans="1:7" s="332" customFormat="1">
      <c r="A578" s="227"/>
      <c r="B578" s="37">
        <f>'13. Desinvesteringen'!B580</f>
        <v>561</v>
      </c>
      <c r="C578" s="3"/>
      <c r="D578" s="37" t="str">
        <f>'13. Desinvesteringen'!C580</f>
        <v>01 Regionale leidingen</v>
      </c>
      <c r="E578" s="37">
        <f>'13. Desinvesteringen'!D580</f>
        <v>2011</v>
      </c>
      <c r="F578" s="42">
        <f>'13. Desinvesteringen'!E580</f>
        <v>3567</v>
      </c>
      <c r="G578" s="37">
        <f>'13. Desinvesteringen'!G580</f>
        <v>2024</v>
      </c>
    </row>
    <row r="579" spans="1:7" s="332" customFormat="1">
      <c r="A579" s="227"/>
      <c r="B579" s="37">
        <f>'13. Desinvesteringen'!B581</f>
        <v>562</v>
      </c>
      <c r="C579" s="3"/>
      <c r="D579" s="37" t="str">
        <f>'13. Desinvesteringen'!C581</f>
        <v>01 Regionale leidingen</v>
      </c>
      <c r="E579" s="37">
        <f>'13. Desinvesteringen'!D581</f>
        <v>2016</v>
      </c>
      <c r="F579" s="42">
        <f>'13. Desinvesteringen'!E581</f>
        <v>430924</v>
      </c>
      <c r="G579" s="37">
        <f>'13. Desinvesteringen'!G581</f>
        <v>2024</v>
      </c>
    </row>
    <row r="580" spans="1:7" s="332" customFormat="1">
      <c r="A580" s="227"/>
      <c r="B580" s="37">
        <f>'13. Desinvesteringen'!B582</f>
        <v>563</v>
      </c>
      <c r="C580" s="3"/>
      <c r="D580" s="37" t="str">
        <f>'13. Desinvesteringen'!C582</f>
        <v>02 Gasontvangststations</v>
      </c>
      <c r="E580" s="37">
        <f>'13. Desinvesteringen'!D582</f>
        <v>1967</v>
      </c>
      <c r="F580" s="42">
        <f>'13. Desinvesteringen'!E582</f>
        <v>70058</v>
      </c>
      <c r="G580" s="37">
        <f>'13. Desinvesteringen'!G582</f>
        <v>2024</v>
      </c>
    </row>
    <row r="581" spans="1:7" s="332" customFormat="1">
      <c r="A581" s="227"/>
      <c r="B581" s="37">
        <f>'13. Desinvesteringen'!B583</f>
        <v>564</v>
      </c>
      <c r="C581" s="3"/>
      <c r="D581" s="37" t="str">
        <f>'13. Desinvesteringen'!C583</f>
        <v>02 Gasontvangststations</v>
      </c>
      <c r="E581" s="37">
        <f>'13. Desinvesteringen'!D583</f>
        <v>1968</v>
      </c>
      <c r="F581" s="42">
        <f>'13. Desinvesteringen'!E583</f>
        <v>206807</v>
      </c>
      <c r="G581" s="37">
        <f>'13. Desinvesteringen'!G583</f>
        <v>2024</v>
      </c>
    </row>
    <row r="582" spans="1:7" s="332" customFormat="1">
      <c r="A582" s="227"/>
      <c r="B582" s="37">
        <f>'13. Desinvesteringen'!B584</f>
        <v>565</v>
      </c>
      <c r="C582" s="3"/>
      <c r="D582" s="37" t="str">
        <f>'13. Desinvesteringen'!C584</f>
        <v>02 Gasontvangststations</v>
      </c>
      <c r="E582" s="37">
        <f>'13. Desinvesteringen'!D584</f>
        <v>1969</v>
      </c>
      <c r="F582" s="42">
        <f>'13. Desinvesteringen'!E584</f>
        <v>39996</v>
      </c>
      <c r="G582" s="37">
        <f>'13. Desinvesteringen'!G584</f>
        <v>2024</v>
      </c>
    </row>
    <row r="583" spans="1:7" s="332" customFormat="1">
      <c r="A583" s="227"/>
      <c r="B583" s="37">
        <f>'13. Desinvesteringen'!B585</f>
        <v>566</v>
      </c>
      <c r="C583" s="3"/>
      <c r="D583" s="37" t="str">
        <f>'13. Desinvesteringen'!C585</f>
        <v>02 Gasontvangststations</v>
      </c>
      <c r="E583" s="37">
        <f>'13. Desinvesteringen'!D585</f>
        <v>1970</v>
      </c>
      <c r="F583" s="42">
        <f>'13. Desinvesteringen'!E585</f>
        <v>52402</v>
      </c>
      <c r="G583" s="37">
        <f>'13. Desinvesteringen'!G585</f>
        <v>2024</v>
      </c>
    </row>
    <row r="584" spans="1:7" s="332" customFormat="1">
      <c r="A584" s="227"/>
      <c r="B584" s="37">
        <f>'13. Desinvesteringen'!B586</f>
        <v>567</v>
      </c>
      <c r="C584" s="3"/>
      <c r="D584" s="37" t="str">
        <f>'13. Desinvesteringen'!C586</f>
        <v>02 Gasontvangststations</v>
      </c>
      <c r="E584" s="37">
        <f>'13. Desinvesteringen'!D586</f>
        <v>1971</v>
      </c>
      <c r="F584" s="42">
        <f>'13. Desinvesteringen'!E586</f>
        <v>153301</v>
      </c>
      <c r="G584" s="37">
        <f>'13. Desinvesteringen'!G586</f>
        <v>2024</v>
      </c>
    </row>
    <row r="585" spans="1:7" s="332" customFormat="1">
      <c r="A585" s="227"/>
      <c r="B585" s="37">
        <f>'13. Desinvesteringen'!B587</f>
        <v>568</v>
      </c>
      <c r="C585" s="3"/>
      <c r="D585" s="37" t="str">
        <f>'13. Desinvesteringen'!C587</f>
        <v>02 Gasontvangststations</v>
      </c>
      <c r="E585" s="37">
        <f>'13. Desinvesteringen'!D587</f>
        <v>1972</v>
      </c>
      <c r="F585" s="42">
        <f>'13. Desinvesteringen'!E587</f>
        <v>23945</v>
      </c>
      <c r="G585" s="37">
        <f>'13. Desinvesteringen'!G587</f>
        <v>2024</v>
      </c>
    </row>
    <row r="586" spans="1:7" s="332" customFormat="1">
      <c r="A586" s="227"/>
      <c r="B586" s="37">
        <f>'13. Desinvesteringen'!B588</f>
        <v>569</v>
      </c>
      <c r="C586" s="3"/>
      <c r="D586" s="37" t="str">
        <f>'13. Desinvesteringen'!C588</f>
        <v>02 Gasontvangststations</v>
      </c>
      <c r="E586" s="37">
        <f>'13. Desinvesteringen'!D588</f>
        <v>1975</v>
      </c>
      <c r="F586" s="42">
        <f>'13. Desinvesteringen'!E588</f>
        <v>31096</v>
      </c>
      <c r="G586" s="37">
        <f>'13. Desinvesteringen'!G588</f>
        <v>2024</v>
      </c>
    </row>
    <row r="587" spans="1:7" s="332" customFormat="1">
      <c r="A587" s="227"/>
      <c r="B587" s="37">
        <f>'13. Desinvesteringen'!B589</f>
        <v>570</v>
      </c>
      <c r="C587" s="3"/>
      <c r="D587" s="37" t="str">
        <f>'13. Desinvesteringen'!C589</f>
        <v>02 Gasontvangststations</v>
      </c>
      <c r="E587" s="37">
        <f>'13. Desinvesteringen'!D589</f>
        <v>1976</v>
      </c>
      <c r="F587" s="42">
        <f>'13. Desinvesteringen'!E589</f>
        <v>12426</v>
      </c>
      <c r="G587" s="37">
        <f>'13. Desinvesteringen'!G589</f>
        <v>2024</v>
      </c>
    </row>
    <row r="588" spans="1:7" s="332" customFormat="1">
      <c r="A588" s="227"/>
      <c r="B588" s="37">
        <f>'13. Desinvesteringen'!B590</f>
        <v>571</v>
      </c>
      <c r="C588" s="3"/>
      <c r="D588" s="37" t="str">
        <f>'13. Desinvesteringen'!C590</f>
        <v>02 Gasontvangststations</v>
      </c>
      <c r="E588" s="37">
        <f>'13. Desinvesteringen'!D590</f>
        <v>1981</v>
      </c>
      <c r="F588" s="42">
        <f>'13. Desinvesteringen'!E590</f>
        <v>34690</v>
      </c>
      <c r="G588" s="37">
        <f>'13. Desinvesteringen'!G590</f>
        <v>2024</v>
      </c>
    </row>
    <row r="589" spans="1:7" s="332" customFormat="1">
      <c r="A589" s="227"/>
      <c r="B589" s="37">
        <f>'13. Desinvesteringen'!B591</f>
        <v>572</v>
      </c>
      <c r="C589" s="3"/>
      <c r="D589" s="37" t="str">
        <f>'13. Desinvesteringen'!C591</f>
        <v>02 Gasontvangststations</v>
      </c>
      <c r="E589" s="37">
        <f>'13. Desinvesteringen'!D591</f>
        <v>1986</v>
      </c>
      <c r="F589" s="42">
        <f>'13. Desinvesteringen'!E591</f>
        <v>78186</v>
      </c>
      <c r="G589" s="37">
        <f>'13. Desinvesteringen'!G591</f>
        <v>2024</v>
      </c>
    </row>
    <row r="590" spans="1:7" s="332" customFormat="1">
      <c r="A590" s="227"/>
      <c r="B590" s="37">
        <f>'13. Desinvesteringen'!B592</f>
        <v>573</v>
      </c>
      <c r="C590" s="3"/>
      <c r="D590" s="37" t="str">
        <f>'13. Desinvesteringen'!C592</f>
        <v>02 Gasontvangststations</v>
      </c>
      <c r="E590" s="37">
        <f>'13. Desinvesteringen'!D592</f>
        <v>1997</v>
      </c>
      <c r="F590" s="42">
        <f>'13. Desinvesteringen'!E592</f>
        <v>184270</v>
      </c>
      <c r="G590" s="37">
        <f>'13. Desinvesteringen'!G592</f>
        <v>2024</v>
      </c>
    </row>
    <row r="591" spans="1:7" s="332" customFormat="1">
      <c r="A591" s="227"/>
      <c r="B591" s="37">
        <f>'13. Desinvesteringen'!B593</f>
        <v>574</v>
      </c>
      <c r="C591" s="3"/>
      <c r="D591" s="37" t="str">
        <f>'13. Desinvesteringen'!C593</f>
        <v>02 Gasontvangststations</v>
      </c>
      <c r="E591" s="37">
        <f>'13. Desinvesteringen'!D593</f>
        <v>1998</v>
      </c>
      <c r="F591" s="42">
        <f>'13. Desinvesteringen'!E593</f>
        <v>20568</v>
      </c>
      <c r="G591" s="37">
        <f>'13. Desinvesteringen'!G593</f>
        <v>2024</v>
      </c>
    </row>
    <row r="592" spans="1:7" s="332" customFormat="1">
      <c r="A592" s="227"/>
      <c r="B592" s="37">
        <f>'13. Desinvesteringen'!B594</f>
        <v>575</v>
      </c>
      <c r="C592" s="3"/>
      <c r="D592" s="37" t="str">
        <f>'13. Desinvesteringen'!C594</f>
        <v>02 Gasontvangststations</v>
      </c>
      <c r="E592" s="37">
        <f>'13. Desinvesteringen'!D594</f>
        <v>2000</v>
      </c>
      <c r="F592" s="42">
        <f>'13. Desinvesteringen'!E594</f>
        <v>11269</v>
      </c>
      <c r="G592" s="37">
        <f>'13. Desinvesteringen'!G594</f>
        <v>2024</v>
      </c>
    </row>
    <row r="593" spans="1:7" s="332" customFormat="1">
      <c r="A593" s="227"/>
      <c r="B593" s="37">
        <f>'13. Desinvesteringen'!B595</f>
        <v>576</v>
      </c>
      <c r="C593" s="3"/>
      <c r="D593" s="37" t="str">
        <f>'13. Desinvesteringen'!C595</f>
        <v>02 Gasontvangststations</v>
      </c>
      <c r="E593" s="37">
        <f>'13. Desinvesteringen'!D595</f>
        <v>2001</v>
      </c>
      <c r="F593" s="42">
        <f>'13. Desinvesteringen'!E595</f>
        <v>144463</v>
      </c>
      <c r="G593" s="37">
        <f>'13. Desinvesteringen'!G595</f>
        <v>2024</v>
      </c>
    </row>
    <row r="594" spans="1:7" s="332" customFormat="1">
      <c r="A594" s="227"/>
      <c r="B594" s="37">
        <f>'13. Desinvesteringen'!B596</f>
        <v>577</v>
      </c>
      <c r="C594" s="3"/>
      <c r="D594" s="37" t="str">
        <f>'13. Desinvesteringen'!C596</f>
        <v>02 Gasontvangststations</v>
      </c>
      <c r="E594" s="37">
        <f>'13. Desinvesteringen'!D596</f>
        <v>2007</v>
      </c>
      <c r="F594" s="42">
        <f>'13. Desinvesteringen'!E596</f>
        <v>38479</v>
      </c>
      <c r="G594" s="37">
        <f>'13. Desinvesteringen'!G596</f>
        <v>2024</v>
      </c>
    </row>
    <row r="595" spans="1:7" s="332" customFormat="1">
      <c r="A595" s="227"/>
      <c r="B595" s="37">
        <f>'13. Desinvesteringen'!B597</f>
        <v>578</v>
      </c>
      <c r="C595" s="3"/>
      <c r="D595" s="37" t="str">
        <f>'13. Desinvesteringen'!C597</f>
        <v>02 Gasontvangststations</v>
      </c>
      <c r="E595" s="37">
        <f>'13. Desinvesteringen'!D597</f>
        <v>2010</v>
      </c>
      <c r="F595" s="42">
        <f>'13. Desinvesteringen'!E597</f>
        <v>29130</v>
      </c>
      <c r="G595" s="37">
        <f>'13. Desinvesteringen'!G597</f>
        <v>2024</v>
      </c>
    </row>
    <row r="596" spans="1:7" s="332" customFormat="1">
      <c r="A596" s="227"/>
      <c r="B596" s="37">
        <f>'13. Desinvesteringen'!B598</f>
        <v>579</v>
      </c>
      <c r="C596" s="3"/>
      <c r="D596" s="37" t="str">
        <f>'13. Desinvesteringen'!C598</f>
        <v>02 Gasontvangststations</v>
      </c>
      <c r="E596" s="37">
        <f>'13. Desinvesteringen'!D598</f>
        <v>2011</v>
      </c>
      <c r="F596" s="42">
        <f>'13. Desinvesteringen'!E598</f>
        <v>108631</v>
      </c>
      <c r="G596" s="37">
        <f>'13. Desinvesteringen'!G598</f>
        <v>2024</v>
      </c>
    </row>
    <row r="597" spans="1:7" s="332" customFormat="1">
      <c r="A597" s="227"/>
      <c r="B597" s="37">
        <f>'13. Desinvesteringen'!B599</f>
        <v>580</v>
      </c>
      <c r="C597" s="3"/>
      <c r="D597" s="37" t="str">
        <f>'13. Desinvesteringen'!C599</f>
        <v>02 Gasontvangststations</v>
      </c>
      <c r="E597" s="37">
        <f>'13. Desinvesteringen'!D599</f>
        <v>2017</v>
      </c>
      <c r="F597" s="42">
        <f>'13. Desinvesteringen'!E599</f>
        <v>46060</v>
      </c>
      <c r="G597" s="37">
        <f>'13. Desinvesteringen'!G599</f>
        <v>2024</v>
      </c>
    </row>
    <row r="598" spans="1:7" s="332" customFormat="1">
      <c r="A598" s="227"/>
      <c r="B598" s="37">
        <f>'13. Desinvesteringen'!B600</f>
        <v>581</v>
      </c>
      <c r="C598" s="3"/>
      <c r="D598" s="37" t="str">
        <f>'13. Desinvesteringen'!C600</f>
        <v>02 Gasontvangststations</v>
      </c>
      <c r="E598" s="37">
        <f>'13. Desinvesteringen'!D600</f>
        <v>2020</v>
      </c>
      <c r="F598" s="42">
        <f>'13. Desinvesteringen'!E600</f>
        <v>17034</v>
      </c>
      <c r="G598" s="37">
        <f>'13. Desinvesteringen'!G600</f>
        <v>2024</v>
      </c>
    </row>
    <row r="599" spans="1:7" s="332" customFormat="1">
      <c r="A599" s="227"/>
      <c r="B599" s="37">
        <f>'13. Desinvesteringen'!B601</f>
        <v>582</v>
      </c>
      <c r="C599" s="3"/>
      <c r="D599" s="37" t="str">
        <f>'13. Desinvesteringen'!C601</f>
        <v>03 Verremeting</v>
      </c>
      <c r="E599" s="37">
        <f>'13. Desinvesteringen'!D601</f>
        <v>1998</v>
      </c>
      <c r="F599" s="42">
        <f>'13. Desinvesteringen'!E601</f>
        <v>62195</v>
      </c>
      <c r="G599" s="37">
        <f>'13. Desinvesteringen'!G601</f>
        <v>2024</v>
      </c>
    </row>
    <row r="600" spans="1:7" s="332" customFormat="1">
      <c r="A600" s="227"/>
      <c r="B600" s="37">
        <f>'13. Desinvesteringen'!B602</f>
        <v>583</v>
      </c>
      <c r="C600" s="3"/>
      <c r="D600" s="37" t="str">
        <f>'13. Desinvesteringen'!C602</f>
        <v>06 Utiliteitsgebouwen</v>
      </c>
      <c r="E600" s="37">
        <f>'13. Desinvesteringen'!D602</f>
        <v>1996</v>
      </c>
      <c r="F600" s="42">
        <f>'13. Desinvesteringen'!E602</f>
        <v>646376</v>
      </c>
      <c r="G600" s="37">
        <f>'13. Desinvesteringen'!G602</f>
        <v>2024</v>
      </c>
    </row>
    <row r="601" spans="1:7" s="332" customFormat="1">
      <c r="A601" s="227"/>
      <c r="B601" s="37">
        <f>'13. Desinvesteringen'!B603</f>
        <v>584</v>
      </c>
      <c r="C601" s="3"/>
      <c r="D601" s="37" t="str">
        <f>'13. Desinvesteringen'!C603</f>
        <v>06 Utiliteitsgebouwen</v>
      </c>
      <c r="E601" s="37">
        <f>'13. Desinvesteringen'!D603</f>
        <v>1998</v>
      </c>
      <c r="F601" s="42">
        <f>'13. Desinvesteringen'!E603</f>
        <v>1710727</v>
      </c>
      <c r="G601" s="37">
        <f>'13. Desinvesteringen'!G603</f>
        <v>2024</v>
      </c>
    </row>
    <row r="602" spans="1:7" s="332" customFormat="1">
      <c r="A602" s="227"/>
      <c r="B602" s="37">
        <f>'13. Desinvesteringen'!B604</f>
        <v>585</v>
      </c>
      <c r="C602" s="3"/>
      <c r="D602" s="37" t="str">
        <f>'13. Desinvesteringen'!C604</f>
        <v>06 Utiliteitsgebouwen</v>
      </c>
      <c r="E602" s="37">
        <f>'13. Desinvesteringen'!D604</f>
        <v>2005</v>
      </c>
      <c r="F602" s="42">
        <f>'13. Desinvesteringen'!E604</f>
        <v>29127</v>
      </c>
      <c r="G602" s="37">
        <f>'13. Desinvesteringen'!G604</f>
        <v>2024</v>
      </c>
    </row>
    <row r="603" spans="1:7" s="332" customFormat="1">
      <c r="A603" s="227"/>
      <c r="B603" s="37">
        <f>'13. Desinvesteringen'!B605</f>
        <v>586</v>
      </c>
      <c r="C603" s="3"/>
      <c r="D603" s="37" t="str">
        <f>'13. Desinvesteringen'!C605</f>
        <v>06 Utiliteitsgebouwen</v>
      </c>
      <c r="E603" s="37">
        <f>'13. Desinvesteringen'!D605</f>
        <v>2007</v>
      </c>
      <c r="F603" s="42">
        <f>'13. Desinvesteringen'!E605</f>
        <v>249780</v>
      </c>
      <c r="G603" s="37">
        <f>'13. Desinvesteringen'!G605</f>
        <v>2024</v>
      </c>
    </row>
    <row r="604" spans="1:7" s="332" customFormat="1">
      <c r="A604" s="227"/>
      <c r="B604" s="37">
        <f>'13. Desinvesteringen'!B606</f>
        <v>587</v>
      </c>
      <c r="C604" s="3"/>
      <c r="D604" s="37" t="str">
        <f>'13. Desinvesteringen'!C606</f>
        <v>06 Utiliteitsgebouwen</v>
      </c>
      <c r="E604" s="37">
        <f>'13. Desinvesteringen'!D606</f>
        <v>2008</v>
      </c>
      <c r="F604" s="42">
        <f>'13. Desinvesteringen'!E606</f>
        <v>157410</v>
      </c>
      <c r="G604" s="37">
        <f>'13. Desinvesteringen'!G606</f>
        <v>2024</v>
      </c>
    </row>
    <row r="605" spans="1:7" s="332" customFormat="1">
      <c r="A605" s="227"/>
      <c r="B605" s="37">
        <f>'13. Desinvesteringen'!B607</f>
        <v>588</v>
      </c>
      <c r="C605" s="3"/>
      <c r="D605" s="37" t="str">
        <f>'13. Desinvesteringen'!C607</f>
        <v>06 Utiliteitsgebouwen</v>
      </c>
      <c r="E605" s="37">
        <f>'13. Desinvesteringen'!D607</f>
        <v>2009</v>
      </c>
      <c r="F605" s="42">
        <f>'13. Desinvesteringen'!E607</f>
        <v>96928</v>
      </c>
      <c r="G605" s="37">
        <f>'13. Desinvesteringen'!G607</f>
        <v>2024</v>
      </c>
    </row>
    <row r="606" spans="1:7" s="332" customFormat="1">
      <c r="A606" s="227"/>
      <c r="B606" s="37">
        <f>'13. Desinvesteringen'!B608</f>
        <v>589</v>
      </c>
      <c r="C606" s="3"/>
      <c r="D606" s="37" t="str">
        <f>'13. Desinvesteringen'!C608</f>
        <v>06 Utiliteitsgebouwen</v>
      </c>
      <c r="E606" s="37">
        <f>'13. Desinvesteringen'!D608</f>
        <v>2010</v>
      </c>
      <c r="F606" s="42">
        <f>'13. Desinvesteringen'!E608</f>
        <v>706017</v>
      </c>
      <c r="G606" s="37">
        <f>'13. Desinvesteringen'!G608</f>
        <v>2024</v>
      </c>
    </row>
    <row r="607" spans="1:7" s="332" customFormat="1">
      <c r="A607" s="227"/>
      <c r="B607" s="37">
        <f>'13. Desinvesteringen'!B609</f>
        <v>590</v>
      </c>
      <c r="C607" s="3"/>
      <c r="D607" s="37" t="str">
        <f>'13. Desinvesteringen'!C609</f>
        <v>08 Inrichting gebouwen</v>
      </c>
      <c r="E607" s="37">
        <f>'13. Desinvesteringen'!D609</f>
        <v>1998</v>
      </c>
      <c r="F607" s="42">
        <f>'13. Desinvesteringen'!E609</f>
        <v>85531</v>
      </c>
      <c r="G607" s="37">
        <f>'13. Desinvesteringen'!G609</f>
        <v>2024</v>
      </c>
    </row>
    <row r="608" spans="1:7" s="332" customFormat="1">
      <c r="A608" s="227"/>
      <c r="B608" s="37">
        <f>'13. Desinvesteringen'!B610</f>
        <v>591</v>
      </c>
      <c r="C608" s="3"/>
      <c r="D608" s="37" t="str">
        <f>'13. Desinvesteringen'!C610</f>
        <v>08 Inrichting gebouwen</v>
      </c>
      <c r="E608" s="37">
        <f>'13. Desinvesteringen'!D610</f>
        <v>2001</v>
      </c>
      <c r="F608" s="42">
        <f>'13. Desinvesteringen'!E610</f>
        <v>21994</v>
      </c>
      <c r="G608" s="37">
        <f>'13. Desinvesteringen'!G610</f>
        <v>2024</v>
      </c>
    </row>
    <row r="609" spans="1:7" s="332" customFormat="1">
      <c r="A609" s="227"/>
      <c r="B609" s="37">
        <f>'13. Desinvesteringen'!B611</f>
        <v>592</v>
      </c>
      <c r="C609" s="3"/>
      <c r="D609" s="37" t="str">
        <f>'13. Desinvesteringen'!C611</f>
        <v>08 Inrichting gebouwen</v>
      </c>
      <c r="E609" s="37">
        <f>'13. Desinvesteringen'!D611</f>
        <v>2003</v>
      </c>
      <c r="F609" s="42">
        <f>'13. Desinvesteringen'!E611</f>
        <v>11100</v>
      </c>
      <c r="G609" s="37">
        <f>'13. Desinvesteringen'!G611</f>
        <v>2024</v>
      </c>
    </row>
    <row r="610" spans="1:7" s="332" customFormat="1">
      <c r="A610" s="227"/>
      <c r="B610" s="37">
        <f>'13. Desinvesteringen'!B612</f>
        <v>593</v>
      </c>
      <c r="C610" s="3"/>
      <c r="D610" s="37" t="str">
        <f>'13. Desinvesteringen'!C612</f>
        <v>15 Compressorstations (TT-BT-AT)</v>
      </c>
      <c r="E610" s="37">
        <f>'13. Desinvesteringen'!D612</f>
        <v>1970</v>
      </c>
      <c r="F610" s="42">
        <f>'13. Desinvesteringen'!E612</f>
        <v>902449</v>
      </c>
      <c r="G610" s="37">
        <f>'13. Desinvesteringen'!G612</f>
        <v>2024</v>
      </c>
    </row>
    <row r="611" spans="1:7" s="332" customFormat="1">
      <c r="A611" s="227"/>
      <c r="B611" s="37">
        <f>'13. Desinvesteringen'!B613</f>
        <v>594</v>
      </c>
      <c r="C611" s="3"/>
      <c r="D611" s="37" t="str">
        <f>'13. Desinvesteringen'!C613</f>
        <v>15 Compressorstations (TT-BT-AT)</v>
      </c>
      <c r="E611" s="37">
        <f>'13. Desinvesteringen'!D613</f>
        <v>1971</v>
      </c>
      <c r="F611" s="42">
        <f>'13. Desinvesteringen'!E613</f>
        <v>11276235</v>
      </c>
      <c r="G611" s="37">
        <f>'13. Desinvesteringen'!G613</f>
        <v>2024</v>
      </c>
    </row>
    <row r="612" spans="1:7" s="332" customFormat="1">
      <c r="A612" s="227"/>
      <c r="B612" s="37">
        <f>'13. Desinvesteringen'!B614</f>
        <v>595</v>
      </c>
      <c r="C612" s="3"/>
      <c r="D612" s="37" t="str">
        <f>'13. Desinvesteringen'!C614</f>
        <v>15 Compressorstations (TT-BT-AT)</v>
      </c>
      <c r="E612" s="37">
        <f>'13. Desinvesteringen'!D614</f>
        <v>1972</v>
      </c>
      <c r="F612" s="42">
        <f>'13. Desinvesteringen'!E614</f>
        <v>3312496</v>
      </c>
      <c r="G612" s="37">
        <f>'13. Desinvesteringen'!G614</f>
        <v>2024</v>
      </c>
    </row>
    <row r="613" spans="1:7" s="332" customFormat="1">
      <c r="A613" s="227"/>
      <c r="B613" s="37">
        <f>'13. Desinvesteringen'!B615</f>
        <v>596</v>
      </c>
      <c r="C613" s="3"/>
      <c r="D613" s="37" t="str">
        <f>'13. Desinvesteringen'!C615</f>
        <v>15 Compressorstations (TT-BT-AT)</v>
      </c>
      <c r="E613" s="37">
        <f>'13. Desinvesteringen'!D615</f>
        <v>1973</v>
      </c>
      <c r="F613" s="42">
        <f>'13. Desinvesteringen'!E615</f>
        <v>43935</v>
      </c>
      <c r="G613" s="37">
        <f>'13. Desinvesteringen'!G615</f>
        <v>2024</v>
      </c>
    </row>
    <row r="614" spans="1:7" s="332" customFormat="1">
      <c r="A614" s="227"/>
      <c r="B614" s="37">
        <f>'13. Desinvesteringen'!B616</f>
        <v>597</v>
      </c>
      <c r="C614" s="3"/>
      <c r="D614" s="37" t="str">
        <f>'13. Desinvesteringen'!C616</f>
        <v>15 Compressorstations (TT-BT-AT)</v>
      </c>
      <c r="E614" s="37">
        <f>'13. Desinvesteringen'!D616</f>
        <v>1977</v>
      </c>
      <c r="F614" s="42">
        <f>'13. Desinvesteringen'!E616</f>
        <v>42959</v>
      </c>
      <c r="G614" s="37">
        <f>'13. Desinvesteringen'!G616</f>
        <v>2024</v>
      </c>
    </row>
    <row r="615" spans="1:7" s="332" customFormat="1">
      <c r="A615" s="227"/>
      <c r="B615" s="37">
        <f>'13. Desinvesteringen'!B617</f>
        <v>598</v>
      </c>
      <c r="C615" s="3"/>
      <c r="D615" s="37" t="str">
        <f>'13. Desinvesteringen'!C617</f>
        <v>15 Compressorstations (TT-BT-AT)</v>
      </c>
      <c r="E615" s="37">
        <f>'13. Desinvesteringen'!D617</f>
        <v>1978</v>
      </c>
      <c r="F615" s="42">
        <f>'13. Desinvesteringen'!E617</f>
        <v>4451317</v>
      </c>
      <c r="G615" s="37">
        <f>'13. Desinvesteringen'!G617</f>
        <v>2024</v>
      </c>
    </row>
    <row r="616" spans="1:7" s="332" customFormat="1">
      <c r="A616" s="227"/>
      <c r="B616" s="37">
        <f>'13. Desinvesteringen'!B618</f>
        <v>599</v>
      </c>
      <c r="C616" s="3"/>
      <c r="D616" s="37" t="str">
        <f>'13. Desinvesteringen'!C618</f>
        <v>15 Compressorstations (TT-BT-AT)</v>
      </c>
      <c r="E616" s="37">
        <f>'13. Desinvesteringen'!D618</f>
        <v>1980</v>
      </c>
      <c r="F616" s="42">
        <f>'13. Desinvesteringen'!E618</f>
        <v>140317</v>
      </c>
      <c r="G616" s="37">
        <f>'13. Desinvesteringen'!G618</f>
        <v>2024</v>
      </c>
    </row>
    <row r="617" spans="1:7" s="332" customFormat="1">
      <c r="A617" s="227"/>
      <c r="B617" s="37">
        <f>'13. Desinvesteringen'!B619</f>
        <v>600</v>
      </c>
      <c r="C617" s="3"/>
      <c r="D617" s="37" t="str">
        <f>'13. Desinvesteringen'!C619</f>
        <v>15 Compressorstations (TT-BT-AT)</v>
      </c>
      <c r="E617" s="37">
        <f>'13. Desinvesteringen'!D619</f>
        <v>1982</v>
      </c>
      <c r="F617" s="42">
        <f>'13. Desinvesteringen'!E619</f>
        <v>42588</v>
      </c>
      <c r="G617" s="37">
        <f>'13. Desinvesteringen'!G619</f>
        <v>2024</v>
      </c>
    </row>
    <row r="618" spans="1:7" s="332" customFormat="1">
      <c r="A618" s="227"/>
      <c r="B618" s="37">
        <f>'13. Desinvesteringen'!B620</f>
        <v>601</v>
      </c>
      <c r="C618" s="3"/>
      <c r="D618" s="37" t="str">
        <f>'13. Desinvesteringen'!C620</f>
        <v>15 Compressorstations (TT-BT-AT)</v>
      </c>
      <c r="E618" s="37">
        <f>'13. Desinvesteringen'!D620</f>
        <v>1984</v>
      </c>
      <c r="F618" s="42">
        <f>'13. Desinvesteringen'!E620</f>
        <v>25464</v>
      </c>
      <c r="G618" s="37">
        <f>'13. Desinvesteringen'!G620</f>
        <v>2024</v>
      </c>
    </row>
    <row r="619" spans="1:7" s="332" customFormat="1">
      <c r="A619" s="227"/>
      <c r="B619" s="37">
        <f>'13. Desinvesteringen'!B621</f>
        <v>602</v>
      </c>
      <c r="C619" s="3"/>
      <c r="D619" s="37" t="str">
        <f>'13. Desinvesteringen'!C621</f>
        <v>15 Compressorstations (TT-BT-AT)</v>
      </c>
      <c r="E619" s="37">
        <f>'13. Desinvesteringen'!D621</f>
        <v>1990</v>
      </c>
      <c r="F619" s="42">
        <f>'13. Desinvesteringen'!E621</f>
        <v>64981</v>
      </c>
      <c r="G619" s="37">
        <f>'13. Desinvesteringen'!G621</f>
        <v>2024</v>
      </c>
    </row>
    <row r="620" spans="1:7" s="332" customFormat="1">
      <c r="A620" s="227"/>
      <c r="B620" s="37">
        <f>'13. Desinvesteringen'!B622</f>
        <v>603</v>
      </c>
      <c r="C620" s="3"/>
      <c r="D620" s="37" t="str">
        <f>'13. Desinvesteringen'!C622</f>
        <v>15 Compressorstations (TT-BT-AT)</v>
      </c>
      <c r="E620" s="37">
        <f>'13. Desinvesteringen'!D622</f>
        <v>1996</v>
      </c>
      <c r="F620" s="42">
        <f>'13. Desinvesteringen'!E622</f>
        <v>24270</v>
      </c>
      <c r="G620" s="37">
        <f>'13. Desinvesteringen'!G622</f>
        <v>2024</v>
      </c>
    </row>
    <row r="621" spans="1:7" s="332" customFormat="1">
      <c r="A621" s="227"/>
      <c r="B621" s="37">
        <f>'13. Desinvesteringen'!B623</f>
        <v>604</v>
      </c>
      <c r="C621" s="3"/>
      <c r="D621" s="37" t="str">
        <f>'13. Desinvesteringen'!C623</f>
        <v>15 Compressorstations (TT-BT-AT)</v>
      </c>
      <c r="E621" s="37">
        <f>'13. Desinvesteringen'!D623</f>
        <v>1997</v>
      </c>
      <c r="F621" s="42">
        <f>'13. Desinvesteringen'!E623</f>
        <v>31301050</v>
      </c>
      <c r="G621" s="37">
        <f>'13. Desinvesteringen'!G623</f>
        <v>2024</v>
      </c>
    </row>
    <row r="622" spans="1:7" s="332" customFormat="1">
      <c r="A622" s="227"/>
      <c r="B622" s="37">
        <f>'13. Desinvesteringen'!B624</f>
        <v>605</v>
      </c>
      <c r="C622" s="3"/>
      <c r="D622" s="37" t="str">
        <f>'13. Desinvesteringen'!C624</f>
        <v>15 Compressorstations (TT-BT-AT)</v>
      </c>
      <c r="E622" s="37">
        <f>'13. Desinvesteringen'!D624</f>
        <v>1998</v>
      </c>
      <c r="F622" s="42">
        <f>'13. Desinvesteringen'!E624</f>
        <v>261490</v>
      </c>
      <c r="G622" s="37">
        <f>'13. Desinvesteringen'!G624</f>
        <v>2024</v>
      </c>
    </row>
    <row r="623" spans="1:7" s="332" customFormat="1">
      <c r="A623" s="227"/>
      <c r="B623" s="37">
        <f>'13. Desinvesteringen'!B625</f>
        <v>606</v>
      </c>
      <c r="C623" s="3"/>
      <c r="D623" s="37" t="str">
        <f>'13. Desinvesteringen'!C625</f>
        <v>15 Compressorstations (TT-BT-AT)</v>
      </c>
      <c r="E623" s="37">
        <f>'13. Desinvesteringen'!D625</f>
        <v>2001</v>
      </c>
      <c r="F623" s="42">
        <f>'13. Desinvesteringen'!E625</f>
        <v>44919</v>
      </c>
      <c r="G623" s="37">
        <f>'13. Desinvesteringen'!G625</f>
        <v>2024</v>
      </c>
    </row>
    <row r="624" spans="1:7" s="332" customFormat="1">
      <c r="A624" s="227"/>
      <c r="B624" s="37">
        <f>'13. Desinvesteringen'!B626</f>
        <v>607</v>
      </c>
      <c r="C624" s="3"/>
      <c r="D624" s="37" t="str">
        <f>'13. Desinvesteringen'!C626</f>
        <v>15 Compressorstations (TT-BT-AT)</v>
      </c>
      <c r="E624" s="37">
        <f>'13. Desinvesteringen'!D626</f>
        <v>2002</v>
      </c>
      <c r="F624" s="42">
        <f>'13. Desinvesteringen'!E626</f>
        <v>474428</v>
      </c>
      <c r="G624" s="37">
        <f>'13. Desinvesteringen'!G626</f>
        <v>2024</v>
      </c>
    </row>
    <row r="625" spans="1:7" s="332" customFormat="1">
      <c r="A625" s="227"/>
      <c r="B625" s="37">
        <f>'13. Desinvesteringen'!B627</f>
        <v>608</v>
      </c>
      <c r="C625" s="3"/>
      <c r="D625" s="37" t="str">
        <f>'13. Desinvesteringen'!C627</f>
        <v>15 Compressorstations (TT-BT-AT)</v>
      </c>
      <c r="E625" s="37">
        <f>'13. Desinvesteringen'!D627</f>
        <v>2003</v>
      </c>
      <c r="F625" s="42">
        <f>'13. Desinvesteringen'!E627</f>
        <v>562107</v>
      </c>
      <c r="G625" s="37">
        <f>'13. Desinvesteringen'!G627</f>
        <v>2024</v>
      </c>
    </row>
    <row r="626" spans="1:7" s="332" customFormat="1">
      <c r="A626" s="227"/>
      <c r="B626" s="37">
        <f>'13. Desinvesteringen'!B628</f>
        <v>609</v>
      </c>
      <c r="C626" s="3"/>
      <c r="D626" s="37" t="str">
        <f>'13. Desinvesteringen'!C628</f>
        <v>15 Compressorstations (TT-BT-AT)</v>
      </c>
      <c r="E626" s="37">
        <f>'13. Desinvesteringen'!D628</f>
        <v>2004</v>
      </c>
      <c r="F626" s="42">
        <f>'13. Desinvesteringen'!E628</f>
        <v>356008</v>
      </c>
      <c r="G626" s="37">
        <f>'13. Desinvesteringen'!G628</f>
        <v>2024</v>
      </c>
    </row>
    <row r="627" spans="1:7" s="332" customFormat="1">
      <c r="A627" s="3"/>
      <c r="B627" s="37">
        <f>'13. Desinvesteringen'!B629</f>
        <v>610</v>
      </c>
      <c r="C627" s="3"/>
      <c r="D627" s="37" t="str">
        <f>'13. Desinvesteringen'!C629</f>
        <v>15 Compressorstations (TT-BT-AT)</v>
      </c>
      <c r="E627" s="37">
        <f>'13. Desinvesteringen'!D629</f>
        <v>2005</v>
      </c>
      <c r="F627" s="42">
        <f>'13. Desinvesteringen'!E629</f>
        <v>1378695</v>
      </c>
      <c r="G627" s="37">
        <f>'13. Desinvesteringen'!G629</f>
        <v>2024</v>
      </c>
    </row>
    <row r="628" spans="1:7" s="332" customFormat="1">
      <c r="A628" s="3"/>
      <c r="B628" s="37">
        <f>'13. Desinvesteringen'!B630</f>
        <v>611</v>
      </c>
      <c r="C628" s="3"/>
      <c r="D628" s="37" t="str">
        <f>'13. Desinvesteringen'!C630</f>
        <v>15 Compressorstations (TT-BT-AT)</v>
      </c>
      <c r="E628" s="37">
        <f>'13. Desinvesteringen'!D630</f>
        <v>2006</v>
      </c>
      <c r="F628" s="42">
        <f>'13. Desinvesteringen'!E630</f>
        <v>1090118</v>
      </c>
      <c r="G628" s="37">
        <f>'13. Desinvesteringen'!G630</f>
        <v>2024</v>
      </c>
    </row>
    <row r="629" spans="1:7" s="332" customFormat="1">
      <c r="A629" s="3"/>
      <c r="B629" s="37">
        <f>'13. Desinvesteringen'!B631</f>
        <v>612</v>
      </c>
      <c r="C629" s="3"/>
      <c r="D629" s="37" t="str">
        <f>'13. Desinvesteringen'!C631</f>
        <v>15 Compressorstations (TT-BT-AT)</v>
      </c>
      <c r="E629" s="37">
        <f>'13. Desinvesteringen'!D631</f>
        <v>2007</v>
      </c>
      <c r="F629" s="42">
        <f>'13. Desinvesteringen'!E631</f>
        <v>2897967</v>
      </c>
      <c r="G629" s="37">
        <f>'13. Desinvesteringen'!G631</f>
        <v>2024</v>
      </c>
    </row>
    <row r="630" spans="1:7" s="332" customFormat="1">
      <c r="A630" s="3"/>
      <c r="B630" s="37">
        <f>'13. Desinvesteringen'!B632</f>
        <v>613</v>
      </c>
      <c r="C630" s="3"/>
      <c r="D630" s="37" t="str">
        <f>'13. Desinvesteringen'!C632</f>
        <v>15 Compressorstations (TT-BT-AT)</v>
      </c>
      <c r="E630" s="37">
        <f>'13. Desinvesteringen'!D632</f>
        <v>2008</v>
      </c>
      <c r="F630" s="42">
        <f>'13. Desinvesteringen'!E632</f>
        <v>3056602</v>
      </c>
      <c r="G630" s="37">
        <f>'13. Desinvesteringen'!G632</f>
        <v>2024</v>
      </c>
    </row>
    <row r="631" spans="1:7" s="332" customFormat="1">
      <c r="A631" s="3"/>
      <c r="B631" s="37">
        <f>'13. Desinvesteringen'!B633</f>
        <v>614</v>
      </c>
      <c r="C631" s="3"/>
      <c r="D631" s="37" t="str">
        <f>'13. Desinvesteringen'!C633</f>
        <v>15 Compressorstations (TT-BT-AT)</v>
      </c>
      <c r="E631" s="37">
        <f>'13. Desinvesteringen'!D633</f>
        <v>2008</v>
      </c>
      <c r="F631" s="42">
        <f>'13. Desinvesteringen'!E633</f>
        <v>303052</v>
      </c>
      <c r="G631" s="37">
        <f>'13. Desinvesteringen'!G633</f>
        <v>2024</v>
      </c>
    </row>
    <row r="632" spans="1:7" s="332" customFormat="1">
      <c r="A632" s="3"/>
      <c r="B632" s="37">
        <f>'13. Desinvesteringen'!B634</f>
        <v>615</v>
      </c>
      <c r="C632" s="3"/>
      <c r="D632" s="37" t="str">
        <f>'13. Desinvesteringen'!C634</f>
        <v>15 Compressorstations (TT-BT-AT)</v>
      </c>
      <c r="E632" s="37">
        <f>'13. Desinvesteringen'!D634</f>
        <v>2009</v>
      </c>
      <c r="F632" s="42">
        <f>'13. Desinvesteringen'!E634</f>
        <v>238210</v>
      </c>
      <c r="G632" s="37">
        <f>'13. Desinvesteringen'!G634</f>
        <v>2024</v>
      </c>
    </row>
    <row r="633" spans="1:7" s="332" customFormat="1">
      <c r="A633" s="3"/>
      <c r="B633" s="37">
        <f>'13. Desinvesteringen'!B635</f>
        <v>616</v>
      </c>
      <c r="C633" s="3"/>
      <c r="D633" s="37" t="str">
        <f>'13. Desinvesteringen'!C635</f>
        <v>15 Compressorstations (TT-BT-AT)</v>
      </c>
      <c r="E633" s="37">
        <f>'13. Desinvesteringen'!D635</f>
        <v>2010</v>
      </c>
      <c r="F633" s="42">
        <f>'13. Desinvesteringen'!E635</f>
        <v>1418545</v>
      </c>
      <c r="G633" s="37">
        <f>'13. Desinvesteringen'!G635</f>
        <v>2024</v>
      </c>
    </row>
    <row r="634" spans="1:7" s="332" customFormat="1">
      <c r="A634" s="3"/>
      <c r="B634" s="37">
        <f>'13. Desinvesteringen'!B636</f>
        <v>617</v>
      </c>
      <c r="C634" s="3"/>
      <c r="D634" s="37" t="str">
        <f>'13. Desinvesteringen'!C636</f>
        <v>15 Compressorstations (TT-BT-AT)</v>
      </c>
      <c r="E634" s="37">
        <f>'13. Desinvesteringen'!D636</f>
        <v>2011</v>
      </c>
      <c r="F634" s="42">
        <f>'13. Desinvesteringen'!E636</f>
        <v>5208178</v>
      </c>
      <c r="G634" s="37">
        <f>'13. Desinvesteringen'!G636</f>
        <v>2024</v>
      </c>
    </row>
    <row r="635" spans="1:7" s="332" customFormat="1">
      <c r="A635" s="3"/>
      <c r="B635" s="37">
        <f>'13. Desinvesteringen'!B637</f>
        <v>618</v>
      </c>
      <c r="C635" s="3"/>
      <c r="D635" s="37" t="str">
        <f>'13. Desinvesteringen'!C637</f>
        <v>15 Compressorstations (TT-BT-AT)</v>
      </c>
      <c r="E635" s="37">
        <f>'13. Desinvesteringen'!D637</f>
        <v>2011</v>
      </c>
      <c r="F635" s="42">
        <f>'13. Desinvesteringen'!E637</f>
        <v>54286</v>
      </c>
      <c r="G635" s="37">
        <f>'13. Desinvesteringen'!G637</f>
        <v>2024</v>
      </c>
    </row>
    <row r="636" spans="1:7" s="332" customFormat="1">
      <c r="A636" s="3"/>
      <c r="B636" s="37">
        <f>'13. Desinvesteringen'!B638</f>
        <v>619</v>
      </c>
      <c r="C636" s="3"/>
      <c r="D636" s="37" t="str">
        <f>'13. Desinvesteringen'!C638</f>
        <v>15 Compressorstations (TT-BT-AT)</v>
      </c>
      <c r="E636" s="37">
        <f>'13. Desinvesteringen'!D638</f>
        <v>2012</v>
      </c>
      <c r="F636" s="42">
        <f>'13. Desinvesteringen'!E638</f>
        <v>5403122</v>
      </c>
      <c r="G636" s="37">
        <f>'13. Desinvesteringen'!G638</f>
        <v>2024</v>
      </c>
    </row>
    <row r="637" spans="1:7" s="332" customFormat="1">
      <c r="A637" s="3"/>
      <c r="B637" s="37">
        <f>'13. Desinvesteringen'!B639</f>
        <v>620</v>
      </c>
      <c r="C637" s="3"/>
      <c r="D637" s="37" t="str">
        <f>'13. Desinvesteringen'!C639</f>
        <v>15 Compressorstations (TT-BT-AT)</v>
      </c>
      <c r="E637" s="37">
        <f>'13. Desinvesteringen'!D639</f>
        <v>2013</v>
      </c>
      <c r="F637" s="42">
        <f>'13. Desinvesteringen'!E639</f>
        <v>1629366</v>
      </c>
      <c r="G637" s="37">
        <f>'13. Desinvesteringen'!G639</f>
        <v>2024</v>
      </c>
    </row>
    <row r="638" spans="1:7" s="332" customFormat="1">
      <c r="A638" s="3"/>
      <c r="B638" s="37">
        <f>'13. Desinvesteringen'!B640</f>
        <v>621</v>
      </c>
      <c r="C638" s="3"/>
      <c r="D638" s="37" t="str">
        <f>'13. Desinvesteringen'!C640</f>
        <v>15 Compressorstations (TT-BT-AT)</v>
      </c>
      <c r="E638" s="37">
        <f>'13. Desinvesteringen'!D640</f>
        <v>2014</v>
      </c>
      <c r="F638" s="42">
        <f>'13. Desinvesteringen'!E640</f>
        <v>430444</v>
      </c>
      <c r="G638" s="37">
        <f>'13. Desinvesteringen'!G640</f>
        <v>2024</v>
      </c>
    </row>
    <row r="639" spans="1:7" s="332" customFormat="1">
      <c r="A639" s="3"/>
      <c r="B639" s="37">
        <f>'13. Desinvesteringen'!B641</f>
        <v>622</v>
      </c>
      <c r="C639" s="3"/>
      <c r="D639" s="37" t="str">
        <f>'13. Desinvesteringen'!C641</f>
        <v>15 Compressorstations (TT-BT-AT)</v>
      </c>
      <c r="E639" s="37">
        <f>'13. Desinvesteringen'!D641</f>
        <v>2015</v>
      </c>
      <c r="F639" s="42">
        <f>'13. Desinvesteringen'!E641</f>
        <v>10178980</v>
      </c>
      <c r="G639" s="37">
        <f>'13. Desinvesteringen'!G641</f>
        <v>2024</v>
      </c>
    </row>
    <row r="640" spans="1:7" s="332" customFormat="1">
      <c r="A640" s="3"/>
      <c r="B640" s="37">
        <f>'13. Desinvesteringen'!B642</f>
        <v>623</v>
      </c>
      <c r="C640" s="3"/>
      <c r="D640" s="37" t="str">
        <f>'13. Desinvesteringen'!C642</f>
        <v>15 Compressorstations (TT-BT-AT)</v>
      </c>
      <c r="E640" s="37">
        <f>'13. Desinvesteringen'!D642</f>
        <v>2016</v>
      </c>
      <c r="F640" s="42">
        <f>'13. Desinvesteringen'!E642</f>
        <v>234402</v>
      </c>
      <c r="G640" s="37">
        <f>'13. Desinvesteringen'!G642</f>
        <v>2024</v>
      </c>
    </row>
    <row r="641" spans="1:7" s="332" customFormat="1">
      <c r="A641" s="3"/>
      <c r="B641" s="37">
        <f>'13. Desinvesteringen'!B643</f>
        <v>624</v>
      </c>
      <c r="C641" s="3"/>
      <c r="D641" s="37" t="str">
        <f>'13. Desinvesteringen'!C643</f>
        <v>15 Compressorstations (TT-BT-AT)</v>
      </c>
      <c r="E641" s="37">
        <f>'13. Desinvesteringen'!D643</f>
        <v>2017</v>
      </c>
      <c r="F641" s="42">
        <f>'13. Desinvesteringen'!E643</f>
        <v>16812217</v>
      </c>
      <c r="G641" s="37">
        <f>'13. Desinvesteringen'!G643</f>
        <v>2024</v>
      </c>
    </row>
    <row r="642" spans="1:7" s="332" customFormat="1">
      <c r="A642" s="3"/>
      <c r="B642" s="37">
        <f>'13. Desinvesteringen'!B644</f>
        <v>625</v>
      </c>
      <c r="C642" s="3"/>
      <c r="D642" s="37" t="str">
        <f>'13. Desinvesteringen'!C644</f>
        <v>15 Compressorstations (TT-BT-AT)</v>
      </c>
      <c r="E642" s="37">
        <f>'13. Desinvesteringen'!D644</f>
        <v>2020</v>
      </c>
      <c r="F642" s="42">
        <f>'13. Desinvesteringen'!E644</f>
        <v>137668</v>
      </c>
      <c r="G642" s="37">
        <f>'13. Desinvesteringen'!G644</f>
        <v>2024</v>
      </c>
    </row>
    <row r="643" spans="1:7" s="332" customFormat="1">
      <c r="A643" s="3"/>
      <c r="B643" s="37">
        <f>'13. Desinvesteringen'!B645</f>
        <v>626</v>
      </c>
      <c r="C643" s="3"/>
      <c r="D643" s="37" t="str">
        <f>'13. Desinvesteringen'!C645</f>
        <v>17 Mengstations</v>
      </c>
      <c r="E643" s="37">
        <f>'13. Desinvesteringen'!D645</f>
        <v>1972</v>
      </c>
      <c r="F643" s="42">
        <f>'13. Desinvesteringen'!E645</f>
        <v>21452</v>
      </c>
      <c r="G643" s="37">
        <f>'13. Desinvesteringen'!G645</f>
        <v>2024</v>
      </c>
    </row>
    <row r="644" spans="1:7" s="332" customFormat="1">
      <c r="A644" s="3"/>
      <c r="B644" s="37">
        <f>'13. Desinvesteringen'!B646</f>
        <v>627</v>
      </c>
      <c r="C644" s="3"/>
      <c r="D644" s="37" t="str">
        <f>'13. Desinvesteringen'!C646</f>
        <v>17 Mengstations</v>
      </c>
      <c r="E644" s="37">
        <f>'13. Desinvesteringen'!D646</f>
        <v>1979</v>
      </c>
      <c r="F644" s="42">
        <f>'13. Desinvesteringen'!E646</f>
        <v>68889</v>
      </c>
      <c r="G644" s="37">
        <f>'13. Desinvesteringen'!G646</f>
        <v>2024</v>
      </c>
    </row>
    <row r="645" spans="1:7" s="332" customFormat="1">
      <c r="A645" s="3"/>
      <c r="B645" s="37">
        <f>'13. Desinvesteringen'!B647</f>
        <v>628</v>
      </c>
      <c r="C645" s="3"/>
      <c r="D645" s="37" t="str">
        <f>'13. Desinvesteringen'!C647</f>
        <v>17 Mengstations</v>
      </c>
      <c r="E645" s="37">
        <f>'13. Desinvesteringen'!D647</f>
        <v>1993</v>
      </c>
      <c r="F645" s="42">
        <f>'13. Desinvesteringen'!E647</f>
        <v>15217</v>
      </c>
      <c r="G645" s="37">
        <f>'13. Desinvesteringen'!G647</f>
        <v>2024</v>
      </c>
    </row>
    <row r="646" spans="1:7" s="332" customFormat="1">
      <c r="A646" s="3"/>
      <c r="B646" s="37">
        <f>'13. Desinvesteringen'!B648</f>
        <v>629</v>
      </c>
      <c r="C646" s="3"/>
      <c r="D646" s="37" t="str">
        <f>'13. Desinvesteringen'!C648</f>
        <v>17 Mengstations</v>
      </c>
      <c r="E646" s="37">
        <f>'13. Desinvesteringen'!D648</f>
        <v>1994</v>
      </c>
      <c r="F646" s="42">
        <f>'13. Desinvesteringen'!E648</f>
        <v>36896</v>
      </c>
      <c r="G646" s="37">
        <f>'13. Desinvesteringen'!G648</f>
        <v>2024</v>
      </c>
    </row>
    <row r="647" spans="1:7" s="332" customFormat="1">
      <c r="A647" s="3"/>
      <c r="B647" s="37">
        <f>'13. Desinvesteringen'!B649</f>
        <v>630</v>
      </c>
      <c r="C647" s="3"/>
      <c r="D647" s="37" t="str">
        <f>'13. Desinvesteringen'!C649</f>
        <v>17 Mengstations</v>
      </c>
      <c r="E647" s="37">
        <f>'13. Desinvesteringen'!D649</f>
        <v>2001</v>
      </c>
      <c r="F647" s="42">
        <f>'13. Desinvesteringen'!E649</f>
        <v>136657</v>
      </c>
      <c r="G647" s="37">
        <f>'13. Desinvesteringen'!G649</f>
        <v>2024</v>
      </c>
    </row>
    <row r="648" spans="1:7" s="332" customFormat="1">
      <c r="A648" s="3"/>
      <c r="B648" s="37">
        <f>'13. Desinvesteringen'!B650</f>
        <v>631</v>
      </c>
      <c r="C648" s="3"/>
      <c r="D648" s="37" t="str">
        <f>'13. Desinvesteringen'!C650</f>
        <v>17 Mengstations</v>
      </c>
      <c r="E648" s="37">
        <f>'13. Desinvesteringen'!D650</f>
        <v>2005</v>
      </c>
      <c r="F648" s="42">
        <f>'13. Desinvesteringen'!E650</f>
        <v>53318</v>
      </c>
      <c r="G648" s="37">
        <f>'13. Desinvesteringen'!G650</f>
        <v>2024</v>
      </c>
    </row>
    <row r="649" spans="1:7" s="332" customFormat="1">
      <c r="A649" s="3"/>
      <c r="B649" s="37">
        <f>'13. Desinvesteringen'!B651</f>
        <v>632</v>
      </c>
      <c r="C649" s="3"/>
      <c r="D649" s="37" t="str">
        <f>'13. Desinvesteringen'!C651</f>
        <v>17 Mengstations</v>
      </c>
      <c r="E649" s="37">
        <f>'13. Desinvesteringen'!D651</f>
        <v>2006</v>
      </c>
      <c r="F649" s="42">
        <f>'13. Desinvesteringen'!E651</f>
        <v>109055</v>
      </c>
      <c r="G649" s="37">
        <f>'13. Desinvesteringen'!G651</f>
        <v>2024</v>
      </c>
    </row>
    <row r="650" spans="1:7" s="332" customFormat="1">
      <c r="A650" s="3"/>
      <c r="B650" s="37">
        <f>'13. Desinvesteringen'!B652</f>
        <v>633</v>
      </c>
      <c r="C650" s="3"/>
      <c r="D650" s="37" t="str">
        <f>'13. Desinvesteringen'!C652</f>
        <v>17 Mengstations</v>
      </c>
      <c r="E650" s="37">
        <f>'13. Desinvesteringen'!D652</f>
        <v>2014</v>
      </c>
      <c r="F650" s="42">
        <f>'13. Desinvesteringen'!E652</f>
        <v>114078</v>
      </c>
      <c r="G650" s="37">
        <f>'13. Desinvesteringen'!G652</f>
        <v>2024</v>
      </c>
    </row>
    <row r="651" spans="1:7" s="332" customFormat="1">
      <c r="A651" s="3"/>
      <c r="B651" s="37">
        <f>'13. Desinvesteringen'!B653</f>
        <v>634</v>
      </c>
      <c r="C651" s="3"/>
      <c r="D651" s="37" t="str">
        <f>'13. Desinvesteringen'!C653</f>
        <v>21 Hoofdtransportleiding</v>
      </c>
      <c r="E651" s="37">
        <f>'13. Desinvesteringen'!D653</f>
        <v>1964</v>
      </c>
      <c r="F651" s="42">
        <f>'13. Desinvesteringen'!E653</f>
        <v>31497</v>
      </c>
      <c r="G651" s="37">
        <f>'13. Desinvesteringen'!G653</f>
        <v>2024</v>
      </c>
    </row>
    <row r="652" spans="1:7" s="332" customFormat="1">
      <c r="A652" s="3"/>
      <c r="B652" s="37">
        <f>'13. Desinvesteringen'!B654</f>
        <v>635</v>
      </c>
      <c r="C652" s="3"/>
      <c r="D652" s="37" t="str">
        <f>'13. Desinvesteringen'!C654</f>
        <v>21 Hoofdtransportleiding</v>
      </c>
      <c r="E652" s="37">
        <f>'13. Desinvesteringen'!D654</f>
        <v>1966</v>
      </c>
      <c r="F652" s="42">
        <f>'13. Desinvesteringen'!E654</f>
        <v>6226</v>
      </c>
      <c r="G652" s="37">
        <f>'13. Desinvesteringen'!G654</f>
        <v>2024</v>
      </c>
    </row>
    <row r="653" spans="1:7" s="332" customFormat="1">
      <c r="A653" s="3"/>
      <c r="B653" s="37">
        <f>'13. Desinvesteringen'!B655</f>
        <v>636</v>
      </c>
      <c r="C653" s="3"/>
      <c r="D653" s="37" t="str">
        <f>'13. Desinvesteringen'!C655</f>
        <v>21 Hoofdtransportleiding</v>
      </c>
      <c r="E653" s="37">
        <f>'13. Desinvesteringen'!D655</f>
        <v>1968</v>
      </c>
      <c r="F653" s="42">
        <f>'13. Desinvesteringen'!E655</f>
        <v>20904</v>
      </c>
      <c r="G653" s="37">
        <f>'13. Desinvesteringen'!G655</f>
        <v>2024</v>
      </c>
    </row>
    <row r="654" spans="1:7" s="332" customFormat="1">
      <c r="A654" s="3"/>
      <c r="B654" s="37">
        <f>'13. Desinvesteringen'!B656</f>
        <v>637</v>
      </c>
      <c r="C654" s="3"/>
      <c r="D654" s="37" t="str">
        <f>'13. Desinvesteringen'!C656</f>
        <v>21 Hoofdtransportleiding</v>
      </c>
      <c r="E654" s="37">
        <f>'13. Desinvesteringen'!D656</f>
        <v>1970</v>
      </c>
      <c r="F654" s="42">
        <f>'13. Desinvesteringen'!E656</f>
        <v>27359</v>
      </c>
      <c r="G654" s="37">
        <f>'13. Desinvesteringen'!G656</f>
        <v>2024</v>
      </c>
    </row>
    <row r="655" spans="1:7" s="332" customFormat="1">
      <c r="A655" s="3"/>
      <c r="B655" s="37">
        <f>'13. Desinvesteringen'!B657</f>
        <v>638</v>
      </c>
      <c r="C655" s="3"/>
      <c r="D655" s="37" t="str">
        <f>'13. Desinvesteringen'!C657</f>
        <v>21 Hoofdtransportleiding</v>
      </c>
      <c r="E655" s="37">
        <f>'13. Desinvesteringen'!D657</f>
        <v>1971</v>
      </c>
      <c r="F655" s="42">
        <f>'13. Desinvesteringen'!E657</f>
        <v>8621</v>
      </c>
      <c r="G655" s="37">
        <f>'13. Desinvesteringen'!G657</f>
        <v>2024</v>
      </c>
    </row>
    <row r="656" spans="1:7" s="332" customFormat="1">
      <c r="A656" s="3"/>
      <c r="B656" s="37">
        <f>'13. Desinvesteringen'!B658</f>
        <v>639</v>
      </c>
      <c r="C656" s="3"/>
      <c r="D656" s="37" t="str">
        <f>'13. Desinvesteringen'!C658</f>
        <v>21 Hoofdtransportleiding</v>
      </c>
      <c r="E656" s="37">
        <f>'13. Desinvesteringen'!D658</f>
        <v>1992</v>
      </c>
      <c r="F656" s="42">
        <f>'13. Desinvesteringen'!E658</f>
        <v>125847</v>
      </c>
      <c r="G656" s="37">
        <f>'13. Desinvesteringen'!G658</f>
        <v>2024</v>
      </c>
    </row>
    <row r="657" spans="1:7" s="332" customFormat="1">
      <c r="A657" s="3"/>
      <c r="B657" s="37">
        <f>'13. Desinvesteringen'!B659</f>
        <v>640</v>
      </c>
      <c r="C657" s="3"/>
      <c r="D657" s="37" t="str">
        <f>'13. Desinvesteringen'!C659</f>
        <v>21 Hoofdtransportleiding</v>
      </c>
      <c r="E657" s="37">
        <f>'13. Desinvesteringen'!D659</f>
        <v>2008</v>
      </c>
      <c r="F657" s="42">
        <f>'13. Desinvesteringen'!E659</f>
        <v>49793</v>
      </c>
      <c r="G657" s="37">
        <f>'13. Desinvesteringen'!G659</f>
        <v>2024</v>
      </c>
    </row>
    <row r="658" spans="1:7" s="332" customFormat="1">
      <c r="A658" s="3"/>
      <c r="B658" s="37">
        <f>'13. Desinvesteringen'!B660</f>
        <v>641</v>
      </c>
      <c r="C658" s="3"/>
      <c r="D658" s="37" t="str">
        <f>'13. Desinvesteringen'!C660</f>
        <v>21 Hoofdtransportleiding</v>
      </c>
      <c r="E658" s="37">
        <f>'13. Desinvesteringen'!D660</f>
        <v>2010</v>
      </c>
      <c r="F658" s="42">
        <f>'13. Desinvesteringen'!E660</f>
        <v>17971</v>
      </c>
      <c r="G658" s="37">
        <f>'13. Desinvesteringen'!G660</f>
        <v>2024</v>
      </c>
    </row>
    <row r="659" spans="1:7" s="332" customFormat="1">
      <c r="A659" s="3"/>
      <c r="B659" s="37">
        <f>'13. Desinvesteringen'!B661</f>
        <v>642</v>
      </c>
      <c r="C659" s="3"/>
      <c r="D659" s="37" t="str">
        <f>'13. Desinvesteringen'!C661</f>
        <v>21 Hoofdtransportleiding</v>
      </c>
      <c r="E659" s="37">
        <f>'13. Desinvesteringen'!D661</f>
        <v>2020</v>
      </c>
      <c r="F659" s="42">
        <f>'13. Desinvesteringen'!E661</f>
        <v>26412</v>
      </c>
      <c r="G659" s="37">
        <f>'13. Desinvesteringen'!G661</f>
        <v>2024</v>
      </c>
    </row>
    <row r="660" spans="1:7" s="332" customFormat="1">
      <c r="A660" s="3"/>
      <c r="B660" s="37">
        <f>'13. Desinvesteringen'!B662</f>
        <v>643</v>
      </c>
      <c r="C660" s="3"/>
      <c r="D660" s="37" t="str">
        <f>'13. Desinvesteringen'!C662</f>
        <v>21 Hoofdtransportleiding</v>
      </c>
      <c r="E660" s="37">
        <f>'13. Desinvesteringen'!D662</f>
        <v>2022</v>
      </c>
      <c r="F660" s="42">
        <f>'13. Desinvesteringen'!E662</f>
        <v>87808</v>
      </c>
      <c r="G660" s="37">
        <f>'13. Desinvesteringen'!G662</f>
        <v>2024</v>
      </c>
    </row>
    <row r="661" spans="1:7" s="332" customFormat="1">
      <c r="A661" s="3"/>
      <c r="B661" s="37">
        <f>'13. Desinvesteringen'!B663</f>
        <v>644</v>
      </c>
      <c r="C661" s="3"/>
      <c r="D661" s="37" t="str">
        <f>'13. Desinvesteringen'!C663</f>
        <v>32 M&amp;R stations</v>
      </c>
      <c r="E661" s="37">
        <f>'13. Desinvesteringen'!D663</f>
        <v>1964</v>
      </c>
      <c r="F661" s="42">
        <f>'13. Desinvesteringen'!E663</f>
        <v>64261</v>
      </c>
      <c r="G661" s="37">
        <f>'13. Desinvesteringen'!G663</f>
        <v>2024</v>
      </c>
    </row>
    <row r="662" spans="1:7" s="332" customFormat="1">
      <c r="A662" s="3"/>
      <c r="B662" s="37">
        <f>'13. Desinvesteringen'!B664</f>
        <v>645</v>
      </c>
      <c r="C662" s="3"/>
      <c r="D662" s="37" t="str">
        <f>'13. Desinvesteringen'!C664</f>
        <v>34 Reduceerstations</v>
      </c>
      <c r="E662" s="37">
        <f>'13. Desinvesteringen'!D664</f>
        <v>1973</v>
      </c>
      <c r="F662" s="42">
        <f>'13. Desinvesteringen'!E664</f>
        <v>21819</v>
      </c>
      <c r="G662" s="37">
        <f>'13. Desinvesteringen'!G664</f>
        <v>2024</v>
      </c>
    </row>
    <row r="663" spans="1:7" s="332" customFormat="1">
      <c r="A663" s="3"/>
      <c r="B663" s="37">
        <f>'13. Desinvesteringen'!B665</f>
        <v>646</v>
      </c>
      <c r="C663" s="3"/>
      <c r="D663" s="37" t="str">
        <f>'13. Desinvesteringen'!C665</f>
        <v>34 Reduceerstations</v>
      </c>
      <c r="E663" s="37">
        <f>'13. Desinvesteringen'!D665</f>
        <v>1986</v>
      </c>
      <c r="F663" s="42">
        <f>'13. Desinvesteringen'!E665</f>
        <v>21598</v>
      </c>
      <c r="G663" s="37">
        <f>'13. Desinvesteringen'!G665</f>
        <v>2024</v>
      </c>
    </row>
    <row r="664" spans="1:7" s="332" customFormat="1">
      <c r="A664" s="3"/>
      <c r="B664" s="37">
        <f>'13. Desinvesteringen'!B666</f>
        <v>647</v>
      </c>
      <c r="C664" s="3"/>
      <c r="D664" s="37" t="str">
        <f>'13. Desinvesteringen'!C666</f>
        <v>34 Reduceerstations</v>
      </c>
      <c r="E664" s="37">
        <f>'13. Desinvesteringen'!D666</f>
        <v>2011</v>
      </c>
      <c r="F664" s="42">
        <f>'13. Desinvesteringen'!E666</f>
        <v>34751</v>
      </c>
      <c r="G664" s="37">
        <f>'13. Desinvesteringen'!G666</f>
        <v>2024</v>
      </c>
    </row>
    <row r="665" spans="1:7" s="332" customFormat="1">
      <c r="A665" s="3"/>
      <c r="B665" s="37">
        <f>'13. Desinvesteringen'!B667</f>
        <v>648</v>
      </c>
      <c r="C665" s="3"/>
      <c r="D665" s="37" t="str">
        <f>'13. Desinvesteringen'!C667</f>
        <v>35 Injectiestations</v>
      </c>
      <c r="E665" s="37">
        <f>'13. Desinvesteringen'!D667</f>
        <v>1998</v>
      </c>
      <c r="F665" s="42">
        <f>'13. Desinvesteringen'!E667</f>
        <v>13173</v>
      </c>
      <c r="G665" s="37">
        <f>'13. Desinvesteringen'!G667</f>
        <v>2024</v>
      </c>
    </row>
    <row r="666" spans="1:7" s="332" customFormat="1">
      <c r="A666" s="3"/>
      <c r="B666" s="37">
        <f>'13. Desinvesteringen'!B668</f>
        <v>649</v>
      </c>
      <c r="C666" s="3"/>
      <c r="D666" s="37" t="str">
        <f>'13. Desinvesteringen'!C668</f>
        <v>01 Regionale leidingen</v>
      </c>
      <c r="E666" s="37">
        <f>'13. Desinvesteringen'!D668</f>
        <v>1955</v>
      </c>
      <c r="F666" s="42">
        <f>'13. Desinvesteringen'!E668</f>
        <v>0.01</v>
      </c>
      <c r="G666" s="37">
        <f>'13. Desinvesteringen'!G668</f>
        <v>2025</v>
      </c>
    </row>
    <row r="667" spans="1:7" s="332" customFormat="1">
      <c r="A667" s="3"/>
      <c r="B667" s="37">
        <f>'13. Desinvesteringen'!B669</f>
        <v>650</v>
      </c>
      <c r="C667" s="3"/>
      <c r="D667" s="37" t="str">
        <f>'13. Desinvesteringen'!C669</f>
        <v>01 Regionale leidingen</v>
      </c>
      <c r="E667" s="37">
        <f>'13. Desinvesteringen'!D669</f>
        <v>1958</v>
      </c>
      <c r="F667" s="42">
        <f>'13. Desinvesteringen'!E669</f>
        <v>59582.83</v>
      </c>
      <c r="G667" s="37">
        <f>'13. Desinvesteringen'!G669</f>
        <v>2025</v>
      </c>
    </row>
    <row r="668" spans="1:7" s="332" customFormat="1">
      <c r="A668" s="3"/>
      <c r="B668" s="37">
        <f>'13. Desinvesteringen'!B670</f>
        <v>651</v>
      </c>
      <c r="C668" s="3"/>
      <c r="D668" s="37" t="str">
        <f>'13. Desinvesteringen'!C670</f>
        <v>01 Regionale leidingen</v>
      </c>
      <c r="E668" s="37">
        <f>'13. Desinvesteringen'!D670</f>
        <v>1959</v>
      </c>
      <c r="F668" s="42">
        <f>'13. Desinvesteringen'!E670</f>
        <v>44892</v>
      </c>
      <c r="G668" s="37">
        <f>'13. Desinvesteringen'!G670</f>
        <v>2025</v>
      </c>
    </row>
    <row r="669" spans="1:7" s="332" customFormat="1">
      <c r="A669" s="3"/>
      <c r="B669" s="37">
        <f>'13. Desinvesteringen'!B671</f>
        <v>652</v>
      </c>
      <c r="C669" s="3"/>
      <c r="D669" s="37" t="str">
        <f>'13. Desinvesteringen'!C671</f>
        <v>01 Regionale leidingen</v>
      </c>
      <c r="E669" s="37">
        <f>'13. Desinvesteringen'!D671</f>
        <v>1960</v>
      </c>
      <c r="F669" s="42">
        <f>'13. Desinvesteringen'!E671</f>
        <v>5478.6</v>
      </c>
      <c r="G669" s="37">
        <f>'13. Desinvesteringen'!G671</f>
        <v>2025</v>
      </c>
    </row>
    <row r="670" spans="1:7" s="332" customFormat="1">
      <c r="A670" s="3"/>
      <c r="B670" s="37">
        <f>'13. Desinvesteringen'!B672</f>
        <v>653</v>
      </c>
      <c r="C670" s="3"/>
      <c r="D670" s="37" t="str">
        <f>'13. Desinvesteringen'!C672</f>
        <v>01 Regionale leidingen</v>
      </c>
      <c r="E670" s="37">
        <f>'13. Desinvesteringen'!D672</f>
        <v>1962</v>
      </c>
      <c r="F670" s="42">
        <f>'13. Desinvesteringen'!E672</f>
        <v>40000</v>
      </c>
      <c r="G670" s="37">
        <f>'13. Desinvesteringen'!G672</f>
        <v>2025</v>
      </c>
    </row>
    <row r="671" spans="1:7" s="332" customFormat="1">
      <c r="A671" s="3"/>
      <c r="B671" s="37">
        <f>'13. Desinvesteringen'!B673</f>
        <v>654</v>
      </c>
      <c r="C671" s="3"/>
      <c r="D671" s="37" t="str">
        <f>'13. Desinvesteringen'!C673</f>
        <v>01 Regionale leidingen</v>
      </c>
      <c r="E671" s="37">
        <f>'13. Desinvesteringen'!D673</f>
        <v>1964</v>
      </c>
      <c r="F671" s="42">
        <f>'13. Desinvesteringen'!E673</f>
        <v>9532.64</v>
      </c>
      <c r="G671" s="37">
        <f>'13. Desinvesteringen'!G673</f>
        <v>2025</v>
      </c>
    </row>
    <row r="672" spans="1:7" s="332" customFormat="1">
      <c r="A672" s="3"/>
      <c r="B672" s="37">
        <f>'13. Desinvesteringen'!B674</f>
        <v>655</v>
      </c>
      <c r="C672" s="3"/>
      <c r="D672" s="37" t="str">
        <f>'13. Desinvesteringen'!C674</f>
        <v>01 Regionale leidingen</v>
      </c>
      <c r="E672" s="37">
        <f>'13. Desinvesteringen'!D674</f>
        <v>1965</v>
      </c>
      <c r="F672" s="42">
        <f>'13. Desinvesteringen'!E674</f>
        <v>96092.19</v>
      </c>
      <c r="G672" s="37">
        <f>'13. Desinvesteringen'!G674</f>
        <v>2025</v>
      </c>
    </row>
    <row r="673" spans="1:7" s="332" customFormat="1">
      <c r="A673" s="3"/>
      <c r="B673" s="37">
        <f>'13. Desinvesteringen'!B675</f>
        <v>656</v>
      </c>
      <c r="C673" s="3"/>
      <c r="D673" s="37" t="str">
        <f>'13. Desinvesteringen'!C675</f>
        <v>01 Regionale leidingen</v>
      </c>
      <c r="E673" s="37">
        <f>'13. Desinvesteringen'!D675</f>
        <v>1966</v>
      </c>
      <c r="F673" s="42">
        <f>'13. Desinvesteringen'!E675</f>
        <v>22198.9</v>
      </c>
      <c r="G673" s="37">
        <f>'13. Desinvesteringen'!G675</f>
        <v>2025</v>
      </c>
    </row>
    <row r="674" spans="1:7" s="332" customFormat="1">
      <c r="A674" s="3"/>
      <c r="B674" s="37">
        <f>'13. Desinvesteringen'!B676</f>
        <v>657</v>
      </c>
      <c r="C674" s="3"/>
      <c r="D674" s="37" t="str">
        <f>'13. Desinvesteringen'!C676</f>
        <v>01 Regionale leidingen</v>
      </c>
      <c r="E674" s="37">
        <f>'13. Desinvesteringen'!D676</f>
        <v>1967</v>
      </c>
      <c r="F674" s="42">
        <f>'13. Desinvesteringen'!E676</f>
        <v>127525.68</v>
      </c>
      <c r="G674" s="37">
        <f>'13. Desinvesteringen'!G676</f>
        <v>2025</v>
      </c>
    </row>
    <row r="675" spans="1:7" s="332" customFormat="1">
      <c r="A675" s="3"/>
      <c r="B675" s="37">
        <f>'13. Desinvesteringen'!B677</f>
        <v>658</v>
      </c>
      <c r="C675" s="3"/>
      <c r="D675" s="37" t="str">
        <f>'13. Desinvesteringen'!C677</f>
        <v>01 Regionale leidingen</v>
      </c>
      <c r="E675" s="37">
        <f>'13. Desinvesteringen'!D677</f>
        <v>1968</v>
      </c>
      <c r="F675" s="42">
        <f>'13. Desinvesteringen'!E677</f>
        <v>94809.16</v>
      </c>
      <c r="G675" s="37">
        <f>'13. Desinvesteringen'!G677</f>
        <v>2025</v>
      </c>
    </row>
    <row r="676" spans="1:7" s="332" customFormat="1">
      <c r="A676" s="3"/>
      <c r="B676" s="37">
        <f>'13. Desinvesteringen'!B678</f>
        <v>659</v>
      </c>
      <c r="C676" s="3"/>
      <c r="D676" s="37" t="str">
        <f>'13. Desinvesteringen'!C678</f>
        <v>01 Regionale leidingen</v>
      </c>
      <c r="E676" s="37">
        <f>'13. Desinvesteringen'!D678</f>
        <v>1969</v>
      </c>
      <c r="F676" s="42">
        <f>'13. Desinvesteringen'!E678</f>
        <v>384260.95</v>
      </c>
      <c r="G676" s="37">
        <f>'13. Desinvesteringen'!G678</f>
        <v>2025</v>
      </c>
    </row>
    <row r="677" spans="1:7" s="332" customFormat="1">
      <c r="A677" s="3"/>
      <c r="B677" s="37">
        <f>'13. Desinvesteringen'!B679</f>
        <v>660</v>
      </c>
      <c r="C677" s="3"/>
      <c r="D677" s="37" t="str">
        <f>'13. Desinvesteringen'!C679</f>
        <v>01 Regionale leidingen</v>
      </c>
      <c r="E677" s="37">
        <f>'13. Desinvesteringen'!D679</f>
        <v>1970</v>
      </c>
      <c r="F677" s="42">
        <f>'13. Desinvesteringen'!E679</f>
        <v>56836.09</v>
      </c>
      <c r="G677" s="37">
        <f>'13. Desinvesteringen'!G679</f>
        <v>2025</v>
      </c>
    </row>
    <row r="678" spans="1:7" s="332" customFormat="1">
      <c r="A678" s="3"/>
      <c r="B678" s="37">
        <f>'13. Desinvesteringen'!B680</f>
        <v>661</v>
      </c>
      <c r="C678" s="3"/>
      <c r="D678" s="37" t="str">
        <f>'13. Desinvesteringen'!C680</f>
        <v>01 Regionale leidingen</v>
      </c>
      <c r="E678" s="37">
        <f>'13. Desinvesteringen'!D680</f>
        <v>1971</v>
      </c>
      <c r="F678" s="42">
        <f>'13. Desinvesteringen'!E680</f>
        <v>40095.18</v>
      </c>
      <c r="G678" s="37">
        <f>'13. Desinvesteringen'!G680</f>
        <v>2025</v>
      </c>
    </row>
    <row r="679" spans="1:7" s="332" customFormat="1">
      <c r="A679" s="3"/>
      <c r="B679" s="37">
        <f>'13. Desinvesteringen'!B681</f>
        <v>662</v>
      </c>
      <c r="C679" s="3"/>
      <c r="D679" s="37" t="str">
        <f>'13. Desinvesteringen'!C681</f>
        <v>01 Regionale leidingen</v>
      </c>
      <c r="E679" s="37">
        <f>'13. Desinvesteringen'!D681</f>
        <v>1972</v>
      </c>
      <c r="F679" s="42">
        <f>'13. Desinvesteringen'!E681</f>
        <v>80611.679999999993</v>
      </c>
      <c r="G679" s="37">
        <f>'13. Desinvesteringen'!G681</f>
        <v>2025</v>
      </c>
    </row>
    <row r="680" spans="1:7" s="332" customFormat="1">
      <c r="A680" s="3"/>
      <c r="B680" s="37">
        <f>'13. Desinvesteringen'!B682</f>
        <v>663</v>
      </c>
      <c r="C680" s="3"/>
      <c r="D680" s="37" t="str">
        <f>'13. Desinvesteringen'!C682</f>
        <v>01 Regionale leidingen</v>
      </c>
      <c r="E680" s="37">
        <f>'13. Desinvesteringen'!D682</f>
        <v>1973</v>
      </c>
      <c r="F680" s="42">
        <f>'13. Desinvesteringen'!E682</f>
        <v>39463.9</v>
      </c>
      <c r="G680" s="37">
        <f>'13. Desinvesteringen'!G682</f>
        <v>2025</v>
      </c>
    </row>
    <row r="681" spans="1:7" s="332" customFormat="1">
      <c r="A681" s="3"/>
      <c r="B681" s="37">
        <f>'13. Desinvesteringen'!B683</f>
        <v>664</v>
      </c>
      <c r="C681" s="3"/>
      <c r="D681" s="37" t="str">
        <f>'13. Desinvesteringen'!C683</f>
        <v>01 Regionale leidingen</v>
      </c>
      <c r="E681" s="37">
        <f>'13. Desinvesteringen'!D683</f>
        <v>1974</v>
      </c>
      <c r="F681" s="42">
        <f>'13. Desinvesteringen'!E683</f>
        <v>40000</v>
      </c>
      <c r="G681" s="37">
        <f>'13. Desinvesteringen'!G683</f>
        <v>2025</v>
      </c>
    </row>
    <row r="682" spans="1:7" s="332" customFormat="1">
      <c r="A682" s="3"/>
      <c r="B682" s="37">
        <f>'13. Desinvesteringen'!B684</f>
        <v>665</v>
      </c>
      <c r="C682" s="3"/>
      <c r="D682" s="37" t="str">
        <f>'13. Desinvesteringen'!C684</f>
        <v>01 Regionale leidingen</v>
      </c>
      <c r="E682" s="37">
        <f>'13. Desinvesteringen'!D684</f>
        <v>1975</v>
      </c>
      <c r="F682" s="42">
        <f>'13. Desinvesteringen'!E684</f>
        <v>40000</v>
      </c>
      <c r="G682" s="37">
        <f>'13. Desinvesteringen'!G684</f>
        <v>2025</v>
      </c>
    </row>
    <row r="683" spans="1:7" s="332" customFormat="1">
      <c r="A683" s="3"/>
      <c r="B683" s="37">
        <f>'13. Desinvesteringen'!B685</f>
        <v>666</v>
      </c>
      <c r="C683" s="3"/>
      <c r="D683" s="37" t="str">
        <f>'13. Desinvesteringen'!C685</f>
        <v>01 Regionale leidingen</v>
      </c>
      <c r="E683" s="37">
        <f>'13. Desinvesteringen'!D685</f>
        <v>1977</v>
      </c>
      <c r="F683" s="42">
        <f>'13. Desinvesteringen'!E685</f>
        <v>40000</v>
      </c>
      <c r="G683" s="37">
        <f>'13. Desinvesteringen'!G685</f>
        <v>2025</v>
      </c>
    </row>
    <row r="684" spans="1:7" s="332" customFormat="1">
      <c r="A684" s="3"/>
      <c r="B684" s="37">
        <f>'13. Desinvesteringen'!B686</f>
        <v>667</v>
      </c>
      <c r="C684" s="3"/>
      <c r="D684" s="37" t="str">
        <f>'13. Desinvesteringen'!C686</f>
        <v>01 Regionale leidingen</v>
      </c>
      <c r="E684" s="37">
        <f>'13. Desinvesteringen'!D686</f>
        <v>1978</v>
      </c>
      <c r="F684" s="42">
        <f>'13. Desinvesteringen'!E686</f>
        <v>40000</v>
      </c>
      <c r="G684" s="37">
        <f>'13. Desinvesteringen'!G686</f>
        <v>2025</v>
      </c>
    </row>
    <row r="685" spans="1:7" s="332" customFormat="1">
      <c r="A685" s="3"/>
      <c r="B685" s="37">
        <f>'13. Desinvesteringen'!B687</f>
        <v>668</v>
      </c>
      <c r="C685" s="3"/>
      <c r="D685" s="37" t="str">
        <f>'13. Desinvesteringen'!C687</f>
        <v>01 Regionale leidingen</v>
      </c>
      <c r="E685" s="37">
        <f>'13. Desinvesteringen'!D687</f>
        <v>1980</v>
      </c>
      <c r="F685" s="42">
        <f>'13. Desinvesteringen'!E687</f>
        <v>39612.29</v>
      </c>
      <c r="G685" s="37">
        <f>'13. Desinvesteringen'!G687</f>
        <v>2025</v>
      </c>
    </row>
    <row r="686" spans="1:7" s="332" customFormat="1">
      <c r="A686" s="3"/>
      <c r="B686" s="37">
        <f>'13. Desinvesteringen'!B688</f>
        <v>669</v>
      </c>
      <c r="C686" s="3"/>
      <c r="D686" s="37" t="str">
        <f>'13. Desinvesteringen'!C688</f>
        <v>01 Regionale leidingen</v>
      </c>
      <c r="E686" s="37">
        <f>'13. Desinvesteringen'!D688</f>
        <v>1986</v>
      </c>
      <c r="F686" s="42">
        <f>'13. Desinvesteringen'!E688</f>
        <v>50000</v>
      </c>
      <c r="G686" s="37">
        <f>'13. Desinvesteringen'!G688</f>
        <v>2025</v>
      </c>
    </row>
    <row r="687" spans="1:7" s="332" customFormat="1">
      <c r="A687" s="3"/>
      <c r="B687" s="37">
        <f>'13. Desinvesteringen'!B689</f>
        <v>670</v>
      </c>
      <c r="C687" s="3"/>
      <c r="D687" s="37" t="str">
        <f>'13. Desinvesteringen'!C689</f>
        <v>01 Regionale leidingen</v>
      </c>
      <c r="E687" s="37">
        <f>'13. Desinvesteringen'!D689</f>
        <v>1987</v>
      </c>
      <c r="F687" s="42">
        <f>'13. Desinvesteringen'!E689</f>
        <v>21032.32</v>
      </c>
      <c r="G687" s="37">
        <f>'13. Desinvesteringen'!G689</f>
        <v>2025</v>
      </c>
    </row>
    <row r="688" spans="1:7" s="332" customFormat="1">
      <c r="A688" s="3"/>
      <c r="B688" s="37">
        <f>'13. Desinvesteringen'!B690</f>
        <v>671</v>
      </c>
      <c r="C688" s="3"/>
      <c r="D688" s="37" t="str">
        <f>'13. Desinvesteringen'!C690</f>
        <v>01 Regionale leidingen</v>
      </c>
      <c r="E688" s="37">
        <f>'13. Desinvesteringen'!D690</f>
        <v>1992</v>
      </c>
      <c r="F688" s="42">
        <f>'13. Desinvesteringen'!E690</f>
        <v>26948.39</v>
      </c>
      <c r="G688" s="37">
        <f>'13. Desinvesteringen'!G690</f>
        <v>2025</v>
      </c>
    </row>
    <row r="689" spans="1:7" s="332" customFormat="1">
      <c r="A689" s="3"/>
      <c r="B689" s="37">
        <f>'13. Desinvesteringen'!B691</f>
        <v>672</v>
      </c>
      <c r="C689" s="3"/>
      <c r="D689" s="37" t="str">
        <f>'13. Desinvesteringen'!C691</f>
        <v>01 Regionale leidingen</v>
      </c>
      <c r="E689" s="37">
        <f>'13. Desinvesteringen'!D691</f>
        <v>1993</v>
      </c>
      <c r="F689" s="42">
        <f>'13. Desinvesteringen'!E691</f>
        <v>40734.44</v>
      </c>
      <c r="G689" s="37">
        <f>'13. Desinvesteringen'!G691</f>
        <v>2025</v>
      </c>
    </row>
    <row r="690" spans="1:7" s="332" customFormat="1">
      <c r="A690" s="3"/>
      <c r="B690" s="37">
        <f>'13. Desinvesteringen'!B692</f>
        <v>673</v>
      </c>
      <c r="C690" s="3"/>
      <c r="D690" s="37" t="str">
        <f>'13. Desinvesteringen'!C692</f>
        <v>01 Regionale leidingen</v>
      </c>
      <c r="E690" s="37">
        <f>'13. Desinvesteringen'!D692</f>
        <v>1995</v>
      </c>
      <c r="F690" s="42">
        <f>'13. Desinvesteringen'!E692</f>
        <v>17597.68</v>
      </c>
      <c r="G690" s="37">
        <f>'13. Desinvesteringen'!G692</f>
        <v>2025</v>
      </c>
    </row>
    <row r="691" spans="1:7" s="332" customFormat="1">
      <c r="A691" s="3"/>
      <c r="B691" s="37">
        <f>'13. Desinvesteringen'!B693</f>
        <v>674</v>
      </c>
      <c r="C691" s="3"/>
      <c r="D691" s="37" t="str">
        <f>'13. Desinvesteringen'!C693</f>
        <v>01 Regionale leidingen</v>
      </c>
      <c r="E691" s="37">
        <f>'13. Desinvesteringen'!D693</f>
        <v>1998</v>
      </c>
      <c r="F691" s="42">
        <f>'13. Desinvesteringen'!E693</f>
        <v>6240.6</v>
      </c>
      <c r="G691" s="37">
        <f>'13. Desinvesteringen'!G693</f>
        <v>2025</v>
      </c>
    </row>
    <row r="692" spans="1:7" s="332" customFormat="1">
      <c r="A692" s="3"/>
      <c r="B692" s="37">
        <f>'13. Desinvesteringen'!B694</f>
        <v>675</v>
      </c>
      <c r="C692" s="3"/>
      <c r="D692" s="37" t="str">
        <f>'13. Desinvesteringen'!C694</f>
        <v>01 Regionale leidingen</v>
      </c>
      <c r="E692" s="37">
        <f>'13. Desinvesteringen'!D694</f>
        <v>2004</v>
      </c>
      <c r="F692" s="42">
        <f>'13. Desinvesteringen'!E694</f>
        <v>7506.82</v>
      </c>
      <c r="G692" s="37">
        <f>'13. Desinvesteringen'!G694</f>
        <v>2025</v>
      </c>
    </row>
    <row r="693" spans="1:7" s="332" customFormat="1">
      <c r="A693" s="3"/>
      <c r="B693" s="37">
        <f>'13. Desinvesteringen'!B695</f>
        <v>676</v>
      </c>
      <c r="C693" s="3"/>
      <c r="D693" s="37" t="str">
        <f>'13. Desinvesteringen'!C695</f>
        <v>01 Regionale leidingen</v>
      </c>
      <c r="E693" s="37">
        <f>'13. Desinvesteringen'!D695</f>
        <v>2005</v>
      </c>
      <c r="F693" s="42">
        <f>'13. Desinvesteringen'!E695</f>
        <v>500909.4</v>
      </c>
      <c r="G693" s="37">
        <f>'13. Desinvesteringen'!G695</f>
        <v>2025</v>
      </c>
    </row>
    <row r="694" spans="1:7" s="332" customFormat="1">
      <c r="A694" s="3"/>
      <c r="B694" s="37">
        <f>'13. Desinvesteringen'!B696</f>
        <v>677</v>
      </c>
      <c r="C694" s="3"/>
      <c r="D694" s="37" t="str">
        <f>'13. Desinvesteringen'!C696</f>
        <v>01 Regionale leidingen</v>
      </c>
      <c r="E694" s="37">
        <f>'13. Desinvesteringen'!D696</f>
        <v>2008</v>
      </c>
      <c r="F694" s="42">
        <f>'13. Desinvesteringen'!E696</f>
        <v>232021.77</v>
      </c>
      <c r="G694" s="37">
        <f>'13. Desinvesteringen'!G696</f>
        <v>2025</v>
      </c>
    </row>
    <row r="695" spans="1:7" s="332" customFormat="1">
      <c r="A695" s="3"/>
      <c r="B695" s="37">
        <f>'13. Desinvesteringen'!B697</f>
        <v>678</v>
      </c>
      <c r="C695" s="3"/>
      <c r="D695" s="37" t="str">
        <f>'13. Desinvesteringen'!C697</f>
        <v>01 Regionale leidingen</v>
      </c>
      <c r="E695" s="37">
        <f>'13. Desinvesteringen'!D697</f>
        <v>2010</v>
      </c>
      <c r="F695" s="42">
        <f>'13. Desinvesteringen'!E697</f>
        <v>1064522.73</v>
      </c>
      <c r="G695" s="37">
        <f>'13. Desinvesteringen'!G697</f>
        <v>2025</v>
      </c>
    </row>
    <row r="696" spans="1:7" s="332" customFormat="1">
      <c r="A696" s="3"/>
      <c r="B696" s="37">
        <f>'13. Desinvesteringen'!B698</f>
        <v>679</v>
      </c>
      <c r="C696" s="3"/>
      <c r="D696" s="37" t="str">
        <f>'13. Desinvesteringen'!C698</f>
        <v>01 Regionale leidingen</v>
      </c>
      <c r="E696" s="37">
        <f>'13. Desinvesteringen'!D698</f>
        <v>2011</v>
      </c>
      <c r="F696" s="42">
        <f>'13. Desinvesteringen'!E698</f>
        <v>89555.22</v>
      </c>
      <c r="G696" s="37">
        <f>'13. Desinvesteringen'!G698</f>
        <v>2025</v>
      </c>
    </row>
    <row r="697" spans="1:7" s="332" customFormat="1">
      <c r="A697" s="3"/>
      <c r="B697" s="37">
        <f>'13. Desinvesteringen'!B699</f>
        <v>680</v>
      </c>
      <c r="C697" s="3"/>
      <c r="D697" s="37" t="str">
        <f>'13. Desinvesteringen'!C699</f>
        <v>01 Regionale leidingen</v>
      </c>
      <c r="E697" s="37">
        <f>'13. Desinvesteringen'!D699</f>
        <v>2012</v>
      </c>
      <c r="F697" s="42">
        <f>'13. Desinvesteringen'!E699</f>
        <v>609557.21</v>
      </c>
      <c r="G697" s="37">
        <f>'13. Desinvesteringen'!G699</f>
        <v>2025</v>
      </c>
    </row>
    <row r="698" spans="1:7" s="332" customFormat="1">
      <c r="A698" s="3"/>
      <c r="B698" s="37">
        <f>'13. Desinvesteringen'!B700</f>
        <v>681</v>
      </c>
      <c r="C698" s="3"/>
      <c r="D698" s="37" t="str">
        <f>'13. Desinvesteringen'!C700</f>
        <v>01 Regionale leidingen</v>
      </c>
      <c r="E698" s="37">
        <f>'13. Desinvesteringen'!D700</f>
        <v>2016</v>
      </c>
      <c r="F698" s="42">
        <f>'13. Desinvesteringen'!E700</f>
        <v>190476.55</v>
      </c>
      <c r="G698" s="37">
        <f>'13. Desinvesteringen'!G700</f>
        <v>2025</v>
      </c>
    </row>
    <row r="699" spans="1:7" s="332" customFormat="1">
      <c r="A699" s="3"/>
      <c r="B699" s="37">
        <f>'13. Desinvesteringen'!B701</f>
        <v>682</v>
      </c>
      <c r="C699" s="3"/>
      <c r="D699" s="37" t="str">
        <f>'13. Desinvesteringen'!C701</f>
        <v>01 Regionale leidingen</v>
      </c>
      <c r="E699" s="37">
        <f>'13. Desinvesteringen'!D701</f>
        <v>2017</v>
      </c>
      <c r="F699" s="42">
        <f>'13. Desinvesteringen'!E701</f>
        <v>439054.05</v>
      </c>
      <c r="G699" s="37">
        <f>'13. Desinvesteringen'!G701</f>
        <v>2025</v>
      </c>
    </row>
    <row r="700" spans="1:7" s="332" customFormat="1">
      <c r="A700" s="3"/>
      <c r="B700" s="37">
        <f>'13. Desinvesteringen'!B702</f>
        <v>683</v>
      </c>
      <c r="C700" s="3"/>
      <c r="D700" s="37" t="str">
        <f>'13. Desinvesteringen'!C702</f>
        <v>01 Regionale leidingen</v>
      </c>
      <c r="E700" s="37">
        <f>'13. Desinvesteringen'!D702</f>
        <v>2018</v>
      </c>
      <c r="F700" s="42">
        <f>'13. Desinvesteringen'!E702</f>
        <v>-2874.02</v>
      </c>
      <c r="G700" s="37">
        <f>'13. Desinvesteringen'!G702</f>
        <v>2025</v>
      </c>
    </row>
    <row r="701" spans="1:7" s="332" customFormat="1">
      <c r="A701" s="3"/>
      <c r="B701" s="37">
        <f>'13. Desinvesteringen'!B703</f>
        <v>684</v>
      </c>
      <c r="C701" s="3"/>
      <c r="D701" s="37" t="str">
        <f>'13. Desinvesteringen'!C703</f>
        <v>02 Gasontvangststations</v>
      </c>
      <c r="E701" s="37">
        <f>'13. Desinvesteringen'!D703</f>
        <v>1966</v>
      </c>
      <c r="F701" s="42">
        <f>'13. Desinvesteringen'!E703</f>
        <v>20442.080000000002</v>
      </c>
      <c r="G701" s="37">
        <f>'13. Desinvesteringen'!G703</f>
        <v>2025</v>
      </c>
    </row>
    <row r="702" spans="1:7" s="332" customFormat="1">
      <c r="A702" s="3"/>
      <c r="B702" s="37">
        <f>'13. Desinvesteringen'!B704</f>
        <v>685</v>
      </c>
      <c r="C702" s="3"/>
      <c r="D702" s="37" t="str">
        <f>'13. Desinvesteringen'!C704</f>
        <v>02 Gasontvangststations</v>
      </c>
      <c r="E702" s="37">
        <f>'13. Desinvesteringen'!D704</f>
        <v>1967</v>
      </c>
      <c r="F702" s="42">
        <f>'13. Desinvesteringen'!E704</f>
        <v>70722.649999999994</v>
      </c>
      <c r="G702" s="37">
        <f>'13. Desinvesteringen'!G704</f>
        <v>2025</v>
      </c>
    </row>
    <row r="703" spans="1:7" s="332" customFormat="1">
      <c r="A703" s="3"/>
      <c r="B703" s="37">
        <f>'13. Desinvesteringen'!B705</f>
        <v>686</v>
      </c>
      <c r="C703" s="3"/>
      <c r="D703" s="37" t="str">
        <f>'13. Desinvesteringen'!C705</f>
        <v>02 Gasontvangststations</v>
      </c>
      <c r="E703" s="37">
        <f>'13. Desinvesteringen'!D705</f>
        <v>1968</v>
      </c>
      <c r="F703" s="42">
        <f>'13. Desinvesteringen'!E705</f>
        <v>142783</v>
      </c>
      <c r="G703" s="37">
        <f>'13. Desinvesteringen'!G705</f>
        <v>2025</v>
      </c>
    </row>
    <row r="704" spans="1:7" s="332" customFormat="1">
      <c r="A704" s="3"/>
      <c r="B704" s="37">
        <f>'13. Desinvesteringen'!B706</f>
        <v>687</v>
      </c>
      <c r="C704" s="3"/>
      <c r="D704" s="37" t="str">
        <f>'13. Desinvesteringen'!C706</f>
        <v>02 Gasontvangststations</v>
      </c>
      <c r="E704" s="37">
        <f>'13. Desinvesteringen'!D706</f>
        <v>1969</v>
      </c>
      <c r="F704" s="42">
        <f>'13. Desinvesteringen'!E706</f>
        <v>243331.28</v>
      </c>
      <c r="G704" s="37">
        <f>'13. Desinvesteringen'!G706</f>
        <v>2025</v>
      </c>
    </row>
    <row r="705" spans="1:7" s="332" customFormat="1">
      <c r="A705" s="3"/>
      <c r="B705" s="37">
        <f>'13. Desinvesteringen'!B707</f>
        <v>688</v>
      </c>
      <c r="C705" s="3"/>
      <c r="D705" s="37" t="str">
        <f>'13. Desinvesteringen'!C707</f>
        <v>02 Gasontvangststations</v>
      </c>
      <c r="E705" s="37">
        <f>'13. Desinvesteringen'!D707</f>
        <v>1970</v>
      </c>
      <c r="F705" s="42">
        <f>'13. Desinvesteringen'!E707</f>
        <v>249536.62</v>
      </c>
      <c r="G705" s="37">
        <f>'13. Desinvesteringen'!G707</f>
        <v>2025</v>
      </c>
    </row>
    <row r="706" spans="1:7" s="332" customFormat="1">
      <c r="A706" s="3"/>
      <c r="B706" s="37">
        <f>'13. Desinvesteringen'!B708</f>
        <v>689</v>
      </c>
      <c r="C706" s="3"/>
      <c r="D706" s="37" t="str">
        <f>'13. Desinvesteringen'!C708</f>
        <v>02 Gasontvangststations</v>
      </c>
      <c r="E706" s="37">
        <f>'13. Desinvesteringen'!D708</f>
        <v>1971</v>
      </c>
      <c r="F706" s="42">
        <f>'13. Desinvesteringen'!E708</f>
        <v>141153.21</v>
      </c>
      <c r="G706" s="37">
        <f>'13. Desinvesteringen'!G708</f>
        <v>2025</v>
      </c>
    </row>
    <row r="707" spans="1:7" s="332" customFormat="1">
      <c r="A707" s="3"/>
      <c r="B707" s="37">
        <f>'13. Desinvesteringen'!B709</f>
        <v>690</v>
      </c>
      <c r="C707" s="3"/>
      <c r="D707" s="37" t="str">
        <f>'13. Desinvesteringen'!C709</f>
        <v>02 Gasontvangststations</v>
      </c>
      <c r="E707" s="37">
        <f>'13. Desinvesteringen'!D709</f>
        <v>1972</v>
      </c>
      <c r="F707" s="42">
        <f>'13. Desinvesteringen'!E709</f>
        <v>112822.17</v>
      </c>
      <c r="G707" s="37">
        <f>'13. Desinvesteringen'!G709</f>
        <v>2025</v>
      </c>
    </row>
    <row r="708" spans="1:7" s="332" customFormat="1">
      <c r="A708" s="3"/>
      <c r="B708" s="37">
        <f>'13. Desinvesteringen'!B710</f>
        <v>691</v>
      </c>
      <c r="C708" s="3"/>
      <c r="D708" s="37" t="str">
        <f>'13. Desinvesteringen'!C710</f>
        <v>02 Gasontvangststations</v>
      </c>
      <c r="E708" s="37">
        <f>'13. Desinvesteringen'!D710</f>
        <v>1973</v>
      </c>
      <c r="F708" s="42">
        <f>'13. Desinvesteringen'!E710</f>
        <v>21109.19</v>
      </c>
      <c r="G708" s="37">
        <f>'13. Desinvesteringen'!G710</f>
        <v>2025</v>
      </c>
    </row>
    <row r="709" spans="1:7" s="332" customFormat="1">
      <c r="A709" s="3"/>
      <c r="B709" s="37">
        <f>'13. Desinvesteringen'!B711</f>
        <v>692</v>
      </c>
      <c r="C709" s="3"/>
      <c r="D709" s="37" t="str">
        <f>'13. Desinvesteringen'!C711</f>
        <v>02 Gasontvangststations</v>
      </c>
      <c r="E709" s="37">
        <f>'13. Desinvesteringen'!D711</f>
        <v>1974</v>
      </c>
      <c r="F709" s="42">
        <f>'13. Desinvesteringen'!E711</f>
        <v>66336.070000000007</v>
      </c>
      <c r="G709" s="37">
        <f>'13. Desinvesteringen'!G711</f>
        <v>2025</v>
      </c>
    </row>
    <row r="710" spans="1:7" s="332" customFormat="1">
      <c r="A710" s="3"/>
      <c r="B710" s="37">
        <f>'13. Desinvesteringen'!B712</f>
        <v>693</v>
      </c>
      <c r="C710" s="3"/>
      <c r="D710" s="37" t="str">
        <f>'13. Desinvesteringen'!C712</f>
        <v>02 Gasontvangststations</v>
      </c>
      <c r="E710" s="37">
        <f>'13. Desinvesteringen'!D712</f>
        <v>1975</v>
      </c>
      <c r="F710" s="42">
        <f>'13. Desinvesteringen'!E712</f>
        <v>116217.54</v>
      </c>
      <c r="G710" s="37">
        <f>'13. Desinvesteringen'!G712</f>
        <v>2025</v>
      </c>
    </row>
    <row r="711" spans="1:7" s="332" customFormat="1">
      <c r="A711" s="3"/>
      <c r="B711" s="37">
        <f>'13. Desinvesteringen'!B713</f>
        <v>694</v>
      </c>
      <c r="C711" s="3"/>
      <c r="D711" s="37" t="str">
        <f>'13. Desinvesteringen'!C713</f>
        <v>02 Gasontvangststations</v>
      </c>
      <c r="E711" s="37">
        <f>'13. Desinvesteringen'!D713</f>
        <v>1976</v>
      </c>
      <c r="F711" s="42">
        <f>'13. Desinvesteringen'!E713</f>
        <v>112997.91</v>
      </c>
      <c r="G711" s="37">
        <f>'13. Desinvesteringen'!G713</f>
        <v>2025</v>
      </c>
    </row>
    <row r="712" spans="1:7" s="332" customFormat="1">
      <c r="A712" s="3"/>
      <c r="B712" s="37">
        <f>'13. Desinvesteringen'!B714</f>
        <v>695</v>
      </c>
      <c r="C712" s="3"/>
      <c r="D712" s="37" t="str">
        <f>'13. Desinvesteringen'!C714</f>
        <v>02 Gasontvangststations</v>
      </c>
      <c r="E712" s="37">
        <f>'13. Desinvesteringen'!D714</f>
        <v>1977</v>
      </c>
      <c r="F712" s="42">
        <f>'13. Desinvesteringen'!E714</f>
        <v>102021.61</v>
      </c>
      <c r="G712" s="37">
        <f>'13. Desinvesteringen'!G714</f>
        <v>2025</v>
      </c>
    </row>
    <row r="713" spans="1:7" s="332" customFormat="1">
      <c r="A713" s="3"/>
      <c r="B713" s="37">
        <f>'13. Desinvesteringen'!B715</f>
        <v>696</v>
      </c>
      <c r="C713" s="3"/>
      <c r="D713" s="37" t="str">
        <f>'13. Desinvesteringen'!C715</f>
        <v>02 Gasontvangststations</v>
      </c>
      <c r="E713" s="37">
        <f>'13. Desinvesteringen'!D715</f>
        <v>1978</v>
      </c>
      <c r="F713" s="42">
        <f>'13. Desinvesteringen'!E715</f>
        <v>29172.21</v>
      </c>
      <c r="G713" s="37">
        <f>'13. Desinvesteringen'!G715</f>
        <v>2025</v>
      </c>
    </row>
    <row r="714" spans="1:7" s="332" customFormat="1">
      <c r="A714" s="3"/>
      <c r="B714" s="37">
        <f>'13. Desinvesteringen'!B716</f>
        <v>697</v>
      </c>
      <c r="C714" s="3"/>
      <c r="D714" s="37" t="str">
        <f>'13. Desinvesteringen'!C716</f>
        <v>02 Gasontvangststations</v>
      </c>
      <c r="E714" s="37">
        <f>'13. Desinvesteringen'!D716</f>
        <v>1980</v>
      </c>
      <c r="F714" s="42">
        <f>'13. Desinvesteringen'!E716</f>
        <v>15011.07</v>
      </c>
      <c r="G714" s="37">
        <f>'13. Desinvesteringen'!G716</f>
        <v>2025</v>
      </c>
    </row>
    <row r="715" spans="1:7" s="332" customFormat="1">
      <c r="A715" s="3"/>
      <c r="B715" s="37">
        <f>'13. Desinvesteringen'!B717</f>
        <v>698</v>
      </c>
      <c r="C715" s="3"/>
      <c r="D715" s="37" t="str">
        <f>'13. Desinvesteringen'!C717</f>
        <v>02 Gasontvangststations</v>
      </c>
      <c r="E715" s="37">
        <f>'13. Desinvesteringen'!D717</f>
        <v>1982</v>
      </c>
      <c r="F715" s="42">
        <f>'13. Desinvesteringen'!E717</f>
        <v>44175.28</v>
      </c>
      <c r="G715" s="37">
        <f>'13. Desinvesteringen'!G717</f>
        <v>2025</v>
      </c>
    </row>
    <row r="716" spans="1:7" s="332" customFormat="1">
      <c r="A716" s="3"/>
      <c r="B716" s="37">
        <f>'13. Desinvesteringen'!B718</f>
        <v>699</v>
      </c>
      <c r="C716" s="3"/>
      <c r="D716" s="37" t="str">
        <f>'13. Desinvesteringen'!C718</f>
        <v>02 Gasontvangststations</v>
      </c>
      <c r="E716" s="37">
        <f>'13. Desinvesteringen'!D718</f>
        <v>1984</v>
      </c>
      <c r="F716" s="42">
        <f>'13. Desinvesteringen'!E718</f>
        <v>17043.580000000002</v>
      </c>
      <c r="G716" s="37">
        <f>'13. Desinvesteringen'!G718</f>
        <v>2025</v>
      </c>
    </row>
    <row r="717" spans="1:7" s="332" customFormat="1">
      <c r="A717" s="3"/>
      <c r="B717" s="37">
        <f>'13. Desinvesteringen'!B719</f>
        <v>700</v>
      </c>
      <c r="C717" s="3"/>
      <c r="D717" s="37" t="str">
        <f>'13. Desinvesteringen'!C719</f>
        <v>02 Gasontvangststations</v>
      </c>
      <c r="E717" s="37">
        <f>'13. Desinvesteringen'!D719</f>
        <v>1985</v>
      </c>
      <c r="F717" s="42">
        <f>'13. Desinvesteringen'!E719</f>
        <v>19671.18</v>
      </c>
      <c r="G717" s="37">
        <f>'13. Desinvesteringen'!G719</f>
        <v>2025</v>
      </c>
    </row>
    <row r="718" spans="1:7" s="332" customFormat="1">
      <c r="A718" s="3"/>
      <c r="B718" s="37">
        <f>'13. Desinvesteringen'!B720</f>
        <v>701</v>
      </c>
      <c r="C718" s="3"/>
      <c r="D718" s="37" t="str">
        <f>'13. Desinvesteringen'!C720</f>
        <v>02 Gasontvangststations</v>
      </c>
      <c r="E718" s="37">
        <f>'13. Desinvesteringen'!D720</f>
        <v>1987</v>
      </c>
      <c r="F718" s="42">
        <f>'13. Desinvesteringen'!E720</f>
        <v>20031.16</v>
      </c>
      <c r="G718" s="37">
        <f>'13. Desinvesteringen'!G720</f>
        <v>2025</v>
      </c>
    </row>
    <row r="719" spans="1:7" s="332" customFormat="1">
      <c r="A719" s="3"/>
      <c r="B719" s="37">
        <f>'13. Desinvesteringen'!B721</f>
        <v>702</v>
      </c>
      <c r="C719" s="3"/>
      <c r="D719" s="37" t="str">
        <f>'13. Desinvesteringen'!C721</f>
        <v>02 Gasontvangststations</v>
      </c>
      <c r="E719" s="37">
        <f>'13. Desinvesteringen'!D721</f>
        <v>1988</v>
      </c>
      <c r="F719" s="42">
        <f>'13. Desinvesteringen'!E721</f>
        <v>73937.05</v>
      </c>
      <c r="G719" s="37">
        <f>'13. Desinvesteringen'!G721</f>
        <v>2025</v>
      </c>
    </row>
    <row r="720" spans="1:7" s="332" customFormat="1">
      <c r="A720" s="3"/>
      <c r="B720" s="37">
        <f>'13. Desinvesteringen'!B722</f>
        <v>703</v>
      </c>
      <c r="C720" s="3"/>
      <c r="D720" s="37" t="str">
        <f>'13. Desinvesteringen'!C722</f>
        <v>02 Gasontvangststations</v>
      </c>
      <c r="E720" s="37">
        <f>'13. Desinvesteringen'!D722</f>
        <v>1989</v>
      </c>
      <c r="F720" s="42">
        <f>'13. Desinvesteringen'!E722</f>
        <v>45174.17</v>
      </c>
      <c r="G720" s="37">
        <f>'13. Desinvesteringen'!G722</f>
        <v>2025</v>
      </c>
    </row>
    <row r="721" spans="1:7" s="332" customFormat="1">
      <c r="A721" s="3"/>
      <c r="B721" s="37">
        <f>'13. Desinvesteringen'!B723</f>
        <v>704</v>
      </c>
      <c r="C721" s="3"/>
      <c r="D721" s="37" t="str">
        <f>'13. Desinvesteringen'!C723</f>
        <v>02 Gasontvangststations</v>
      </c>
      <c r="E721" s="37">
        <f>'13. Desinvesteringen'!D723</f>
        <v>1992</v>
      </c>
      <c r="F721" s="42">
        <f>'13. Desinvesteringen'!E723</f>
        <v>81859.009999999995</v>
      </c>
      <c r="G721" s="37">
        <f>'13. Desinvesteringen'!G723</f>
        <v>2025</v>
      </c>
    </row>
    <row r="722" spans="1:7" s="332" customFormat="1">
      <c r="A722" s="3"/>
      <c r="B722" s="37">
        <f>'13. Desinvesteringen'!B724</f>
        <v>705</v>
      </c>
      <c r="C722" s="3"/>
      <c r="D722" s="37" t="str">
        <f>'13. Desinvesteringen'!C724</f>
        <v>02 Gasontvangststations</v>
      </c>
      <c r="E722" s="37">
        <f>'13. Desinvesteringen'!D724</f>
        <v>1993</v>
      </c>
      <c r="F722" s="42">
        <f>'13. Desinvesteringen'!E724</f>
        <v>157381.32</v>
      </c>
      <c r="G722" s="37">
        <f>'13. Desinvesteringen'!G724</f>
        <v>2025</v>
      </c>
    </row>
    <row r="723" spans="1:7" s="332" customFormat="1">
      <c r="A723" s="3"/>
      <c r="B723" s="37">
        <f>'13. Desinvesteringen'!B725</f>
        <v>706</v>
      </c>
      <c r="C723" s="3"/>
      <c r="D723" s="37" t="str">
        <f>'13. Desinvesteringen'!C725</f>
        <v>02 Gasontvangststations</v>
      </c>
      <c r="E723" s="37">
        <f>'13. Desinvesteringen'!D725</f>
        <v>1994</v>
      </c>
      <c r="F723" s="42">
        <f>'13. Desinvesteringen'!E725</f>
        <v>65700.2</v>
      </c>
      <c r="G723" s="37">
        <f>'13. Desinvesteringen'!G725</f>
        <v>2025</v>
      </c>
    </row>
    <row r="724" spans="1:7" s="332" customFormat="1">
      <c r="A724" s="3"/>
      <c r="B724" s="37">
        <f>'13. Desinvesteringen'!B726</f>
        <v>707</v>
      </c>
      <c r="C724" s="3"/>
      <c r="D724" s="37" t="str">
        <f>'13. Desinvesteringen'!C726</f>
        <v>02 Gasontvangststations</v>
      </c>
      <c r="E724" s="37">
        <f>'13. Desinvesteringen'!D726</f>
        <v>1995</v>
      </c>
      <c r="F724" s="42">
        <f>'13. Desinvesteringen'!E726</f>
        <v>155979.47</v>
      </c>
      <c r="G724" s="37">
        <f>'13. Desinvesteringen'!G726</f>
        <v>2025</v>
      </c>
    </row>
    <row r="725" spans="1:7" s="332" customFormat="1">
      <c r="A725" s="3"/>
      <c r="B725" s="37">
        <f>'13. Desinvesteringen'!B727</f>
        <v>708</v>
      </c>
      <c r="C725" s="3"/>
      <c r="D725" s="37" t="str">
        <f>'13. Desinvesteringen'!C727</f>
        <v>02 Gasontvangststations</v>
      </c>
      <c r="E725" s="37">
        <f>'13. Desinvesteringen'!D727</f>
        <v>1997</v>
      </c>
      <c r="F725" s="42">
        <f>'13. Desinvesteringen'!E727</f>
        <v>23723.48</v>
      </c>
      <c r="G725" s="37">
        <f>'13. Desinvesteringen'!G727</f>
        <v>2025</v>
      </c>
    </row>
    <row r="726" spans="1:7" s="332" customFormat="1">
      <c r="A726" s="3"/>
      <c r="B726" s="37">
        <f>'13. Desinvesteringen'!B728</f>
        <v>709</v>
      </c>
      <c r="C726" s="3"/>
      <c r="D726" s="37" t="str">
        <f>'13. Desinvesteringen'!C728</f>
        <v>02 Gasontvangststations</v>
      </c>
      <c r="E726" s="37">
        <f>'13. Desinvesteringen'!D728</f>
        <v>1998</v>
      </c>
      <c r="F726" s="42">
        <f>'13. Desinvesteringen'!E728</f>
        <v>70555.61</v>
      </c>
      <c r="G726" s="37">
        <f>'13. Desinvesteringen'!G728</f>
        <v>2025</v>
      </c>
    </row>
    <row r="727" spans="1:7" s="332" customFormat="1">
      <c r="A727" s="3"/>
      <c r="B727" s="37">
        <f>'13. Desinvesteringen'!B729</f>
        <v>710</v>
      </c>
      <c r="C727" s="3"/>
      <c r="D727" s="37" t="str">
        <f>'13. Desinvesteringen'!C729</f>
        <v>02 Gasontvangststations</v>
      </c>
      <c r="E727" s="37">
        <f>'13. Desinvesteringen'!D729</f>
        <v>2000</v>
      </c>
      <c r="F727" s="42">
        <f>'13. Desinvesteringen'!E729</f>
        <v>25047.81</v>
      </c>
      <c r="G727" s="37">
        <f>'13. Desinvesteringen'!G729</f>
        <v>2025</v>
      </c>
    </row>
    <row r="728" spans="1:7" s="332" customFormat="1">
      <c r="A728" s="3"/>
      <c r="B728" s="37">
        <f>'13. Desinvesteringen'!B730</f>
        <v>711</v>
      </c>
      <c r="C728" s="3"/>
      <c r="D728" s="37" t="str">
        <f>'13. Desinvesteringen'!C730</f>
        <v>02 Gasontvangststations</v>
      </c>
      <c r="E728" s="37">
        <f>'13. Desinvesteringen'!D730</f>
        <v>2002</v>
      </c>
      <c r="F728" s="42">
        <f>'13. Desinvesteringen'!E730</f>
        <v>26302.54</v>
      </c>
      <c r="G728" s="37">
        <f>'13. Desinvesteringen'!G730</f>
        <v>2025</v>
      </c>
    </row>
    <row r="729" spans="1:7" s="332" customFormat="1">
      <c r="A729" s="3"/>
      <c r="B729" s="37">
        <f>'13. Desinvesteringen'!B731</f>
        <v>712</v>
      </c>
      <c r="C729" s="3"/>
      <c r="D729" s="37" t="str">
        <f>'13. Desinvesteringen'!C731</f>
        <v>02 Gasontvangststations</v>
      </c>
      <c r="E729" s="37">
        <f>'13. Desinvesteringen'!D731</f>
        <v>2003</v>
      </c>
      <c r="F729" s="42">
        <f>'13. Desinvesteringen'!E731</f>
        <v>34546.400000000001</v>
      </c>
      <c r="G729" s="37">
        <f>'13. Desinvesteringen'!G731</f>
        <v>2025</v>
      </c>
    </row>
    <row r="730" spans="1:7" s="332" customFormat="1">
      <c r="A730" s="3"/>
      <c r="B730" s="37">
        <f>'13. Desinvesteringen'!B732</f>
        <v>713</v>
      </c>
      <c r="C730" s="3"/>
      <c r="D730" s="37" t="str">
        <f>'13. Desinvesteringen'!C732</f>
        <v>02 Gasontvangststations</v>
      </c>
      <c r="E730" s="37">
        <f>'13. Desinvesteringen'!D732</f>
        <v>2005</v>
      </c>
      <c r="F730" s="42">
        <f>'13. Desinvesteringen'!E732</f>
        <v>93426.13</v>
      </c>
      <c r="G730" s="37">
        <f>'13. Desinvesteringen'!G732</f>
        <v>2025</v>
      </c>
    </row>
    <row r="731" spans="1:7" s="332" customFormat="1">
      <c r="A731" s="3"/>
      <c r="B731" s="37">
        <f>'13. Desinvesteringen'!B733</f>
        <v>714</v>
      </c>
      <c r="C731" s="3"/>
      <c r="D731" s="37" t="str">
        <f>'13. Desinvesteringen'!C733</f>
        <v>02 Gasontvangststations</v>
      </c>
      <c r="E731" s="37">
        <f>'13. Desinvesteringen'!D733</f>
        <v>2006</v>
      </c>
      <c r="F731" s="42">
        <f>'13. Desinvesteringen'!E733</f>
        <v>55849.25</v>
      </c>
      <c r="G731" s="37">
        <f>'13. Desinvesteringen'!G733</f>
        <v>2025</v>
      </c>
    </row>
    <row r="732" spans="1:7" s="332" customFormat="1">
      <c r="A732" s="3"/>
      <c r="B732" s="37">
        <f>'13. Desinvesteringen'!B734</f>
        <v>715</v>
      </c>
      <c r="C732" s="3"/>
      <c r="D732" s="37" t="str">
        <f>'13. Desinvesteringen'!C734</f>
        <v>02 Gasontvangststations</v>
      </c>
      <c r="E732" s="37">
        <f>'13. Desinvesteringen'!D734</f>
        <v>2007</v>
      </c>
      <c r="F732" s="42">
        <f>'13. Desinvesteringen'!E734</f>
        <v>27068.3</v>
      </c>
      <c r="G732" s="37">
        <f>'13. Desinvesteringen'!G734</f>
        <v>2025</v>
      </c>
    </row>
    <row r="733" spans="1:7" s="332" customFormat="1">
      <c r="A733" s="3"/>
      <c r="B733" s="37">
        <f>'13. Desinvesteringen'!B735</f>
        <v>716</v>
      </c>
      <c r="C733" s="3"/>
      <c r="D733" s="37" t="str">
        <f>'13. Desinvesteringen'!C735</f>
        <v>02 Gasontvangststations</v>
      </c>
      <c r="E733" s="37">
        <f>'13. Desinvesteringen'!D735</f>
        <v>2009</v>
      </c>
      <c r="F733" s="42">
        <f>'13. Desinvesteringen'!E735</f>
        <v>84141.16</v>
      </c>
      <c r="G733" s="37">
        <f>'13. Desinvesteringen'!G735</f>
        <v>2025</v>
      </c>
    </row>
    <row r="734" spans="1:7" s="332" customFormat="1">
      <c r="A734" s="3"/>
      <c r="B734" s="37">
        <f>'13. Desinvesteringen'!B736</f>
        <v>717</v>
      </c>
      <c r="C734" s="3"/>
      <c r="D734" s="37" t="str">
        <f>'13. Desinvesteringen'!C736</f>
        <v>02 Gasontvangststations</v>
      </c>
      <c r="E734" s="37">
        <f>'13. Desinvesteringen'!D736</f>
        <v>2011</v>
      </c>
      <c r="F734" s="42">
        <f>'13. Desinvesteringen'!E736</f>
        <v>32415.49</v>
      </c>
      <c r="G734" s="37">
        <f>'13. Desinvesteringen'!G736</f>
        <v>2025</v>
      </c>
    </row>
    <row r="735" spans="1:7" s="332" customFormat="1">
      <c r="A735" s="3"/>
      <c r="B735" s="37">
        <f>'13. Desinvesteringen'!B737</f>
        <v>718</v>
      </c>
      <c r="C735" s="3"/>
      <c r="D735" s="37" t="str">
        <f>'13. Desinvesteringen'!C737</f>
        <v>02 Gasontvangststations</v>
      </c>
      <c r="E735" s="37">
        <f>'13. Desinvesteringen'!D737</f>
        <v>2017</v>
      </c>
      <c r="F735" s="42">
        <f>'13. Desinvesteringen'!E737</f>
        <v>63625.98</v>
      </c>
      <c r="G735" s="37">
        <f>'13. Desinvesteringen'!G737</f>
        <v>2025</v>
      </c>
    </row>
    <row r="736" spans="1:7" s="332" customFormat="1">
      <c r="A736" s="3"/>
      <c r="B736" s="37">
        <f>'13. Desinvesteringen'!B738</f>
        <v>719</v>
      </c>
      <c r="C736" s="3"/>
      <c r="D736" s="37" t="str">
        <f>'13. Desinvesteringen'!C738</f>
        <v>02 Gasontvangststations</v>
      </c>
      <c r="E736" s="37">
        <f>'13. Desinvesteringen'!D738</f>
        <v>2018</v>
      </c>
      <c r="F736" s="42">
        <f>'13. Desinvesteringen'!E738</f>
        <v>-1236.18</v>
      </c>
      <c r="G736" s="37">
        <f>'13. Desinvesteringen'!G738</f>
        <v>2025</v>
      </c>
    </row>
    <row r="737" spans="1:7" s="332" customFormat="1">
      <c r="A737" s="3"/>
      <c r="B737" s="37">
        <f>'13. Desinvesteringen'!B739</f>
        <v>720</v>
      </c>
      <c r="C737" s="3"/>
      <c r="D737" s="37" t="str">
        <f>'13. Desinvesteringen'!C739</f>
        <v>02 Gasontvangststations</v>
      </c>
      <c r="E737" s="37">
        <f>'13. Desinvesteringen'!D739</f>
        <v>2019</v>
      </c>
      <c r="F737" s="42">
        <f>'13. Desinvesteringen'!E739</f>
        <v>21322.87</v>
      </c>
      <c r="G737" s="37">
        <f>'13. Desinvesteringen'!G739</f>
        <v>2025</v>
      </c>
    </row>
    <row r="738" spans="1:7" s="332" customFormat="1">
      <c r="A738" s="3"/>
      <c r="B738" s="37">
        <f>'13. Desinvesteringen'!B740</f>
        <v>721</v>
      </c>
      <c r="C738" s="3"/>
      <c r="D738" s="37" t="str">
        <f>'13. Desinvesteringen'!C740</f>
        <v>02 Gasontvangststations</v>
      </c>
      <c r="E738" s="37">
        <f>'13. Desinvesteringen'!D740</f>
        <v>2020</v>
      </c>
      <c r="F738" s="42">
        <f>'13. Desinvesteringen'!E740</f>
        <v>57793.46</v>
      </c>
      <c r="G738" s="37">
        <f>'13. Desinvesteringen'!G740</f>
        <v>2025</v>
      </c>
    </row>
    <row r="739" spans="1:7" s="332" customFormat="1">
      <c r="A739" s="3"/>
      <c r="B739" s="37">
        <f>'13. Desinvesteringen'!B741</f>
        <v>722</v>
      </c>
      <c r="C739" s="3"/>
      <c r="D739" s="37" t="str">
        <f>'13. Desinvesteringen'!C741</f>
        <v>04 Terreinen</v>
      </c>
      <c r="E739" s="37">
        <f>'13. Desinvesteringen'!D741</f>
        <v>2007</v>
      </c>
      <c r="F739" s="42">
        <f>'13. Desinvesteringen'!E741</f>
        <v>7351.24</v>
      </c>
      <c r="G739" s="37">
        <f>'13. Desinvesteringen'!G741</f>
        <v>2025</v>
      </c>
    </row>
    <row r="740" spans="1:7" s="332" customFormat="1">
      <c r="A740" s="3"/>
      <c r="B740" s="37">
        <f>'13. Desinvesteringen'!B742</f>
        <v>723</v>
      </c>
      <c r="C740" s="3"/>
      <c r="D740" s="37" t="str">
        <f>'13. Desinvesteringen'!C742</f>
        <v>06 Utiliteitsgebouwen</v>
      </c>
      <c r="E740" s="37">
        <f>'13. Desinvesteringen'!D742</f>
        <v>2010</v>
      </c>
      <c r="F740" s="42">
        <f>'13. Desinvesteringen'!E742</f>
        <v>33850.980000000003</v>
      </c>
      <c r="G740" s="37">
        <f>'13. Desinvesteringen'!G742</f>
        <v>2025</v>
      </c>
    </row>
    <row r="741" spans="1:7" s="332" customFormat="1">
      <c r="A741" s="3"/>
      <c r="B741" s="37">
        <f>'13. Desinvesteringen'!B743</f>
        <v>724</v>
      </c>
      <c r="C741" s="3"/>
      <c r="D741" s="37" t="str">
        <f>'13. Desinvesteringen'!C743</f>
        <v>06 Utiliteitsgebouwen</v>
      </c>
      <c r="E741" s="37">
        <f>'13. Desinvesteringen'!D743</f>
        <v>2005</v>
      </c>
      <c r="F741" s="42">
        <f>'13. Desinvesteringen'!E743</f>
        <v>73548.490000000005</v>
      </c>
      <c r="G741" s="37">
        <f>'13. Desinvesteringen'!G743</f>
        <v>2025</v>
      </c>
    </row>
    <row r="742" spans="1:7" s="332" customFormat="1">
      <c r="A742" s="3"/>
      <c r="B742" s="37">
        <f>'13. Desinvesteringen'!B744</f>
        <v>725</v>
      </c>
      <c r="C742" s="3"/>
      <c r="D742" s="37" t="str">
        <f>'13. Desinvesteringen'!C744</f>
        <v>08 Inrichting gebouwen</v>
      </c>
      <c r="E742" s="37">
        <f>'13. Desinvesteringen'!D744</f>
        <v>1970</v>
      </c>
      <c r="F742" s="42">
        <f>'13. Desinvesteringen'!E744</f>
        <v>12465.83</v>
      </c>
      <c r="G742" s="37">
        <f>'13. Desinvesteringen'!G744</f>
        <v>2025</v>
      </c>
    </row>
    <row r="743" spans="1:7" s="332" customFormat="1">
      <c r="A743" s="3"/>
      <c r="B743" s="37">
        <f>'13. Desinvesteringen'!B745</f>
        <v>726</v>
      </c>
      <c r="C743" s="3"/>
      <c r="D743" s="37" t="str">
        <f>'13. Desinvesteringen'!C745</f>
        <v>15 Compressorstations (TT-BT-AT)</v>
      </c>
      <c r="E743" s="37">
        <f>'13. Desinvesteringen'!D745</f>
        <v>1970</v>
      </c>
      <c r="F743" s="42">
        <f>'13. Desinvesteringen'!E745</f>
        <v>19829.099999999999</v>
      </c>
      <c r="G743" s="37">
        <f>'13. Desinvesteringen'!G745</f>
        <v>2025</v>
      </c>
    </row>
    <row r="744" spans="1:7" s="332" customFormat="1">
      <c r="A744" s="3"/>
      <c r="B744" s="37">
        <f>'13. Desinvesteringen'!B746</f>
        <v>727</v>
      </c>
      <c r="C744" s="3"/>
      <c r="D744" s="37" t="str">
        <f>'13. Desinvesteringen'!C746</f>
        <v>15 Compressorstations (KC)</v>
      </c>
      <c r="E744" s="37">
        <f>'13. Desinvesteringen'!D746</f>
        <v>1970</v>
      </c>
      <c r="F744" s="42">
        <f>'13. Desinvesteringen'!E746</f>
        <v>1226.22</v>
      </c>
      <c r="G744" s="37">
        <f>'13. Desinvesteringen'!G746</f>
        <v>2025</v>
      </c>
    </row>
    <row r="745" spans="1:7" s="332" customFormat="1">
      <c r="A745" s="3"/>
      <c r="B745" s="37">
        <f>'13. Desinvesteringen'!B747</f>
        <v>728</v>
      </c>
      <c r="C745" s="3"/>
      <c r="D745" s="37" t="str">
        <f>'13. Desinvesteringen'!C747</f>
        <v>15 Compressorstations (TT-BT-AT)</v>
      </c>
      <c r="E745" s="37">
        <f>'13. Desinvesteringen'!D747</f>
        <v>1971</v>
      </c>
      <c r="F745" s="42">
        <f>'13. Desinvesteringen'!E747</f>
        <v>68455.149999999994</v>
      </c>
      <c r="G745" s="37">
        <f>'13. Desinvesteringen'!G747</f>
        <v>2025</v>
      </c>
    </row>
    <row r="746" spans="1:7" s="332" customFormat="1">
      <c r="A746" s="3"/>
      <c r="B746" s="37">
        <f>'13. Desinvesteringen'!B748</f>
        <v>729</v>
      </c>
      <c r="C746" s="3"/>
      <c r="D746" s="37" t="str">
        <f>'13. Desinvesteringen'!C748</f>
        <v>15 Compressorstations (KC)</v>
      </c>
      <c r="E746" s="37">
        <f>'13. Desinvesteringen'!D748</f>
        <v>1971</v>
      </c>
      <c r="F746" s="42">
        <f>'13. Desinvesteringen'!E748</f>
        <v>21145.83</v>
      </c>
      <c r="G746" s="37">
        <f>'13. Desinvesteringen'!G748</f>
        <v>2025</v>
      </c>
    </row>
    <row r="747" spans="1:7" s="332" customFormat="1">
      <c r="A747" s="3"/>
      <c r="B747" s="37">
        <f>'13. Desinvesteringen'!B749</f>
        <v>730</v>
      </c>
      <c r="C747" s="3"/>
      <c r="D747" s="37" t="str">
        <f>'13. Desinvesteringen'!C749</f>
        <v>15 Compressorstations (TT-BT-AT)</v>
      </c>
      <c r="E747" s="37">
        <f>'13. Desinvesteringen'!D749</f>
        <v>1972</v>
      </c>
      <c r="F747" s="42">
        <f>'13. Desinvesteringen'!E749</f>
        <v>4002.08</v>
      </c>
      <c r="G747" s="37">
        <f>'13. Desinvesteringen'!G749</f>
        <v>2025</v>
      </c>
    </row>
    <row r="748" spans="1:7" s="332" customFormat="1">
      <c r="A748" s="3"/>
      <c r="B748" s="37">
        <f>'13. Desinvesteringen'!B750</f>
        <v>731</v>
      </c>
      <c r="C748" s="3"/>
      <c r="D748" s="37" t="str">
        <f>'13. Desinvesteringen'!C750</f>
        <v>15 Compressorstations (KC)</v>
      </c>
      <c r="E748" s="37">
        <f>'13. Desinvesteringen'!D750</f>
        <v>1972</v>
      </c>
      <c r="F748" s="42">
        <f>'13. Desinvesteringen'!E750</f>
        <v>415.23</v>
      </c>
      <c r="G748" s="37">
        <f>'13. Desinvesteringen'!G750</f>
        <v>2025</v>
      </c>
    </row>
    <row r="749" spans="1:7" s="332" customFormat="1">
      <c r="A749" s="3"/>
      <c r="B749" s="37">
        <f>'13. Desinvesteringen'!B751</f>
        <v>732</v>
      </c>
      <c r="C749" s="3"/>
      <c r="D749" s="37" t="str">
        <f>'13. Desinvesteringen'!C751</f>
        <v>15 Compressorstations (TT-BT-AT)</v>
      </c>
      <c r="E749" s="37">
        <f>'13. Desinvesteringen'!D751</f>
        <v>2007</v>
      </c>
      <c r="F749" s="42">
        <f>'13. Desinvesteringen'!E751</f>
        <v>500384.61</v>
      </c>
      <c r="G749" s="37">
        <f>'13. Desinvesteringen'!G751</f>
        <v>2025</v>
      </c>
    </row>
    <row r="750" spans="1:7" s="332" customFormat="1">
      <c r="A750" s="3"/>
      <c r="B750" s="37">
        <f>'13. Desinvesteringen'!B752</f>
        <v>733</v>
      </c>
      <c r="C750" s="3"/>
      <c r="D750" s="37" t="str">
        <f>'13. Desinvesteringen'!C752</f>
        <v>15 Compressorstations (KC)</v>
      </c>
      <c r="E750" s="37">
        <f>'13. Desinvesteringen'!D752</f>
        <v>2010</v>
      </c>
      <c r="F750" s="42">
        <f>'13. Desinvesteringen'!E752</f>
        <v>31970.31</v>
      </c>
      <c r="G750" s="37">
        <f>'13. Desinvesteringen'!G752</f>
        <v>2025</v>
      </c>
    </row>
    <row r="751" spans="1:7" s="332" customFormat="1">
      <c r="A751" s="3"/>
      <c r="B751" s="37">
        <f>'13. Desinvesteringen'!B753</f>
        <v>734</v>
      </c>
      <c r="C751" s="3"/>
      <c r="D751" s="37" t="str">
        <f>'13. Desinvesteringen'!C753</f>
        <v>15 Compressorstations (TT-BT-AT)</v>
      </c>
      <c r="E751" s="37">
        <f>'13. Desinvesteringen'!D753</f>
        <v>2010</v>
      </c>
      <c r="F751" s="42">
        <f>'13. Desinvesteringen'!E753</f>
        <v>1009667.61</v>
      </c>
      <c r="G751" s="37">
        <f>'13. Desinvesteringen'!G753</f>
        <v>2025</v>
      </c>
    </row>
    <row r="752" spans="1:7" s="332" customFormat="1">
      <c r="A752" s="3"/>
      <c r="B752" s="37">
        <f>'13. Desinvesteringen'!B754</f>
        <v>735</v>
      </c>
      <c r="C752" s="3"/>
      <c r="D752" s="37" t="str">
        <f>'13. Desinvesteringen'!C754</f>
        <v>15 Compressorstations (TT-BT-AT)</v>
      </c>
      <c r="E752" s="37">
        <f>'13. Desinvesteringen'!D754</f>
        <v>2011</v>
      </c>
      <c r="F752" s="42">
        <f>'13. Desinvesteringen'!E754</f>
        <v>200273.91999999998</v>
      </c>
      <c r="G752" s="37">
        <f>'13. Desinvesteringen'!G754</f>
        <v>2025</v>
      </c>
    </row>
    <row r="753" spans="1:7" s="332" customFormat="1">
      <c r="A753" s="3"/>
      <c r="B753" s="37">
        <f>'13. Desinvesteringen'!B755</f>
        <v>736</v>
      </c>
      <c r="C753" s="3"/>
      <c r="D753" s="37" t="str">
        <f>'13. Desinvesteringen'!C755</f>
        <v>16 LNG installaties</v>
      </c>
      <c r="E753" s="37">
        <f>'13. Desinvesteringen'!D755</f>
        <v>1977</v>
      </c>
      <c r="F753" s="42">
        <f>'13. Desinvesteringen'!E755</f>
        <v>501531.13</v>
      </c>
      <c r="G753" s="37">
        <f>'13. Desinvesteringen'!G755</f>
        <v>2025</v>
      </c>
    </row>
    <row r="754" spans="1:7" s="332" customFormat="1">
      <c r="A754" s="3"/>
      <c r="B754" s="37">
        <f>'13. Desinvesteringen'!B756</f>
        <v>737</v>
      </c>
      <c r="C754" s="3"/>
      <c r="D754" s="37" t="str">
        <f>'13. Desinvesteringen'!C756</f>
        <v>17 Mengstations</v>
      </c>
      <c r="E754" s="37">
        <f>'13. Desinvesteringen'!D756</f>
        <v>1978</v>
      </c>
      <c r="F754" s="42">
        <f>'13. Desinvesteringen'!E756</f>
        <v>5765991.25</v>
      </c>
      <c r="G754" s="37">
        <f>'13. Desinvesteringen'!G756</f>
        <v>2025</v>
      </c>
    </row>
    <row r="755" spans="1:7" s="332" customFormat="1">
      <c r="A755" s="3"/>
      <c r="B755" s="37">
        <f>'13. Desinvesteringen'!B757</f>
        <v>738</v>
      </c>
      <c r="C755" s="3"/>
      <c r="D755" s="37" t="str">
        <f>'13. Desinvesteringen'!C757</f>
        <v>17 Mengstations</v>
      </c>
      <c r="E755" s="37">
        <f>'13. Desinvesteringen'!D757</f>
        <v>1979</v>
      </c>
      <c r="F755" s="42">
        <f>'13. Desinvesteringen'!E757</f>
        <v>12064.52</v>
      </c>
      <c r="G755" s="37">
        <f>'13. Desinvesteringen'!G757</f>
        <v>2025</v>
      </c>
    </row>
    <row r="756" spans="1:7" s="332" customFormat="1">
      <c r="A756" s="3"/>
      <c r="B756" s="37">
        <f>'13. Desinvesteringen'!B758</f>
        <v>739</v>
      </c>
      <c r="C756" s="3"/>
      <c r="D756" s="37" t="str">
        <f>'13. Desinvesteringen'!C758</f>
        <v>17 Mengstations</v>
      </c>
      <c r="E756" s="37">
        <f>'13. Desinvesteringen'!D758</f>
        <v>1990</v>
      </c>
      <c r="F756" s="42">
        <f>'13. Desinvesteringen'!E758</f>
        <v>60239.68</v>
      </c>
      <c r="G756" s="37">
        <f>'13. Desinvesteringen'!G758</f>
        <v>2025</v>
      </c>
    </row>
    <row r="757" spans="1:7" s="332" customFormat="1">
      <c r="A757" s="3"/>
      <c r="B757" s="37">
        <f>'13. Desinvesteringen'!B759</f>
        <v>740</v>
      </c>
      <c r="C757" s="3"/>
      <c r="D757" s="37" t="str">
        <f>'13. Desinvesteringen'!C759</f>
        <v>17 Mengstations</v>
      </c>
      <c r="E757" s="37">
        <f>'13. Desinvesteringen'!D759</f>
        <v>1992</v>
      </c>
      <c r="F757" s="42">
        <f>'13. Desinvesteringen'!E759</f>
        <v>477787.53</v>
      </c>
      <c r="G757" s="37">
        <f>'13. Desinvesteringen'!G759</f>
        <v>2025</v>
      </c>
    </row>
    <row r="758" spans="1:7" s="332" customFormat="1">
      <c r="A758" s="3"/>
      <c r="B758" s="37">
        <f>'13. Desinvesteringen'!B760</f>
        <v>741</v>
      </c>
      <c r="C758" s="3"/>
      <c r="D758" s="37" t="str">
        <f>'13. Desinvesteringen'!C760</f>
        <v>17 Mengstations</v>
      </c>
      <c r="E758" s="37">
        <f>'13. Desinvesteringen'!D760</f>
        <v>2003</v>
      </c>
      <c r="F758" s="42">
        <f>'13. Desinvesteringen'!E760</f>
        <v>803.59</v>
      </c>
      <c r="G758" s="37">
        <f>'13. Desinvesteringen'!G760</f>
        <v>2025</v>
      </c>
    </row>
    <row r="759" spans="1:7" s="332" customFormat="1">
      <c r="A759" s="3"/>
      <c r="B759" s="37">
        <f>'13. Desinvesteringen'!B761</f>
        <v>742</v>
      </c>
      <c r="C759" s="3"/>
      <c r="D759" s="37" t="str">
        <f>'13. Desinvesteringen'!C761</f>
        <v>17 Mengstations</v>
      </c>
      <c r="E759" s="37">
        <f>'13. Desinvesteringen'!D761</f>
        <v>2011</v>
      </c>
      <c r="F759" s="42">
        <f>'13. Desinvesteringen'!E761</f>
        <v>390154.47</v>
      </c>
      <c r="G759" s="37">
        <f>'13. Desinvesteringen'!G761</f>
        <v>2025</v>
      </c>
    </row>
    <row r="760" spans="1:7" s="332" customFormat="1">
      <c r="A760" s="3"/>
      <c r="B760" s="37">
        <f>'13. Desinvesteringen'!B762</f>
        <v>743</v>
      </c>
      <c r="C760" s="3"/>
      <c r="D760" s="37" t="str">
        <f>'13. Desinvesteringen'!C762</f>
        <v>17 Mengstations</v>
      </c>
      <c r="E760" s="37">
        <f>'13. Desinvesteringen'!D762</f>
        <v>2013</v>
      </c>
      <c r="F760" s="42">
        <f>'13. Desinvesteringen'!E762</f>
        <v>1165099.05</v>
      </c>
      <c r="G760" s="37">
        <f>'13. Desinvesteringen'!G762</f>
        <v>2025</v>
      </c>
    </row>
    <row r="761" spans="1:7" s="332" customFormat="1">
      <c r="A761" s="3"/>
      <c r="B761" s="37">
        <f>'13. Desinvesteringen'!B763</f>
        <v>744</v>
      </c>
      <c r="C761" s="3"/>
      <c r="D761" s="37" t="str">
        <f>'13. Desinvesteringen'!C763</f>
        <v>17 Mengstations</v>
      </c>
      <c r="E761" s="37">
        <f>'13. Desinvesteringen'!D763</f>
        <v>2016</v>
      </c>
      <c r="F761" s="42">
        <f>'13. Desinvesteringen'!E763</f>
        <v>119449.71</v>
      </c>
      <c r="G761" s="37">
        <f>'13. Desinvesteringen'!G763</f>
        <v>2025</v>
      </c>
    </row>
    <row r="762" spans="1:7" s="332" customFormat="1">
      <c r="A762" s="3"/>
      <c r="B762" s="37">
        <f>'13. Desinvesteringen'!B764</f>
        <v>745</v>
      </c>
      <c r="C762" s="3"/>
      <c r="D762" s="37" t="str">
        <f>'13. Desinvesteringen'!C764</f>
        <v>17 Mengstations</v>
      </c>
      <c r="E762" s="37">
        <f>'13. Desinvesteringen'!D764</f>
        <v>2018</v>
      </c>
      <c r="F762" s="42">
        <f>'13. Desinvesteringen'!E764</f>
        <v>95300.17</v>
      </c>
      <c r="G762" s="37">
        <f>'13. Desinvesteringen'!G764</f>
        <v>2025</v>
      </c>
    </row>
    <row r="763" spans="1:7" s="332" customFormat="1">
      <c r="A763" s="3"/>
      <c r="B763" s="37">
        <f>'13. Desinvesteringen'!B765</f>
        <v>746</v>
      </c>
      <c r="C763" s="3"/>
      <c r="D763" s="37" t="str">
        <f>'13. Desinvesteringen'!C765</f>
        <v>21 Hoofdtransportleiding</v>
      </c>
      <c r="E763" s="37">
        <f>'13. Desinvesteringen'!D765</f>
        <v>1964</v>
      </c>
      <c r="F763" s="42">
        <f>'13. Desinvesteringen'!E765</f>
        <v>77865.440000000002</v>
      </c>
      <c r="G763" s="37">
        <f>'13. Desinvesteringen'!G765</f>
        <v>2025</v>
      </c>
    </row>
    <row r="764" spans="1:7" s="332" customFormat="1">
      <c r="A764" s="3"/>
      <c r="B764" s="37">
        <f>'13. Desinvesteringen'!B766</f>
        <v>747</v>
      </c>
      <c r="C764" s="3"/>
      <c r="D764" s="37" t="str">
        <f>'13. Desinvesteringen'!C766</f>
        <v>21 Hoofdtransportleiding</v>
      </c>
      <c r="E764" s="37">
        <f>'13. Desinvesteringen'!D766</f>
        <v>1966</v>
      </c>
      <c r="F764" s="42">
        <f>'13. Desinvesteringen'!E766</f>
        <v>99174.45</v>
      </c>
      <c r="G764" s="37">
        <f>'13. Desinvesteringen'!G766</f>
        <v>2025</v>
      </c>
    </row>
    <row r="765" spans="1:7" s="332" customFormat="1">
      <c r="A765" s="3"/>
      <c r="B765" s="37">
        <f>'13. Desinvesteringen'!B767</f>
        <v>748</v>
      </c>
      <c r="C765" s="3"/>
      <c r="D765" s="37" t="str">
        <f>'13. Desinvesteringen'!C767</f>
        <v>21 Hoofdtransportleiding</v>
      </c>
      <c r="E765" s="37">
        <f>'13. Desinvesteringen'!D767</f>
        <v>1968</v>
      </c>
      <c r="F765" s="42">
        <f>'13. Desinvesteringen'!E767</f>
        <v>7832.59</v>
      </c>
      <c r="G765" s="37">
        <f>'13. Desinvesteringen'!G767</f>
        <v>2025</v>
      </c>
    </row>
    <row r="766" spans="1:7" s="332" customFormat="1">
      <c r="A766" s="3"/>
      <c r="B766" s="37">
        <f>'13. Desinvesteringen'!B768</f>
        <v>749</v>
      </c>
      <c r="C766" s="3"/>
      <c r="D766" s="37" t="str">
        <f>'13. Desinvesteringen'!C768</f>
        <v>21 Hoofdtransportleiding</v>
      </c>
      <c r="E766" s="37">
        <f>'13. Desinvesteringen'!D768</f>
        <v>1970</v>
      </c>
      <c r="F766" s="42">
        <f>'13. Desinvesteringen'!E768</f>
        <v>70000</v>
      </c>
      <c r="G766" s="37">
        <f>'13. Desinvesteringen'!G768</f>
        <v>2025</v>
      </c>
    </row>
    <row r="767" spans="1:7" s="332" customFormat="1">
      <c r="A767" s="3"/>
      <c r="B767" s="37">
        <f>'13. Desinvesteringen'!B769</f>
        <v>750</v>
      </c>
      <c r="C767" s="3"/>
      <c r="D767" s="37" t="str">
        <f>'13. Desinvesteringen'!C769</f>
        <v>21 Hoofdtransportleiding</v>
      </c>
      <c r="E767" s="37">
        <f>'13. Desinvesteringen'!D769</f>
        <v>1971</v>
      </c>
      <c r="F767" s="42">
        <f>'13. Desinvesteringen'!E769</f>
        <v>2807.5</v>
      </c>
      <c r="G767" s="37">
        <f>'13. Desinvesteringen'!G769</f>
        <v>2025</v>
      </c>
    </row>
    <row r="768" spans="1:7" s="332" customFormat="1">
      <c r="A768" s="3"/>
      <c r="B768" s="37">
        <f>'13. Desinvesteringen'!B770</f>
        <v>751</v>
      </c>
      <c r="C768" s="3"/>
      <c r="D768" s="37" t="str">
        <f>'13. Desinvesteringen'!C770</f>
        <v>21 Hoofdtransportleiding</v>
      </c>
      <c r="E768" s="37">
        <f>'13. Desinvesteringen'!D770</f>
        <v>1972</v>
      </c>
      <c r="F768" s="42">
        <f>'13. Desinvesteringen'!E770</f>
        <v>170910.43</v>
      </c>
      <c r="G768" s="37">
        <f>'13. Desinvesteringen'!G770</f>
        <v>2025</v>
      </c>
    </row>
    <row r="769" spans="1:7" s="332" customFormat="1">
      <c r="A769" s="3"/>
      <c r="B769" s="37">
        <f>'13. Desinvesteringen'!B771</f>
        <v>752</v>
      </c>
      <c r="C769" s="3"/>
      <c r="D769" s="37" t="str">
        <f>'13. Desinvesteringen'!C771</f>
        <v>21 Hoofdtransportleiding</v>
      </c>
      <c r="E769" s="37">
        <f>'13. Desinvesteringen'!D771</f>
        <v>1973</v>
      </c>
      <c r="F769" s="42">
        <f>'13. Desinvesteringen'!E771</f>
        <v>148797.57999999999</v>
      </c>
      <c r="G769" s="37">
        <f>'13. Desinvesteringen'!G771</f>
        <v>2025</v>
      </c>
    </row>
    <row r="770" spans="1:7" s="332" customFormat="1">
      <c r="A770" s="3"/>
      <c r="B770" s="37">
        <f>'13. Desinvesteringen'!B772</f>
        <v>753</v>
      </c>
      <c r="C770" s="3"/>
      <c r="D770" s="37" t="str">
        <f>'13. Desinvesteringen'!C772</f>
        <v>21 Hoofdtransportleiding</v>
      </c>
      <c r="E770" s="37">
        <f>'13. Desinvesteringen'!D772</f>
        <v>1975</v>
      </c>
      <c r="F770" s="42">
        <f>'13. Desinvesteringen'!E772</f>
        <v>18564.669999999998</v>
      </c>
      <c r="G770" s="37">
        <f>'13. Desinvesteringen'!G772</f>
        <v>2025</v>
      </c>
    </row>
    <row r="771" spans="1:7" s="332" customFormat="1">
      <c r="A771" s="3"/>
      <c r="B771" s="37">
        <f>'13. Desinvesteringen'!B773</f>
        <v>754</v>
      </c>
      <c r="C771" s="3"/>
      <c r="D771" s="37" t="str">
        <f>'13. Desinvesteringen'!C773</f>
        <v>21 Hoofdtransportleiding</v>
      </c>
      <c r="E771" s="37">
        <f>'13. Desinvesteringen'!D773</f>
        <v>1978</v>
      </c>
      <c r="F771" s="42">
        <f>'13. Desinvesteringen'!E773</f>
        <v>89246.22</v>
      </c>
      <c r="G771" s="37">
        <f>'13. Desinvesteringen'!G773</f>
        <v>2025</v>
      </c>
    </row>
    <row r="772" spans="1:7" s="332" customFormat="1">
      <c r="A772" s="3"/>
      <c r="B772" s="37">
        <f>'13. Desinvesteringen'!B774</f>
        <v>755</v>
      </c>
      <c r="C772" s="3"/>
      <c r="D772" s="37" t="str">
        <f>'13. Desinvesteringen'!C774</f>
        <v>21 Hoofdtransportleiding</v>
      </c>
      <c r="E772" s="37">
        <f>'13. Desinvesteringen'!D774</f>
        <v>1979</v>
      </c>
      <c r="F772" s="42">
        <f>'13. Desinvesteringen'!E774</f>
        <v>91234.26</v>
      </c>
      <c r="G772" s="37">
        <f>'13. Desinvesteringen'!G774</f>
        <v>2025</v>
      </c>
    </row>
    <row r="773" spans="1:7" s="332" customFormat="1">
      <c r="A773" s="3"/>
      <c r="B773" s="37">
        <f>'13. Desinvesteringen'!B775</f>
        <v>756</v>
      </c>
      <c r="C773" s="3"/>
      <c r="D773" s="37" t="str">
        <f>'13. Desinvesteringen'!C775</f>
        <v>21 Hoofdtransportleiding</v>
      </c>
      <c r="E773" s="37">
        <f>'13. Desinvesteringen'!D775</f>
        <v>1980</v>
      </c>
      <c r="F773" s="42">
        <f>'13. Desinvesteringen'!E775</f>
        <v>232659.4</v>
      </c>
      <c r="G773" s="37">
        <f>'13. Desinvesteringen'!G775</f>
        <v>2025</v>
      </c>
    </row>
    <row r="774" spans="1:7" s="332" customFormat="1">
      <c r="A774" s="3"/>
      <c r="B774" s="37">
        <f>'13. Desinvesteringen'!B776</f>
        <v>757</v>
      </c>
      <c r="C774" s="3"/>
      <c r="D774" s="37" t="str">
        <f>'13. Desinvesteringen'!C776</f>
        <v>21 Hoofdtransportleiding</v>
      </c>
      <c r="E774" s="37">
        <f>'13. Desinvesteringen'!D776</f>
        <v>1984</v>
      </c>
      <c r="F774" s="42">
        <f>'13. Desinvesteringen'!E776</f>
        <v>261656.56</v>
      </c>
      <c r="G774" s="37">
        <f>'13. Desinvesteringen'!G776</f>
        <v>2025</v>
      </c>
    </row>
    <row r="775" spans="1:7" s="332" customFormat="1">
      <c r="A775" s="3"/>
      <c r="B775" s="37">
        <f>'13. Desinvesteringen'!B777</f>
        <v>758</v>
      </c>
      <c r="C775" s="3"/>
      <c r="D775" s="37" t="str">
        <f>'13. Desinvesteringen'!C777</f>
        <v>21 Hoofdtransportleiding</v>
      </c>
      <c r="E775" s="37">
        <f>'13. Desinvesteringen'!D777</f>
        <v>1985</v>
      </c>
      <c r="F775" s="42">
        <f>'13. Desinvesteringen'!E777</f>
        <v>27354.11</v>
      </c>
      <c r="G775" s="37">
        <f>'13. Desinvesteringen'!G777</f>
        <v>2025</v>
      </c>
    </row>
    <row r="776" spans="1:7" s="332" customFormat="1">
      <c r="A776" s="3"/>
      <c r="B776" s="37">
        <f>'13. Desinvesteringen'!B778</f>
        <v>759</v>
      </c>
      <c r="C776" s="3"/>
      <c r="D776" s="37" t="str">
        <f>'13. Desinvesteringen'!C778</f>
        <v>21 Hoofdtransportleiding</v>
      </c>
      <c r="E776" s="37">
        <f>'13. Desinvesteringen'!D778</f>
        <v>1996</v>
      </c>
      <c r="F776" s="42">
        <f>'13. Desinvesteringen'!E778</f>
        <v>9238.51</v>
      </c>
      <c r="G776" s="37">
        <f>'13. Desinvesteringen'!G778</f>
        <v>2025</v>
      </c>
    </row>
    <row r="777" spans="1:7" s="332" customFormat="1">
      <c r="A777" s="3"/>
      <c r="B777" s="37">
        <f>'13. Desinvesteringen'!B779</f>
        <v>760</v>
      </c>
      <c r="C777" s="3"/>
      <c r="D777" s="37" t="str">
        <f>'13. Desinvesteringen'!C779</f>
        <v>21 Hoofdtransportleiding</v>
      </c>
      <c r="E777" s="37">
        <f>'13. Desinvesteringen'!D779</f>
        <v>2005</v>
      </c>
      <c r="F777" s="42">
        <f>'13. Desinvesteringen'!E779</f>
        <v>13067.35</v>
      </c>
      <c r="G777" s="37">
        <f>'13. Desinvesteringen'!G779</f>
        <v>2025</v>
      </c>
    </row>
    <row r="778" spans="1:7" s="332" customFormat="1">
      <c r="A778" s="3"/>
      <c r="B778" s="37">
        <f>'13. Desinvesteringen'!B780</f>
        <v>761</v>
      </c>
      <c r="C778" s="3"/>
      <c r="D778" s="37" t="str">
        <f>'13. Desinvesteringen'!C780</f>
        <v>21 Hoofdtransportleiding</v>
      </c>
      <c r="E778" s="37">
        <f>'13. Desinvesteringen'!D780</f>
        <v>2010</v>
      </c>
      <c r="F778" s="42">
        <f>'13. Desinvesteringen'!E780</f>
        <v>94765.099999999991</v>
      </c>
      <c r="G778" s="37">
        <f>'13. Desinvesteringen'!G780</f>
        <v>2025</v>
      </c>
    </row>
    <row r="779" spans="1:7" s="332" customFormat="1">
      <c r="A779" s="3"/>
      <c r="B779" s="37">
        <f>'13. Desinvesteringen'!B781</f>
        <v>762</v>
      </c>
      <c r="C779" s="3"/>
      <c r="D779" s="37" t="str">
        <f>'13. Desinvesteringen'!C781</f>
        <v>21 Hoofdtransportleiding</v>
      </c>
      <c r="E779" s="37">
        <f>'13. Desinvesteringen'!D781</f>
        <v>2015</v>
      </c>
      <c r="F779" s="42">
        <f>'13. Desinvesteringen'!E781</f>
        <v>5962.19</v>
      </c>
      <c r="G779" s="37">
        <f>'13. Desinvesteringen'!G781</f>
        <v>2025</v>
      </c>
    </row>
    <row r="780" spans="1:7" s="332" customFormat="1">
      <c r="A780" s="3"/>
      <c r="B780" s="37">
        <f>'13. Desinvesteringen'!B782</f>
        <v>763</v>
      </c>
      <c r="C780" s="3"/>
      <c r="D780" s="37" t="str">
        <f>'13. Desinvesteringen'!C782</f>
        <v>21 Hoofdtransportleiding</v>
      </c>
      <c r="E780" s="37">
        <f>'13. Desinvesteringen'!D782</f>
        <v>2016</v>
      </c>
      <c r="F780" s="42">
        <f>'13. Desinvesteringen'!E782</f>
        <v>104948.47</v>
      </c>
      <c r="G780" s="37">
        <f>'13. Desinvesteringen'!G782</f>
        <v>2025</v>
      </c>
    </row>
    <row r="781" spans="1:7" s="332" customFormat="1">
      <c r="A781" s="3"/>
      <c r="B781" s="37">
        <f>'13. Desinvesteringen'!B783</f>
        <v>764</v>
      </c>
      <c r="C781" s="3"/>
      <c r="D781" s="37" t="str">
        <f>'13. Desinvesteringen'!C783</f>
        <v>21 Hoofdtransportleiding</v>
      </c>
      <c r="E781" s="37">
        <f>'13. Desinvesteringen'!D783</f>
        <v>2018</v>
      </c>
      <c r="F781" s="42">
        <f>'13. Desinvesteringen'!E783</f>
        <v>54575.82</v>
      </c>
      <c r="G781" s="37">
        <f>'13. Desinvesteringen'!G783</f>
        <v>2025</v>
      </c>
    </row>
    <row r="782" spans="1:7" s="332" customFormat="1">
      <c r="A782" s="3"/>
      <c r="B782" s="37">
        <f>'13. Desinvesteringen'!B784</f>
        <v>765</v>
      </c>
      <c r="C782" s="3"/>
      <c r="D782" s="37" t="str">
        <f>'13. Desinvesteringen'!C784</f>
        <v>21 Hoofdtransportleiding</v>
      </c>
      <c r="E782" s="37">
        <f>'13. Desinvesteringen'!D784</f>
        <v>2021</v>
      </c>
      <c r="F782" s="42">
        <f>'13. Desinvesteringen'!E784</f>
        <v>45.76</v>
      </c>
      <c r="G782" s="37">
        <f>'13. Desinvesteringen'!G784</f>
        <v>2025</v>
      </c>
    </row>
    <row r="783" spans="1:7" s="332" customFormat="1">
      <c r="A783" s="3"/>
      <c r="B783" s="37">
        <f>'13. Desinvesteringen'!B785</f>
        <v>766</v>
      </c>
      <c r="C783" s="3"/>
      <c r="D783" s="37" t="str">
        <f>'13. Desinvesteringen'!C785</f>
        <v>21 Hoofdtransportleiding</v>
      </c>
      <c r="E783" s="37">
        <f>'13. Desinvesteringen'!D785</f>
        <v>2022</v>
      </c>
      <c r="F783" s="42">
        <f>'13. Desinvesteringen'!E785</f>
        <v>217452.82</v>
      </c>
      <c r="G783" s="37">
        <f>'13. Desinvesteringen'!G785</f>
        <v>2025</v>
      </c>
    </row>
    <row r="784" spans="1:7" s="332" customFormat="1">
      <c r="A784" s="3"/>
      <c r="B784" s="37">
        <f>'13. Desinvesteringen'!B786</f>
        <v>767</v>
      </c>
      <c r="C784" s="3"/>
      <c r="D784" s="37" t="str">
        <f>'13. Desinvesteringen'!C786</f>
        <v>32 M&amp;R stations</v>
      </c>
      <c r="E784" s="37">
        <f>'13. Desinvesteringen'!D786</f>
        <v>1966</v>
      </c>
      <c r="F784" s="42">
        <f>'13. Desinvesteringen'!E786</f>
        <v>1942.4</v>
      </c>
      <c r="G784" s="37">
        <f>'13. Desinvesteringen'!G786</f>
        <v>2025</v>
      </c>
    </row>
    <row r="785" spans="1:7" s="332" customFormat="1">
      <c r="A785" s="3"/>
      <c r="B785" s="37">
        <f>'13. Desinvesteringen'!B787</f>
        <v>768</v>
      </c>
      <c r="C785" s="3"/>
      <c r="D785" s="37" t="str">
        <f>'13. Desinvesteringen'!C787</f>
        <v>32 M&amp;R stations</v>
      </c>
      <c r="E785" s="37">
        <f>'13. Desinvesteringen'!D787</f>
        <v>2006</v>
      </c>
      <c r="F785" s="42">
        <f>'13. Desinvesteringen'!E787</f>
        <v>28075.7</v>
      </c>
      <c r="G785" s="37">
        <f>'13. Desinvesteringen'!G787</f>
        <v>2025</v>
      </c>
    </row>
    <row r="786" spans="1:7" s="332" customFormat="1">
      <c r="A786" s="3"/>
      <c r="B786" s="37">
        <f>'13. Desinvesteringen'!B788</f>
        <v>769</v>
      </c>
      <c r="C786" s="3"/>
      <c r="D786" s="37" t="str">
        <f>'13. Desinvesteringen'!C788</f>
        <v>33 Exportstations</v>
      </c>
      <c r="E786" s="37">
        <f>'13. Desinvesteringen'!D788</f>
        <v>1966</v>
      </c>
      <c r="F786" s="42">
        <f>'13. Desinvesteringen'!E788</f>
        <v>379080.76</v>
      </c>
      <c r="G786" s="37">
        <f>'13. Desinvesteringen'!G788</f>
        <v>2025</v>
      </c>
    </row>
    <row r="787" spans="1:7" s="332" customFormat="1">
      <c r="A787" s="3"/>
      <c r="B787" s="37">
        <f>'13. Desinvesteringen'!B789</f>
        <v>770</v>
      </c>
      <c r="C787" s="3"/>
      <c r="D787" s="37" t="str">
        <f>'13. Desinvesteringen'!C789</f>
        <v>33 Exportstations</v>
      </c>
      <c r="E787" s="37">
        <f>'13. Desinvesteringen'!D789</f>
        <v>1980</v>
      </c>
      <c r="F787" s="42">
        <f>'13. Desinvesteringen'!E789</f>
        <v>84708.06</v>
      </c>
      <c r="G787" s="37">
        <f>'13. Desinvesteringen'!G789</f>
        <v>2025</v>
      </c>
    </row>
    <row r="788" spans="1:7" s="332" customFormat="1">
      <c r="A788" s="3"/>
      <c r="B788" s="37">
        <f>'13. Desinvesteringen'!B790</f>
        <v>771</v>
      </c>
      <c r="C788" s="3"/>
      <c r="D788" s="37" t="str">
        <f>'13. Desinvesteringen'!C790</f>
        <v>33 Exportstations</v>
      </c>
      <c r="E788" s="37">
        <f>'13. Desinvesteringen'!D790</f>
        <v>1982</v>
      </c>
      <c r="F788" s="42">
        <f>'13. Desinvesteringen'!E790</f>
        <v>30674.639999999999</v>
      </c>
      <c r="G788" s="37">
        <f>'13. Desinvesteringen'!G790</f>
        <v>2025</v>
      </c>
    </row>
    <row r="789" spans="1:7" s="332" customFormat="1">
      <c r="A789" s="3"/>
      <c r="B789" s="37">
        <f>'13. Desinvesteringen'!B791</f>
        <v>772</v>
      </c>
      <c r="C789" s="3"/>
      <c r="D789" s="37" t="str">
        <f>'13. Desinvesteringen'!C791</f>
        <v>33 Exportstations</v>
      </c>
      <c r="E789" s="37">
        <f>'13. Desinvesteringen'!D791</f>
        <v>1998</v>
      </c>
      <c r="F789" s="42">
        <f>'13. Desinvesteringen'!E791</f>
        <v>43038.32</v>
      </c>
      <c r="G789" s="37">
        <f>'13. Desinvesteringen'!G791</f>
        <v>2025</v>
      </c>
    </row>
    <row r="790" spans="1:7" s="332" customFormat="1">
      <c r="A790" s="3"/>
      <c r="B790" s="37">
        <f>'13. Desinvesteringen'!B792</f>
        <v>773</v>
      </c>
      <c r="C790" s="3"/>
      <c r="D790" s="37" t="str">
        <f>'13. Desinvesteringen'!C792</f>
        <v>33 Exportstations</v>
      </c>
      <c r="E790" s="37">
        <f>'13. Desinvesteringen'!D792</f>
        <v>2005</v>
      </c>
      <c r="F790" s="42">
        <f>'13. Desinvesteringen'!E792</f>
        <v>173542.6</v>
      </c>
      <c r="G790" s="37">
        <f>'13. Desinvesteringen'!G792</f>
        <v>2025</v>
      </c>
    </row>
    <row r="791" spans="1:7" s="332" customFormat="1">
      <c r="A791" s="3"/>
      <c r="B791" s="37">
        <f>'13. Desinvesteringen'!B793</f>
        <v>774</v>
      </c>
      <c r="C791" s="3"/>
      <c r="D791" s="37" t="str">
        <f>'13. Desinvesteringen'!C793</f>
        <v>33 Exportstations</v>
      </c>
      <c r="E791" s="37">
        <f>'13. Desinvesteringen'!D793</f>
        <v>2006</v>
      </c>
      <c r="F791" s="42">
        <f>'13. Desinvesteringen'!E793</f>
        <v>13931.96</v>
      </c>
      <c r="G791" s="37">
        <f>'13. Desinvesteringen'!G793</f>
        <v>2025</v>
      </c>
    </row>
    <row r="792" spans="1:7" s="332" customFormat="1">
      <c r="A792" s="3"/>
      <c r="B792" s="37">
        <f>'13. Desinvesteringen'!B794</f>
        <v>775</v>
      </c>
      <c r="C792" s="3"/>
      <c r="D792" s="37" t="str">
        <f>'13. Desinvesteringen'!C794</f>
        <v>33 Exportstations</v>
      </c>
      <c r="E792" s="37">
        <f>'13. Desinvesteringen'!D794</f>
        <v>2009</v>
      </c>
      <c r="F792" s="42">
        <f>'13. Desinvesteringen'!E794</f>
        <v>20943.189999999999</v>
      </c>
      <c r="G792" s="37">
        <f>'13. Desinvesteringen'!G794</f>
        <v>2025</v>
      </c>
    </row>
    <row r="793" spans="1:7" s="332" customFormat="1">
      <c r="A793" s="3"/>
      <c r="B793" s="37">
        <f>'13. Desinvesteringen'!B795</f>
        <v>776</v>
      </c>
      <c r="C793" s="3"/>
      <c r="D793" s="37" t="str">
        <f>'13. Desinvesteringen'!C795</f>
        <v>33 Exportstations</v>
      </c>
      <c r="E793" s="37">
        <f>'13. Desinvesteringen'!D795</f>
        <v>2011</v>
      </c>
      <c r="F793" s="42">
        <f>'13. Desinvesteringen'!E795</f>
        <v>299723.8</v>
      </c>
      <c r="G793" s="37">
        <f>'13. Desinvesteringen'!G795</f>
        <v>2025</v>
      </c>
    </row>
    <row r="794" spans="1:7" s="332" customFormat="1">
      <c r="A794" s="3"/>
      <c r="B794" s="37">
        <f>'13. Desinvesteringen'!B796</f>
        <v>777</v>
      </c>
      <c r="C794" s="3"/>
      <c r="D794" s="37" t="str">
        <f>'13. Desinvesteringen'!C796</f>
        <v>33 Exportstations</v>
      </c>
      <c r="E794" s="37">
        <f>'13. Desinvesteringen'!D796</f>
        <v>2016</v>
      </c>
      <c r="F794" s="42">
        <f>'13. Desinvesteringen'!E796</f>
        <v>139526.74</v>
      </c>
      <c r="G794" s="37">
        <f>'13. Desinvesteringen'!G796</f>
        <v>2025</v>
      </c>
    </row>
    <row r="795" spans="1:7" s="332" customFormat="1">
      <c r="A795" s="3"/>
      <c r="B795" s="37">
        <f>'13. Desinvesteringen'!B797</f>
        <v>778</v>
      </c>
      <c r="C795" s="3"/>
      <c r="D795" s="37" t="str">
        <f>'13. Desinvesteringen'!C797</f>
        <v>33 Exportstations</v>
      </c>
      <c r="E795" s="37">
        <f>'13. Desinvesteringen'!D797</f>
        <v>2023</v>
      </c>
      <c r="F795" s="42">
        <f>'13. Desinvesteringen'!E797</f>
        <v>33018.629999999997</v>
      </c>
      <c r="G795" s="37">
        <f>'13. Desinvesteringen'!G797</f>
        <v>2025</v>
      </c>
    </row>
    <row r="796" spans="1:7" s="332" customFormat="1">
      <c r="A796" s="3"/>
      <c r="B796" s="37">
        <f>'13. Desinvesteringen'!B798</f>
        <v>779</v>
      </c>
      <c r="C796" s="3"/>
      <c r="D796" s="37" t="str">
        <f>'13. Desinvesteringen'!C798</f>
        <v>34 Reduceerstations</v>
      </c>
      <c r="E796" s="37">
        <f>'13. Desinvesteringen'!D798</f>
        <v>1979</v>
      </c>
      <c r="F796" s="42">
        <f>'13. Desinvesteringen'!E798</f>
        <v>423038.97</v>
      </c>
      <c r="G796" s="37">
        <f>'13. Desinvesteringen'!G798</f>
        <v>2025</v>
      </c>
    </row>
    <row r="797" spans="1:7" s="332" customFormat="1">
      <c r="A797" s="3"/>
      <c r="B797" s="37">
        <f>'13. Desinvesteringen'!B799</f>
        <v>780</v>
      </c>
      <c r="C797" s="3"/>
      <c r="D797" s="37" t="str">
        <f>'13. Desinvesteringen'!C799</f>
        <v>34 Reduceerstations</v>
      </c>
      <c r="E797" s="37">
        <f>'13. Desinvesteringen'!D799</f>
        <v>1998</v>
      </c>
      <c r="F797" s="42">
        <f>'13. Desinvesteringen'!E799</f>
        <v>277145.73</v>
      </c>
      <c r="G797" s="37">
        <f>'13. Desinvesteringen'!G799</f>
        <v>2025</v>
      </c>
    </row>
    <row r="798" spans="1:7" s="332" customFormat="1">
      <c r="A798" s="3"/>
      <c r="B798" s="37">
        <f>'13. Desinvesteringen'!B800</f>
        <v>781</v>
      </c>
      <c r="C798" s="3"/>
      <c r="D798" s="37" t="str">
        <f>'13. Desinvesteringen'!C800</f>
        <v>34 Reduceerstations</v>
      </c>
      <c r="E798" s="37">
        <f>'13. Desinvesteringen'!D800</f>
        <v>2010</v>
      </c>
      <c r="F798" s="42">
        <f>'13. Desinvesteringen'!E800</f>
        <v>183780.12</v>
      </c>
      <c r="G798" s="37">
        <f>'13. Desinvesteringen'!G800</f>
        <v>2025</v>
      </c>
    </row>
    <row r="799" spans="1:7" s="332" customFormat="1">
      <c r="A799" s="3"/>
      <c r="B799" s="37">
        <f>'13. Desinvesteringen'!B801</f>
        <v>782</v>
      </c>
      <c r="C799" s="3"/>
      <c r="D799" s="37" t="str">
        <f>'13. Desinvesteringen'!C801</f>
        <v>36 Luchtscheidingsunit</v>
      </c>
      <c r="E799" s="37">
        <f>'13. Desinvesteringen'!D801</f>
        <v>1988</v>
      </c>
      <c r="F799" s="42">
        <f>'13. Desinvesteringen'!E801</f>
        <v>28938.61</v>
      </c>
      <c r="G799" s="37">
        <f>'13. Desinvesteringen'!G801</f>
        <v>2025</v>
      </c>
    </row>
    <row r="801" spans="1:16383">
      <c r="A801" s="8"/>
      <c r="B801" s="8" t="s">
        <v>970</v>
      </c>
      <c r="C801" s="8"/>
      <c r="D801" s="8"/>
      <c r="E801" s="111">
        <v>1946</v>
      </c>
      <c r="F801" s="111">
        <v>1947</v>
      </c>
      <c r="G801" s="111">
        <v>1948</v>
      </c>
      <c r="H801" s="111">
        <v>1949</v>
      </c>
      <c r="I801" s="111">
        <v>1950</v>
      </c>
      <c r="J801" s="111">
        <v>1951</v>
      </c>
      <c r="K801" s="111">
        <v>1952</v>
      </c>
      <c r="L801" s="111">
        <v>1953</v>
      </c>
      <c r="M801" s="111">
        <v>1954</v>
      </c>
      <c r="N801" s="111">
        <v>1955</v>
      </c>
      <c r="O801" s="111">
        <v>1956</v>
      </c>
      <c r="P801" s="111">
        <v>1957</v>
      </c>
      <c r="Q801" s="111">
        <v>1958</v>
      </c>
      <c r="R801" s="111">
        <v>1959</v>
      </c>
      <c r="S801" s="111">
        <v>1960</v>
      </c>
      <c r="T801" s="111">
        <v>1961</v>
      </c>
      <c r="U801" s="111">
        <v>1962</v>
      </c>
      <c r="V801" s="111">
        <v>1963</v>
      </c>
      <c r="W801" s="111">
        <v>1964</v>
      </c>
      <c r="X801" s="111">
        <v>1965</v>
      </c>
      <c r="Y801" s="111">
        <v>1966</v>
      </c>
      <c r="Z801" s="111">
        <v>1967</v>
      </c>
      <c r="AA801" s="111">
        <v>1968</v>
      </c>
      <c r="AB801" s="111">
        <v>1969</v>
      </c>
      <c r="AC801" s="111">
        <v>1970</v>
      </c>
      <c r="AD801" s="111">
        <v>1971</v>
      </c>
      <c r="AE801" s="111">
        <v>1972</v>
      </c>
      <c r="AF801" s="111">
        <v>1973</v>
      </c>
      <c r="AG801" s="111">
        <v>1974</v>
      </c>
      <c r="AH801" s="111">
        <v>1975</v>
      </c>
      <c r="AI801" s="111">
        <v>1976</v>
      </c>
      <c r="AJ801" s="8">
        <v>1977</v>
      </c>
      <c r="AK801" s="8">
        <v>1978</v>
      </c>
      <c r="AL801" s="8">
        <v>1979</v>
      </c>
      <c r="AM801" s="8">
        <v>1980</v>
      </c>
      <c r="AN801" s="8">
        <v>1981</v>
      </c>
      <c r="AO801" s="8">
        <v>1982</v>
      </c>
      <c r="AP801" s="8">
        <v>1983</v>
      </c>
      <c r="AQ801" s="8">
        <v>1984</v>
      </c>
      <c r="AR801" s="8">
        <v>1985</v>
      </c>
      <c r="AS801" s="8">
        <v>1986</v>
      </c>
      <c r="AT801" s="8">
        <v>1987</v>
      </c>
      <c r="AU801" s="8">
        <v>1988</v>
      </c>
      <c r="AV801" s="8">
        <v>1989</v>
      </c>
      <c r="AW801" s="8">
        <v>1990</v>
      </c>
      <c r="AX801" s="8">
        <v>1991</v>
      </c>
      <c r="AY801" s="8">
        <v>1992</v>
      </c>
      <c r="AZ801" s="8">
        <v>1993</v>
      </c>
      <c r="BA801" s="8">
        <v>1994</v>
      </c>
      <c r="BB801" s="8">
        <v>1995</v>
      </c>
      <c r="BC801" s="8">
        <v>1996</v>
      </c>
      <c r="BD801" s="8">
        <v>1997</v>
      </c>
      <c r="BE801" s="8">
        <v>1998</v>
      </c>
      <c r="BF801" s="8">
        <v>1999</v>
      </c>
      <c r="BG801" s="8">
        <v>2000</v>
      </c>
      <c r="BH801" s="8">
        <v>2001</v>
      </c>
      <c r="BI801" s="8">
        <v>2002</v>
      </c>
      <c r="BJ801" s="8">
        <v>2003</v>
      </c>
      <c r="BK801" s="8">
        <v>2004</v>
      </c>
      <c r="BL801" s="8">
        <v>2005</v>
      </c>
      <c r="BM801" s="8">
        <v>2006</v>
      </c>
      <c r="BN801" s="8">
        <v>2007</v>
      </c>
      <c r="BO801" s="8">
        <v>2008</v>
      </c>
      <c r="BP801" s="8">
        <v>2009</v>
      </c>
      <c r="BQ801" s="8">
        <v>2010</v>
      </c>
      <c r="BR801" s="8">
        <v>2011</v>
      </c>
      <c r="BS801" s="8">
        <v>2012</v>
      </c>
      <c r="BT801" s="8">
        <v>2013</v>
      </c>
      <c r="BU801" s="8">
        <v>2014</v>
      </c>
      <c r="BV801" s="8">
        <v>2015</v>
      </c>
      <c r="BW801" s="8">
        <v>2016</v>
      </c>
      <c r="BX801" s="8">
        <v>2017</v>
      </c>
      <c r="BY801" s="8">
        <v>2018</v>
      </c>
      <c r="BZ801" s="8">
        <v>2019</v>
      </c>
      <c r="CA801" s="8">
        <v>2020</v>
      </c>
      <c r="CB801" s="8">
        <v>2021</v>
      </c>
      <c r="CC801" s="8">
        <v>2022</v>
      </c>
      <c r="CD801" s="8">
        <v>2023</v>
      </c>
      <c r="CE801" s="8">
        <v>2024</v>
      </c>
      <c r="CF801" s="8">
        <v>2025</v>
      </c>
      <c r="CG801" s="8">
        <v>2026</v>
      </c>
      <c r="CH801" s="111"/>
      <c r="CI801" s="111"/>
      <c r="CJ801" s="111"/>
      <c r="CK801" s="111"/>
      <c r="CL801" s="111"/>
      <c r="CM801" s="111"/>
      <c r="CN801" s="111"/>
      <c r="CO801" s="111"/>
      <c r="CP801" s="111"/>
      <c r="CQ801" s="111"/>
      <c r="CR801" s="111"/>
      <c r="CS801" s="111"/>
      <c r="CT801" s="111"/>
      <c r="CU801" s="111"/>
      <c r="CV801" s="111"/>
      <c r="CW801" s="111"/>
      <c r="CX801" s="111"/>
      <c r="CY801" s="111"/>
      <c r="CZ801" s="111"/>
      <c r="DA801" s="111"/>
      <c r="DB801" s="111"/>
      <c r="DC801" s="111"/>
      <c r="DD801" s="111"/>
      <c r="DE801" s="111"/>
      <c r="DF801" s="111"/>
      <c r="DG801" s="111"/>
      <c r="DH801" s="111"/>
      <c r="DI801" s="111"/>
      <c r="DJ801" s="111"/>
      <c r="DK801" s="111"/>
      <c r="DL801" s="111"/>
      <c r="DM801" s="111"/>
      <c r="DN801" s="111"/>
      <c r="DO801" s="111"/>
      <c r="DP801" s="111"/>
      <c r="DQ801" s="111"/>
      <c r="DR801" s="111"/>
      <c r="DS801" s="111"/>
      <c r="DT801" s="111"/>
      <c r="DU801" s="111"/>
      <c r="DV801" s="111"/>
      <c r="DW801" s="111"/>
      <c r="DX801" s="111"/>
      <c r="DY801" s="111"/>
      <c r="DZ801" s="111"/>
      <c r="EA801" s="111"/>
      <c r="EB801" s="111"/>
      <c r="EC801" s="111"/>
      <c r="ED801" s="111"/>
      <c r="EE801" s="111"/>
      <c r="EF801" s="111"/>
      <c r="EG801" s="111"/>
      <c r="EH801" s="111"/>
      <c r="EI801" s="111"/>
      <c r="EJ801" s="111"/>
      <c r="EK801" s="111"/>
      <c r="EL801" s="111"/>
      <c r="EM801" s="111"/>
      <c r="EN801" s="111"/>
      <c r="EO801" s="111"/>
      <c r="EP801" s="111"/>
      <c r="EQ801" s="111"/>
      <c r="ER801" s="111"/>
      <c r="ES801" s="111"/>
      <c r="ET801" s="111"/>
      <c r="EU801" s="111"/>
      <c r="EV801" s="111"/>
      <c r="EW801" s="111"/>
      <c r="EX801" s="111"/>
      <c r="EY801" s="111"/>
      <c r="EZ801" s="111"/>
      <c r="FA801" s="111"/>
      <c r="FB801" s="111"/>
      <c r="FC801" s="111"/>
      <c r="FD801" s="111"/>
      <c r="FE801" s="111"/>
      <c r="FF801" s="111"/>
      <c r="FG801" s="111"/>
      <c r="FH801" s="111"/>
      <c r="FI801" s="111"/>
      <c r="FJ801" s="111"/>
      <c r="FK801" s="111"/>
      <c r="FL801" s="111"/>
      <c r="FM801" s="111"/>
      <c r="FN801" s="111"/>
      <c r="FO801" s="111"/>
      <c r="FP801" s="111"/>
      <c r="FQ801" s="111"/>
      <c r="FR801" s="111"/>
      <c r="FS801" s="111"/>
      <c r="FT801" s="111"/>
      <c r="FU801" s="111"/>
      <c r="FV801" s="111"/>
      <c r="FW801" s="111"/>
      <c r="FX801" s="111"/>
      <c r="FY801" s="111"/>
      <c r="FZ801" s="111"/>
      <c r="GA801" s="111"/>
      <c r="GB801" s="111"/>
      <c r="GC801" s="111"/>
      <c r="GD801" s="111"/>
      <c r="GE801" s="111"/>
      <c r="GF801" s="111"/>
      <c r="GG801" s="111"/>
      <c r="GH801" s="111"/>
      <c r="GI801" s="111"/>
      <c r="GJ801" s="111"/>
      <c r="GK801" s="111"/>
      <c r="GL801" s="111"/>
      <c r="GM801" s="111"/>
      <c r="GN801" s="111"/>
      <c r="GO801" s="111"/>
      <c r="GP801" s="111"/>
      <c r="GQ801" s="111"/>
      <c r="GR801" s="111"/>
      <c r="GS801" s="111"/>
      <c r="GT801" s="111"/>
      <c r="GU801" s="111"/>
      <c r="GV801" s="111"/>
      <c r="GW801" s="111"/>
      <c r="GX801" s="111"/>
      <c r="GY801" s="111"/>
      <c r="GZ801" s="111"/>
      <c r="HA801" s="111"/>
      <c r="HB801" s="111"/>
      <c r="HC801" s="111"/>
      <c r="HD801" s="111"/>
      <c r="HE801" s="111"/>
      <c r="HF801" s="111"/>
      <c r="HG801" s="111"/>
      <c r="HH801" s="111"/>
      <c r="HI801" s="111"/>
      <c r="HJ801" s="111"/>
      <c r="HK801" s="111"/>
      <c r="HL801" s="111"/>
      <c r="HM801" s="111"/>
      <c r="HN801" s="111"/>
      <c r="HO801" s="111"/>
      <c r="HP801" s="111"/>
      <c r="HQ801" s="111"/>
      <c r="HR801" s="111"/>
      <c r="HS801" s="111"/>
      <c r="HT801" s="111"/>
      <c r="HU801" s="111"/>
      <c r="HV801" s="111"/>
      <c r="HW801" s="111"/>
      <c r="HX801" s="111"/>
      <c r="HY801" s="111"/>
      <c r="HZ801" s="111"/>
      <c r="IA801" s="111"/>
      <c r="IB801" s="111"/>
      <c r="IC801" s="111"/>
      <c r="ID801" s="111"/>
      <c r="IE801" s="111"/>
      <c r="IF801" s="111"/>
      <c r="IG801" s="111"/>
      <c r="IH801" s="111"/>
      <c r="II801" s="111"/>
      <c r="IJ801" s="111"/>
      <c r="IK801" s="111"/>
      <c r="IL801" s="111"/>
      <c r="IM801" s="111"/>
      <c r="IN801" s="111"/>
      <c r="IO801" s="111"/>
      <c r="IP801" s="111"/>
      <c r="IQ801" s="111"/>
      <c r="IR801" s="111"/>
      <c r="IS801" s="111"/>
      <c r="IT801" s="111"/>
      <c r="IU801" s="111"/>
      <c r="IV801" s="111"/>
      <c r="IW801" s="111"/>
      <c r="IX801" s="111"/>
      <c r="IY801" s="111"/>
      <c r="IZ801" s="111"/>
      <c r="JA801" s="111"/>
      <c r="JB801" s="111"/>
      <c r="JC801" s="111"/>
      <c r="JD801" s="111"/>
      <c r="JE801" s="111"/>
      <c r="JF801" s="111"/>
      <c r="JG801" s="111"/>
      <c r="JH801" s="111"/>
      <c r="JI801" s="111"/>
      <c r="JJ801" s="111"/>
      <c r="JK801" s="111"/>
      <c r="JL801" s="111"/>
      <c r="JM801" s="111"/>
      <c r="JN801" s="111"/>
      <c r="JO801" s="111"/>
      <c r="JP801" s="111"/>
      <c r="JQ801" s="111"/>
      <c r="JR801" s="111"/>
      <c r="JS801" s="111"/>
      <c r="JT801" s="111"/>
      <c r="JU801" s="111"/>
      <c r="JV801" s="111"/>
      <c r="JW801" s="111"/>
      <c r="JX801" s="111"/>
      <c r="JY801" s="111"/>
      <c r="JZ801" s="111"/>
      <c r="KA801" s="111"/>
      <c r="KB801" s="111"/>
      <c r="KC801" s="111"/>
      <c r="KD801" s="111"/>
      <c r="KE801" s="111"/>
      <c r="KF801" s="111"/>
      <c r="KG801" s="111"/>
      <c r="KH801" s="111"/>
      <c r="KI801" s="111"/>
      <c r="KJ801" s="111"/>
      <c r="KK801" s="111"/>
      <c r="KL801" s="111"/>
      <c r="KM801" s="111"/>
      <c r="KN801" s="111"/>
      <c r="KO801" s="111"/>
      <c r="KP801" s="111"/>
      <c r="KQ801" s="111"/>
      <c r="KR801" s="111"/>
      <c r="KS801" s="111"/>
      <c r="KT801" s="111"/>
      <c r="KU801" s="111"/>
      <c r="KV801" s="111"/>
      <c r="KW801" s="111"/>
      <c r="KX801" s="111"/>
      <c r="KY801" s="111"/>
      <c r="KZ801" s="111"/>
      <c r="LA801" s="111"/>
      <c r="LB801" s="111"/>
      <c r="LC801" s="111"/>
      <c r="LD801" s="111"/>
      <c r="LE801" s="111"/>
      <c r="LF801" s="111"/>
      <c r="LG801" s="111"/>
      <c r="LH801" s="111"/>
      <c r="LI801" s="111"/>
      <c r="LJ801" s="111"/>
      <c r="LK801" s="111"/>
      <c r="LL801" s="111"/>
      <c r="LM801" s="111"/>
      <c r="LN801" s="111"/>
      <c r="LO801" s="111"/>
      <c r="LP801" s="111"/>
      <c r="LQ801" s="111"/>
      <c r="LR801" s="111"/>
      <c r="LS801" s="111"/>
      <c r="LT801" s="111"/>
      <c r="LU801" s="111"/>
      <c r="LV801" s="111"/>
      <c r="LW801" s="111"/>
      <c r="LX801" s="111"/>
      <c r="LY801" s="111"/>
      <c r="LZ801" s="111"/>
      <c r="MA801" s="111"/>
      <c r="MB801" s="111"/>
      <c r="MC801" s="111"/>
      <c r="MD801" s="111"/>
      <c r="ME801" s="111"/>
      <c r="MF801" s="111"/>
      <c r="MG801" s="111"/>
      <c r="MH801" s="111"/>
      <c r="MI801" s="111"/>
      <c r="MJ801" s="111"/>
      <c r="MK801" s="111"/>
      <c r="ML801" s="111"/>
      <c r="MM801" s="111"/>
      <c r="MN801" s="111"/>
      <c r="MO801" s="111"/>
      <c r="MP801" s="111"/>
      <c r="MQ801" s="111"/>
      <c r="MR801" s="111"/>
      <c r="MS801" s="111"/>
      <c r="MT801" s="111"/>
      <c r="MU801" s="111"/>
      <c r="MV801" s="111"/>
      <c r="MW801" s="111"/>
      <c r="MX801" s="111"/>
      <c r="MY801" s="111"/>
      <c r="MZ801" s="111"/>
      <c r="NA801" s="111"/>
      <c r="NB801" s="111"/>
      <c r="NC801" s="111"/>
      <c r="ND801" s="111"/>
      <c r="NE801" s="111"/>
      <c r="NF801" s="111"/>
      <c r="NG801" s="111"/>
      <c r="NH801" s="111"/>
      <c r="NI801" s="111"/>
      <c r="NJ801" s="111"/>
      <c r="NK801" s="111"/>
      <c r="NL801" s="111"/>
      <c r="NM801" s="111"/>
      <c r="NN801" s="111"/>
      <c r="NO801" s="111"/>
      <c r="NP801" s="111"/>
      <c r="NQ801" s="111"/>
      <c r="NR801" s="111"/>
      <c r="NS801" s="111"/>
      <c r="NT801" s="111"/>
      <c r="NU801" s="111"/>
      <c r="NV801" s="111"/>
      <c r="NW801" s="111"/>
      <c r="NX801" s="111"/>
      <c r="NY801" s="111"/>
      <c r="NZ801" s="111"/>
      <c r="OA801" s="111"/>
      <c r="OB801" s="111"/>
      <c r="OC801" s="111"/>
      <c r="OD801" s="111"/>
      <c r="OE801" s="111"/>
      <c r="OF801" s="111"/>
      <c r="OG801" s="111"/>
      <c r="OH801" s="111"/>
      <c r="OI801" s="111"/>
      <c r="OJ801" s="111"/>
      <c r="OK801" s="111"/>
      <c r="OL801" s="111"/>
      <c r="OM801" s="111"/>
      <c r="ON801" s="111"/>
      <c r="OO801" s="111"/>
      <c r="OP801" s="111"/>
      <c r="OQ801" s="111"/>
      <c r="OR801" s="111"/>
      <c r="OS801" s="111"/>
      <c r="OT801" s="111"/>
      <c r="OU801" s="111"/>
      <c r="OV801" s="111"/>
      <c r="OW801" s="111"/>
      <c r="OX801" s="111"/>
      <c r="OY801" s="111"/>
      <c r="OZ801" s="111"/>
      <c r="PA801" s="111"/>
      <c r="PB801" s="111"/>
      <c r="PC801" s="111"/>
      <c r="PD801" s="111"/>
      <c r="PE801" s="111"/>
      <c r="PF801" s="111"/>
      <c r="PG801" s="111"/>
      <c r="PH801" s="111"/>
      <c r="PI801" s="111"/>
      <c r="PJ801" s="111"/>
      <c r="PK801" s="111"/>
      <c r="PL801" s="111"/>
      <c r="PM801" s="111"/>
      <c r="PN801" s="111"/>
      <c r="PO801" s="111"/>
      <c r="PP801" s="111"/>
      <c r="PQ801" s="111"/>
      <c r="PR801" s="111"/>
      <c r="PS801" s="111"/>
      <c r="PT801" s="111"/>
      <c r="PU801" s="111"/>
      <c r="PV801" s="111"/>
      <c r="PW801" s="111"/>
      <c r="PX801" s="111"/>
      <c r="PY801" s="111"/>
      <c r="PZ801" s="111"/>
      <c r="QA801" s="111"/>
      <c r="QB801" s="111"/>
      <c r="QC801" s="111"/>
      <c r="QD801" s="111"/>
      <c r="QE801" s="111"/>
      <c r="QF801" s="111"/>
      <c r="QG801" s="111"/>
      <c r="QH801" s="111"/>
      <c r="QI801" s="111"/>
      <c r="QJ801" s="111"/>
      <c r="QK801" s="111"/>
      <c r="QL801" s="111"/>
      <c r="QM801" s="111"/>
      <c r="QN801" s="111"/>
      <c r="QO801" s="111"/>
      <c r="QP801" s="111"/>
      <c r="QQ801" s="111"/>
      <c r="QR801" s="111"/>
      <c r="QS801" s="111"/>
      <c r="QT801" s="111"/>
      <c r="QU801" s="111"/>
      <c r="QV801" s="111"/>
      <c r="QW801" s="111"/>
      <c r="QX801" s="111"/>
      <c r="QY801" s="111"/>
      <c r="QZ801" s="111"/>
      <c r="RA801" s="111"/>
      <c r="RB801" s="111"/>
      <c r="RC801" s="111"/>
      <c r="RD801" s="111"/>
      <c r="RE801" s="111"/>
      <c r="RF801" s="111"/>
      <c r="RG801" s="111"/>
      <c r="RH801" s="111"/>
      <c r="RI801" s="111"/>
      <c r="RJ801" s="111"/>
      <c r="RK801" s="111"/>
      <c r="RL801" s="111"/>
      <c r="RM801" s="111"/>
      <c r="RN801" s="111"/>
      <c r="RO801" s="111"/>
      <c r="RP801" s="111"/>
      <c r="RQ801" s="111"/>
      <c r="RR801" s="111"/>
      <c r="RS801" s="111"/>
      <c r="RT801" s="111"/>
      <c r="RU801" s="111"/>
      <c r="RV801" s="111"/>
      <c r="RW801" s="111"/>
      <c r="RX801" s="111"/>
      <c r="RY801" s="111"/>
      <c r="RZ801" s="111"/>
      <c r="SA801" s="111"/>
      <c r="SB801" s="111"/>
      <c r="SC801" s="111"/>
      <c r="SD801" s="111"/>
      <c r="SE801" s="111"/>
      <c r="SF801" s="111"/>
      <c r="SG801" s="111"/>
      <c r="SH801" s="111"/>
      <c r="SI801" s="111"/>
      <c r="SJ801" s="111"/>
      <c r="SK801" s="111"/>
      <c r="SL801" s="111"/>
      <c r="SM801" s="111"/>
      <c r="SN801" s="111"/>
      <c r="SO801" s="111"/>
      <c r="SP801" s="111"/>
      <c r="SQ801" s="111"/>
      <c r="SR801" s="111"/>
      <c r="SS801" s="111"/>
      <c r="ST801" s="111"/>
      <c r="SU801" s="111"/>
      <c r="SV801" s="111"/>
      <c r="SW801" s="111"/>
      <c r="SX801" s="111"/>
      <c r="SY801" s="111"/>
      <c r="SZ801" s="111"/>
      <c r="TA801" s="111"/>
      <c r="TB801" s="111"/>
      <c r="TC801" s="111"/>
      <c r="TD801" s="111"/>
      <c r="TE801" s="111"/>
      <c r="TF801" s="111"/>
      <c r="TG801" s="111"/>
      <c r="TH801" s="111"/>
      <c r="TI801" s="111"/>
      <c r="TJ801" s="111"/>
      <c r="TK801" s="111"/>
      <c r="TL801" s="111"/>
      <c r="TM801" s="111"/>
      <c r="TN801" s="111"/>
      <c r="TO801" s="111"/>
      <c r="TP801" s="111"/>
      <c r="TQ801" s="111"/>
      <c r="TR801" s="111"/>
      <c r="TS801" s="111"/>
      <c r="TT801" s="111"/>
      <c r="TU801" s="111"/>
      <c r="TV801" s="111"/>
      <c r="TW801" s="111"/>
      <c r="TX801" s="111"/>
      <c r="TY801" s="111"/>
      <c r="TZ801" s="111"/>
      <c r="UA801" s="111"/>
      <c r="UB801" s="111"/>
      <c r="UC801" s="111"/>
      <c r="UD801" s="111"/>
      <c r="UE801" s="111"/>
      <c r="UF801" s="111"/>
      <c r="UG801" s="111"/>
      <c r="UH801" s="111"/>
      <c r="UI801" s="111"/>
      <c r="UJ801" s="111"/>
      <c r="UK801" s="111"/>
      <c r="UL801" s="111"/>
      <c r="UM801" s="111"/>
      <c r="UN801" s="111"/>
      <c r="UO801" s="111"/>
      <c r="UP801" s="111"/>
      <c r="UQ801" s="111"/>
      <c r="UR801" s="111"/>
      <c r="US801" s="111"/>
      <c r="UT801" s="111"/>
      <c r="UU801" s="111"/>
      <c r="UV801" s="111"/>
      <c r="UW801" s="111"/>
      <c r="UX801" s="111"/>
      <c r="UY801" s="111"/>
      <c r="UZ801" s="111"/>
      <c r="VA801" s="111"/>
      <c r="VB801" s="111"/>
      <c r="VC801" s="111"/>
      <c r="VD801" s="111"/>
      <c r="VE801" s="111"/>
      <c r="VF801" s="111"/>
      <c r="VG801" s="111"/>
      <c r="VH801" s="111"/>
      <c r="VI801" s="111"/>
      <c r="VJ801" s="111"/>
      <c r="VK801" s="111"/>
      <c r="VL801" s="111"/>
      <c r="VM801" s="111"/>
      <c r="VN801" s="111"/>
      <c r="VO801" s="111"/>
      <c r="VP801" s="111"/>
      <c r="VQ801" s="111"/>
      <c r="VR801" s="111"/>
      <c r="VS801" s="111"/>
      <c r="VT801" s="111"/>
      <c r="VU801" s="111"/>
      <c r="VV801" s="111"/>
      <c r="VW801" s="111"/>
      <c r="VX801" s="111"/>
      <c r="VY801" s="111"/>
      <c r="VZ801" s="111"/>
      <c r="WA801" s="111"/>
      <c r="WB801" s="111"/>
      <c r="WC801" s="111"/>
      <c r="WD801" s="111"/>
      <c r="WE801" s="111"/>
      <c r="WF801" s="111"/>
      <c r="WG801" s="111"/>
      <c r="WH801" s="111"/>
      <c r="WI801" s="111"/>
      <c r="WJ801" s="111"/>
      <c r="WK801" s="111"/>
      <c r="WL801" s="111"/>
      <c r="WM801" s="111"/>
      <c r="WN801" s="111"/>
      <c r="WO801" s="111"/>
      <c r="WP801" s="111"/>
      <c r="WQ801" s="111"/>
      <c r="WR801" s="111"/>
      <c r="WS801" s="111"/>
      <c r="WT801" s="111"/>
      <c r="WU801" s="111"/>
      <c r="WV801" s="111"/>
      <c r="WW801" s="111"/>
      <c r="WX801" s="111"/>
      <c r="WY801" s="111"/>
      <c r="WZ801" s="111"/>
      <c r="XA801" s="111"/>
      <c r="XB801" s="111"/>
      <c r="XC801" s="111"/>
      <c r="XD801" s="111"/>
      <c r="XE801" s="111"/>
      <c r="XF801" s="111"/>
      <c r="XG801" s="111"/>
      <c r="XH801" s="111"/>
      <c r="XI801" s="111"/>
      <c r="XJ801" s="111"/>
      <c r="XK801" s="111"/>
      <c r="XL801" s="111"/>
      <c r="XM801" s="111"/>
      <c r="XN801" s="111"/>
      <c r="XO801" s="111"/>
      <c r="XP801" s="111"/>
      <c r="XQ801" s="111"/>
      <c r="XR801" s="111"/>
      <c r="XS801" s="111"/>
      <c r="XT801" s="111"/>
      <c r="XU801" s="111"/>
      <c r="XV801" s="111"/>
      <c r="XW801" s="111"/>
      <c r="XX801" s="111"/>
      <c r="XY801" s="111"/>
      <c r="XZ801" s="111"/>
      <c r="YA801" s="111"/>
      <c r="YB801" s="111"/>
      <c r="YC801" s="111"/>
      <c r="YD801" s="111"/>
      <c r="YE801" s="111"/>
      <c r="YF801" s="111"/>
      <c r="YG801" s="111"/>
      <c r="YH801" s="111"/>
      <c r="YI801" s="111"/>
      <c r="YJ801" s="111"/>
      <c r="YK801" s="111"/>
      <c r="YL801" s="111"/>
      <c r="YM801" s="111"/>
      <c r="YN801" s="111"/>
      <c r="YO801" s="111"/>
      <c r="YP801" s="111"/>
      <c r="YQ801" s="111"/>
      <c r="YR801" s="111"/>
      <c r="YS801" s="111"/>
      <c r="YT801" s="111"/>
      <c r="YU801" s="111"/>
      <c r="YV801" s="111"/>
      <c r="YW801" s="111"/>
      <c r="YX801" s="111"/>
      <c r="YY801" s="111"/>
      <c r="YZ801" s="111"/>
      <c r="ZA801" s="111"/>
      <c r="ZB801" s="111"/>
      <c r="ZC801" s="111"/>
      <c r="ZD801" s="111"/>
      <c r="ZE801" s="111"/>
      <c r="ZF801" s="111"/>
      <c r="ZG801" s="111"/>
      <c r="ZH801" s="111"/>
      <c r="ZI801" s="111"/>
      <c r="ZJ801" s="111"/>
      <c r="ZK801" s="111"/>
      <c r="ZL801" s="111"/>
      <c r="ZM801" s="111"/>
      <c r="ZN801" s="111"/>
      <c r="ZO801" s="111"/>
      <c r="ZP801" s="111"/>
      <c r="ZQ801" s="111"/>
      <c r="ZR801" s="111"/>
      <c r="ZS801" s="111"/>
      <c r="ZT801" s="111"/>
      <c r="ZU801" s="111"/>
      <c r="ZV801" s="111"/>
      <c r="ZW801" s="111"/>
      <c r="ZX801" s="111"/>
      <c r="ZY801" s="111"/>
      <c r="ZZ801" s="111"/>
      <c r="AAA801" s="111"/>
      <c r="AAB801" s="111"/>
      <c r="AAC801" s="111"/>
      <c r="AAD801" s="111"/>
      <c r="AAE801" s="111"/>
      <c r="AAF801" s="111"/>
      <c r="AAG801" s="111"/>
      <c r="AAH801" s="111"/>
      <c r="AAI801" s="111"/>
      <c r="AAJ801" s="111"/>
      <c r="AAK801" s="111"/>
      <c r="AAL801" s="111"/>
      <c r="AAM801" s="111"/>
      <c r="AAN801" s="111"/>
      <c r="AAO801" s="111"/>
      <c r="AAP801" s="111"/>
      <c r="AAQ801" s="111"/>
      <c r="AAR801" s="111"/>
      <c r="AAS801" s="111"/>
      <c r="AAT801" s="111"/>
      <c r="AAU801" s="111"/>
      <c r="AAV801" s="111"/>
      <c r="AAW801" s="111"/>
      <c r="AAX801" s="111"/>
      <c r="AAY801" s="111"/>
      <c r="AAZ801" s="111"/>
      <c r="ABA801" s="111"/>
      <c r="ABB801" s="111"/>
      <c r="ABC801" s="111"/>
      <c r="ABD801" s="111"/>
      <c r="ABE801" s="111"/>
      <c r="ABF801" s="111"/>
      <c r="ABG801" s="111"/>
      <c r="ABH801" s="111"/>
      <c r="ABI801" s="111"/>
      <c r="ABJ801" s="111"/>
      <c r="ABK801" s="111"/>
      <c r="ABL801" s="111"/>
      <c r="ABM801" s="111"/>
      <c r="ABN801" s="111"/>
      <c r="ABO801" s="111"/>
      <c r="ABP801" s="111"/>
      <c r="ABQ801" s="111"/>
      <c r="ABR801" s="111"/>
      <c r="ABS801" s="111"/>
      <c r="ABT801" s="111"/>
      <c r="ABU801" s="111"/>
      <c r="ABV801" s="111"/>
      <c r="ABW801" s="111"/>
      <c r="ABX801" s="111"/>
      <c r="ABY801" s="111"/>
      <c r="ABZ801" s="111"/>
      <c r="ACA801" s="111"/>
      <c r="ACB801" s="111"/>
      <c r="ACC801" s="111"/>
      <c r="ACD801" s="111"/>
      <c r="ACE801" s="111"/>
      <c r="ACF801" s="111"/>
      <c r="ACG801" s="111"/>
      <c r="ACH801" s="111"/>
      <c r="ACI801" s="111"/>
      <c r="ACJ801" s="111"/>
      <c r="ACK801" s="111"/>
      <c r="ACL801" s="111"/>
      <c r="ACM801" s="111"/>
      <c r="ACN801" s="111"/>
      <c r="ACO801" s="111"/>
      <c r="ACP801" s="111"/>
      <c r="ACQ801" s="111"/>
      <c r="ACR801" s="111"/>
      <c r="ACS801" s="111"/>
      <c r="ACT801" s="111"/>
      <c r="ACU801" s="111"/>
      <c r="ACV801" s="111"/>
      <c r="ACW801" s="111"/>
      <c r="ACX801" s="111"/>
      <c r="ACY801" s="111"/>
      <c r="ACZ801" s="111"/>
      <c r="ADA801" s="111"/>
      <c r="ADB801" s="111"/>
      <c r="ADC801" s="111"/>
      <c r="ADD801" s="111"/>
      <c r="ADE801" s="111"/>
      <c r="ADF801" s="111"/>
      <c r="ADG801" s="111"/>
      <c r="ADH801" s="111"/>
      <c r="ADI801" s="111"/>
      <c r="ADJ801" s="111"/>
      <c r="ADK801" s="111"/>
      <c r="ADL801" s="111"/>
      <c r="ADM801" s="111"/>
      <c r="ADN801" s="111"/>
      <c r="ADO801" s="111"/>
      <c r="ADP801" s="111"/>
      <c r="ADQ801" s="111"/>
      <c r="ADR801" s="111"/>
      <c r="ADS801" s="111"/>
      <c r="ADT801" s="111"/>
      <c r="ADU801" s="111"/>
      <c r="ADV801" s="111"/>
      <c r="ADW801" s="111"/>
      <c r="ADX801" s="111"/>
      <c r="ADY801" s="111"/>
      <c r="ADZ801" s="111"/>
      <c r="AEA801" s="111"/>
      <c r="AEB801" s="111"/>
      <c r="AEC801" s="111"/>
      <c r="AED801" s="111"/>
      <c r="AEE801" s="111"/>
      <c r="AEF801" s="111"/>
      <c r="AEG801" s="111"/>
      <c r="AEH801" s="111"/>
      <c r="AEI801" s="111"/>
      <c r="AEJ801" s="111"/>
      <c r="AEK801" s="111"/>
      <c r="AEL801" s="111"/>
      <c r="AEM801" s="111"/>
      <c r="AEN801" s="111"/>
      <c r="AEO801" s="111"/>
      <c r="AEP801" s="111"/>
      <c r="AEQ801" s="111"/>
      <c r="AER801" s="111"/>
      <c r="AES801" s="111"/>
      <c r="AET801" s="111"/>
      <c r="AEU801" s="111"/>
      <c r="AEV801" s="111"/>
      <c r="AEW801" s="111"/>
      <c r="AEX801" s="111"/>
      <c r="AEY801" s="111"/>
      <c r="AEZ801" s="111"/>
      <c r="AFA801" s="111"/>
      <c r="AFB801" s="111"/>
      <c r="AFC801" s="111"/>
      <c r="AFD801" s="111"/>
      <c r="AFE801" s="111"/>
      <c r="AFF801" s="111"/>
      <c r="AFG801" s="111"/>
      <c r="AFH801" s="111"/>
      <c r="AFI801" s="111"/>
      <c r="AFJ801" s="111"/>
      <c r="AFK801" s="111"/>
      <c r="AFL801" s="111"/>
      <c r="AFM801" s="111"/>
      <c r="AFN801" s="111"/>
      <c r="AFO801" s="111"/>
      <c r="AFP801" s="111"/>
      <c r="AFQ801" s="111"/>
      <c r="AFR801" s="111"/>
      <c r="AFS801" s="111"/>
      <c r="AFT801" s="111"/>
      <c r="AFU801" s="111"/>
      <c r="AFV801" s="111"/>
      <c r="AFW801" s="111"/>
      <c r="AFX801" s="111"/>
      <c r="AFY801" s="111"/>
      <c r="AFZ801" s="111"/>
      <c r="AGA801" s="111"/>
      <c r="AGB801" s="111"/>
      <c r="AGC801" s="111"/>
      <c r="AGD801" s="111"/>
      <c r="AGE801" s="111"/>
      <c r="AGF801" s="111"/>
      <c r="AGG801" s="111"/>
      <c r="AGH801" s="111"/>
      <c r="AGI801" s="111"/>
      <c r="AGJ801" s="111"/>
      <c r="AGK801" s="111"/>
      <c r="AGL801" s="111"/>
      <c r="AGM801" s="111"/>
      <c r="AGN801" s="111"/>
      <c r="AGO801" s="111"/>
      <c r="AGP801" s="111"/>
      <c r="AGQ801" s="111"/>
      <c r="AGR801" s="111"/>
      <c r="AGS801" s="111"/>
      <c r="AGT801" s="111"/>
      <c r="AGU801" s="111"/>
      <c r="AGV801" s="111"/>
      <c r="AGW801" s="111"/>
      <c r="AGX801" s="111"/>
      <c r="AGY801" s="111"/>
      <c r="AGZ801" s="111"/>
      <c r="AHA801" s="111"/>
      <c r="AHB801" s="111"/>
      <c r="AHC801" s="111"/>
      <c r="AHD801" s="111"/>
      <c r="AHE801" s="111"/>
      <c r="AHF801" s="111"/>
      <c r="AHG801" s="111"/>
      <c r="AHH801" s="111"/>
      <c r="AHI801" s="111"/>
      <c r="AHJ801" s="111"/>
      <c r="AHK801" s="111"/>
      <c r="AHL801" s="111"/>
      <c r="AHM801" s="111"/>
      <c r="AHN801" s="111"/>
      <c r="AHO801" s="111"/>
      <c r="AHP801" s="111"/>
      <c r="AHQ801" s="111"/>
      <c r="AHR801" s="111"/>
      <c r="AHS801" s="111"/>
      <c r="AHT801" s="111"/>
      <c r="AHU801" s="111"/>
      <c r="AHV801" s="111"/>
      <c r="AHW801" s="111"/>
      <c r="AHX801" s="111"/>
      <c r="AHY801" s="111"/>
      <c r="AHZ801" s="111"/>
      <c r="AIA801" s="111"/>
      <c r="AIB801" s="111"/>
      <c r="AIC801" s="111"/>
      <c r="AID801" s="111"/>
      <c r="AIE801" s="111"/>
      <c r="AIF801" s="111"/>
      <c r="AIG801" s="111"/>
      <c r="AIH801" s="111"/>
      <c r="AII801" s="111"/>
      <c r="AIJ801" s="111"/>
      <c r="AIK801" s="111"/>
      <c r="AIL801" s="111"/>
      <c r="AIM801" s="111"/>
      <c r="AIN801" s="111"/>
      <c r="AIO801" s="111"/>
      <c r="AIP801" s="111"/>
      <c r="AIQ801" s="111"/>
      <c r="AIR801" s="111"/>
      <c r="AIS801" s="111"/>
      <c r="AIT801" s="111"/>
      <c r="AIU801" s="111"/>
      <c r="AIV801" s="111"/>
      <c r="AIW801" s="111"/>
      <c r="AIX801" s="111"/>
      <c r="AIY801" s="111"/>
      <c r="AIZ801" s="111"/>
      <c r="AJA801" s="111"/>
      <c r="AJB801" s="111"/>
      <c r="AJC801" s="111"/>
      <c r="AJD801" s="111"/>
      <c r="AJE801" s="111"/>
      <c r="AJF801" s="111"/>
      <c r="AJG801" s="111"/>
      <c r="AJH801" s="111"/>
      <c r="AJI801" s="111"/>
      <c r="AJJ801" s="111"/>
      <c r="AJK801" s="111"/>
      <c r="AJL801" s="111"/>
      <c r="AJM801" s="111"/>
      <c r="AJN801" s="111"/>
      <c r="AJO801" s="111"/>
      <c r="AJP801" s="111"/>
      <c r="AJQ801" s="111"/>
      <c r="AJR801" s="111"/>
      <c r="AJS801" s="111"/>
      <c r="AJT801" s="111"/>
      <c r="AJU801" s="111"/>
      <c r="AJV801" s="111"/>
      <c r="AJW801" s="111"/>
      <c r="AJX801" s="111"/>
      <c r="AJY801" s="111"/>
      <c r="AJZ801" s="111"/>
      <c r="AKA801" s="111"/>
      <c r="AKB801" s="111"/>
      <c r="AKC801" s="111"/>
      <c r="AKD801" s="111"/>
      <c r="AKE801" s="111"/>
      <c r="AKF801" s="111"/>
      <c r="AKG801" s="111"/>
      <c r="AKH801" s="111"/>
      <c r="AKI801" s="111"/>
      <c r="AKJ801" s="111"/>
      <c r="AKK801" s="111"/>
      <c r="AKL801" s="111"/>
      <c r="AKM801" s="111"/>
      <c r="AKN801" s="111"/>
      <c r="AKO801" s="111"/>
      <c r="AKP801" s="111"/>
      <c r="AKQ801" s="111"/>
      <c r="AKR801" s="111"/>
      <c r="AKS801" s="111"/>
      <c r="AKT801" s="111"/>
      <c r="AKU801" s="111"/>
      <c r="AKV801" s="111"/>
      <c r="AKW801" s="111"/>
      <c r="AKX801" s="111"/>
      <c r="AKY801" s="111"/>
      <c r="AKZ801" s="111"/>
      <c r="ALA801" s="111"/>
      <c r="ALB801" s="111"/>
      <c r="ALC801" s="111"/>
      <c r="ALD801" s="111"/>
      <c r="ALE801" s="111"/>
      <c r="ALF801" s="111"/>
      <c r="ALG801" s="111"/>
      <c r="ALH801" s="111"/>
      <c r="ALI801" s="111"/>
      <c r="ALJ801" s="111"/>
      <c r="ALK801" s="111"/>
      <c r="ALL801" s="111"/>
      <c r="ALM801" s="111"/>
      <c r="ALN801" s="111"/>
      <c r="ALO801" s="111"/>
      <c r="ALP801" s="111"/>
      <c r="ALQ801" s="111"/>
      <c r="ALR801" s="111"/>
      <c r="ALS801" s="111"/>
      <c r="ALT801" s="111"/>
      <c r="ALU801" s="111"/>
      <c r="ALV801" s="111"/>
      <c r="ALW801" s="111"/>
      <c r="ALX801" s="111"/>
      <c r="ALY801" s="111"/>
      <c r="ALZ801" s="111"/>
      <c r="AMA801" s="111"/>
      <c r="AMB801" s="111"/>
      <c r="AMC801" s="111"/>
      <c r="AMD801" s="111"/>
      <c r="AME801" s="111"/>
      <c r="AMF801" s="111"/>
      <c r="AMG801" s="111"/>
      <c r="AMH801" s="111"/>
      <c r="AMI801" s="111"/>
      <c r="AMJ801" s="111"/>
      <c r="AMK801" s="111"/>
      <c r="AML801" s="111"/>
      <c r="AMM801" s="111"/>
      <c r="AMN801" s="111"/>
      <c r="AMO801" s="111"/>
      <c r="AMP801" s="111"/>
      <c r="AMQ801" s="111"/>
      <c r="AMR801" s="111"/>
      <c r="AMS801" s="111"/>
      <c r="AMT801" s="111"/>
      <c r="AMU801" s="111"/>
      <c r="AMV801" s="111"/>
      <c r="AMW801" s="111"/>
      <c r="AMX801" s="111"/>
      <c r="AMY801" s="111"/>
      <c r="AMZ801" s="111"/>
      <c r="ANA801" s="111"/>
      <c r="ANB801" s="111"/>
      <c r="ANC801" s="111"/>
      <c r="AND801" s="111"/>
      <c r="ANE801" s="111"/>
      <c r="ANF801" s="111"/>
      <c r="ANG801" s="111"/>
      <c r="ANH801" s="111"/>
      <c r="ANI801" s="111"/>
      <c r="ANJ801" s="111"/>
      <c r="ANK801" s="111"/>
      <c r="ANL801" s="111"/>
      <c r="ANM801" s="111"/>
      <c r="ANN801" s="111"/>
      <c r="ANO801" s="111"/>
      <c r="ANP801" s="111"/>
      <c r="ANQ801" s="111"/>
      <c r="ANR801" s="111"/>
      <c r="ANS801" s="111"/>
      <c r="ANT801" s="111"/>
      <c r="ANU801" s="111"/>
      <c r="ANV801" s="111"/>
      <c r="ANW801" s="111"/>
      <c r="ANX801" s="111"/>
      <c r="ANY801" s="111"/>
      <c r="ANZ801" s="111"/>
      <c r="AOA801" s="111"/>
      <c r="AOB801" s="111"/>
      <c r="AOC801" s="111"/>
      <c r="AOD801" s="111"/>
      <c r="AOE801" s="111"/>
      <c r="AOF801" s="111"/>
      <c r="AOG801" s="111"/>
      <c r="AOH801" s="111"/>
      <c r="AOI801" s="111"/>
      <c r="AOJ801" s="111"/>
      <c r="AOK801" s="111"/>
      <c r="AOL801" s="111"/>
      <c r="AOM801" s="111"/>
      <c r="AON801" s="111"/>
      <c r="AOO801" s="111"/>
      <c r="AOP801" s="111"/>
      <c r="AOQ801" s="111"/>
      <c r="AOR801" s="111"/>
      <c r="AOS801" s="111"/>
      <c r="AOT801" s="111"/>
      <c r="AOU801" s="111"/>
      <c r="AOV801" s="111"/>
      <c r="AOW801" s="111"/>
      <c r="AOX801" s="111"/>
      <c r="AOY801" s="111"/>
      <c r="AOZ801" s="111"/>
      <c r="APA801" s="111"/>
      <c r="APB801" s="111"/>
      <c r="APC801" s="111"/>
      <c r="APD801" s="111"/>
      <c r="APE801" s="111"/>
      <c r="APF801" s="111"/>
      <c r="APG801" s="111"/>
      <c r="APH801" s="111"/>
      <c r="API801" s="111"/>
      <c r="APJ801" s="111"/>
      <c r="APK801" s="111"/>
      <c r="APL801" s="111"/>
      <c r="APM801" s="111"/>
      <c r="APN801" s="111"/>
      <c r="APO801" s="111"/>
      <c r="APP801" s="111"/>
      <c r="APQ801" s="111"/>
      <c r="APR801" s="111"/>
      <c r="APS801" s="111"/>
      <c r="APT801" s="111"/>
      <c r="APU801" s="111"/>
      <c r="APV801" s="111"/>
      <c r="APW801" s="111"/>
      <c r="APX801" s="111"/>
      <c r="APY801" s="111"/>
      <c r="APZ801" s="111"/>
      <c r="AQA801" s="111"/>
      <c r="AQB801" s="111"/>
      <c r="AQC801" s="111"/>
      <c r="AQD801" s="111"/>
      <c r="AQE801" s="111"/>
      <c r="AQF801" s="111"/>
      <c r="AQG801" s="111"/>
      <c r="AQH801" s="111"/>
      <c r="AQI801" s="111"/>
      <c r="AQJ801" s="111"/>
      <c r="AQK801" s="111"/>
      <c r="AQL801" s="111"/>
      <c r="AQM801" s="111"/>
      <c r="AQN801" s="111"/>
      <c r="AQO801" s="111"/>
      <c r="AQP801" s="111"/>
      <c r="AQQ801" s="111"/>
      <c r="AQR801" s="111"/>
      <c r="AQS801" s="111"/>
      <c r="AQT801" s="111"/>
      <c r="AQU801" s="111"/>
      <c r="AQV801" s="111"/>
      <c r="AQW801" s="111"/>
      <c r="AQX801" s="111"/>
      <c r="AQY801" s="111"/>
      <c r="AQZ801" s="111"/>
      <c r="ARA801" s="111"/>
      <c r="ARB801" s="111"/>
      <c r="ARC801" s="111"/>
      <c r="ARD801" s="111"/>
      <c r="ARE801" s="111"/>
      <c r="ARF801" s="111"/>
      <c r="ARG801" s="111"/>
      <c r="ARH801" s="111"/>
      <c r="ARI801" s="111"/>
      <c r="ARJ801" s="111"/>
      <c r="ARK801" s="111"/>
      <c r="ARL801" s="111"/>
      <c r="ARM801" s="111"/>
      <c r="ARN801" s="111"/>
      <c r="ARO801" s="111"/>
      <c r="ARP801" s="111"/>
      <c r="ARQ801" s="111"/>
      <c r="ARR801" s="111"/>
      <c r="ARS801" s="111"/>
      <c r="ART801" s="111"/>
      <c r="ARU801" s="111"/>
      <c r="ARV801" s="111"/>
      <c r="ARW801" s="111"/>
      <c r="ARX801" s="111"/>
      <c r="ARY801" s="111"/>
      <c r="ARZ801" s="111"/>
      <c r="ASA801" s="111"/>
      <c r="ASB801" s="111"/>
      <c r="ASC801" s="111"/>
      <c r="ASD801" s="111"/>
      <c r="ASE801" s="111"/>
      <c r="ASF801" s="111"/>
      <c r="ASG801" s="111"/>
      <c r="ASH801" s="111"/>
      <c r="ASI801" s="111"/>
      <c r="ASJ801" s="111"/>
      <c r="ASK801" s="111"/>
      <c r="ASL801" s="111"/>
      <c r="ASM801" s="111"/>
      <c r="ASN801" s="111"/>
      <c r="ASO801" s="111"/>
      <c r="ASP801" s="111"/>
      <c r="ASQ801" s="111"/>
      <c r="ASR801" s="111"/>
      <c r="ASS801" s="111"/>
      <c r="AST801" s="111"/>
      <c r="ASU801" s="111"/>
      <c r="ASV801" s="111"/>
      <c r="ASW801" s="111"/>
      <c r="ASX801" s="111"/>
      <c r="ASY801" s="111"/>
      <c r="ASZ801" s="111"/>
      <c r="ATA801" s="111"/>
      <c r="ATB801" s="111"/>
      <c r="ATC801" s="111"/>
      <c r="ATD801" s="111"/>
      <c r="ATE801" s="111"/>
      <c r="ATF801" s="111"/>
      <c r="ATG801" s="111"/>
      <c r="ATH801" s="111"/>
      <c r="ATI801" s="111"/>
      <c r="ATJ801" s="111"/>
      <c r="ATK801" s="111"/>
      <c r="ATL801" s="111"/>
      <c r="ATM801" s="111"/>
      <c r="ATN801" s="111"/>
      <c r="ATO801" s="111"/>
      <c r="ATP801" s="111"/>
      <c r="ATQ801" s="111"/>
      <c r="ATR801" s="111"/>
      <c r="ATS801" s="111"/>
      <c r="ATT801" s="111"/>
      <c r="ATU801" s="111"/>
      <c r="ATV801" s="111"/>
      <c r="ATW801" s="111"/>
      <c r="ATX801" s="111"/>
      <c r="ATY801" s="111"/>
      <c r="ATZ801" s="111"/>
      <c r="AUA801" s="111"/>
      <c r="AUB801" s="111"/>
      <c r="AUC801" s="111"/>
      <c r="AUD801" s="111"/>
      <c r="AUE801" s="111"/>
      <c r="AUF801" s="111"/>
      <c r="AUG801" s="111"/>
      <c r="AUH801" s="111"/>
      <c r="AUI801" s="111"/>
      <c r="AUJ801" s="111"/>
      <c r="AUK801" s="111"/>
      <c r="AUL801" s="111"/>
      <c r="AUM801" s="111"/>
      <c r="AUN801" s="111"/>
      <c r="AUO801" s="111"/>
      <c r="AUP801" s="111"/>
      <c r="AUQ801" s="111"/>
      <c r="AUR801" s="111"/>
      <c r="AUS801" s="111"/>
      <c r="AUT801" s="111"/>
      <c r="AUU801" s="111"/>
      <c r="AUV801" s="111"/>
      <c r="AUW801" s="111"/>
      <c r="AUX801" s="111"/>
      <c r="AUY801" s="111"/>
      <c r="AUZ801" s="111"/>
      <c r="AVA801" s="111"/>
      <c r="AVB801" s="111"/>
      <c r="AVC801" s="111"/>
      <c r="AVD801" s="111"/>
      <c r="AVE801" s="111"/>
      <c r="AVF801" s="111"/>
      <c r="AVG801" s="111"/>
      <c r="AVH801" s="111"/>
      <c r="AVI801" s="111"/>
      <c r="AVJ801" s="111"/>
      <c r="AVK801" s="111"/>
      <c r="AVL801" s="111"/>
      <c r="AVM801" s="111"/>
      <c r="AVN801" s="111"/>
      <c r="AVO801" s="111"/>
      <c r="AVP801" s="111"/>
      <c r="AVQ801" s="111"/>
      <c r="AVR801" s="111"/>
      <c r="AVS801" s="111"/>
      <c r="AVT801" s="111"/>
      <c r="AVU801" s="111"/>
      <c r="AVV801" s="111"/>
      <c r="AVW801" s="111"/>
      <c r="AVX801" s="111"/>
      <c r="AVY801" s="111"/>
      <c r="AVZ801" s="111"/>
      <c r="AWA801" s="111"/>
      <c r="AWB801" s="111"/>
      <c r="AWC801" s="111"/>
      <c r="AWD801" s="111"/>
      <c r="AWE801" s="111"/>
      <c r="AWF801" s="111"/>
      <c r="AWG801" s="111"/>
      <c r="AWH801" s="111"/>
      <c r="AWI801" s="111"/>
      <c r="AWJ801" s="111"/>
      <c r="AWK801" s="111"/>
      <c r="AWL801" s="111"/>
      <c r="AWM801" s="111"/>
      <c r="AWN801" s="111"/>
      <c r="AWO801" s="111"/>
      <c r="AWP801" s="111"/>
      <c r="AWQ801" s="111"/>
      <c r="AWR801" s="111"/>
      <c r="AWS801" s="111"/>
      <c r="AWT801" s="111"/>
      <c r="AWU801" s="111"/>
      <c r="AWV801" s="111"/>
      <c r="AWW801" s="111"/>
      <c r="AWX801" s="111"/>
      <c r="AWY801" s="111"/>
      <c r="AWZ801" s="111"/>
      <c r="AXA801" s="111"/>
      <c r="AXB801" s="111"/>
      <c r="AXC801" s="111"/>
      <c r="AXD801" s="111"/>
      <c r="AXE801" s="111"/>
      <c r="AXF801" s="111"/>
      <c r="AXG801" s="111"/>
      <c r="AXH801" s="111"/>
      <c r="AXI801" s="111"/>
      <c r="AXJ801" s="111"/>
      <c r="AXK801" s="111"/>
      <c r="AXL801" s="111"/>
      <c r="AXM801" s="111"/>
      <c r="AXN801" s="111"/>
      <c r="AXO801" s="111"/>
      <c r="AXP801" s="111"/>
      <c r="AXQ801" s="111"/>
      <c r="AXR801" s="111"/>
      <c r="AXS801" s="111"/>
      <c r="AXT801" s="111"/>
      <c r="AXU801" s="111"/>
      <c r="AXV801" s="111"/>
      <c r="AXW801" s="111"/>
      <c r="AXX801" s="111"/>
      <c r="AXY801" s="111"/>
      <c r="AXZ801" s="111"/>
      <c r="AYA801" s="111"/>
      <c r="AYB801" s="111"/>
      <c r="AYC801" s="111"/>
      <c r="AYD801" s="111"/>
      <c r="AYE801" s="111"/>
      <c r="AYF801" s="111"/>
      <c r="AYG801" s="111"/>
      <c r="AYH801" s="111"/>
      <c r="AYI801" s="111"/>
      <c r="AYJ801" s="111"/>
      <c r="AYK801" s="111"/>
      <c r="AYL801" s="111"/>
      <c r="AYM801" s="111"/>
      <c r="AYN801" s="111"/>
      <c r="AYO801" s="111"/>
      <c r="AYP801" s="111"/>
      <c r="AYQ801" s="111"/>
      <c r="AYR801" s="111"/>
      <c r="AYS801" s="111"/>
      <c r="AYT801" s="111"/>
      <c r="AYU801" s="111"/>
      <c r="AYV801" s="111"/>
      <c r="AYW801" s="111"/>
      <c r="AYX801" s="111"/>
      <c r="AYY801" s="111"/>
      <c r="AYZ801" s="111"/>
      <c r="AZA801" s="111"/>
      <c r="AZB801" s="111"/>
      <c r="AZC801" s="111"/>
      <c r="AZD801" s="111"/>
      <c r="AZE801" s="111"/>
      <c r="AZF801" s="111"/>
      <c r="AZG801" s="111"/>
      <c r="AZH801" s="111"/>
      <c r="AZI801" s="111"/>
      <c r="AZJ801" s="111"/>
      <c r="AZK801" s="111"/>
      <c r="AZL801" s="111"/>
      <c r="AZM801" s="111"/>
      <c r="AZN801" s="111"/>
      <c r="AZO801" s="111"/>
      <c r="AZP801" s="111"/>
      <c r="AZQ801" s="111"/>
      <c r="AZR801" s="111"/>
      <c r="AZS801" s="111"/>
      <c r="AZT801" s="111"/>
      <c r="AZU801" s="111"/>
      <c r="AZV801" s="111"/>
      <c r="AZW801" s="111"/>
      <c r="AZX801" s="111"/>
      <c r="AZY801" s="111"/>
      <c r="AZZ801" s="111"/>
      <c r="BAA801" s="111"/>
      <c r="BAB801" s="111"/>
      <c r="BAC801" s="111"/>
      <c r="BAD801" s="111"/>
      <c r="BAE801" s="111"/>
      <c r="BAF801" s="111"/>
      <c r="BAG801" s="111"/>
      <c r="BAH801" s="111"/>
      <c r="BAI801" s="111"/>
      <c r="BAJ801" s="111"/>
      <c r="BAK801" s="111"/>
      <c r="BAL801" s="111"/>
      <c r="BAM801" s="111"/>
      <c r="BAN801" s="111"/>
      <c r="BAO801" s="111"/>
      <c r="BAP801" s="111"/>
      <c r="BAQ801" s="111"/>
      <c r="BAR801" s="111"/>
      <c r="BAS801" s="111"/>
      <c r="BAT801" s="111"/>
      <c r="BAU801" s="111"/>
      <c r="BAV801" s="111"/>
      <c r="BAW801" s="111"/>
      <c r="BAX801" s="111"/>
      <c r="BAY801" s="111"/>
      <c r="BAZ801" s="111"/>
      <c r="BBA801" s="111"/>
      <c r="BBB801" s="111"/>
      <c r="BBC801" s="111"/>
      <c r="BBD801" s="111"/>
      <c r="BBE801" s="111"/>
      <c r="BBF801" s="111"/>
      <c r="BBG801" s="111"/>
      <c r="BBH801" s="111"/>
      <c r="BBI801" s="111"/>
      <c r="BBJ801" s="111"/>
      <c r="BBK801" s="111"/>
      <c r="BBL801" s="111"/>
      <c r="BBM801" s="111"/>
      <c r="BBN801" s="111"/>
      <c r="BBO801" s="111"/>
      <c r="BBP801" s="111"/>
      <c r="BBQ801" s="111"/>
      <c r="BBR801" s="111"/>
      <c r="BBS801" s="111"/>
      <c r="BBT801" s="111"/>
      <c r="BBU801" s="111"/>
      <c r="BBV801" s="111"/>
      <c r="BBW801" s="111"/>
      <c r="BBX801" s="111"/>
      <c r="BBY801" s="111"/>
      <c r="BBZ801" s="111"/>
      <c r="BCA801" s="111"/>
      <c r="BCB801" s="111"/>
      <c r="BCC801" s="111"/>
      <c r="BCD801" s="111"/>
      <c r="BCE801" s="111"/>
      <c r="BCF801" s="111"/>
      <c r="BCG801" s="111"/>
      <c r="BCH801" s="111"/>
      <c r="BCI801" s="111"/>
      <c r="BCJ801" s="111"/>
      <c r="BCK801" s="111"/>
      <c r="BCL801" s="111"/>
      <c r="BCM801" s="111"/>
      <c r="BCN801" s="111"/>
      <c r="BCO801" s="111"/>
      <c r="BCP801" s="111"/>
      <c r="BCQ801" s="111"/>
      <c r="BCR801" s="111"/>
      <c r="BCS801" s="111"/>
      <c r="BCT801" s="111"/>
      <c r="BCU801" s="111"/>
      <c r="BCV801" s="111"/>
      <c r="BCW801" s="111"/>
      <c r="BCX801" s="111"/>
      <c r="BCY801" s="111"/>
      <c r="BCZ801" s="111"/>
      <c r="BDA801" s="111"/>
      <c r="BDB801" s="111"/>
      <c r="BDC801" s="111"/>
      <c r="BDD801" s="111"/>
      <c r="BDE801" s="111"/>
      <c r="BDF801" s="111"/>
      <c r="BDG801" s="111"/>
      <c r="BDH801" s="111"/>
      <c r="BDI801" s="111"/>
      <c r="BDJ801" s="111"/>
      <c r="BDK801" s="111"/>
      <c r="BDL801" s="111"/>
      <c r="BDM801" s="111"/>
      <c r="BDN801" s="111"/>
      <c r="BDO801" s="111"/>
      <c r="BDP801" s="111"/>
      <c r="BDQ801" s="111"/>
      <c r="BDR801" s="111"/>
      <c r="BDS801" s="111"/>
      <c r="BDT801" s="111"/>
      <c r="BDU801" s="111"/>
      <c r="BDV801" s="111"/>
      <c r="BDW801" s="111"/>
      <c r="BDX801" s="111"/>
      <c r="BDY801" s="111"/>
      <c r="BDZ801" s="111"/>
      <c r="BEA801" s="111"/>
      <c r="BEB801" s="111"/>
      <c r="BEC801" s="111"/>
      <c r="BED801" s="111"/>
      <c r="BEE801" s="111"/>
      <c r="BEF801" s="111"/>
      <c r="BEG801" s="111"/>
      <c r="BEH801" s="111"/>
      <c r="BEI801" s="111"/>
      <c r="BEJ801" s="111"/>
      <c r="BEK801" s="111"/>
      <c r="BEL801" s="111"/>
      <c r="BEM801" s="111"/>
      <c r="BEN801" s="111"/>
      <c r="BEO801" s="111"/>
      <c r="BEP801" s="111"/>
      <c r="BEQ801" s="111"/>
      <c r="BER801" s="111"/>
      <c r="BES801" s="111"/>
      <c r="BET801" s="111"/>
      <c r="BEU801" s="111"/>
      <c r="BEV801" s="111"/>
      <c r="BEW801" s="111"/>
      <c r="BEX801" s="111"/>
      <c r="BEY801" s="111"/>
      <c r="BEZ801" s="111"/>
      <c r="BFA801" s="111"/>
      <c r="BFB801" s="111"/>
      <c r="BFC801" s="111"/>
      <c r="BFD801" s="111"/>
      <c r="BFE801" s="111"/>
      <c r="BFF801" s="111"/>
      <c r="BFG801" s="111"/>
      <c r="BFH801" s="111"/>
      <c r="BFI801" s="111"/>
      <c r="BFJ801" s="111"/>
      <c r="BFK801" s="111"/>
      <c r="BFL801" s="111"/>
      <c r="BFM801" s="111"/>
      <c r="BFN801" s="111"/>
      <c r="BFO801" s="111"/>
      <c r="BFP801" s="111"/>
      <c r="BFQ801" s="111"/>
      <c r="BFR801" s="111"/>
      <c r="BFS801" s="111"/>
      <c r="BFT801" s="111"/>
      <c r="BFU801" s="111"/>
      <c r="BFV801" s="111"/>
      <c r="BFW801" s="111"/>
      <c r="BFX801" s="111"/>
      <c r="BFY801" s="111"/>
      <c r="BFZ801" s="111"/>
      <c r="BGA801" s="111"/>
      <c r="BGB801" s="111"/>
      <c r="BGC801" s="111"/>
      <c r="BGD801" s="111"/>
      <c r="BGE801" s="111"/>
      <c r="BGF801" s="111"/>
      <c r="BGG801" s="111"/>
      <c r="BGH801" s="111"/>
      <c r="BGI801" s="111"/>
      <c r="BGJ801" s="111"/>
      <c r="BGK801" s="111"/>
      <c r="BGL801" s="111"/>
      <c r="BGM801" s="111"/>
      <c r="BGN801" s="111"/>
      <c r="BGO801" s="111"/>
      <c r="BGP801" s="111"/>
      <c r="BGQ801" s="111"/>
      <c r="BGR801" s="111"/>
      <c r="BGS801" s="111"/>
      <c r="BGT801" s="111"/>
      <c r="BGU801" s="111"/>
      <c r="BGV801" s="111"/>
      <c r="BGW801" s="111"/>
      <c r="BGX801" s="111"/>
      <c r="BGY801" s="111"/>
      <c r="BGZ801" s="111"/>
      <c r="BHA801" s="111"/>
      <c r="BHB801" s="111"/>
      <c r="BHC801" s="111"/>
      <c r="BHD801" s="111"/>
      <c r="BHE801" s="111"/>
      <c r="BHF801" s="111"/>
      <c r="BHG801" s="111"/>
      <c r="BHH801" s="111"/>
      <c r="BHI801" s="111"/>
      <c r="BHJ801" s="111"/>
      <c r="BHK801" s="111"/>
      <c r="BHL801" s="111"/>
      <c r="BHM801" s="111"/>
      <c r="BHN801" s="111"/>
      <c r="BHO801" s="111"/>
      <c r="BHP801" s="111"/>
      <c r="BHQ801" s="111"/>
      <c r="BHR801" s="111"/>
      <c r="BHS801" s="111"/>
      <c r="BHT801" s="111"/>
      <c r="BHU801" s="111"/>
      <c r="BHV801" s="111"/>
      <c r="BHW801" s="111"/>
      <c r="BHX801" s="111"/>
      <c r="BHY801" s="111"/>
      <c r="BHZ801" s="111"/>
      <c r="BIA801" s="111"/>
      <c r="BIB801" s="111"/>
      <c r="BIC801" s="111"/>
      <c r="BID801" s="111"/>
      <c r="BIE801" s="111"/>
      <c r="BIF801" s="111"/>
      <c r="BIG801" s="111"/>
      <c r="BIH801" s="111"/>
      <c r="BII801" s="111"/>
      <c r="BIJ801" s="111"/>
      <c r="BIK801" s="111"/>
      <c r="BIL801" s="111"/>
      <c r="BIM801" s="111"/>
      <c r="BIN801" s="111"/>
      <c r="BIO801" s="111"/>
      <c r="BIP801" s="111"/>
      <c r="BIQ801" s="111"/>
      <c r="BIR801" s="111"/>
      <c r="BIS801" s="111"/>
      <c r="BIT801" s="111"/>
      <c r="BIU801" s="111"/>
      <c r="BIV801" s="111"/>
      <c r="BIW801" s="111"/>
      <c r="BIX801" s="111"/>
      <c r="BIY801" s="111"/>
      <c r="BIZ801" s="111"/>
      <c r="BJA801" s="111"/>
      <c r="BJB801" s="111"/>
      <c r="BJC801" s="111"/>
      <c r="BJD801" s="111"/>
      <c r="BJE801" s="111"/>
      <c r="BJF801" s="111"/>
      <c r="BJG801" s="111"/>
      <c r="BJH801" s="111"/>
      <c r="BJI801" s="111"/>
      <c r="BJJ801" s="111"/>
      <c r="BJK801" s="111"/>
      <c r="BJL801" s="111"/>
      <c r="BJM801" s="111"/>
      <c r="BJN801" s="111"/>
      <c r="BJO801" s="111"/>
      <c r="BJP801" s="111"/>
      <c r="BJQ801" s="111"/>
      <c r="BJR801" s="111"/>
      <c r="BJS801" s="111"/>
      <c r="BJT801" s="111"/>
      <c r="BJU801" s="111"/>
      <c r="BJV801" s="111"/>
      <c r="BJW801" s="111"/>
      <c r="BJX801" s="111"/>
      <c r="BJY801" s="111"/>
      <c r="BJZ801" s="111"/>
      <c r="BKA801" s="111"/>
      <c r="BKB801" s="111"/>
      <c r="BKC801" s="111"/>
      <c r="BKD801" s="111"/>
      <c r="BKE801" s="111"/>
      <c r="BKF801" s="111"/>
      <c r="BKG801" s="111"/>
      <c r="BKH801" s="111"/>
      <c r="BKI801" s="111"/>
      <c r="BKJ801" s="111"/>
      <c r="BKK801" s="111"/>
      <c r="BKL801" s="111"/>
      <c r="BKM801" s="111"/>
      <c r="BKN801" s="111"/>
      <c r="BKO801" s="111"/>
      <c r="BKP801" s="111"/>
      <c r="BKQ801" s="111"/>
      <c r="BKR801" s="111"/>
      <c r="BKS801" s="111"/>
      <c r="BKT801" s="111"/>
      <c r="BKU801" s="111"/>
      <c r="BKV801" s="111"/>
      <c r="BKW801" s="111"/>
      <c r="BKX801" s="111"/>
      <c r="BKY801" s="111"/>
      <c r="BKZ801" s="111"/>
      <c r="BLA801" s="111"/>
      <c r="BLB801" s="111"/>
      <c r="BLC801" s="111"/>
      <c r="BLD801" s="111"/>
      <c r="BLE801" s="111"/>
      <c r="BLF801" s="111"/>
      <c r="BLG801" s="111"/>
      <c r="BLH801" s="111"/>
      <c r="BLI801" s="111"/>
      <c r="BLJ801" s="111"/>
      <c r="BLK801" s="111"/>
      <c r="BLL801" s="111"/>
      <c r="BLM801" s="111"/>
      <c r="BLN801" s="111"/>
      <c r="BLO801" s="111"/>
      <c r="BLP801" s="111"/>
      <c r="BLQ801" s="111"/>
      <c r="BLR801" s="111"/>
      <c r="BLS801" s="111"/>
      <c r="BLT801" s="111"/>
      <c r="BLU801" s="111"/>
      <c r="BLV801" s="111"/>
      <c r="BLW801" s="111"/>
      <c r="BLX801" s="111"/>
      <c r="BLY801" s="111"/>
      <c r="BLZ801" s="111"/>
      <c r="BMA801" s="111"/>
      <c r="BMB801" s="111"/>
      <c r="BMC801" s="111"/>
      <c r="BMD801" s="111"/>
      <c r="BME801" s="111"/>
      <c r="BMF801" s="111"/>
      <c r="BMG801" s="111"/>
      <c r="BMH801" s="111"/>
      <c r="BMI801" s="111"/>
      <c r="BMJ801" s="111"/>
      <c r="BMK801" s="111"/>
      <c r="BML801" s="111"/>
      <c r="BMM801" s="111"/>
      <c r="BMN801" s="111"/>
      <c r="BMO801" s="111"/>
      <c r="BMP801" s="111"/>
      <c r="BMQ801" s="111"/>
      <c r="BMR801" s="111"/>
      <c r="BMS801" s="111"/>
      <c r="BMT801" s="111"/>
      <c r="BMU801" s="111"/>
      <c r="BMV801" s="111"/>
      <c r="BMW801" s="111"/>
      <c r="BMX801" s="111"/>
      <c r="BMY801" s="111"/>
      <c r="BMZ801" s="111"/>
      <c r="BNA801" s="111"/>
      <c r="BNB801" s="111"/>
      <c r="BNC801" s="111"/>
      <c r="BND801" s="111"/>
      <c r="BNE801" s="111"/>
      <c r="BNF801" s="111"/>
      <c r="BNG801" s="111"/>
      <c r="BNH801" s="111"/>
      <c r="BNI801" s="111"/>
      <c r="BNJ801" s="111"/>
      <c r="BNK801" s="111"/>
      <c r="BNL801" s="111"/>
      <c r="BNM801" s="111"/>
      <c r="BNN801" s="111"/>
      <c r="BNO801" s="111"/>
      <c r="BNP801" s="111"/>
      <c r="BNQ801" s="111"/>
      <c r="BNR801" s="111"/>
      <c r="BNS801" s="111"/>
      <c r="BNT801" s="111"/>
      <c r="BNU801" s="111"/>
      <c r="BNV801" s="111"/>
      <c r="BNW801" s="111"/>
      <c r="BNX801" s="111"/>
      <c r="BNY801" s="111"/>
      <c r="BNZ801" s="111"/>
      <c r="BOA801" s="111"/>
      <c r="BOB801" s="111"/>
      <c r="BOC801" s="111"/>
      <c r="BOD801" s="111"/>
      <c r="BOE801" s="111"/>
      <c r="BOF801" s="111"/>
      <c r="BOG801" s="111"/>
      <c r="BOH801" s="111"/>
      <c r="BOI801" s="111"/>
      <c r="BOJ801" s="111"/>
      <c r="BOK801" s="111"/>
      <c r="BOL801" s="111"/>
      <c r="BOM801" s="111"/>
      <c r="BON801" s="111"/>
      <c r="BOO801" s="111"/>
      <c r="BOP801" s="111"/>
      <c r="BOQ801" s="111"/>
      <c r="BOR801" s="111"/>
      <c r="BOS801" s="111"/>
      <c r="BOT801" s="111"/>
      <c r="BOU801" s="111"/>
      <c r="BOV801" s="111"/>
      <c r="BOW801" s="111"/>
      <c r="BOX801" s="111"/>
      <c r="BOY801" s="111"/>
      <c r="BOZ801" s="111"/>
      <c r="BPA801" s="111"/>
      <c r="BPB801" s="111"/>
      <c r="BPC801" s="111"/>
      <c r="BPD801" s="111"/>
      <c r="BPE801" s="111"/>
      <c r="BPF801" s="111"/>
      <c r="BPG801" s="111"/>
      <c r="BPH801" s="111"/>
      <c r="BPI801" s="111"/>
      <c r="BPJ801" s="111"/>
      <c r="BPK801" s="111"/>
      <c r="BPL801" s="111"/>
      <c r="BPM801" s="111"/>
      <c r="BPN801" s="111"/>
      <c r="BPO801" s="111"/>
      <c r="BPP801" s="111"/>
      <c r="BPQ801" s="111"/>
      <c r="BPR801" s="111"/>
      <c r="BPS801" s="111"/>
      <c r="BPT801" s="111"/>
      <c r="BPU801" s="111"/>
      <c r="BPV801" s="111"/>
      <c r="BPW801" s="111"/>
      <c r="BPX801" s="111"/>
      <c r="BPY801" s="111"/>
      <c r="BPZ801" s="111"/>
      <c r="BQA801" s="111"/>
      <c r="BQB801" s="111"/>
      <c r="BQC801" s="111"/>
      <c r="BQD801" s="111"/>
      <c r="BQE801" s="111"/>
      <c r="BQF801" s="111"/>
      <c r="BQG801" s="111"/>
      <c r="BQH801" s="111"/>
      <c r="BQI801" s="111"/>
      <c r="BQJ801" s="111"/>
      <c r="BQK801" s="111"/>
      <c r="BQL801" s="111"/>
      <c r="BQM801" s="111"/>
      <c r="BQN801" s="111"/>
      <c r="BQO801" s="111"/>
      <c r="BQP801" s="111"/>
      <c r="BQQ801" s="111"/>
      <c r="BQR801" s="111"/>
      <c r="BQS801" s="111"/>
      <c r="BQT801" s="111"/>
      <c r="BQU801" s="111"/>
      <c r="BQV801" s="111"/>
      <c r="BQW801" s="111"/>
      <c r="BQX801" s="111"/>
      <c r="BQY801" s="111"/>
      <c r="BQZ801" s="111"/>
      <c r="BRA801" s="111"/>
      <c r="BRB801" s="111"/>
      <c r="BRC801" s="111"/>
      <c r="BRD801" s="111"/>
      <c r="BRE801" s="111"/>
      <c r="BRF801" s="111"/>
      <c r="BRG801" s="111"/>
      <c r="BRH801" s="111"/>
      <c r="BRI801" s="111"/>
      <c r="BRJ801" s="111"/>
      <c r="BRK801" s="111"/>
      <c r="BRL801" s="111"/>
      <c r="BRM801" s="111"/>
      <c r="BRN801" s="111"/>
      <c r="BRO801" s="111"/>
      <c r="BRP801" s="111"/>
      <c r="BRQ801" s="111"/>
      <c r="BRR801" s="111"/>
      <c r="BRS801" s="111"/>
      <c r="BRT801" s="111"/>
      <c r="BRU801" s="111"/>
      <c r="BRV801" s="111"/>
      <c r="BRW801" s="111"/>
      <c r="BRX801" s="111"/>
      <c r="BRY801" s="111"/>
      <c r="BRZ801" s="111"/>
      <c r="BSA801" s="111"/>
      <c r="BSB801" s="111"/>
      <c r="BSC801" s="111"/>
      <c r="BSD801" s="111"/>
      <c r="BSE801" s="111"/>
      <c r="BSF801" s="111"/>
      <c r="BSG801" s="111"/>
      <c r="BSH801" s="111"/>
      <c r="BSI801" s="111"/>
      <c r="BSJ801" s="111"/>
      <c r="BSK801" s="111"/>
      <c r="BSL801" s="111"/>
      <c r="BSM801" s="111"/>
      <c r="BSN801" s="111"/>
      <c r="BSO801" s="111"/>
      <c r="BSP801" s="111"/>
      <c r="BSQ801" s="111"/>
      <c r="BSR801" s="111"/>
      <c r="BSS801" s="111"/>
      <c r="BST801" s="111"/>
      <c r="BSU801" s="111"/>
      <c r="BSV801" s="111"/>
      <c r="BSW801" s="111"/>
      <c r="BSX801" s="111"/>
      <c r="BSY801" s="111"/>
      <c r="BSZ801" s="111"/>
      <c r="BTA801" s="111"/>
      <c r="BTB801" s="111"/>
      <c r="BTC801" s="111"/>
      <c r="BTD801" s="111"/>
      <c r="BTE801" s="111"/>
      <c r="BTF801" s="111"/>
      <c r="BTG801" s="111"/>
      <c r="BTH801" s="111"/>
      <c r="BTI801" s="111"/>
      <c r="BTJ801" s="111"/>
      <c r="BTK801" s="111"/>
      <c r="BTL801" s="111"/>
      <c r="BTM801" s="111"/>
      <c r="BTN801" s="111"/>
      <c r="BTO801" s="111"/>
      <c r="BTP801" s="111"/>
      <c r="BTQ801" s="111"/>
      <c r="BTR801" s="111"/>
      <c r="BTS801" s="111"/>
      <c r="BTT801" s="111"/>
      <c r="BTU801" s="111"/>
      <c r="BTV801" s="111"/>
      <c r="BTW801" s="111"/>
      <c r="BTX801" s="111"/>
      <c r="BTY801" s="111"/>
      <c r="BTZ801" s="111"/>
      <c r="BUA801" s="111"/>
      <c r="BUB801" s="111"/>
      <c r="BUC801" s="111"/>
      <c r="BUD801" s="111"/>
      <c r="BUE801" s="111"/>
      <c r="BUF801" s="111"/>
      <c r="BUG801" s="111"/>
      <c r="BUH801" s="111"/>
      <c r="BUI801" s="111"/>
      <c r="BUJ801" s="111"/>
      <c r="BUK801" s="111"/>
      <c r="BUL801" s="111"/>
      <c r="BUM801" s="111"/>
      <c r="BUN801" s="111"/>
      <c r="BUO801" s="111"/>
      <c r="BUP801" s="111"/>
      <c r="BUQ801" s="111"/>
      <c r="BUR801" s="111"/>
      <c r="BUS801" s="111"/>
      <c r="BUT801" s="111"/>
      <c r="BUU801" s="111"/>
      <c r="BUV801" s="111"/>
      <c r="BUW801" s="111"/>
      <c r="BUX801" s="111"/>
      <c r="BUY801" s="111"/>
      <c r="BUZ801" s="111"/>
      <c r="BVA801" s="111"/>
      <c r="BVB801" s="111"/>
      <c r="BVC801" s="111"/>
      <c r="BVD801" s="111"/>
      <c r="BVE801" s="111"/>
      <c r="BVF801" s="111"/>
      <c r="BVG801" s="111"/>
      <c r="BVH801" s="111"/>
      <c r="BVI801" s="111"/>
      <c r="BVJ801" s="111"/>
      <c r="BVK801" s="111"/>
      <c r="BVL801" s="111"/>
      <c r="BVM801" s="111"/>
      <c r="BVN801" s="111"/>
      <c r="BVO801" s="111"/>
      <c r="BVP801" s="111"/>
      <c r="BVQ801" s="111"/>
      <c r="BVR801" s="111"/>
      <c r="BVS801" s="111"/>
      <c r="BVT801" s="111"/>
      <c r="BVU801" s="111"/>
      <c r="BVV801" s="111"/>
      <c r="BVW801" s="111"/>
      <c r="BVX801" s="111"/>
      <c r="BVY801" s="111"/>
      <c r="BVZ801" s="111"/>
      <c r="BWA801" s="111"/>
      <c r="BWB801" s="111"/>
      <c r="BWC801" s="111"/>
      <c r="BWD801" s="111"/>
      <c r="BWE801" s="111"/>
      <c r="BWF801" s="111"/>
      <c r="BWG801" s="111"/>
      <c r="BWH801" s="111"/>
      <c r="BWI801" s="111"/>
      <c r="BWJ801" s="111"/>
      <c r="BWK801" s="111"/>
      <c r="BWL801" s="111"/>
      <c r="BWM801" s="111"/>
      <c r="BWN801" s="111"/>
      <c r="BWO801" s="111"/>
      <c r="BWP801" s="111"/>
      <c r="BWQ801" s="111"/>
      <c r="BWR801" s="111"/>
      <c r="BWS801" s="111"/>
      <c r="BWT801" s="111"/>
      <c r="BWU801" s="111"/>
      <c r="BWV801" s="111"/>
      <c r="BWW801" s="111"/>
      <c r="BWX801" s="111"/>
      <c r="BWY801" s="111"/>
      <c r="BWZ801" s="111"/>
      <c r="BXA801" s="111"/>
      <c r="BXB801" s="111"/>
      <c r="BXC801" s="111"/>
      <c r="BXD801" s="111"/>
      <c r="BXE801" s="111"/>
      <c r="BXF801" s="111"/>
      <c r="BXG801" s="111"/>
      <c r="BXH801" s="111"/>
      <c r="BXI801" s="111"/>
      <c r="BXJ801" s="111"/>
      <c r="BXK801" s="111"/>
      <c r="BXL801" s="111"/>
      <c r="BXM801" s="111"/>
      <c r="BXN801" s="111"/>
      <c r="BXO801" s="111"/>
      <c r="BXP801" s="111"/>
      <c r="BXQ801" s="111"/>
      <c r="BXR801" s="111"/>
      <c r="BXS801" s="111"/>
      <c r="BXT801" s="111"/>
      <c r="BXU801" s="111"/>
      <c r="BXV801" s="111"/>
      <c r="BXW801" s="111"/>
      <c r="BXX801" s="111"/>
      <c r="BXY801" s="111"/>
      <c r="BXZ801" s="111"/>
      <c r="BYA801" s="111"/>
      <c r="BYB801" s="111"/>
      <c r="BYC801" s="111"/>
      <c r="BYD801" s="111"/>
      <c r="BYE801" s="111"/>
      <c r="BYF801" s="111"/>
      <c r="BYG801" s="111"/>
      <c r="BYH801" s="111"/>
      <c r="BYI801" s="111"/>
      <c r="BYJ801" s="111"/>
      <c r="BYK801" s="111"/>
      <c r="BYL801" s="111"/>
      <c r="BYM801" s="111"/>
      <c r="BYN801" s="111"/>
      <c r="BYO801" s="111"/>
      <c r="BYP801" s="111"/>
      <c r="BYQ801" s="111"/>
      <c r="BYR801" s="111"/>
      <c r="BYS801" s="111"/>
      <c r="BYT801" s="111"/>
      <c r="BYU801" s="111"/>
      <c r="BYV801" s="111"/>
      <c r="BYW801" s="111"/>
      <c r="BYX801" s="111"/>
      <c r="BYY801" s="111"/>
      <c r="BYZ801" s="111"/>
      <c r="BZA801" s="111"/>
      <c r="BZB801" s="111"/>
      <c r="BZC801" s="111"/>
      <c r="BZD801" s="111"/>
      <c r="BZE801" s="111"/>
      <c r="BZF801" s="111"/>
      <c r="BZG801" s="111"/>
      <c r="BZH801" s="111"/>
      <c r="BZI801" s="111"/>
      <c r="BZJ801" s="111"/>
      <c r="BZK801" s="111"/>
      <c r="BZL801" s="111"/>
      <c r="BZM801" s="111"/>
      <c r="BZN801" s="111"/>
      <c r="BZO801" s="111"/>
      <c r="BZP801" s="111"/>
      <c r="BZQ801" s="111"/>
      <c r="BZR801" s="111"/>
      <c r="BZS801" s="111"/>
      <c r="BZT801" s="111"/>
      <c r="BZU801" s="111"/>
      <c r="BZV801" s="111"/>
      <c r="BZW801" s="111"/>
      <c r="BZX801" s="111"/>
      <c r="BZY801" s="111"/>
      <c r="BZZ801" s="111"/>
      <c r="CAA801" s="111"/>
      <c r="CAB801" s="111"/>
      <c r="CAC801" s="111"/>
      <c r="CAD801" s="111"/>
      <c r="CAE801" s="111"/>
      <c r="CAF801" s="111"/>
      <c r="CAG801" s="111"/>
      <c r="CAH801" s="111"/>
      <c r="CAI801" s="111"/>
      <c r="CAJ801" s="111"/>
      <c r="CAK801" s="111"/>
      <c r="CAL801" s="111"/>
      <c r="CAM801" s="111"/>
      <c r="CAN801" s="111"/>
      <c r="CAO801" s="111"/>
      <c r="CAP801" s="111"/>
      <c r="CAQ801" s="111"/>
      <c r="CAR801" s="111"/>
      <c r="CAS801" s="111"/>
      <c r="CAT801" s="111"/>
      <c r="CAU801" s="111"/>
      <c r="CAV801" s="111"/>
      <c r="CAW801" s="111"/>
      <c r="CAX801" s="111"/>
      <c r="CAY801" s="111"/>
      <c r="CAZ801" s="111"/>
      <c r="CBA801" s="111"/>
      <c r="CBB801" s="111"/>
      <c r="CBC801" s="111"/>
      <c r="CBD801" s="111"/>
      <c r="CBE801" s="111"/>
      <c r="CBF801" s="111"/>
      <c r="CBG801" s="111"/>
      <c r="CBH801" s="111"/>
      <c r="CBI801" s="111"/>
      <c r="CBJ801" s="111"/>
      <c r="CBK801" s="111"/>
      <c r="CBL801" s="111"/>
      <c r="CBM801" s="111"/>
      <c r="CBN801" s="111"/>
      <c r="CBO801" s="111"/>
      <c r="CBP801" s="111"/>
      <c r="CBQ801" s="111"/>
      <c r="CBR801" s="111"/>
      <c r="CBS801" s="111"/>
      <c r="CBT801" s="111"/>
      <c r="CBU801" s="111"/>
      <c r="CBV801" s="111"/>
      <c r="CBW801" s="111"/>
      <c r="CBX801" s="111"/>
      <c r="CBY801" s="111"/>
      <c r="CBZ801" s="111"/>
      <c r="CCA801" s="111"/>
      <c r="CCB801" s="111"/>
      <c r="CCC801" s="111"/>
      <c r="CCD801" s="111"/>
      <c r="CCE801" s="111"/>
      <c r="CCF801" s="111"/>
      <c r="CCG801" s="111"/>
      <c r="CCH801" s="111"/>
      <c r="CCI801" s="111"/>
      <c r="CCJ801" s="111"/>
      <c r="CCK801" s="111"/>
      <c r="CCL801" s="111"/>
      <c r="CCM801" s="111"/>
      <c r="CCN801" s="111"/>
      <c r="CCO801" s="111"/>
      <c r="CCP801" s="111"/>
      <c r="CCQ801" s="111"/>
      <c r="CCR801" s="111"/>
      <c r="CCS801" s="111"/>
      <c r="CCT801" s="111"/>
      <c r="CCU801" s="111"/>
      <c r="CCV801" s="111"/>
      <c r="CCW801" s="111"/>
      <c r="CCX801" s="111"/>
      <c r="CCY801" s="111"/>
      <c r="CCZ801" s="111"/>
      <c r="CDA801" s="111"/>
      <c r="CDB801" s="111"/>
      <c r="CDC801" s="111"/>
      <c r="CDD801" s="111"/>
      <c r="CDE801" s="111"/>
      <c r="CDF801" s="111"/>
      <c r="CDG801" s="111"/>
      <c r="CDH801" s="111"/>
      <c r="CDI801" s="111"/>
      <c r="CDJ801" s="111"/>
      <c r="CDK801" s="111"/>
      <c r="CDL801" s="111"/>
      <c r="CDM801" s="111"/>
      <c r="CDN801" s="111"/>
      <c r="CDO801" s="111"/>
      <c r="CDP801" s="111"/>
      <c r="CDQ801" s="111"/>
      <c r="CDR801" s="111"/>
      <c r="CDS801" s="111"/>
      <c r="CDT801" s="111"/>
      <c r="CDU801" s="111"/>
      <c r="CDV801" s="111"/>
      <c r="CDW801" s="111"/>
      <c r="CDX801" s="111"/>
      <c r="CDY801" s="111"/>
      <c r="CDZ801" s="111"/>
      <c r="CEA801" s="111"/>
      <c r="CEB801" s="111"/>
      <c r="CEC801" s="111"/>
      <c r="CED801" s="111"/>
      <c r="CEE801" s="111"/>
      <c r="CEF801" s="111"/>
      <c r="CEG801" s="111"/>
      <c r="CEH801" s="111"/>
      <c r="CEI801" s="111"/>
      <c r="CEJ801" s="111"/>
      <c r="CEK801" s="111"/>
      <c r="CEL801" s="111"/>
      <c r="CEM801" s="111"/>
      <c r="CEN801" s="111"/>
      <c r="CEO801" s="111"/>
      <c r="CEP801" s="111"/>
      <c r="CEQ801" s="111"/>
      <c r="CER801" s="111"/>
      <c r="CES801" s="111"/>
      <c r="CET801" s="111"/>
      <c r="CEU801" s="111"/>
      <c r="CEV801" s="111"/>
      <c r="CEW801" s="111"/>
      <c r="CEX801" s="111"/>
      <c r="CEY801" s="111"/>
      <c r="CEZ801" s="111"/>
      <c r="CFA801" s="111"/>
      <c r="CFB801" s="111"/>
      <c r="CFC801" s="111"/>
      <c r="CFD801" s="111"/>
      <c r="CFE801" s="111"/>
      <c r="CFF801" s="111"/>
      <c r="CFG801" s="111"/>
      <c r="CFH801" s="111"/>
      <c r="CFI801" s="111"/>
      <c r="CFJ801" s="111"/>
      <c r="CFK801" s="111"/>
      <c r="CFL801" s="111"/>
      <c r="CFM801" s="111"/>
      <c r="CFN801" s="111"/>
      <c r="CFO801" s="111"/>
      <c r="CFP801" s="111"/>
      <c r="CFQ801" s="111"/>
      <c r="CFR801" s="111"/>
      <c r="CFS801" s="111"/>
      <c r="CFT801" s="111"/>
      <c r="CFU801" s="111"/>
      <c r="CFV801" s="111"/>
      <c r="CFW801" s="111"/>
      <c r="CFX801" s="111"/>
      <c r="CFY801" s="111"/>
      <c r="CFZ801" s="111"/>
      <c r="CGA801" s="111"/>
      <c r="CGB801" s="111"/>
      <c r="CGC801" s="111"/>
      <c r="CGD801" s="111"/>
      <c r="CGE801" s="111"/>
      <c r="CGF801" s="111"/>
      <c r="CGG801" s="111"/>
      <c r="CGH801" s="111"/>
      <c r="CGI801" s="111"/>
      <c r="CGJ801" s="111"/>
      <c r="CGK801" s="111"/>
      <c r="CGL801" s="111"/>
      <c r="CGM801" s="111"/>
      <c r="CGN801" s="111"/>
      <c r="CGO801" s="111"/>
      <c r="CGP801" s="111"/>
      <c r="CGQ801" s="111"/>
      <c r="CGR801" s="111"/>
      <c r="CGS801" s="111"/>
      <c r="CGT801" s="111"/>
      <c r="CGU801" s="111"/>
      <c r="CGV801" s="111"/>
      <c r="CGW801" s="111"/>
      <c r="CGX801" s="111"/>
      <c r="CGY801" s="111"/>
      <c r="CGZ801" s="111"/>
      <c r="CHA801" s="111"/>
      <c r="CHB801" s="111"/>
      <c r="CHC801" s="111"/>
      <c r="CHD801" s="111"/>
      <c r="CHE801" s="111"/>
      <c r="CHF801" s="111"/>
      <c r="CHG801" s="111"/>
      <c r="CHH801" s="111"/>
      <c r="CHI801" s="111"/>
      <c r="CHJ801" s="111"/>
      <c r="CHK801" s="111"/>
      <c r="CHL801" s="111"/>
      <c r="CHM801" s="111"/>
      <c r="CHN801" s="111"/>
      <c r="CHO801" s="111"/>
      <c r="CHP801" s="111"/>
      <c r="CHQ801" s="111"/>
      <c r="CHR801" s="111"/>
      <c r="CHS801" s="111"/>
      <c r="CHT801" s="111"/>
      <c r="CHU801" s="111"/>
      <c r="CHV801" s="111"/>
      <c r="CHW801" s="111"/>
      <c r="CHX801" s="111"/>
      <c r="CHY801" s="111"/>
      <c r="CHZ801" s="111"/>
      <c r="CIA801" s="111"/>
      <c r="CIB801" s="111"/>
      <c r="CIC801" s="111"/>
      <c r="CID801" s="111"/>
      <c r="CIE801" s="111"/>
      <c r="CIF801" s="111"/>
      <c r="CIG801" s="111"/>
      <c r="CIH801" s="111"/>
      <c r="CII801" s="111"/>
      <c r="CIJ801" s="111"/>
      <c r="CIK801" s="111"/>
      <c r="CIL801" s="111"/>
      <c r="CIM801" s="111"/>
      <c r="CIN801" s="111"/>
      <c r="CIO801" s="111"/>
      <c r="CIP801" s="111"/>
      <c r="CIQ801" s="111"/>
      <c r="CIR801" s="111"/>
      <c r="CIS801" s="111"/>
      <c r="CIT801" s="111"/>
      <c r="CIU801" s="111"/>
      <c r="CIV801" s="111"/>
      <c r="CIW801" s="111"/>
      <c r="CIX801" s="111"/>
      <c r="CIY801" s="111"/>
      <c r="CIZ801" s="111"/>
      <c r="CJA801" s="111"/>
      <c r="CJB801" s="111"/>
      <c r="CJC801" s="111"/>
      <c r="CJD801" s="111"/>
      <c r="CJE801" s="111"/>
      <c r="CJF801" s="111"/>
      <c r="CJG801" s="111"/>
      <c r="CJH801" s="111"/>
      <c r="CJI801" s="111"/>
      <c r="CJJ801" s="111"/>
      <c r="CJK801" s="111"/>
      <c r="CJL801" s="111"/>
      <c r="CJM801" s="111"/>
      <c r="CJN801" s="111"/>
      <c r="CJO801" s="111"/>
      <c r="CJP801" s="111"/>
      <c r="CJQ801" s="111"/>
      <c r="CJR801" s="111"/>
      <c r="CJS801" s="111"/>
      <c r="CJT801" s="111"/>
      <c r="CJU801" s="111"/>
      <c r="CJV801" s="111"/>
      <c r="CJW801" s="111"/>
      <c r="CJX801" s="111"/>
      <c r="CJY801" s="111"/>
      <c r="CJZ801" s="111"/>
      <c r="CKA801" s="111"/>
      <c r="CKB801" s="111"/>
      <c r="CKC801" s="111"/>
      <c r="CKD801" s="111"/>
      <c r="CKE801" s="111"/>
      <c r="CKF801" s="111"/>
      <c r="CKG801" s="111"/>
      <c r="CKH801" s="111"/>
      <c r="CKI801" s="111"/>
      <c r="CKJ801" s="111"/>
      <c r="CKK801" s="111"/>
      <c r="CKL801" s="111"/>
      <c r="CKM801" s="111"/>
      <c r="CKN801" s="111"/>
      <c r="CKO801" s="111"/>
      <c r="CKP801" s="111"/>
      <c r="CKQ801" s="111"/>
      <c r="CKR801" s="111"/>
      <c r="CKS801" s="111"/>
      <c r="CKT801" s="111"/>
      <c r="CKU801" s="111"/>
      <c r="CKV801" s="111"/>
      <c r="CKW801" s="111"/>
      <c r="CKX801" s="111"/>
      <c r="CKY801" s="111"/>
      <c r="CKZ801" s="111"/>
      <c r="CLA801" s="111"/>
      <c r="CLB801" s="111"/>
      <c r="CLC801" s="111"/>
      <c r="CLD801" s="111"/>
      <c r="CLE801" s="111"/>
      <c r="CLF801" s="111"/>
      <c r="CLG801" s="111"/>
      <c r="CLH801" s="111"/>
      <c r="CLI801" s="111"/>
      <c r="CLJ801" s="111"/>
      <c r="CLK801" s="111"/>
      <c r="CLL801" s="111"/>
      <c r="CLM801" s="111"/>
      <c r="CLN801" s="111"/>
      <c r="CLO801" s="111"/>
      <c r="CLP801" s="111"/>
      <c r="CLQ801" s="111"/>
      <c r="CLR801" s="111"/>
      <c r="CLS801" s="111"/>
      <c r="CLT801" s="111"/>
      <c r="CLU801" s="111"/>
      <c r="CLV801" s="111"/>
      <c r="CLW801" s="111"/>
      <c r="CLX801" s="111"/>
      <c r="CLY801" s="111"/>
      <c r="CLZ801" s="111"/>
      <c r="CMA801" s="111"/>
      <c r="CMB801" s="111"/>
      <c r="CMC801" s="111"/>
      <c r="CMD801" s="111"/>
      <c r="CME801" s="111"/>
      <c r="CMF801" s="111"/>
      <c r="CMG801" s="111"/>
      <c r="CMH801" s="111"/>
      <c r="CMI801" s="111"/>
      <c r="CMJ801" s="111"/>
      <c r="CMK801" s="111"/>
      <c r="CML801" s="111"/>
      <c r="CMM801" s="111"/>
      <c r="CMN801" s="111"/>
      <c r="CMO801" s="111"/>
      <c r="CMP801" s="111"/>
      <c r="CMQ801" s="111"/>
      <c r="CMR801" s="111"/>
      <c r="CMS801" s="111"/>
      <c r="CMT801" s="111"/>
      <c r="CMU801" s="111"/>
      <c r="CMV801" s="111"/>
      <c r="CMW801" s="111"/>
      <c r="CMX801" s="111"/>
      <c r="CMY801" s="111"/>
      <c r="CMZ801" s="111"/>
      <c r="CNA801" s="111"/>
      <c r="CNB801" s="111"/>
      <c r="CNC801" s="111"/>
      <c r="CND801" s="111"/>
      <c r="CNE801" s="111"/>
      <c r="CNF801" s="111"/>
      <c r="CNG801" s="111"/>
      <c r="CNH801" s="111"/>
      <c r="CNI801" s="111"/>
      <c r="CNJ801" s="111"/>
      <c r="CNK801" s="111"/>
      <c r="CNL801" s="111"/>
      <c r="CNM801" s="111"/>
      <c r="CNN801" s="111"/>
      <c r="CNO801" s="111"/>
      <c r="CNP801" s="111"/>
      <c r="CNQ801" s="111"/>
      <c r="CNR801" s="111"/>
      <c r="CNS801" s="111"/>
      <c r="CNT801" s="111"/>
      <c r="CNU801" s="111"/>
      <c r="CNV801" s="111"/>
      <c r="CNW801" s="111"/>
      <c r="CNX801" s="111"/>
      <c r="CNY801" s="111"/>
      <c r="CNZ801" s="111"/>
      <c r="COA801" s="111"/>
      <c r="COB801" s="111"/>
      <c r="COC801" s="111"/>
      <c r="COD801" s="111"/>
      <c r="COE801" s="111"/>
      <c r="COF801" s="111"/>
      <c r="COG801" s="111"/>
      <c r="COH801" s="111"/>
      <c r="COI801" s="111"/>
      <c r="COJ801" s="111"/>
      <c r="COK801" s="111"/>
      <c r="COL801" s="111"/>
      <c r="COM801" s="111"/>
      <c r="CON801" s="111"/>
      <c r="COO801" s="111"/>
      <c r="COP801" s="111"/>
      <c r="COQ801" s="111"/>
      <c r="COR801" s="111"/>
      <c r="COS801" s="111"/>
      <c r="COT801" s="111"/>
      <c r="COU801" s="111"/>
      <c r="COV801" s="111"/>
      <c r="COW801" s="111"/>
      <c r="COX801" s="111"/>
      <c r="COY801" s="111"/>
      <c r="COZ801" s="111"/>
      <c r="CPA801" s="111"/>
      <c r="CPB801" s="111"/>
      <c r="CPC801" s="111"/>
      <c r="CPD801" s="111"/>
      <c r="CPE801" s="111"/>
      <c r="CPF801" s="111"/>
      <c r="CPG801" s="111"/>
      <c r="CPH801" s="111"/>
      <c r="CPI801" s="111"/>
      <c r="CPJ801" s="111"/>
      <c r="CPK801" s="111"/>
      <c r="CPL801" s="111"/>
      <c r="CPM801" s="111"/>
      <c r="CPN801" s="111"/>
      <c r="CPO801" s="111"/>
      <c r="CPP801" s="111"/>
      <c r="CPQ801" s="111"/>
      <c r="CPR801" s="111"/>
      <c r="CPS801" s="111"/>
      <c r="CPT801" s="111"/>
      <c r="CPU801" s="111"/>
      <c r="CPV801" s="111"/>
      <c r="CPW801" s="111"/>
      <c r="CPX801" s="111"/>
      <c r="CPY801" s="111"/>
      <c r="CPZ801" s="111"/>
      <c r="CQA801" s="111"/>
      <c r="CQB801" s="111"/>
      <c r="CQC801" s="111"/>
      <c r="CQD801" s="111"/>
      <c r="CQE801" s="111"/>
      <c r="CQF801" s="111"/>
      <c r="CQG801" s="111"/>
      <c r="CQH801" s="111"/>
      <c r="CQI801" s="111"/>
      <c r="CQJ801" s="111"/>
      <c r="CQK801" s="111"/>
      <c r="CQL801" s="111"/>
      <c r="CQM801" s="111"/>
      <c r="CQN801" s="111"/>
      <c r="CQO801" s="111"/>
      <c r="CQP801" s="111"/>
      <c r="CQQ801" s="111"/>
      <c r="CQR801" s="111"/>
      <c r="CQS801" s="111"/>
      <c r="CQT801" s="111"/>
      <c r="CQU801" s="111"/>
      <c r="CQV801" s="111"/>
      <c r="CQW801" s="111"/>
      <c r="CQX801" s="111"/>
      <c r="CQY801" s="111"/>
      <c r="CQZ801" s="111"/>
      <c r="CRA801" s="111"/>
      <c r="CRB801" s="111"/>
      <c r="CRC801" s="111"/>
      <c r="CRD801" s="111"/>
      <c r="CRE801" s="111"/>
      <c r="CRF801" s="111"/>
      <c r="CRG801" s="111"/>
      <c r="CRH801" s="111"/>
      <c r="CRI801" s="111"/>
      <c r="CRJ801" s="111"/>
      <c r="CRK801" s="111"/>
      <c r="CRL801" s="111"/>
      <c r="CRM801" s="111"/>
      <c r="CRN801" s="111"/>
      <c r="CRO801" s="111"/>
      <c r="CRP801" s="111"/>
      <c r="CRQ801" s="111"/>
      <c r="CRR801" s="111"/>
      <c r="CRS801" s="111"/>
      <c r="CRT801" s="111"/>
      <c r="CRU801" s="111"/>
      <c r="CRV801" s="111"/>
      <c r="CRW801" s="111"/>
      <c r="CRX801" s="111"/>
      <c r="CRY801" s="111"/>
      <c r="CRZ801" s="111"/>
      <c r="CSA801" s="111"/>
      <c r="CSB801" s="111"/>
      <c r="CSC801" s="111"/>
      <c r="CSD801" s="111"/>
      <c r="CSE801" s="111"/>
      <c r="CSF801" s="111"/>
      <c r="CSG801" s="111"/>
      <c r="CSH801" s="111"/>
      <c r="CSI801" s="111"/>
      <c r="CSJ801" s="111"/>
      <c r="CSK801" s="111"/>
      <c r="CSL801" s="111"/>
      <c r="CSM801" s="111"/>
      <c r="CSN801" s="111"/>
      <c r="CSO801" s="111"/>
      <c r="CSP801" s="111"/>
      <c r="CSQ801" s="111"/>
      <c r="CSR801" s="111"/>
      <c r="CSS801" s="111"/>
      <c r="CST801" s="111"/>
      <c r="CSU801" s="111"/>
      <c r="CSV801" s="111"/>
      <c r="CSW801" s="111"/>
      <c r="CSX801" s="111"/>
      <c r="CSY801" s="111"/>
      <c r="CSZ801" s="111"/>
      <c r="CTA801" s="111"/>
      <c r="CTB801" s="111"/>
      <c r="CTC801" s="111"/>
      <c r="CTD801" s="111"/>
      <c r="CTE801" s="111"/>
      <c r="CTF801" s="111"/>
      <c r="CTG801" s="111"/>
      <c r="CTH801" s="111"/>
      <c r="CTI801" s="111"/>
      <c r="CTJ801" s="111"/>
      <c r="CTK801" s="111"/>
      <c r="CTL801" s="111"/>
      <c r="CTM801" s="111"/>
      <c r="CTN801" s="111"/>
      <c r="CTO801" s="111"/>
      <c r="CTP801" s="111"/>
      <c r="CTQ801" s="111"/>
      <c r="CTR801" s="111"/>
      <c r="CTS801" s="111"/>
      <c r="CTT801" s="111"/>
      <c r="CTU801" s="111"/>
      <c r="CTV801" s="111"/>
      <c r="CTW801" s="111"/>
      <c r="CTX801" s="111"/>
      <c r="CTY801" s="111"/>
      <c r="CTZ801" s="111"/>
      <c r="CUA801" s="111"/>
      <c r="CUB801" s="111"/>
      <c r="CUC801" s="111"/>
      <c r="CUD801" s="111"/>
      <c r="CUE801" s="111"/>
      <c r="CUF801" s="111"/>
      <c r="CUG801" s="111"/>
      <c r="CUH801" s="111"/>
      <c r="CUI801" s="111"/>
      <c r="CUJ801" s="111"/>
      <c r="CUK801" s="111"/>
      <c r="CUL801" s="111"/>
      <c r="CUM801" s="111"/>
      <c r="CUN801" s="111"/>
      <c r="CUO801" s="111"/>
      <c r="CUP801" s="111"/>
      <c r="CUQ801" s="111"/>
      <c r="CUR801" s="111"/>
      <c r="CUS801" s="111"/>
      <c r="CUT801" s="111"/>
      <c r="CUU801" s="111"/>
      <c r="CUV801" s="111"/>
      <c r="CUW801" s="111"/>
      <c r="CUX801" s="111"/>
      <c r="CUY801" s="111"/>
      <c r="CUZ801" s="111"/>
      <c r="CVA801" s="111"/>
      <c r="CVB801" s="111"/>
      <c r="CVC801" s="111"/>
      <c r="CVD801" s="111"/>
      <c r="CVE801" s="111"/>
      <c r="CVF801" s="111"/>
      <c r="CVG801" s="111"/>
      <c r="CVH801" s="111"/>
      <c r="CVI801" s="111"/>
      <c r="CVJ801" s="111"/>
      <c r="CVK801" s="111"/>
      <c r="CVL801" s="111"/>
      <c r="CVM801" s="111"/>
      <c r="CVN801" s="111"/>
      <c r="CVO801" s="111"/>
      <c r="CVP801" s="111"/>
      <c r="CVQ801" s="111"/>
      <c r="CVR801" s="111"/>
      <c r="CVS801" s="111"/>
      <c r="CVT801" s="111"/>
      <c r="CVU801" s="111"/>
      <c r="CVV801" s="111"/>
      <c r="CVW801" s="111"/>
      <c r="CVX801" s="111"/>
      <c r="CVY801" s="111"/>
      <c r="CVZ801" s="111"/>
      <c r="CWA801" s="111"/>
      <c r="CWB801" s="111"/>
      <c r="CWC801" s="111"/>
      <c r="CWD801" s="111"/>
      <c r="CWE801" s="111"/>
      <c r="CWF801" s="111"/>
      <c r="CWG801" s="111"/>
      <c r="CWH801" s="111"/>
      <c r="CWI801" s="111"/>
      <c r="CWJ801" s="111"/>
      <c r="CWK801" s="111"/>
      <c r="CWL801" s="111"/>
      <c r="CWM801" s="111"/>
      <c r="CWN801" s="111"/>
      <c r="CWO801" s="111"/>
      <c r="CWP801" s="111"/>
      <c r="CWQ801" s="111"/>
      <c r="CWR801" s="111"/>
      <c r="CWS801" s="111"/>
      <c r="CWT801" s="111"/>
      <c r="CWU801" s="111"/>
      <c r="CWV801" s="111"/>
      <c r="CWW801" s="111"/>
      <c r="CWX801" s="111"/>
      <c r="CWY801" s="111"/>
      <c r="CWZ801" s="111"/>
      <c r="CXA801" s="111"/>
      <c r="CXB801" s="111"/>
      <c r="CXC801" s="111"/>
      <c r="CXD801" s="111"/>
      <c r="CXE801" s="111"/>
      <c r="CXF801" s="111"/>
      <c r="CXG801" s="111"/>
      <c r="CXH801" s="111"/>
      <c r="CXI801" s="111"/>
      <c r="CXJ801" s="111"/>
      <c r="CXK801" s="111"/>
      <c r="CXL801" s="111"/>
      <c r="CXM801" s="111"/>
      <c r="CXN801" s="111"/>
      <c r="CXO801" s="111"/>
      <c r="CXP801" s="111"/>
      <c r="CXQ801" s="111"/>
      <c r="CXR801" s="111"/>
      <c r="CXS801" s="111"/>
      <c r="CXT801" s="111"/>
      <c r="CXU801" s="111"/>
      <c r="CXV801" s="111"/>
      <c r="CXW801" s="111"/>
      <c r="CXX801" s="111"/>
      <c r="CXY801" s="111"/>
      <c r="CXZ801" s="111"/>
      <c r="CYA801" s="111"/>
      <c r="CYB801" s="111"/>
      <c r="CYC801" s="111"/>
      <c r="CYD801" s="111"/>
      <c r="CYE801" s="111"/>
      <c r="CYF801" s="111"/>
      <c r="CYG801" s="111"/>
      <c r="CYH801" s="111"/>
      <c r="CYI801" s="111"/>
      <c r="CYJ801" s="111"/>
      <c r="CYK801" s="111"/>
      <c r="CYL801" s="111"/>
      <c r="CYM801" s="111"/>
      <c r="CYN801" s="111"/>
      <c r="CYO801" s="111"/>
      <c r="CYP801" s="111"/>
      <c r="CYQ801" s="111"/>
      <c r="CYR801" s="111"/>
      <c r="CYS801" s="111"/>
      <c r="CYT801" s="111"/>
      <c r="CYU801" s="111"/>
      <c r="CYV801" s="111"/>
      <c r="CYW801" s="111"/>
      <c r="CYX801" s="111"/>
      <c r="CYY801" s="111"/>
      <c r="CYZ801" s="111"/>
      <c r="CZA801" s="111"/>
      <c r="CZB801" s="111"/>
      <c r="CZC801" s="111"/>
      <c r="CZD801" s="111"/>
      <c r="CZE801" s="111"/>
      <c r="CZF801" s="111"/>
      <c r="CZG801" s="111"/>
      <c r="CZH801" s="111"/>
      <c r="CZI801" s="111"/>
      <c r="CZJ801" s="111"/>
      <c r="CZK801" s="111"/>
      <c r="CZL801" s="111"/>
      <c r="CZM801" s="111"/>
      <c r="CZN801" s="111"/>
      <c r="CZO801" s="111"/>
      <c r="CZP801" s="111"/>
      <c r="CZQ801" s="111"/>
      <c r="CZR801" s="111"/>
      <c r="CZS801" s="111"/>
      <c r="CZT801" s="111"/>
      <c r="CZU801" s="111"/>
      <c r="CZV801" s="111"/>
      <c r="CZW801" s="111"/>
      <c r="CZX801" s="111"/>
      <c r="CZY801" s="111"/>
      <c r="CZZ801" s="111"/>
      <c r="DAA801" s="111"/>
      <c r="DAB801" s="111"/>
      <c r="DAC801" s="111"/>
      <c r="DAD801" s="111"/>
      <c r="DAE801" s="111"/>
      <c r="DAF801" s="111"/>
      <c r="DAG801" s="111"/>
      <c r="DAH801" s="111"/>
      <c r="DAI801" s="111"/>
      <c r="DAJ801" s="111"/>
      <c r="DAK801" s="111"/>
      <c r="DAL801" s="111"/>
      <c r="DAM801" s="111"/>
      <c r="DAN801" s="111"/>
      <c r="DAO801" s="111"/>
      <c r="DAP801" s="111"/>
      <c r="DAQ801" s="111"/>
      <c r="DAR801" s="111"/>
      <c r="DAS801" s="111"/>
      <c r="DAT801" s="111"/>
      <c r="DAU801" s="111"/>
      <c r="DAV801" s="111"/>
      <c r="DAW801" s="111"/>
      <c r="DAX801" s="111"/>
      <c r="DAY801" s="111"/>
      <c r="DAZ801" s="111"/>
      <c r="DBA801" s="111"/>
      <c r="DBB801" s="111"/>
      <c r="DBC801" s="111"/>
      <c r="DBD801" s="111"/>
      <c r="DBE801" s="111"/>
      <c r="DBF801" s="111"/>
      <c r="DBG801" s="111"/>
      <c r="DBH801" s="111"/>
      <c r="DBI801" s="111"/>
      <c r="DBJ801" s="111"/>
      <c r="DBK801" s="111"/>
      <c r="DBL801" s="111"/>
      <c r="DBM801" s="111"/>
      <c r="DBN801" s="111"/>
      <c r="DBO801" s="111"/>
      <c r="DBP801" s="111"/>
      <c r="DBQ801" s="111"/>
      <c r="DBR801" s="111"/>
      <c r="DBS801" s="111"/>
      <c r="DBT801" s="111"/>
      <c r="DBU801" s="111"/>
      <c r="DBV801" s="111"/>
      <c r="DBW801" s="111"/>
      <c r="DBX801" s="111"/>
      <c r="DBY801" s="111"/>
      <c r="DBZ801" s="111"/>
      <c r="DCA801" s="111"/>
      <c r="DCB801" s="111"/>
      <c r="DCC801" s="111"/>
      <c r="DCD801" s="111"/>
      <c r="DCE801" s="111"/>
      <c r="DCF801" s="111"/>
      <c r="DCG801" s="111"/>
      <c r="DCH801" s="111"/>
      <c r="DCI801" s="111"/>
      <c r="DCJ801" s="111"/>
      <c r="DCK801" s="111"/>
      <c r="DCL801" s="111"/>
      <c r="DCM801" s="111"/>
      <c r="DCN801" s="111"/>
      <c r="DCO801" s="111"/>
      <c r="DCP801" s="111"/>
      <c r="DCQ801" s="111"/>
      <c r="DCR801" s="111"/>
      <c r="DCS801" s="111"/>
      <c r="DCT801" s="111"/>
      <c r="DCU801" s="111"/>
      <c r="DCV801" s="111"/>
      <c r="DCW801" s="111"/>
      <c r="DCX801" s="111"/>
      <c r="DCY801" s="111"/>
      <c r="DCZ801" s="111"/>
      <c r="DDA801" s="111"/>
      <c r="DDB801" s="111"/>
      <c r="DDC801" s="111"/>
      <c r="DDD801" s="111"/>
      <c r="DDE801" s="111"/>
      <c r="DDF801" s="111"/>
      <c r="DDG801" s="111"/>
      <c r="DDH801" s="111"/>
      <c r="DDI801" s="111"/>
      <c r="DDJ801" s="111"/>
      <c r="DDK801" s="111"/>
      <c r="DDL801" s="111"/>
      <c r="DDM801" s="111"/>
      <c r="DDN801" s="111"/>
      <c r="DDO801" s="111"/>
      <c r="DDP801" s="111"/>
      <c r="DDQ801" s="111"/>
      <c r="DDR801" s="111"/>
      <c r="DDS801" s="111"/>
      <c r="DDT801" s="111"/>
      <c r="DDU801" s="111"/>
      <c r="DDV801" s="111"/>
      <c r="DDW801" s="111"/>
      <c r="DDX801" s="111"/>
      <c r="DDY801" s="111"/>
      <c r="DDZ801" s="111"/>
      <c r="DEA801" s="111"/>
      <c r="DEB801" s="111"/>
      <c r="DEC801" s="111"/>
      <c r="DED801" s="111"/>
      <c r="DEE801" s="111"/>
      <c r="DEF801" s="111"/>
      <c r="DEG801" s="111"/>
      <c r="DEH801" s="111"/>
      <c r="DEI801" s="111"/>
      <c r="DEJ801" s="111"/>
      <c r="DEK801" s="111"/>
      <c r="DEL801" s="111"/>
      <c r="DEM801" s="111"/>
      <c r="DEN801" s="111"/>
      <c r="DEO801" s="111"/>
      <c r="DEP801" s="111"/>
      <c r="DEQ801" s="111"/>
      <c r="DER801" s="111"/>
      <c r="DES801" s="111"/>
      <c r="DET801" s="111"/>
      <c r="DEU801" s="111"/>
      <c r="DEV801" s="111"/>
      <c r="DEW801" s="111"/>
      <c r="DEX801" s="111"/>
      <c r="DEY801" s="111"/>
      <c r="DEZ801" s="111"/>
      <c r="DFA801" s="111"/>
      <c r="DFB801" s="111"/>
      <c r="DFC801" s="111"/>
      <c r="DFD801" s="111"/>
      <c r="DFE801" s="111"/>
      <c r="DFF801" s="111"/>
      <c r="DFG801" s="111"/>
      <c r="DFH801" s="111"/>
      <c r="DFI801" s="111"/>
      <c r="DFJ801" s="111"/>
      <c r="DFK801" s="111"/>
      <c r="DFL801" s="111"/>
      <c r="DFM801" s="111"/>
      <c r="DFN801" s="111"/>
      <c r="DFO801" s="111"/>
      <c r="DFP801" s="111"/>
      <c r="DFQ801" s="111"/>
      <c r="DFR801" s="111"/>
      <c r="DFS801" s="111"/>
      <c r="DFT801" s="111"/>
      <c r="DFU801" s="111"/>
      <c r="DFV801" s="111"/>
      <c r="DFW801" s="111"/>
      <c r="DFX801" s="111"/>
      <c r="DFY801" s="111"/>
      <c r="DFZ801" s="111"/>
      <c r="DGA801" s="111"/>
      <c r="DGB801" s="111"/>
      <c r="DGC801" s="111"/>
      <c r="DGD801" s="111"/>
      <c r="DGE801" s="111"/>
      <c r="DGF801" s="111"/>
      <c r="DGG801" s="111"/>
      <c r="DGH801" s="111"/>
      <c r="DGI801" s="111"/>
      <c r="DGJ801" s="111"/>
      <c r="DGK801" s="111"/>
      <c r="DGL801" s="111"/>
      <c r="DGM801" s="111"/>
      <c r="DGN801" s="111"/>
      <c r="DGO801" s="111"/>
      <c r="DGP801" s="111"/>
      <c r="DGQ801" s="111"/>
      <c r="DGR801" s="111"/>
      <c r="DGS801" s="111"/>
      <c r="DGT801" s="111"/>
      <c r="DGU801" s="111"/>
      <c r="DGV801" s="111"/>
      <c r="DGW801" s="111"/>
      <c r="DGX801" s="111"/>
      <c r="DGY801" s="111"/>
      <c r="DGZ801" s="111"/>
      <c r="DHA801" s="111"/>
      <c r="DHB801" s="111"/>
      <c r="DHC801" s="111"/>
      <c r="DHD801" s="111"/>
      <c r="DHE801" s="111"/>
      <c r="DHF801" s="111"/>
      <c r="DHG801" s="111"/>
      <c r="DHH801" s="111"/>
      <c r="DHI801" s="111"/>
      <c r="DHJ801" s="111"/>
      <c r="DHK801" s="111"/>
      <c r="DHL801" s="111"/>
      <c r="DHM801" s="111"/>
      <c r="DHN801" s="111"/>
      <c r="DHO801" s="111"/>
      <c r="DHP801" s="111"/>
      <c r="DHQ801" s="111"/>
      <c r="DHR801" s="111"/>
      <c r="DHS801" s="111"/>
      <c r="DHT801" s="111"/>
      <c r="DHU801" s="111"/>
      <c r="DHV801" s="111"/>
      <c r="DHW801" s="111"/>
      <c r="DHX801" s="111"/>
      <c r="DHY801" s="111"/>
      <c r="DHZ801" s="111"/>
      <c r="DIA801" s="111"/>
      <c r="DIB801" s="111"/>
      <c r="DIC801" s="111"/>
      <c r="DID801" s="111"/>
      <c r="DIE801" s="111"/>
      <c r="DIF801" s="111"/>
      <c r="DIG801" s="111"/>
      <c r="DIH801" s="111"/>
      <c r="DII801" s="111"/>
      <c r="DIJ801" s="111"/>
      <c r="DIK801" s="111"/>
      <c r="DIL801" s="111"/>
      <c r="DIM801" s="111"/>
      <c r="DIN801" s="111"/>
      <c r="DIO801" s="111"/>
      <c r="DIP801" s="111"/>
      <c r="DIQ801" s="111"/>
      <c r="DIR801" s="111"/>
      <c r="DIS801" s="111"/>
      <c r="DIT801" s="111"/>
      <c r="DIU801" s="111"/>
      <c r="DIV801" s="111"/>
      <c r="DIW801" s="111"/>
      <c r="DIX801" s="111"/>
      <c r="DIY801" s="111"/>
      <c r="DIZ801" s="111"/>
      <c r="DJA801" s="111"/>
      <c r="DJB801" s="111"/>
      <c r="DJC801" s="111"/>
      <c r="DJD801" s="111"/>
      <c r="DJE801" s="111"/>
      <c r="DJF801" s="111"/>
      <c r="DJG801" s="111"/>
      <c r="DJH801" s="111"/>
      <c r="DJI801" s="111"/>
      <c r="DJJ801" s="111"/>
      <c r="DJK801" s="111"/>
      <c r="DJL801" s="111"/>
      <c r="DJM801" s="111"/>
      <c r="DJN801" s="111"/>
      <c r="DJO801" s="111"/>
      <c r="DJP801" s="111"/>
      <c r="DJQ801" s="111"/>
      <c r="DJR801" s="111"/>
      <c r="DJS801" s="111"/>
      <c r="DJT801" s="111"/>
      <c r="DJU801" s="111"/>
      <c r="DJV801" s="111"/>
      <c r="DJW801" s="111"/>
      <c r="DJX801" s="111"/>
      <c r="DJY801" s="111"/>
      <c r="DJZ801" s="111"/>
      <c r="DKA801" s="111"/>
      <c r="DKB801" s="111"/>
      <c r="DKC801" s="111"/>
      <c r="DKD801" s="111"/>
      <c r="DKE801" s="111"/>
      <c r="DKF801" s="111"/>
      <c r="DKG801" s="111"/>
      <c r="DKH801" s="111"/>
      <c r="DKI801" s="111"/>
      <c r="DKJ801" s="111"/>
      <c r="DKK801" s="111"/>
      <c r="DKL801" s="111"/>
      <c r="DKM801" s="111"/>
      <c r="DKN801" s="111"/>
      <c r="DKO801" s="111"/>
      <c r="DKP801" s="111"/>
      <c r="DKQ801" s="111"/>
      <c r="DKR801" s="111"/>
      <c r="DKS801" s="111"/>
      <c r="DKT801" s="111"/>
      <c r="DKU801" s="111"/>
      <c r="DKV801" s="111"/>
      <c r="DKW801" s="111"/>
      <c r="DKX801" s="111"/>
      <c r="DKY801" s="111"/>
      <c r="DKZ801" s="111"/>
      <c r="DLA801" s="111"/>
      <c r="DLB801" s="111"/>
      <c r="DLC801" s="111"/>
      <c r="DLD801" s="111"/>
      <c r="DLE801" s="111"/>
      <c r="DLF801" s="111"/>
      <c r="DLG801" s="111"/>
      <c r="DLH801" s="111"/>
      <c r="DLI801" s="111"/>
      <c r="DLJ801" s="111"/>
      <c r="DLK801" s="111"/>
      <c r="DLL801" s="111"/>
      <c r="DLM801" s="111"/>
      <c r="DLN801" s="111"/>
      <c r="DLO801" s="111"/>
      <c r="DLP801" s="111"/>
      <c r="DLQ801" s="111"/>
      <c r="DLR801" s="111"/>
      <c r="DLS801" s="111"/>
      <c r="DLT801" s="111"/>
      <c r="DLU801" s="111"/>
      <c r="DLV801" s="111"/>
      <c r="DLW801" s="111"/>
      <c r="DLX801" s="111"/>
      <c r="DLY801" s="111"/>
      <c r="DLZ801" s="111"/>
      <c r="DMA801" s="111"/>
      <c r="DMB801" s="111"/>
      <c r="DMC801" s="111"/>
      <c r="DMD801" s="111"/>
      <c r="DME801" s="111"/>
      <c r="DMF801" s="111"/>
      <c r="DMG801" s="111"/>
      <c r="DMH801" s="111"/>
      <c r="DMI801" s="111"/>
      <c r="DMJ801" s="111"/>
      <c r="DMK801" s="111"/>
      <c r="DML801" s="111"/>
      <c r="DMM801" s="111"/>
      <c r="DMN801" s="111"/>
      <c r="DMO801" s="111"/>
      <c r="DMP801" s="111"/>
      <c r="DMQ801" s="111"/>
      <c r="DMR801" s="111"/>
      <c r="DMS801" s="111"/>
      <c r="DMT801" s="111"/>
      <c r="DMU801" s="111"/>
      <c r="DMV801" s="111"/>
      <c r="DMW801" s="111"/>
      <c r="DMX801" s="111"/>
      <c r="DMY801" s="111"/>
      <c r="DMZ801" s="111"/>
      <c r="DNA801" s="111"/>
      <c r="DNB801" s="111"/>
      <c r="DNC801" s="111"/>
      <c r="DND801" s="111"/>
      <c r="DNE801" s="111"/>
      <c r="DNF801" s="111"/>
      <c r="DNG801" s="111"/>
      <c r="DNH801" s="111"/>
      <c r="DNI801" s="111"/>
      <c r="DNJ801" s="111"/>
      <c r="DNK801" s="111"/>
      <c r="DNL801" s="111"/>
      <c r="DNM801" s="111"/>
      <c r="DNN801" s="111"/>
      <c r="DNO801" s="111"/>
      <c r="DNP801" s="111"/>
      <c r="DNQ801" s="111"/>
      <c r="DNR801" s="111"/>
      <c r="DNS801" s="111"/>
      <c r="DNT801" s="111"/>
      <c r="DNU801" s="111"/>
      <c r="DNV801" s="111"/>
      <c r="DNW801" s="111"/>
      <c r="DNX801" s="111"/>
      <c r="DNY801" s="111"/>
      <c r="DNZ801" s="111"/>
      <c r="DOA801" s="111"/>
      <c r="DOB801" s="111"/>
      <c r="DOC801" s="111"/>
      <c r="DOD801" s="111"/>
      <c r="DOE801" s="111"/>
      <c r="DOF801" s="111"/>
      <c r="DOG801" s="111"/>
      <c r="DOH801" s="111"/>
      <c r="DOI801" s="111"/>
      <c r="DOJ801" s="111"/>
      <c r="DOK801" s="111"/>
      <c r="DOL801" s="111"/>
      <c r="DOM801" s="111"/>
      <c r="DON801" s="111"/>
      <c r="DOO801" s="111"/>
      <c r="DOP801" s="111"/>
      <c r="DOQ801" s="111"/>
      <c r="DOR801" s="111"/>
      <c r="DOS801" s="111"/>
      <c r="DOT801" s="111"/>
      <c r="DOU801" s="111"/>
      <c r="DOV801" s="111"/>
      <c r="DOW801" s="111"/>
      <c r="DOX801" s="111"/>
      <c r="DOY801" s="111"/>
      <c r="DOZ801" s="111"/>
      <c r="DPA801" s="111"/>
      <c r="DPB801" s="111"/>
      <c r="DPC801" s="111"/>
      <c r="DPD801" s="111"/>
      <c r="DPE801" s="111"/>
      <c r="DPF801" s="111"/>
      <c r="DPG801" s="111"/>
      <c r="DPH801" s="111"/>
      <c r="DPI801" s="111"/>
      <c r="DPJ801" s="111"/>
      <c r="DPK801" s="111"/>
      <c r="DPL801" s="111"/>
      <c r="DPM801" s="111"/>
      <c r="DPN801" s="111"/>
      <c r="DPO801" s="111"/>
      <c r="DPP801" s="111"/>
      <c r="DPQ801" s="111"/>
      <c r="DPR801" s="111"/>
      <c r="DPS801" s="111"/>
      <c r="DPT801" s="111"/>
      <c r="DPU801" s="111"/>
      <c r="DPV801" s="111"/>
      <c r="DPW801" s="111"/>
      <c r="DPX801" s="111"/>
      <c r="DPY801" s="111"/>
      <c r="DPZ801" s="111"/>
      <c r="DQA801" s="111"/>
      <c r="DQB801" s="111"/>
      <c r="DQC801" s="111"/>
      <c r="DQD801" s="111"/>
      <c r="DQE801" s="111"/>
      <c r="DQF801" s="111"/>
      <c r="DQG801" s="111"/>
      <c r="DQH801" s="111"/>
      <c r="DQI801" s="111"/>
      <c r="DQJ801" s="111"/>
      <c r="DQK801" s="111"/>
      <c r="DQL801" s="111"/>
      <c r="DQM801" s="111"/>
      <c r="DQN801" s="111"/>
      <c r="DQO801" s="111"/>
      <c r="DQP801" s="111"/>
      <c r="DQQ801" s="111"/>
      <c r="DQR801" s="111"/>
      <c r="DQS801" s="111"/>
      <c r="DQT801" s="111"/>
      <c r="DQU801" s="111"/>
      <c r="DQV801" s="111"/>
      <c r="DQW801" s="111"/>
      <c r="DQX801" s="111"/>
      <c r="DQY801" s="111"/>
      <c r="DQZ801" s="111"/>
      <c r="DRA801" s="111"/>
      <c r="DRB801" s="111"/>
      <c r="DRC801" s="111"/>
      <c r="DRD801" s="111"/>
      <c r="DRE801" s="111"/>
      <c r="DRF801" s="111"/>
      <c r="DRG801" s="111"/>
      <c r="DRH801" s="111"/>
      <c r="DRI801" s="111"/>
      <c r="DRJ801" s="111"/>
      <c r="DRK801" s="111"/>
      <c r="DRL801" s="111"/>
      <c r="DRM801" s="111"/>
      <c r="DRN801" s="111"/>
      <c r="DRO801" s="111"/>
      <c r="DRP801" s="111"/>
      <c r="DRQ801" s="111"/>
      <c r="DRR801" s="111"/>
      <c r="DRS801" s="111"/>
      <c r="DRT801" s="111"/>
      <c r="DRU801" s="111"/>
      <c r="DRV801" s="111"/>
      <c r="DRW801" s="111"/>
      <c r="DRX801" s="111"/>
      <c r="DRY801" s="111"/>
      <c r="DRZ801" s="111"/>
      <c r="DSA801" s="111"/>
      <c r="DSB801" s="111"/>
      <c r="DSC801" s="111"/>
      <c r="DSD801" s="111"/>
      <c r="DSE801" s="111"/>
      <c r="DSF801" s="111"/>
      <c r="DSG801" s="111"/>
      <c r="DSH801" s="111"/>
      <c r="DSI801" s="111"/>
      <c r="DSJ801" s="111"/>
      <c r="DSK801" s="111"/>
      <c r="DSL801" s="111"/>
      <c r="DSM801" s="111"/>
      <c r="DSN801" s="111"/>
      <c r="DSO801" s="111"/>
      <c r="DSP801" s="111"/>
      <c r="DSQ801" s="111"/>
      <c r="DSR801" s="111"/>
      <c r="DSS801" s="111"/>
      <c r="DST801" s="111"/>
      <c r="DSU801" s="111"/>
      <c r="DSV801" s="111"/>
      <c r="DSW801" s="111"/>
      <c r="DSX801" s="111"/>
      <c r="DSY801" s="111"/>
      <c r="DSZ801" s="111"/>
      <c r="DTA801" s="111"/>
      <c r="DTB801" s="111"/>
      <c r="DTC801" s="111"/>
      <c r="DTD801" s="111"/>
      <c r="DTE801" s="111"/>
      <c r="DTF801" s="111"/>
      <c r="DTG801" s="111"/>
      <c r="DTH801" s="111"/>
      <c r="DTI801" s="111"/>
      <c r="DTJ801" s="111"/>
      <c r="DTK801" s="111"/>
      <c r="DTL801" s="111"/>
      <c r="DTM801" s="111"/>
      <c r="DTN801" s="111"/>
      <c r="DTO801" s="111"/>
      <c r="DTP801" s="111"/>
      <c r="DTQ801" s="111"/>
      <c r="DTR801" s="111"/>
      <c r="DTS801" s="111"/>
      <c r="DTT801" s="111"/>
      <c r="DTU801" s="111"/>
      <c r="DTV801" s="111"/>
      <c r="DTW801" s="111"/>
      <c r="DTX801" s="111"/>
      <c r="DTY801" s="111"/>
      <c r="DTZ801" s="111"/>
      <c r="DUA801" s="111"/>
      <c r="DUB801" s="111"/>
      <c r="DUC801" s="111"/>
      <c r="DUD801" s="111"/>
      <c r="DUE801" s="111"/>
      <c r="DUF801" s="111"/>
      <c r="DUG801" s="111"/>
      <c r="DUH801" s="111"/>
      <c r="DUI801" s="111"/>
      <c r="DUJ801" s="111"/>
      <c r="DUK801" s="111"/>
      <c r="DUL801" s="111"/>
      <c r="DUM801" s="111"/>
      <c r="DUN801" s="111"/>
      <c r="DUO801" s="111"/>
      <c r="DUP801" s="111"/>
      <c r="DUQ801" s="111"/>
      <c r="DUR801" s="111"/>
      <c r="DUS801" s="111"/>
      <c r="DUT801" s="111"/>
      <c r="DUU801" s="111"/>
      <c r="DUV801" s="111"/>
      <c r="DUW801" s="111"/>
      <c r="DUX801" s="111"/>
      <c r="DUY801" s="111"/>
      <c r="DUZ801" s="111"/>
      <c r="DVA801" s="111"/>
      <c r="DVB801" s="111"/>
      <c r="DVC801" s="111"/>
      <c r="DVD801" s="111"/>
      <c r="DVE801" s="111"/>
      <c r="DVF801" s="111"/>
      <c r="DVG801" s="111"/>
      <c r="DVH801" s="111"/>
      <c r="DVI801" s="111"/>
      <c r="DVJ801" s="111"/>
      <c r="DVK801" s="111"/>
      <c r="DVL801" s="111"/>
      <c r="DVM801" s="111"/>
      <c r="DVN801" s="111"/>
      <c r="DVO801" s="111"/>
      <c r="DVP801" s="111"/>
      <c r="DVQ801" s="111"/>
      <c r="DVR801" s="111"/>
      <c r="DVS801" s="111"/>
      <c r="DVT801" s="111"/>
      <c r="DVU801" s="111"/>
      <c r="DVV801" s="111"/>
      <c r="DVW801" s="111"/>
      <c r="DVX801" s="111"/>
      <c r="DVY801" s="111"/>
      <c r="DVZ801" s="111"/>
      <c r="DWA801" s="111"/>
      <c r="DWB801" s="111"/>
      <c r="DWC801" s="111"/>
      <c r="DWD801" s="111"/>
      <c r="DWE801" s="111"/>
      <c r="DWF801" s="111"/>
      <c r="DWG801" s="111"/>
      <c r="DWH801" s="111"/>
      <c r="DWI801" s="111"/>
      <c r="DWJ801" s="111"/>
      <c r="DWK801" s="111"/>
      <c r="DWL801" s="111"/>
      <c r="DWM801" s="111"/>
      <c r="DWN801" s="111"/>
      <c r="DWO801" s="111"/>
      <c r="DWP801" s="111"/>
      <c r="DWQ801" s="111"/>
      <c r="DWR801" s="111"/>
      <c r="DWS801" s="111"/>
      <c r="DWT801" s="111"/>
      <c r="DWU801" s="111"/>
      <c r="DWV801" s="111"/>
      <c r="DWW801" s="111"/>
      <c r="DWX801" s="111"/>
      <c r="DWY801" s="111"/>
      <c r="DWZ801" s="111"/>
      <c r="DXA801" s="111"/>
      <c r="DXB801" s="111"/>
      <c r="DXC801" s="111"/>
      <c r="DXD801" s="111"/>
      <c r="DXE801" s="111"/>
      <c r="DXF801" s="111"/>
      <c r="DXG801" s="111"/>
      <c r="DXH801" s="111"/>
      <c r="DXI801" s="111"/>
      <c r="DXJ801" s="111"/>
      <c r="DXK801" s="111"/>
      <c r="DXL801" s="111"/>
      <c r="DXM801" s="111"/>
      <c r="DXN801" s="111"/>
      <c r="DXO801" s="111"/>
      <c r="DXP801" s="111"/>
      <c r="DXQ801" s="111"/>
      <c r="DXR801" s="111"/>
      <c r="DXS801" s="111"/>
      <c r="DXT801" s="111"/>
      <c r="DXU801" s="111"/>
      <c r="DXV801" s="111"/>
      <c r="DXW801" s="111"/>
      <c r="DXX801" s="111"/>
      <c r="DXY801" s="111"/>
      <c r="DXZ801" s="111"/>
      <c r="DYA801" s="111"/>
      <c r="DYB801" s="111"/>
      <c r="DYC801" s="111"/>
      <c r="DYD801" s="111"/>
      <c r="DYE801" s="111"/>
      <c r="DYF801" s="111"/>
      <c r="DYG801" s="111"/>
      <c r="DYH801" s="111"/>
      <c r="DYI801" s="111"/>
      <c r="DYJ801" s="111"/>
      <c r="DYK801" s="111"/>
      <c r="DYL801" s="111"/>
      <c r="DYM801" s="111"/>
      <c r="DYN801" s="111"/>
      <c r="DYO801" s="111"/>
      <c r="DYP801" s="111"/>
      <c r="DYQ801" s="111"/>
      <c r="DYR801" s="111"/>
      <c r="DYS801" s="111"/>
      <c r="DYT801" s="111"/>
      <c r="DYU801" s="111"/>
      <c r="DYV801" s="111"/>
      <c r="DYW801" s="111"/>
      <c r="DYX801" s="111"/>
      <c r="DYY801" s="111"/>
      <c r="DYZ801" s="111"/>
      <c r="DZA801" s="111"/>
      <c r="DZB801" s="111"/>
      <c r="DZC801" s="111"/>
      <c r="DZD801" s="111"/>
      <c r="DZE801" s="111"/>
      <c r="DZF801" s="111"/>
      <c r="DZG801" s="111"/>
      <c r="DZH801" s="111"/>
      <c r="DZI801" s="111"/>
      <c r="DZJ801" s="111"/>
      <c r="DZK801" s="111"/>
      <c r="DZL801" s="111"/>
      <c r="DZM801" s="111"/>
      <c r="DZN801" s="111"/>
      <c r="DZO801" s="111"/>
      <c r="DZP801" s="111"/>
      <c r="DZQ801" s="111"/>
      <c r="DZR801" s="111"/>
      <c r="DZS801" s="111"/>
      <c r="DZT801" s="111"/>
      <c r="DZU801" s="111"/>
      <c r="DZV801" s="111"/>
      <c r="DZW801" s="111"/>
      <c r="DZX801" s="111"/>
      <c r="DZY801" s="111"/>
      <c r="DZZ801" s="111"/>
      <c r="EAA801" s="111"/>
      <c r="EAB801" s="111"/>
      <c r="EAC801" s="111"/>
      <c r="EAD801" s="111"/>
      <c r="EAE801" s="111"/>
      <c r="EAF801" s="111"/>
      <c r="EAG801" s="111"/>
      <c r="EAH801" s="111"/>
      <c r="EAI801" s="111"/>
      <c r="EAJ801" s="111"/>
      <c r="EAK801" s="111"/>
      <c r="EAL801" s="111"/>
      <c r="EAM801" s="111"/>
      <c r="EAN801" s="111"/>
      <c r="EAO801" s="111"/>
      <c r="EAP801" s="111"/>
      <c r="EAQ801" s="111"/>
      <c r="EAR801" s="111"/>
      <c r="EAS801" s="111"/>
      <c r="EAT801" s="111"/>
      <c r="EAU801" s="111"/>
      <c r="EAV801" s="111"/>
      <c r="EAW801" s="111"/>
      <c r="EAX801" s="111"/>
      <c r="EAY801" s="111"/>
      <c r="EAZ801" s="111"/>
      <c r="EBA801" s="111"/>
      <c r="EBB801" s="111"/>
      <c r="EBC801" s="111"/>
      <c r="EBD801" s="111"/>
      <c r="EBE801" s="111"/>
      <c r="EBF801" s="111"/>
      <c r="EBG801" s="111"/>
      <c r="EBH801" s="111"/>
      <c r="EBI801" s="111"/>
      <c r="EBJ801" s="111"/>
      <c r="EBK801" s="111"/>
      <c r="EBL801" s="111"/>
      <c r="EBM801" s="111"/>
      <c r="EBN801" s="111"/>
      <c r="EBO801" s="111"/>
      <c r="EBP801" s="111"/>
      <c r="EBQ801" s="111"/>
      <c r="EBR801" s="111"/>
      <c r="EBS801" s="111"/>
      <c r="EBT801" s="111"/>
      <c r="EBU801" s="111"/>
      <c r="EBV801" s="111"/>
      <c r="EBW801" s="111"/>
      <c r="EBX801" s="111"/>
      <c r="EBY801" s="111"/>
      <c r="EBZ801" s="111"/>
      <c r="ECA801" s="111"/>
      <c r="ECB801" s="111"/>
      <c r="ECC801" s="111"/>
      <c r="ECD801" s="111"/>
      <c r="ECE801" s="111"/>
      <c r="ECF801" s="111"/>
      <c r="ECG801" s="111"/>
      <c r="ECH801" s="111"/>
      <c r="ECI801" s="111"/>
      <c r="ECJ801" s="111"/>
      <c r="ECK801" s="111"/>
      <c r="ECL801" s="111"/>
      <c r="ECM801" s="111"/>
      <c r="ECN801" s="111"/>
      <c r="ECO801" s="111"/>
      <c r="ECP801" s="111"/>
      <c r="ECQ801" s="111"/>
      <c r="ECR801" s="111"/>
      <c r="ECS801" s="111"/>
      <c r="ECT801" s="111"/>
      <c r="ECU801" s="111"/>
      <c r="ECV801" s="111"/>
      <c r="ECW801" s="111"/>
      <c r="ECX801" s="111"/>
      <c r="ECY801" s="111"/>
      <c r="ECZ801" s="111"/>
      <c r="EDA801" s="111"/>
      <c r="EDB801" s="111"/>
      <c r="EDC801" s="111"/>
      <c r="EDD801" s="111"/>
      <c r="EDE801" s="111"/>
      <c r="EDF801" s="111"/>
      <c r="EDG801" s="111"/>
      <c r="EDH801" s="111"/>
      <c r="EDI801" s="111"/>
      <c r="EDJ801" s="111"/>
      <c r="EDK801" s="111"/>
      <c r="EDL801" s="111"/>
      <c r="EDM801" s="111"/>
      <c r="EDN801" s="111"/>
      <c r="EDO801" s="111"/>
      <c r="EDP801" s="111"/>
      <c r="EDQ801" s="111"/>
      <c r="EDR801" s="111"/>
      <c r="EDS801" s="111"/>
      <c r="EDT801" s="111"/>
      <c r="EDU801" s="111"/>
      <c r="EDV801" s="111"/>
      <c r="EDW801" s="111"/>
      <c r="EDX801" s="111"/>
      <c r="EDY801" s="111"/>
      <c r="EDZ801" s="111"/>
      <c r="EEA801" s="111"/>
      <c r="EEB801" s="111"/>
      <c r="EEC801" s="111"/>
      <c r="EED801" s="111"/>
      <c r="EEE801" s="111"/>
      <c r="EEF801" s="111"/>
      <c r="EEG801" s="111"/>
      <c r="EEH801" s="111"/>
      <c r="EEI801" s="111"/>
      <c r="EEJ801" s="111"/>
      <c r="EEK801" s="111"/>
      <c r="EEL801" s="111"/>
      <c r="EEM801" s="111"/>
      <c r="EEN801" s="111"/>
      <c r="EEO801" s="111"/>
      <c r="EEP801" s="111"/>
      <c r="EEQ801" s="111"/>
      <c r="EER801" s="111"/>
      <c r="EES801" s="111"/>
      <c r="EET801" s="111"/>
      <c r="EEU801" s="111"/>
      <c r="EEV801" s="111"/>
      <c r="EEW801" s="111"/>
      <c r="EEX801" s="111"/>
      <c r="EEY801" s="111"/>
      <c r="EEZ801" s="111"/>
      <c r="EFA801" s="111"/>
      <c r="EFB801" s="111"/>
      <c r="EFC801" s="111"/>
      <c r="EFD801" s="111"/>
      <c r="EFE801" s="111"/>
      <c r="EFF801" s="111"/>
      <c r="EFG801" s="111"/>
      <c r="EFH801" s="111"/>
      <c r="EFI801" s="111"/>
      <c r="EFJ801" s="111"/>
      <c r="EFK801" s="111"/>
      <c r="EFL801" s="111"/>
      <c r="EFM801" s="111"/>
      <c r="EFN801" s="111"/>
      <c r="EFO801" s="111"/>
      <c r="EFP801" s="111"/>
      <c r="EFQ801" s="111"/>
      <c r="EFR801" s="111"/>
      <c r="EFS801" s="111"/>
      <c r="EFT801" s="111"/>
      <c r="EFU801" s="111"/>
      <c r="EFV801" s="111"/>
      <c r="EFW801" s="111"/>
      <c r="EFX801" s="111"/>
      <c r="EFY801" s="111"/>
      <c r="EFZ801" s="111"/>
      <c r="EGA801" s="111"/>
      <c r="EGB801" s="111"/>
      <c r="EGC801" s="111"/>
      <c r="EGD801" s="111"/>
      <c r="EGE801" s="111"/>
      <c r="EGF801" s="111"/>
      <c r="EGG801" s="111"/>
      <c r="EGH801" s="111"/>
      <c r="EGI801" s="111"/>
      <c r="EGJ801" s="111"/>
      <c r="EGK801" s="111"/>
      <c r="EGL801" s="111"/>
      <c r="EGM801" s="111"/>
      <c r="EGN801" s="111"/>
      <c r="EGO801" s="111"/>
      <c r="EGP801" s="111"/>
      <c r="EGQ801" s="111"/>
      <c r="EGR801" s="111"/>
      <c r="EGS801" s="111"/>
      <c r="EGT801" s="111"/>
      <c r="EGU801" s="111"/>
      <c r="EGV801" s="111"/>
      <c r="EGW801" s="111"/>
      <c r="EGX801" s="111"/>
      <c r="EGY801" s="111"/>
      <c r="EGZ801" s="111"/>
      <c r="EHA801" s="111"/>
      <c r="EHB801" s="111"/>
      <c r="EHC801" s="111"/>
      <c r="EHD801" s="111"/>
      <c r="EHE801" s="111"/>
      <c r="EHF801" s="111"/>
      <c r="EHG801" s="111"/>
      <c r="EHH801" s="111"/>
      <c r="EHI801" s="111"/>
      <c r="EHJ801" s="111"/>
      <c r="EHK801" s="111"/>
      <c r="EHL801" s="111"/>
      <c r="EHM801" s="111"/>
      <c r="EHN801" s="111"/>
      <c r="EHO801" s="111"/>
      <c r="EHP801" s="111"/>
      <c r="EHQ801" s="111"/>
      <c r="EHR801" s="111"/>
      <c r="EHS801" s="111"/>
      <c r="EHT801" s="111"/>
      <c r="EHU801" s="111"/>
      <c r="EHV801" s="111"/>
      <c r="EHW801" s="111"/>
      <c r="EHX801" s="111"/>
      <c r="EHY801" s="111"/>
      <c r="EHZ801" s="111"/>
      <c r="EIA801" s="111"/>
      <c r="EIB801" s="111"/>
      <c r="EIC801" s="111"/>
      <c r="EID801" s="111"/>
      <c r="EIE801" s="111"/>
      <c r="EIF801" s="111"/>
      <c r="EIG801" s="111"/>
      <c r="EIH801" s="111"/>
      <c r="EII801" s="111"/>
      <c r="EIJ801" s="111"/>
      <c r="EIK801" s="111"/>
      <c r="EIL801" s="111"/>
      <c r="EIM801" s="111"/>
      <c r="EIN801" s="111"/>
      <c r="EIO801" s="111"/>
      <c r="EIP801" s="111"/>
      <c r="EIQ801" s="111"/>
      <c r="EIR801" s="111"/>
      <c r="EIS801" s="111"/>
      <c r="EIT801" s="111"/>
      <c r="EIU801" s="111"/>
      <c r="EIV801" s="111"/>
      <c r="EIW801" s="111"/>
      <c r="EIX801" s="111"/>
      <c r="EIY801" s="111"/>
      <c r="EIZ801" s="111"/>
      <c r="EJA801" s="111"/>
      <c r="EJB801" s="111"/>
      <c r="EJC801" s="111"/>
      <c r="EJD801" s="111"/>
      <c r="EJE801" s="111"/>
      <c r="EJF801" s="111"/>
      <c r="EJG801" s="111"/>
      <c r="EJH801" s="111"/>
      <c r="EJI801" s="111"/>
      <c r="EJJ801" s="111"/>
      <c r="EJK801" s="111"/>
      <c r="EJL801" s="111"/>
      <c r="EJM801" s="111"/>
      <c r="EJN801" s="111"/>
      <c r="EJO801" s="111"/>
      <c r="EJP801" s="111"/>
      <c r="EJQ801" s="111"/>
      <c r="EJR801" s="111"/>
      <c r="EJS801" s="111"/>
      <c r="EJT801" s="111"/>
      <c r="EJU801" s="111"/>
      <c r="EJV801" s="111"/>
      <c r="EJW801" s="111"/>
      <c r="EJX801" s="111"/>
      <c r="EJY801" s="111"/>
      <c r="EJZ801" s="111"/>
      <c r="EKA801" s="111"/>
      <c r="EKB801" s="111"/>
      <c r="EKC801" s="111"/>
      <c r="EKD801" s="111"/>
      <c r="EKE801" s="111"/>
      <c r="EKF801" s="111"/>
      <c r="EKG801" s="111"/>
      <c r="EKH801" s="111"/>
      <c r="EKI801" s="111"/>
      <c r="EKJ801" s="111"/>
      <c r="EKK801" s="111"/>
      <c r="EKL801" s="111"/>
      <c r="EKM801" s="111"/>
      <c r="EKN801" s="111"/>
      <c r="EKO801" s="111"/>
      <c r="EKP801" s="111"/>
      <c r="EKQ801" s="111"/>
      <c r="EKR801" s="111"/>
      <c r="EKS801" s="111"/>
      <c r="EKT801" s="111"/>
      <c r="EKU801" s="111"/>
      <c r="EKV801" s="111"/>
      <c r="EKW801" s="111"/>
      <c r="EKX801" s="111"/>
      <c r="EKY801" s="111"/>
      <c r="EKZ801" s="111"/>
      <c r="ELA801" s="111"/>
      <c r="ELB801" s="111"/>
      <c r="ELC801" s="111"/>
      <c r="ELD801" s="111"/>
      <c r="ELE801" s="111"/>
      <c r="ELF801" s="111"/>
      <c r="ELG801" s="111"/>
      <c r="ELH801" s="111"/>
      <c r="ELI801" s="111"/>
      <c r="ELJ801" s="111"/>
      <c r="ELK801" s="111"/>
      <c r="ELL801" s="111"/>
      <c r="ELM801" s="111"/>
      <c r="ELN801" s="111"/>
      <c r="ELO801" s="111"/>
      <c r="ELP801" s="111"/>
      <c r="ELQ801" s="111"/>
      <c r="ELR801" s="111"/>
      <c r="ELS801" s="111"/>
      <c r="ELT801" s="111"/>
      <c r="ELU801" s="111"/>
      <c r="ELV801" s="111"/>
      <c r="ELW801" s="111"/>
      <c r="ELX801" s="111"/>
      <c r="ELY801" s="111"/>
      <c r="ELZ801" s="111"/>
      <c r="EMA801" s="111"/>
      <c r="EMB801" s="111"/>
      <c r="EMC801" s="111"/>
      <c r="EMD801" s="111"/>
      <c r="EME801" s="111"/>
      <c r="EMF801" s="111"/>
      <c r="EMG801" s="111"/>
      <c r="EMH801" s="111"/>
      <c r="EMI801" s="111"/>
      <c r="EMJ801" s="111"/>
      <c r="EMK801" s="111"/>
      <c r="EML801" s="111"/>
      <c r="EMM801" s="111"/>
      <c r="EMN801" s="111"/>
      <c r="EMO801" s="111"/>
      <c r="EMP801" s="111"/>
      <c r="EMQ801" s="111"/>
      <c r="EMR801" s="111"/>
      <c r="EMS801" s="111"/>
      <c r="EMT801" s="111"/>
      <c r="EMU801" s="111"/>
      <c r="EMV801" s="111"/>
      <c r="EMW801" s="111"/>
      <c r="EMX801" s="111"/>
      <c r="EMY801" s="111"/>
      <c r="EMZ801" s="111"/>
      <c r="ENA801" s="111"/>
      <c r="ENB801" s="111"/>
      <c r="ENC801" s="111"/>
      <c r="END801" s="111"/>
      <c r="ENE801" s="111"/>
      <c r="ENF801" s="111"/>
      <c r="ENG801" s="111"/>
      <c r="ENH801" s="111"/>
      <c r="ENI801" s="111"/>
      <c r="ENJ801" s="111"/>
      <c r="ENK801" s="111"/>
      <c r="ENL801" s="111"/>
      <c r="ENM801" s="111"/>
      <c r="ENN801" s="111"/>
      <c r="ENO801" s="111"/>
      <c r="ENP801" s="111"/>
      <c r="ENQ801" s="111"/>
      <c r="ENR801" s="111"/>
      <c r="ENS801" s="111"/>
      <c r="ENT801" s="111"/>
      <c r="ENU801" s="111"/>
      <c r="ENV801" s="111"/>
      <c r="ENW801" s="111"/>
      <c r="ENX801" s="111"/>
      <c r="ENY801" s="111"/>
      <c r="ENZ801" s="111"/>
      <c r="EOA801" s="111"/>
      <c r="EOB801" s="111"/>
      <c r="EOC801" s="111"/>
      <c r="EOD801" s="111"/>
      <c r="EOE801" s="111"/>
      <c r="EOF801" s="111"/>
      <c r="EOG801" s="111"/>
      <c r="EOH801" s="111"/>
      <c r="EOI801" s="111"/>
      <c r="EOJ801" s="111"/>
      <c r="EOK801" s="111"/>
      <c r="EOL801" s="111"/>
      <c r="EOM801" s="111"/>
      <c r="EON801" s="111"/>
      <c r="EOO801" s="111"/>
      <c r="EOP801" s="111"/>
      <c r="EOQ801" s="111"/>
      <c r="EOR801" s="111"/>
      <c r="EOS801" s="111"/>
      <c r="EOT801" s="111"/>
      <c r="EOU801" s="111"/>
      <c r="EOV801" s="111"/>
      <c r="EOW801" s="111"/>
      <c r="EOX801" s="111"/>
      <c r="EOY801" s="111"/>
      <c r="EOZ801" s="111"/>
      <c r="EPA801" s="111"/>
      <c r="EPB801" s="111"/>
      <c r="EPC801" s="111"/>
      <c r="EPD801" s="111"/>
      <c r="EPE801" s="111"/>
      <c r="EPF801" s="111"/>
      <c r="EPG801" s="111"/>
      <c r="EPH801" s="111"/>
      <c r="EPI801" s="111"/>
      <c r="EPJ801" s="111"/>
      <c r="EPK801" s="111"/>
      <c r="EPL801" s="111"/>
      <c r="EPM801" s="111"/>
      <c r="EPN801" s="111"/>
      <c r="EPO801" s="111"/>
      <c r="EPP801" s="111"/>
      <c r="EPQ801" s="111"/>
      <c r="EPR801" s="111"/>
      <c r="EPS801" s="111"/>
      <c r="EPT801" s="111"/>
      <c r="EPU801" s="111"/>
      <c r="EPV801" s="111"/>
      <c r="EPW801" s="111"/>
      <c r="EPX801" s="111"/>
      <c r="EPY801" s="111"/>
      <c r="EPZ801" s="111"/>
      <c r="EQA801" s="111"/>
      <c r="EQB801" s="111"/>
      <c r="EQC801" s="111"/>
      <c r="EQD801" s="111"/>
      <c r="EQE801" s="111"/>
      <c r="EQF801" s="111"/>
      <c r="EQG801" s="111"/>
      <c r="EQH801" s="111"/>
      <c r="EQI801" s="111"/>
      <c r="EQJ801" s="111"/>
      <c r="EQK801" s="111"/>
      <c r="EQL801" s="111"/>
      <c r="EQM801" s="111"/>
      <c r="EQN801" s="111"/>
      <c r="EQO801" s="111"/>
      <c r="EQP801" s="111"/>
      <c r="EQQ801" s="111"/>
      <c r="EQR801" s="111"/>
      <c r="EQS801" s="111"/>
      <c r="EQT801" s="111"/>
      <c r="EQU801" s="111"/>
      <c r="EQV801" s="111"/>
      <c r="EQW801" s="111"/>
      <c r="EQX801" s="111"/>
      <c r="EQY801" s="111"/>
      <c r="EQZ801" s="111"/>
      <c r="ERA801" s="111"/>
      <c r="ERB801" s="111"/>
      <c r="ERC801" s="111"/>
      <c r="ERD801" s="111"/>
      <c r="ERE801" s="111"/>
      <c r="ERF801" s="111"/>
      <c r="ERG801" s="111"/>
      <c r="ERH801" s="111"/>
      <c r="ERI801" s="111"/>
      <c r="ERJ801" s="111"/>
      <c r="ERK801" s="111"/>
      <c r="ERL801" s="111"/>
      <c r="ERM801" s="111"/>
      <c r="ERN801" s="111"/>
      <c r="ERO801" s="111"/>
      <c r="ERP801" s="111"/>
      <c r="ERQ801" s="111"/>
      <c r="ERR801" s="111"/>
      <c r="ERS801" s="111"/>
      <c r="ERT801" s="111"/>
      <c r="ERU801" s="111"/>
      <c r="ERV801" s="111"/>
      <c r="ERW801" s="111"/>
      <c r="ERX801" s="111"/>
      <c r="ERY801" s="111"/>
      <c r="ERZ801" s="111"/>
      <c r="ESA801" s="111"/>
      <c r="ESB801" s="111"/>
      <c r="ESC801" s="111"/>
      <c r="ESD801" s="111"/>
      <c r="ESE801" s="111"/>
      <c r="ESF801" s="111"/>
      <c r="ESG801" s="111"/>
      <c r="ESH801" s="111"/>
      <c r="ESI801" s="111"/>
      <c r="ESJ801" s="111"/>
      <c r="ESK801" s="111"/>
      <c r="ESL801" s="111"/>
      <c r="ESM801" s="111"/>
      <c r="ESN801" s="111"/>
      <c r="ESO801" s="111"/>
      <c r="ESP801" s="111"/>
      <c r="ESQ801" s="111"/>
      <c r="ESR801" s="111"/>
      <c r="ESS801" s="111"/>
      <c r="EST801" s="111"/>
      <c r="ESU801" s="111"/>
      <c r="ESV801" s="111"/>
      <c r="ESW801" s="111"/>
      <c r="ESX801" s="111"/>
      <c r="ESY801" s="111"/>
      <c r="ESZ801" s="111"/>
      <c r="ETA801" s="111"/>
      <c r="ETB801" s="111"/>
      <c r="ETC801" s="111"/>
      <c r="ETD801" s="111"/>
      <c r="ETE801" s="111"/>
      <c r="ETF801" s="111"/>
      <c r="ETG801" s="111"/>
      <c r="ETH801" s="111"/>
      <c r="ETI801" s="111"/>
      <c r="ETJ801" s="111"/>
      <c r="ETK801" s="111"/>
      <c r="ETL801" s="111"/>
      <c r="ETM801" s="111"/>
      <c r="ETN801" s="111"/>
      <c r="ETO801" s="111"/>
      <c r="ETP801" s="111"/>
      <c r="ETQ801" s="111"/>
      <c r="ETR801" s="111"/>
      <c r="ETS801" s="111"/>
      <c r="ETT801" s="111"/>
      <c r="ETU801" s="111"/>
      <c r="ETV801" s="111"/>
      <c r="ETW801" s="111"/>
      <c r="ETX801" s="111"/>
      <c r="ETY801" s="111"/>
      <c r="ETZ801" s="111"/>
      <c r="EUA801" s="111"/>
      <c r="EUB801" s="111"/>
      <c r="EUC801" s="111"/>
      <c r="EUD801" s="111"/>
      <c r="EUE801" s="111"/>
      <c r="EUF801" s="111"/>
      <c r="EUG801" s="111"/>
      <c r="EUH801" s="111"/>
      <c r="EUI801" s="111"/>
      <c r="EUJ801" s="111"/>
      <c r="EUK801" s="111"/>
      <c r="EUL801" s="111"/>
      <c r="EUM801" s="111"/>
      <c r="EUN801" s="111"/>
      <c r="EUO801" s="111"/>
      <c r="EUP801" s="111"/>
      <c r="EUQ801" s="111"/>
      <c r="EUR801" s="111"/>
      <c r="EUS801" s="111"/>
      <c r="EUT801" s="111"/>
      <c r="EUU801" s="111"/>
      <c r="EUV801" s="111"/>
      <c r="EUW801" s="111"/>
      <c r="EUX801" s="111"/>
      <c r="EUY801" s="111"/>
      <c r="EUZ801" s="111"/>
      <c r="EVA801" s="111"/>
      <c r="EVB801" s="111"/>
      <c r="EVC801" s="111"/>
      <c r="EVD801" s="111"/>
      <c r="EVE801" s="111"/>
      <c r="EVF801" s="111"/>
      <c r="EVG801" s="111"/>
      <c r="EVH801" s="111"/>
      <c r="EVI801" s="111"/>
      <c r="EVJ801" s="111"/>
      <c r="EVK801" s="111"/>
      <c r="EVL801" s="111"/>
      <c r="EVM801" s="111"/>
      <c r="EVN801" s="111"/>
      <c r="EVO801" s="111"/>
      <c r="EVP801" s="111"/>
      <c r="EVQ801" s="111"/>
      <c r="EVR801" s="111"/>
      <c r="EVS801" s="111"/>
      <c r="EVT801" s="111"/>
      <c r="EVU801" s="111"/>
      <c r="EVV801" s="111"/>
      <c r="EVW801" s="111"/>
      <c r="EVX801" s="111"/>
      <c r="EVY801" s="111"/>
      <c r="EVZ801" s="111"/>
      <c r="EWA801" s="111"/>
      <c r="EWB801" s="111"/>
      <c r="EWC801" s="111"/>
      <c r="EWD801" s="111"/>
      <c r="EWE801" s="111"/>
      <c r="EWF801" s="111"/>
      <c r="EWG801" s="111"/>
      <c r="EWH801" s="111"/>
      <c r="EWI801" s="111"/>
      <c r="EWJ801" s="111"/>
      <c r="EWK801" s="111"/>
      <c r="EWL801" s="111"/>
      <c r="EWM801" s="111"/>
      <c r="EWN801" s="111"/>
      <c r="EWO801" s="111"/>
      <c r="EWP801" s="111"/>
      <c r="EWQ801" s="111"/>
      <c r="EWR801" s="111"/>
      <c r="EWS801" s="111"/>
      <c r="EWT801" s="111"/>
      <c r="EWU801" s="111"/>
      <c r="EWV801" s="111"/>
      <c r="EWW801" s="111"/>
      <c r="EWX801" s="111"/>
      <c r="EWY801" s="111"/>
      <c r="EWZ801" s="111"/>
      <c r="EXA801" s="111"/>
      <c r="EXB801" s="111"/>
      <c r="EXC801" s="111"/>
      <c r="EXD801" s="111"/>
      <c r="EXE801" s="111"/>
      <c r="EXF801" s="111"/>
      <c r="EXG801" s="111"/>
      <c r="EXH801" s="111"/>
      <c r="EXI801" s="111"/>
      <c r="EXJ801" s="111"/>
      <c r="EXK801" s="111"/>
      <c r="EXL801" s="111"/>
      <c r="EXM801" s="111"/>
      <c r="EXN801" s="111"/>
      <c r="EXO801" s="111"/>
      <c r="EXP801" s="111"/>
      <c r="EXQ801" s="111"/>
      <c r="EXR801" s="111"/>
      <c r="EXS801" s="111"/>
      <c r="EXT801" s="111"/>
      <c r="EXU801" s="111"/>
      <c r="EXV801" s="111"/>
      <c r="EXW801" s="111"/>
      <c r="EXX801" s="111"/>
      <c r="EXY801" s="111"/>
      <c r="EXZ801" s="111"/>
      <c r="EYA801" s="111"/>
      <c r="EYB801" s="111"/>
      <c r="EYC801" s="111"/>
      <c r="EYD801" s="111"/>
      <c r="EYE801" s="111"/>
      <c r="EYF801" s="111"/>
      <c r="EYG801" s="111"/>
      <c r="EYH801" s="111"/>
      <c r="EYI801" s="111"/>
      <c r="EYJ801" s="111"/>
      <c r="EYK801" s="111"/>
      <c r="EYL801" s="111"/>
      <c r="EYM801" s="111"/>
      <c r="EYN801" s="111"/>
      <c r="EYO801" s="111"/>
      <c r="EYP801" s="111"/>
      <c r="EYQ801" s="111"/>
      <c r="EYR801" s="111"/>
      <c r="EYS801" s="111"/>
      <c r="EYT801" s="111"/>
      <c r="EYU801" s="111"/>
      <c r="EYV801" s="111"/>
      <c r="EYW801" s="111"/>
      <c r="EYX801" s="111"/>
      <c r="EYY801" s="111"/>
      <c r="EYZ801" s="111"/>
      <c r="EZA801" s="111"/>
      <c r="EZB801" s="111"/>
      <c r="EZC801" s="111"/>
      <c r="EZD801" s="111"/>
      <c r="EZE801" s="111"/>
      <c r="EZF801" s="111"/>
      <c r="EZG801" s="111"/>
      <c r="EZH801" s="111"/>
      <c r="EZI801" s="111"/>
      <c r="EZJ801" s="111"/>
      <c r="EZK801" s="111"/>
      <c r="EZL801" s="111"/>
      <c r="EZM801" s="111"/>
      <c r="EZN801" s="111"/>
      <c r="EZO801" s="111"/>
      <c r="EZP801" s="111"/>
      <c r="EZQ801" s="111"/>
      <c r="EZR801" s="111"/>
      <c r="EZS801" s="111"/>
      <c r="EZT801" s="111"/>
      <c r="EZU801" s="111"/>
      <c r="EZV801" s="111"/>
      <c r="EZW801" s="111"/>
      <c r="EZX801" s="111"/>
      <c r="EZY801" s="111"/>
      <c r="EZZ801" s="111"/>
      <c r="FAA801" s="111"/>
      <c r="FAB801" s="111"/>
      <c r="FAC801" s="111"/>
      <c r="FAD801" s="111"/>
      <c r="FAE801" s="111"/>
      <c r="FAF801" s="111"/>
      <c r="FAG801" s="111"/>
      <c r="FAH801" s="111"/>
      <c r="FAI801" s="111"/>
      <c r="FAJ801" s="111"/>
      <c r="FAK801" s="111"/>
      <c r="FAL801" s="111"/>
      <c r="FAM801" s="111"/>
      <c r="FAN801" s="111"/>
      <c r="FAO801" s="111"/>
      <c r="FAP801" s="111"/>
      <c r="FAQ801" s="111"/>
      <c r="FAR801" s="111"/>
      <c r="FAS801" s="111"/>
      <c r="FAT801" s="111"/>
      <c r="FAU801" s="111"/>
      <c r="FAV801" s="111"/>
      <c r="FAW801" s="111"/>
      <c r="FAX801" s="111"/>
      <c r="FAY801" s="111"/>
      <c r="FAZ801" s="111"/>
      <c r="FBA801" s="111"/>
      <c r="FBB801" s="111"/>
      <c r="FBC801" s="111"/>
      <c r="FBD801" s="111"/>
      <c r="FBE801" s="111"/>
      <c r="FBF801" s="111"/>
      <c r="FBG801" s="111"/>
      <c r="FBH801" s="111"/>
      <c r="FBI801" s="111"/>
      <c r="FBJ801" s="111"/>
      <c r="FBK801" s="111"/>
      <c r="FBL801" s="111"/>
      <c r="FBM801" s="111"/>
      <c r="FBN801" s="111"/>
      <c r="FBO801" s="111"/>
      <c r="FBP801" s="111"/>
      <c r="FBQ801" s="111"/>
      <c r="FBR801" s="111"/>
      <c r="FBS801" s="111"/>
      <c r="FBT801" s="111"/>
      <c r="FBU801" s="111"/>
      <c r="FBV801" s="111"/>
      <c r="FBW801" s="111"/>
      <c r="FBX801" s="111"/>
      <c r="FBY801" s="111"/>
      <c r="FBZ801" s="111"/>
      <c r="FCA801" s="111"/>
      <c r="FCB801" s="111"/>
      <c r="FCC801" s="111"/>
      <c r="FCD801" s="111"/>
      <c r="FCE801" s="111"/>
      <c r="FCF801" s="111"/>
      <c r="FCG801" s="111"/>
      <c r="FCH801" s="111"/>
      <c r="FCI801" s="111"/>
      <c r="FCJ801" s="111"/>
      <c r="FCK801" s="111"/>
      <c r="FCL801" s="111"/>
      <c r="FCM801" s="111"/>
      <c r="FCN801" s="111"/>
      <c r="FCO801" s="111"/>
      <c r="FCP801" s="111"/>
      <c r="FCQ801" s="111"/>
      <c r="FCR801" s="111"/>
      <c r="FCS801" s="111"/>
      <c r="FCT801" s="111"/>
      <c r="FCU801" s="111"/>
      <c r="FCV801" s="111"/>
      <c r="FCW801" s="111"/>
      <c r="FCX801" s="111"/>
      <c r="FCY801" s="111"/>
      <c r="FCZ801" s="111"/>
      <c r="FDA801" s="111"/>
      <c r="FDB801" s="111"/>
      <c r="FDC801" s="111"/>
      <c r="FDD801" s="111"/>
      <c r="FDE801" s="111"/>
      <c r="FDF801" s="111"/>
      <c r="FDG801" s="111"/>
      <c r="FDH801" s="111"/>
      <c r="FDI801" s="111"/>
      <c r="FDJ801" s="111"/>
      <c r="FDK801" s="111"/>
      <c r="FDL801" s="111"/>
      <c r="FDM801" s="111"/>
      <c r="FDN801" s="111"/>
      <c r="FDO801" s="111"/>
      <c r="FDP801" s="111"/>
      <c r="FDQ801" s="111"/>
      <c r="FDR801" s="111"/>
      <c r="FDS801" s="111"/>
      <c r="FDT801" s="111"/>
      <c r="FDU801" s="111"/>
      <c r="FDV801" s="111"/>
      <c r="FDW801" s="111"/>
      <c r="FDX801" s="111"/>
      <c r="FDY801" s="111"/>
      <c r="FDZ801" s="111"/>
      <c r="FEA801" s="111"/>
      <c r="FEB801" s="111"/>
      <c r="FEC801" s="111"/>
      <c r="FED801" s="111"/>
      <c r="FEE801" s="111"/>
      <c r="FEF801" s="111"/>
      <c r="FEG801" s="111"/>
      <c r="FEH801" s="111"/>
      <c r="FEI801" s="111"/>
      <c r="FEJ801" s="111"/>
      <c r="FEK801" s="111"/>
      <c r="FEL801" s="111"/>
      <c r="FEM801" s="111"/>
      <c r="FEN801" s="111"/>
      <c r="FEO801" s="111"/>
      <c r="FEP801" s="111"/>
      <c r="FEQ801" s="111"/>
      <c r="FER801" s="111"/>
      <c r="FES801" s="111"/>
      <c r="FET801" s="111"/>
      <c r="FEU801" s="111"/>
      <c r="FEV801" s="111"/>
      <c r="FEW801" s="111"/>
      <c r="FEX801" s="111"/>
      <c r="FEY801" s="111"/>
      <c r="FEZ801" s="111"/>
      <c r="FFA801" s="111"/>
      <c r="FFB801" s="111"/>
      <c r="FFC801" s="111"/>
      <c r="FFD801" s="111"/>
      <c r="FFE801" s="111"/>
      <c r="FFF801" s="111"/>
      <c r="FFG801" s="111"/>
      <c r="FFH801" s="111"/>
      <c r="FFI801" s="111"/>
      <c r="FFJ801" s="111"/>
      <c r="FFK801" s="111"/>
      <c r="FFL801" s="111"/>
      <c r="FFM801" s="111"/>
      <c r="FFN801" s="111"/>
      <c r="FFO801" s="111"/>
      <c r="FFP801" s="111"/>
      <c r="FFQ801" s="111"/>
      <c r="FFR801" s="111"/>
      <c r="FFS801" s="111"/>
      <c r="FFT801" s="111"/>
      <c r="FFU801" s="111"/>
      <c r="FFV801" s="111"/>
      <c r="FFW801" s="111"/>
      <c r="FFX801" s="111"/>
      <c r="FFY801" s="111"/>
      <c r="FFZ801" s="111"/>
      <c r="FGA801" s="111"/>
      <c r="FGB801" s="111"/>
      <c r="FGC801" s="111"/>
      <c r="FGD801" s="111"/>
      <c r="FGE801" s="111"/>
      <c r="FGF801" s="111"/>
      <c r="FGG801" s="111"/>
      <c r="FGH801" s="111"/>
      <c r="FGI801" s="111"/>
      <c r="FGJ801" s="111"/>
      <c r="FGK801" s="111"/>
      <c r="FGL801" s="111"/>
      <c r="FGM801" s="111"/>
      <c r="FGN801" s="111"/>
      <c r="FGO801" s="111"/>
      <c r="FGP801" s="111"/>
      <c r="FGQ801" s="111"/>
      <c r="FGR801" s="111"/>
      <c r="FGS801" s="111"/>
      <c r="FGT801" s="111"/>
      <c r="FGU801" s="111"/>
      <c r="FGV801" s="111"/>
      <c r="FGW801" s="111"/>
      <c r="FGX801" s="111"/>
      <c r="FGY801" s="111"/>
      <c r="FGZ801" s="111"/>
      <c r="FHA801" s="111"/>
      <c r="FHB801" s="111"/>
      <c r="FHC801" s="111"/>
      <c r="FHD801" s="111"/>
      <c r="FHE801" s="111"/>
      <c r="FHF801" s="111"/>
      <c r="FHG801" s="111"/>
      <c r="FHH801" s="111"/>
      <c r="FHI801" s="111"/>
      <c r="FHJ801" s="111"/>
      <c r="FHK801" s="111"/>
      <c r="FHL801" s="111"/>
      <c r="FHM801" s="111"/>
      <c r="FHN801" s="111"/>
      <c r="FHO801" s="111"/>
      <c r="FHP801" s="111"/>
      <c r="FHQ801" s="111"/>
      <c r="FHR801" s="111"/>
      <c r="FHS801" s="111"/>
      <c r="FHT801" s="111"/>
      <c r="FHU801" s="111"/>
      <c r="FHV801" s="111"/>
      <c r="FHW801" s="111"/>
      <c r="FHX801" s="111"/>
      <c r="FHY801" s="111"/>
      <c r="FHZ801" s="111"/>
      <c r="FIA801" s="111"/>
      <c r="FIB801" s="111"/>
      <c r="FIC801" s="111"/>
      <c r="FID801" s="111"/>
      <c r="FIE801" s="111"/>
      <c r="FIF801" s="111"/>
      <c r="FIG801" s="111"/>
      <c r="FIH801" s="111"/>
      <c r="FII801" s="111"/>
      <c r="FIJ801" s="111"/>
      <c r="FIK801" s="111"/>
      <c r="FIL801" s="111"/>
      <c r="FIM801" s="111"/>
      <c r="FIN801" s="111"/>
      <c r="FIO801" s="111"/>
      <c r="FIP801" s="111"/>
      <c r="FIQ801" s="111"/>
      <c r="FIR801" s="111"/>
      <c r="FIS801" s="111"/>
      <c r="FIT801" s="111"/>
      <c r="FIU801" s="111"/>
      <c r="FIV801" s="111"/>
      <c r="FIW801" s="111"/>
      <c r="FIX801" s="111"/>
      <c r="FIY801" s="111"/>
      <c r="FIZ801" s="111"/>
      <c r="FJA801" s="111"/>
      <c r="FJB801" s="111"/>
      <c r="FJC801" s="111"/>
      <c r="FJD801" s="111"/>
      <c r="FJE801" s="111"/>
      <c r="FJF801" s="111"/>
      <c r="FJG801" s="111"/>
      <c r="FJH801" s="111"/>
      <c r="FJI801" s="111"/>
      <c r="FJJ801" s="111"/>
      <c r="FJK801" s="111"/>
      <c r="FJL801" s="111"/>
      <c r="FJM801" s="111"/>
      <c r="FJN801" s="111"/>
      <c r="FJO801" s="111"/>
      <c r="FJP801" s="111"/>
      <c r="FJQ801" s="111"/>
      <c r="FJR801" s="111"/>
      <c r="FJS801" s="111"/>
      <c r="FJT801" s="111"/>
      <c r="FJU801" s="111"/>
      <c r="FJV801" s="111"/>
      <c r="FJW801" s="111"/>
      <c r="FJX801" s="111"/>
      <c r="FJY801" s="111"/>
      <c r="FJZ801" s="111"/>
      <c r="FKA801" s="111"/>
      <c r="FKB801" s="111"/>
      <c r="FKC801" s="111"/>
      <c r="FKD801" s="111"/>
      <c r="FKE801" s="111"/>
      <c r="FKF801" s="111"/>
      <c r="FKG801" s="111"/>
      <c r="FKH801" s="111"/>
      <c r="FKI801" s="111"/>
      <c r="FKJ801" s="111"/>
      <c r="FKK801" s="111"/>
      <c r="FKL801" s="111"/>
      <c r="FKM801" s="111"/>
      <c r="FKN801" s="111"/>
      <c r="FKO801" s="111"/>
      <c r="FKP801" s="111"/>
      <c r="FKQ801" s="111"/>
      <c r="FKR801" s="111"/>
      <c r="FKS801" s="111"/>
      <c r="FKT801" s="111"/>
      <c r="FKU801" s="111"/>
      <c r="FKV801" s="111"/>
      <c r="FKW801" s="111"/>
      <c r="FKX801" s="111"/>
      <c r="FKY801" s="111"/>
      <c r="FKZ801" s="111"/>
      <c r="FLA801" s="111"/>
      <c r="FLB801" s="111"/>
      <c r="FLC801" s="111"/>
      <c r="FLD801" s="111"/>
      <c r="FLE801" s="111"/>
      <c r="FLF801" s="111"/>
      <c r="FLG801" s="111"/>
      <c r="FLH801" s="111"/>
      <c r="FLI801" s="111"/>
      <c r="FLJ801" s="111"/>
      <c r="FLK801" s="111"/>
      <c r="FLL801" s="111"/>
      <c r="FLM801" s="111"/>
      <c r="FLN801" s="111"/>
      <c r="FLO801" s="111"/>
      <c r="FLP801" s="111"/>
      <c r="FLQ801" s="111"/>
      <c r="FLR801" s="111"/>
      <c r="FLS801" s="111"/>
      <c r="FLT801" s="111"/>
      <c r="FLU801" s="111"/>
      <c r="FLV801" s="111"/>
      <c r="FLW801" s="111"/>
      <c r="FLX801" s="111"/>
      <c r="FLY801" s="111"/>
      <c r="FLZ801" s="111"/>
      <c r="FMA801" s="111"/>
      <c r="FMB801" s="111"/>
      <c r="FMC801" s="111"/>
      <c r="FMD801" s="111"/>
      <c r="FME801" s="111"/>
      <c r="FMF801" s="111"/>
      <c r="FMG801" s="111"/>
      <c r="FMH801" s="111"/>
      <c r="FMI801" s="111"/>
      <c r="FMJ801" s="111"/>
      <c r="FMK801" s="111"/>
      <c r="FML801" s="111"/>
      <c r="FMM801" s="111"/>
      <c r="FMN801" s="111"/>
      <c r="FMO801" s="111"/>
      <c r="FMP801" s="111"/>
      <c r="FMQ801" s="111"/>
      <c r="FMR801" s="111"/>
      <c r="FMS801" s="111"/>
      <c r="FMT801" s="111"/>
      <c r="FMU801" s="111"/>
      <c r="FMV801" s="111"/>
      <c r="FMW801" s="111"/>
      <c r="FMX801" s="111"/>
      <c r="FMY801" s="111"/>
      <c r="FMZ801" s="111"/>
      <c r="FNA801" s="111"/>
      <c r="FNB801" s="111"/>
      <c r="FNC801" s="111"/>
      <c r="FND801" s="111"/>
      <c r="FNE801" s="111"/>
      <c r="FNF801" s="111"/>
      <c r="FNG801" s="111"/>
      <c r="FNH801" s="111"/>
      <c r="FNI801" s="111"/>
      <c r="FNJ801" s="111"/>
      <c r="FNK801" s="111"/>
      <c r="FNL801" s="111"/>
      <c r="FNM801" s="111"/>
      <c r="FNN801" s="111"/>
      <c r="FNO801" s="111"/>
      <c r="FNP801" s="111"/>
      <c r="FNQ801" s="111"/>
      <c r="FNR801" s="111"/>
      <c r="FNS801" s="111"/>
      <c r="FNT801" s="111"/>
      <c r="FNU801" s="111"/>
      <c r="FNV801" s="111"/>
      <c r="FNW801" s="111"/>
      <c r="FNX801" s="111"/>
      <c r="FNY801" s="111"/>
      <c r="FNZ801" s="111"/>
      <c r="FOA801" s="111"/>
      <c r="FOB801" s="111"/>
      <c r="FOC801" s="111"/>
      <c r="FOD801" s="111"/>
      <c r="FOE801" s="111"/>
      <c r="FOF801" s="111"/>
      <c r="FOG801" s="111"/>
      <c r="FOH801" s="111"/>
      <c r="FOI801" s="111"/>
      <c r="FOJ801" s="111"/>
      <c r="FOK801" s="111"/>
      <c r="FOL801" s="111"/>
      <c r="FOM801" s="111"/>
      <c r="FON801" s="111"/>
      <c r="FOO801" s="111"/>
      <c r="FOP801" s="111"/>
      <c r="FOQ801" s="111"/>
      <c r="FOR801" s="111"/>
      <c r="FOS801" s="111"/>
      <c r="FOT801" s="111"/>
      <c r="FOU801" s="111"/>
      <c r="FOV801" s="111"/>
      <c r="FOW801" s="111"/>
      <c r="FOX801" s="111"/>
      <c r="FOY801" s="111"/>
      <c r="FOZ801" s="111"/>
      <c r="FPA801" s="111"/>
      <c r="FPB801" s="111"/>
      <c r="FPC801" s="111"/>
      <c r="FPD801" s="111"/>
      <c r="FPE801" s="111"/>
      <c r="FPF801" s="111"/>
      <c r="FPG801" s="111"/>
      <c r="FPH801" s="111"/>
      <c r="FPI801" s="111"/>
      <c r="FPJ801" s="111"/>
      <c r="FPK801" s="111"/>
      <c r="FPL801" s="111"/>
      <c r="FPM801" s="111"/>
      <c r="FPN801" s="111"/>
      <c r="FPO801" s="111"/>
      <c r="FPP801" s="111"/>
      <c r="FPQ801" s="111"/>
      <c r="FPR801" s="111"/>
      <c r="FPS801" s="111"/>
      <c r="FPT801" s="111"/>
      <c r="FPU801" s="111"/>
      <c r="FPV801" s="111"/>
      <c r="FPW801" s="111"/>
      <c r="FPX801" s="111"/>
      <c r="FPY801" s="111"/>
      <c r="FPZ801" s="111"/>
      <c r="FQA801" s="111"/>
      <c r="FQB801" s="111"/>
      <c r="FQC801" s="111"/>
      <c r="FQD801" s="111"/>
      <c r="FQE801" s="111"/>
      <c r="FQF801" s="111"/>
      <c r="FQG801" s="111"/>
      <c r="FQH801" s="111"/>
      <c r="FQI801" s="111"/>
      <c r="FQJ801" s="111"/>
      <c r="FQK801" s="111"/>
      <c r="FQL801" s="111"/>
      <c r="FQM801" s="111"/>
      <c r="FQN801" s="111"/>
      <c r="FQO801" s="111"/>
      <c r="FQP801" s="111"/>
      <c r="FQQ801" s="111"/>
      <c r="FQR801" s="111"/>
      <c r="FQS801" s="111"/>
      <c r="FQT801" s="111"/>
      <c r="FQU801" s="111"/>
      <c r="FQV801" s="111"/>
      <c r="FQW801" s="111"/>
      <c r="FQX801" s="111"/>
      <c r="FQY801" s="111"/>
      <c r="FQZ801" s="111"/>
      <c r="FRA801" s="111"/>
      <c r="FRB801" s="111"/>
      <c r="FRC801" s="111"/>
      <c r="FRD801" s="111"/>
      <c r="FRE801" s="111"/>
      <c r="FRF801" s="111"/>
      <c r="FRG801" s="111"/>
      <c r="FRH801" s="111"/>
      <c r="FRI801" s="111"/>
      <c r="FRJ801" s="111"/>
      <c r="FRK801" s="111"/>
      <c r="FRL801" s="111"/>
      <c r="FRM801" s="111"/>
      <c r="FRN801" s="111"/>
      <c r="FRO801" s="111"/>
      <c r="FRP801" s="111"/>
      <c r="FRQ801" s="111"/>
      <c r="FRR801" s="111"/>
      <c r="FRS801" s="111"/>
      <c r="FRT801" s="111"/>
      <c r="FRU801" s="111"/>
      <c r="FRV801" s="111"/>
      <c r="FRW801" s="111"/>
      <c r="FRX801" s="111"/>
      <c r="FRY801" s="111"/>
      <c r="FRZ801" s="111"/>
      <c r="FSA801" s="111"/>
      <c r="FSB801" s="111"/>
      <c r="FSC801" s="111"/>
      <c r="FSD801" s="111"/>
      <c r="FSE801" s="111"/>
      <c r="FSF801" s="111"/>
      <c r="FSG801" s="111"/>
      <c r="FSH801" s="111"/>
      <c r="FSI801" s="111"/>
      <c r="FSJ801" s="111"/>
      <c r="FSK801" s="111"/>
      <c r="FSL801" s="111"/>
      <c r="FSM801" s="111"/>
      <c r="FSN801" s="111"/>
      <c r="FSO801" s="111"/>
      <c r="FSP801" s="111"/>
      <c r="FSQ801" s="111"/>
      <c r="FSR801" s="111"/>
      <c r="FSS801" s="111"/>
      <c r="FST801" s="111"/>
      <c r="FSU801" s="111"/>
      <c r="FSV801" s="111"/>
      <c r="FSW801" s="111"/>
      <c r="FSX801" s="111"/>
      <c r="FSY801" s="111"/>
      <c r="FSZ801" s="111"/>
      <c r="FTA801" s="111"/>
      <c r="FTB801" s="111"/>
      <c r="FTC801" s="111"/>
      <c r="FTD801" s="111"/>
      <c r="FTE801" s="111"/>
      <c r="FTF801" s="111"/>
      <c r="FTG801" s="111"/>
      <c r="FTH801" s="111"/>
      <c r="FTI801" s="111"/>
      <c r="FTJ801" s="111"/>
      <c r="FTK801" s="111"/>
      <c r="FTL801" s="111"/>
      <c r="FTM801" s="111"/>
      <c r="FTN801" s="111"/>
      <c r="FTO801" s="111"/>
      <c r="FTP801" s="111"/>
      <c r="FTQ801" s="111"/>
      <c r="FTR801" s="111"/>
      <c r="FTS801" s="111"/>
      <c r="FTT801" s="111"/>
      <c r="FTU801" s="111"/>
      <c r="FTV801" s="111"/>
      <c r="FTW801" s="111"/>
      <c r="FTX801" s="111"/>
      <c r="FTY801" s="111"/>
      <c r="FTZ801" s="111"/>
      <c r="FUA801" s="111"/>
      <c r="FUB801" s="111"/>
      <c r="FUC801" s="111"/>
      <c r="FUD801" s="111"/>
      <c r="FUE801" s="111"/>
      <c r="FUF801" s="111"/>
      <c r="FUG801" s="111"/>
      <c r="FUH801" s="111"/>
      <c r="FUI801" s="111"/>
      <c r="FUJ801" s="111"/>
      <c r="FUK801" s="111"/>
      <c r="FUL801" s="111"/>
      <c r="FUM801" s="111"/>
      <c r="FUN801" s="111"/>
      <c r="FUO801" s="111"/>
      <c r="FUP801" s="111"/>
      <c r="FUQ801" s="111"/>
      <c r="FUR801" s="111"/>
      <c r="FUS801" s="111"/>
      <c r="FUT801" s="111"/>
      <c r="FUU801" s="111"/>
      <c r="FUV801" s="111"/>
      <c r="FUW801" s="111"/>
      <c r="FUX801" s="111"/>
      <c r="FUY801" s="111"/>
      <c r="FUZ801" s="111"/>
      <c r="FVA801" s="111"/>
      <c r="FVB801" s="111"/>
      <c r="FVC801" s="111"/>
      <c r="FVD801" s="111"/>
      <c r="FVE801" s="111"/>
      <c r="FVF801" s="111"/>
      <c r="FVG801" s="111"/>
      <c r="FVH801" s="111"/>
      <c r="FVI801" s="111"/>
      <c r="FVJ801" s="111"/>
      <c r="FVK801" s="111"/>
      <c r="FVL801" s="111"/>
      <c r="FVM801" s="111"/>
      <c r="FVN801" s="111"/>
      <c r="FVO801" s="111"/>
      <c r="FVP801" s="111"/>
      <c r="FVQ801" s="111"/>
      <c r="FVR801" s="111"/>
      <c r="FVS801" s="111"/>
      <c r="FVT801" s="111"/>
      <c r="FVU801" s="111"/>
      <c r="FVV801" s="111"/>
      <c r="FVW801" s="111"/>
      <c r="FVX801" s="111"/>
      <c r="FVY801" s="111"/>
      <c r="FVZ801" s="111"/>
      <c r="FWA801" s="111"/>
      <c r="FWB801" s="111"/>
      <c r="FWC801" s="111"/>
      <c r="FWD801" s="111"/>
      <c r="FWE801" s="111"/>
      <c r="FWF801" s="111"/>
      <c r="FWG801" s="111"/>
      <c r="FWH801" s="111"/>
      <c r="FWI801" s="111"/>
      <c r="FWJ801" s="111"/>
      <c r="FWK801" s="111"/>
      <c r="FWL801" s="111"/>
      <c r="FWM801" s="111"/>
      <c r="FWN801" s="111"/>
      <c r="FWO801" s="111"/>
      <c r="FWP801" s="111"/>
      <c r="FWQ801" s="111"/>
      <c r="FWR801" s="111"/>
      <c r="FWS801" s="111"/>
      <c r="FWT801" s="111"/>
      <c r="FWU801" s="111"/>
      <c r="FWV801" s="111"/>
      <c r="FWW801" s="111"/>
      <c r="FWX801" s="111"/>
      <c r="FWY801" s="111"/>
      <c r="FWZ801" s="111"/>
      <c r="FXA801" s="111"/>
      <c r="FXB801" s="111"/>
      <c r="FXC801" s="111"/>
      <c r="FXD801" s="111"/>
      <c r="FXE801" s="111"/>
      <c r="FXF801" s="111"/>
      <c r="FXG801" s="111"/>
      <c r="FXH801" s="111"/>
      <c r="FXI801" s="111"/>
      <c r="FXJ801" s="111"/>
      <c r="FXK801" s="111"/>
      <c r="FXL801" s="111"/>
      <c r="FXM801" s="111"/>
      <c r="FXN801" s="111"/>
      <c r="FXO801" s="111"/>
      <c r="FXP801" s="111"/>
      <c r="FXQ801" s="111"/>
      <c r="FXR801" s="111"/>
      <c r="FXS801" s="111"/>
      <c r="FXT801" s="111"/>
      <c r="FXU801" s="111"/>
      <c r="FXV801" s="111"/>
      <c r="FXW801" s="111"/>
      <c r="FXX801" s="111"/>
      <c r="FXY801" s="111"/>
      <c r="FXZ801" s="111"/>
      <c r="FYA801" s="111"/>
      <c r="FYB801" s="111"/>
      <c r="FYC801" s="111"/>
      <c r="FYD801" s="111"/>
      <c r="FYE801" s="111"/>
      <c r="FYF801" s="111"/>
      <c r="FYG801" s="111"/>
      <c r="FYH801" s="111"/>
      <c r="FYI801" s="111"/>
      <c r="FYJ801" s="111"/>
      <c r="FYK801" s="111"/>
      <c r="FYL801" s="111"/>
      <c r="FYM801" s="111"/>
      <c r="FYN801" s="111"/>
      <c r="FYO801" s="111"/>
      <c r="FYP801" s="111"/>
      <c r="FYQ801" s="111"/>
      <c r="FYR801" s="111"/>
      <c r="FYS801" s="111"/>
      <c r="FYT801" s="111"/>
      <c r="FYU801" s="111"/>
      <c r="FYV801" s="111"/>
      <c r="FYW801" s="111"/>
      <c r="FYX801" s="111"/>
      <c r="FYY801" s="111"/>
      <c r="FYZ801" s="111"/>
      <c r="FZA801" s="111"/>
      <c r="FZB801" s="111"/>
      <c r="FZC801" s="111"/>
      <c r="FZD801" s="111"/>
      <c r="FZE801" s="111"/>
      <c r="FZF801" s="111"/>
      <c r="FZG801" s="111"/>
      <c r="FZH801" s="111"/>
      <c r="FZI801" s="111"/>
      <c r="FZJ801" s="111"/>
      <c r="FZK801" s="111"/>
      <c r="FZL801" s="111"/>
      <c r="FZM801" s="111"/>
      <c r="FZN801" s="111"/>
      <c r="FZO801" s="111"/>
      <c r="FZP801" s="111"/>
      <c r="FZQ801" s="111"/>
      <c r="FZR801" s="111"/>
      <c r="FZS801" s="111"/>
      <c r="FZT801" s="111"/>
      <c r="FZU801" s="111"/>
      <c r="FZV801" s="111"/>
      <c r="FZW801" s="111"/>
      <c r="FZX801" s="111"/>
      <c r="FZY801" s="111"/>
      <c r="FZZ801" s="111"/>
      <c r="GAA801" s="111"/>
      <c r="GAB801" s="111"/>
      <c r="GAC801" s="111"/>
      <c r="GAD801" s="111"/>
      <c r="GAE801" s="111"/>
      <c r="GAF801" s="111"/>
      <c r="GAG801" s="111"/>
      <c r="GAH801" s="111"/>
      <c r="GAI801" s="111"/>
      <c r="GAJ801" s="111"/>
      <c r="GAK801" s="111"/>
      <c r="GAL801" s="111"/>
      <c r="GAM801" s="111"/>
      <c r="GAN801" s="111"/>
      <c r="GAO801" s="111"/>
      <c r="GAP801" s="111"/>
      <c r="GAQ801" s="111"/>
      <c r="GAR801" s="111"/>
      <c r="GAS801" s="111"/>
      <c r="GAT801" s="111"/>
      <c r="GAU801" s="111"/>
      <c r="GAV801" s="111"/>
      <c r="GAW801" s="111"/>
      <c r="GAX801" s="111"/>
      <c r="GAY801" s="111"/>
      <c r="GAZ801" s="111"/>
      <c r="GBA801" s="111"/>
      <c r="GBB801" s="111"/>
      <c r="GBC801" s="111"/>
      <c r="GBD801" s="111"/>
      <c r="GBE801" s="111"/>
      <c r="GBF801" s="111"/>
      <c r="GBG801" s="111"/>
      <c r="GBH801" s="111"/>
      <c r="GBI801" s="111"/>
      <c r="GBJ801" s="111"/>
      <c r="GBK801" s="111"/>
      <c r="GBL801" s="111"/>
      <c r="GBM801" s="111"/>
      <c r="GBN801" s="111"/>
      <c r="GBO801" s="111"/>
      <c r="GBP801" s="111"/>
      <c r="GBQ801" s="111"/>
      <c r="GBR801" s="111"/>
      <c r="GBS801" s="111"/>
      <c r="GBT801" s="111"/>
      <c r="GBU801" s="111"/>
      <c r="GBV801" s="111"/>
      <c r="GBW801" s="111"/>
      <c r="GBX801" s="111"/>
      <c r="GBY801" s="111"/>
      <c r="GBZ801" s="111"/>
      <c r="GCA801" s="111"/>
      <c r="GCB801" s="111"/>
      <c r="GCC801" s="111"/>
      <c r="GCD801" s="111"/>
      <c r="GCE801" s="111"/>
      <c r="GCF801" s="111"/>
      <c r="GCG801" s="111"/>
      <c r="GCH801" s="111"/>
      <c r="GCI801" s="111"/>
      <c r="GCJ801" s="111"/>
      <c r="GCK801" s="111"/>
      <c r="GCL801" s="111"/>
      <c r="GCM801" s="111"/>
      <c r="GCN801" s="111"/>
      <c r="GCO801" s="111"/>
      <c r="GCP801" s="111"/>
      <c r="GCQ801" s="111"/>
      <c r="GCR801" s="111"/>
      <c r="GCS801" s="111"/>
      <c r="GCT801" s="111"/>
      <c r="GCU801" s="111"/>
      <c r="GCV801" s="111"/>
      <c r="GCW801" s="111"/>
      <c r="GCX801" s="111"/>
      <c r="GCY801" s="111"/>
      <c r="GCZ801" s="111"/>
      <c r="GDA801" s="111"/>
      <c r="GDB801" s="111"/>
      <c r="GDC801" s="111"/>
      <c r="GDD801" s="111"/>
      <c r="GDE801" s="111"/>
      <c r="GDF801" s="111"/>
      <c r="GDG801" s="111"/>
      <c r="GDH801" s="111"/>
      <c r="GDI801" s="111"/>
      <c r="GDJ801" s="111"/>
      <c r="GDK801" s="111"/>
      <c r="GDL801" s="111"/>
      <c r="GDM801" s="111"/>
      <c r="GDN801" s="111"/>
      <c r="GDO801" s="111"/>
      <c r="GDP801" s="111"/>
      <c r="GDQ801" s="111"/>
      <c r="GDR801" s="111"/>
      <c r="GDS801" s="111"/>
      <c r="GDT801" s="111"/>
      <c r="GDU801" s="111"/>
      <c r="GDV801" s="111"/>
      <c r="GDW801" s="111"/>
      <c r="GDX801" s="111"/>
      <c r="GDY801" s="111"/>
      <c r="GDZ801" s="111"/>
      <c r="GEA801" s="111"/>
      <c r="GEB801" s="111"/>
      <c r="GEC801" s="111"/>
      <c r="GED801" s="111"/>
      <c r="GEE801" s="111"/>
      <c r="GEF801" s="111"/>
      <c r="GEG801" s="111"/>
      <c r="GEH801" s="111"/>
      <c r="GEI801" s="111"/>
      <c r="GEJ801" s="111"/>
      <c r="GEK801" s="111"/>
      <c r="GEL801" s="111"/>
      <c r="GEM801" s="111"/>
      <c r="GEN801" s="111"/>
      <c r="GEO801" s="111"/>
      <c r="GEP801" s="111"/>
      <c r="GEQ801" s="111"/>
      <c r="GER801" s="111"/>
      <c r="GES801" s="111"/>
      <c r="GET801" s="111"/>
      <c r="GEU801" s="111"/>
      <c r="GEV801" s="111"/>
      <c r="GEW801" s="111"/>
      <c r="GEX801" s="111"/>
      <c r="GEY801" s="111"/>
      <c r="GEZ801" s="111"/>
      <c r="GFA801" s="111"/>
      <c r="GFB801" s="111"/>
      <c r="GFC801" s="111"/>
      <c r="GFD801" s="111"/>
      <c r="GFE801" s="111"/>
      <c r="GFF801" s="111"/>
      <c r="GFG801" s="111"/>
      <c r="GFH801" s="111"/>
      <c r="GFI801" s="111"/>
      <c r="GFJ801" s="111"/>
      <c r="GFK801" s="111"/>
      <c r="GFL801" s="111"/>
      <c r="GFM801" s="111"/>
      <c r="GFN801" s="111"/>
      <c r="GFO801" s="111"/>
      <c r="GFP801" s="111"/>
      <c r="GFQ801" s="111"/>
      <c r="GFR801" s="111"/>
      <c r="GFS801" s="111"/>
      <c r="GFT801" s="111"/>
      <c r="GFU801" s="111"/>
      <c r="GFV801" s="111"/>
      <c r="GFW801" s="111"/>
      <c r="GFX801" s="111"/>
      <c r="GFY801" s="111"/>
      <c r="GFZ801" s="111"/>
      <c r="GGA801" s="111"/>
      <c r="GGB801" s="111"/>
      <c r="GGC801" s="111"/>
      <c r="GGD801" s="111"/>
      <c r="GGE801" s="111"/>
      <c r="GGF801" s="111"/>
      <c r="GGG801" s="111"/>
      <c r="GGH801" s="111"/>
      <c r="GGI801" s="111"/>
      <c r="GGJ801" s="111"/>
      <c r="GGK801" s="111"/>
      <c r="GGL801" s="111"/>
      <c r="GGM801" s="111"/>
      <c r="GGN801" s="111"/>
      <c r="GGO801" s="111"/>
      <c r="GGP801" s="111"/>
      <c r="GGQ801" s="111"/>
      <c r="GGR801" s="111"/>
      <c r="GGS801" s="111"/>
      <c r="GGT801" s="111"/>
      <c r="GGU801" s="111"/>
      <c r="GGV801" s="111"/>
      <c r="GGW801" s="111"/>
      <c r="GGX801" s="111"/>
      <c r="GGY801" s="111"/>
      <c r="GGZ801" s="111"/>
      <c r="GHA801" s="111"/>
      <c r="GHB801" s="111"/>
      <c r="GHC801" s="111"/>
      <c r="GHD801" s="111"/>
      <c r="GHE801" s="111"/>
      <c r="GHF801" s="111"/>
      <c r="GHG801" s="111"/>
      <c r="GHH801" s="111"/>
      <c r="GHI801" s="111"/>
      <c r="GHJ801" s="111"/>
      <c r="GHK801" s="111"/>
      <c r="GHL801" s="111"/>
      <c r="GHM801" s="111"/>
      <c r="GHN801" s="111"/>
      <c r="GHO801" s="111"/>
      <c r="GHP801" s="111"/>
      <c r="GHQ801" s="111"/>
      <c r="GHR801" s="111"/>
      <c r="GHS801" s="111"/>
      <c r="GHT801" s="111"/>
      <c r="GHU801" s="111"/>
      <c r="GHV801" s="111"/>
      <c r="GHW801" s="111"/>
      <c r="GHX801" s="111"/>
      <c r="GHY801" s="111"/>
      <c r="GHZ801" s="111"/>
      <c r="GIA801" s="111"/>
      <c r="GIB801" s="111"/>
      <c r="GIC801" s="111"/>
      <c r="GID801" s="111"/>
      <c r="GIE801" s="111"/>
      <c r="GIF801" s="111"/>
      <c r="GIG801" s="111"/>
      <c r="GIH801" s="111"/>
      <c r="GII801" s="111"/>
      <c r="GIJ801" s="111"/>
      <c r="GIK801" s="111"/>
      <c r="GIL801" s="111"/>
      <c r="GIM801" s="111"/>
      <c r="GIN801" s="111"/>
      <c r="GIO801" s="111"/>
      <c r="GIP801" s="111"/>
      <c r="GIQ801" s="111"/>
      <c r="GIR801" s="111"/>
      <c r="GIS801" s="111"/>
      <c r="GIT801" s="111"/>
      <c r="GIU801" s="111"/>
      <c r="GIV801" s="111"/>
      <c r="GIW801" s="111"/>
      <c r="GIX801" s="111"/>
      <c r="GIY801" s="111"/>
      <c r="GIZ801" s="111"/>
      <c r="GJA801" s="111"/>
      <c r="GJB801" s="111"/>
      <c r="GJC801" s="111"/>
      <c r="GJD801" s="111"/>
      <c r="GJE801" s="111"/>
      <c r="GJF801" s="111"/>
      <c r="GJG801" s="111"/>
      <c r="GJH801" s="111"/>
      <c r="GJI801" s="111"/>
      <c r="GJJ801" s="111"/>
      <c r="GJK801" s="111"/>
      <c r="GJL801" s="111"/>
      <c r="GJM801" s="111"/>
      <c r="GJN801" s="111"/>
      <c r="GJO801" s="111"/>
      <c r="GJP801" s="111"/>
      <c r="GJQ801" s="111"/>
      <c r="GJR801" s="111"/>
      <c r="GJS801" s="111"/>
      <c r="GJT801" s="111"/>
      <c r="GJU801" s="111"/>
      <c r="GJV801" s="111"/>
      <c r="GJW801" s="111"/>
      <c r="GJX801" s="111"/>
      <c r="GJY801" s="111"/>
      <c r="GJZ801" s="111"/>
      <c r="GKA801" s="111"/>
      <c r="GKB801" s="111"/>
      <c r="GKC801" s="111"/>
      <c r="GKD801" s="111"/>
      <c r="GKE801" s="111"/>
      <c r="GKF801" s="111"/>
      <c r="GKG801" s="111"/>
      <c r="GKH801" s="111"/>
      <c r="GKI801" s="111"/>
      <c r="GKJ801" s="111"/>
      <c r="GKK801" s="111"/>
      <c r="GKL801" s="111"/>
      <c r="GKM801" s="111"/>
      <c r="GKN801" s="111"/>
      <c r="GKO801" s="111"/>
      <c r="GKP801" s="111"/>
      <c r="GKQ801" s="111"/>
      <c r="GKR801" s="111"/>
      <c r="GKS801" s="111"/>
      <c r="GKT801" s="111"/>
      <c r="GKU801" s="111"/>
      <c r="GKV801" s="111"/>
      <c r="GKW801" s="111"/>
      <c r="GKX801" s="111"/>
      <c r="GKY801" s="111"/>
      <c r="GKZ801" s="111"/>
      <c r="GLA801" s="111"/>
      <c r="GLB801" s="111"/>
      <c r="GLC801" s="111"/>
      <c r="GLD801" s="111"/>
      <c r="GLE801" s="111"/>
      <c r="GLF801" s="111"/>
      <c r="GLG801" s="111"/>
      <c r="GLH801" s="111"/>
      <c r="GLI801" s="111"/>
      <c r="GLJ801" s="111"/>
      <c r="GLK801" s="111"/>
      <c r="GLL801" s="111"/>
      <c r="GLM801" s="111"/>
      <c r="GLN801" s="111"/>
      <c r="GLO801" s="111"/>
      <c r="GLP801" s="111"/>
      <c r="GLQ801" s="111"/>
      <c r="GLR801" s="111"/>
      <c r="GLS801" s="111"/>
      <c r="GLT801" s="111"/>
      <c r="GLU801" s="111"/>
      <c r="GLV801" s="111"/>
      <c r="GLW801" s="111"/>
      <c r="GLX801" s="111"/>
      <c r="GLY801" s="111"/>
      <c r="GLZ801" s="111"/>
      <c r="GMA801" s="111"/>
      <c r="GMB801" s="111"/>
      <c r="GMC801" s="111"/>
      <c r="GMD801" s="111"/>
      <c r="GME801" s="111"/>
      <c r="GMF801" s="111"/>
      <c r="GMG801" s="111"/>
      <c r="GMH801" s="111"/>
      <c r="GMI801" s="111"/>
      <c r="GMJ801" s="111"/>
      <c r="GMK801" s="111"/>
      <c r="GML801" s="111"/>
      <c r="GMM801" s="111"/>
      <c r="GMN801" s="111"/>
      <c r="GMO801" s="111"/>
      <c r="GMP801" s="111"/>
      <c r="GMQ801" s="111"/>
      <c r="GMR801" s="111"/>
      <c r="GMS801" s="111"/>
      <c r="GMT801" s="111"/>
      <c r="GMU801" s="111"/>
      <c r="GMV801" s="111"/>
      <c r="GMW801" s="111"/>
      <c r="GMX801" s="111"/>
      <c r="GMY801" s="111"/>
      <c r="GMZ801" s="111"/>
      <c r="GNA801" s="111"/>
      <c r="GNB801" s="111"/>
      <c r="GNC801" s="111"/>
      <c r="GND801" s="111"/>
      <c r="GNE801" s="111"/>
      <c r="GNF801" s="111"/>
      <c r="GNG801" s="111"/>
      <c r="GNH801" s="111"/>
      <c r="GNI801" s="111"/>
      <c r="GNJ801" s="111"/>
      <c r="GNK801" s="111"/>
      <c r="GNL801" s="111"/>
      <c r="GNM801" s="111"/>
      <c r="GNN801" s="111"/>
      <c r="GNO801" s="111"/>
      <c r="GNP801" s="111"/>
      <c r="GNQ801" s="111"/>
      <c r="GNR801" s="111"/>
      <c r="GNS801" s="111"/>
      <c r="GNT801" s="111"/>
      <c r="GNU801" s="111"/>
      <c r="GNV801" s="111"/>
      <c r="GNW801" s="111"/>
      <c r="GNX801" s="111"/>
      <c r="GNY801" s="111"/>
      <c r="GNZ801" s="111"/>
      <c r="GOA801" s="111"/>
      <c r="GOB801" s="111"/>
      <c r="GOC801" s="111"/>
      <c r="GOD801" s="111"/>
      <c r="GOE801" s="111"/>
      <c r="GOF801" s="111"/>
      <c r="GOG801" s="111"/>
      <c r="GOH801" s="111"/>
      <c r="GOI801" s="111"/>
      <c r="GOJ801" s="111"/>
      <c r="GOK801" s="111"/>
      <c r="GOL801" s="111"/>
      <c r="GOM801" s="111"/>
      <c r="GON801" s="111"/>
      <c r="GOO801" s="111"/>
      <c r="GOP801" s="111"/>
      <c r="GOQ801" s="111"/>
      <c r="GOR801" s="111"/>
      <c r="GOS801" s="111"/>
      <c r="GOT801" s="111"/>
      <c r="GOU801" s="111"/>
      <c r="GOV801" s="111"/>
      <c r="GOW801" s="111"/>
      <c r="GOX801" s="111"/>
      <c r="GOY801" s="111"/>
      <c r="GOZ801" s="111"/>
      <c r="GPA801" s="111"/>
      <c r="GPB801" s="111"/>
      <c r="GPC801" s="111"/>
      <c r="GPD801" s="111"/>
      <c r="GPE801" s="111"/>
      <c r="GPF801" s="111"/>
      <c r="GPG801" s="111"/>
      <c r="GPH801" s="111"/>
      <c r="GPI801" s="111"/>
      <c r="GPJ801" s="111"/>
      <c r="GPK801" s="111"/>
      <c r="GPL801" s="111"/>
      <c r="GPM801" s="111"/>
      <c r="GPN801" s="111"/>
      <c r="GPO801" s="111"/>
      <c r="GPP801" s="111"/>
      <c r="GPQ801" s="111"/>
      <c r="GPR801" s="111"/>
      <c r="GPS801" s="111"/>
      <c r="GPT801" s="111"/>
      <c r="GPU801" s="111"/>
      <c r="GPV801" s="111"/>
      <c r="GPW801" s="111"/>
      <c r="GPX801" s="111"/>
      <c r="GPY801" s="111"/>
      <c r="GPZ801" s="111"/>
      <c r="GQA801" s="111"/>
      <c r="GQB801" s="111"/>
      <c r="GQC801" s="111"/>
      <c r="GQD801" s="111"/>
      <c r="GQE801" s="111"/>
      <c r="GQF801" s="111"/>
      <c r="GQG801" s="111"/>
      <c r="GQH801" s="111"/>
      <c r="GQI801" s="111"/>
      <c r="GQJ801" s="111"/>
      <c r="GQK801" s="111"/>
      <c r="GQL801" s="111"/>
      <c r="GQM801" s="111"/>
      <c r="GQN801" s="111"/>
      <c r="GQO801" s="111"/>
      <c r="GQP801" s="111"/>
      <c r="GQQ801" s="111"/>
      <c r="GQR801" s="111"/>
      <c r="GQS801" s="111"/>
      <c r="GQT801" s="111"/>
      <c r="GQU801" s="111"/>
      <c r="GQV801" s="111"/>
      <c r="GQW801" s="111"/>
      <c r="GQX801" s="111"/>
      <c r="GQY801" s="111"/>
      <c r="GQZ801" s="111"/>
      <c r="GRA801" s="111"/>
      <c r="GRB801" s="111"/>
      <c r="GRC801" s="111"/>
      <c r="GRD801" s="111"/>
      <c r="GRE801" s="111"/>
      <c r="GRF801" s="111"/>
      <c r="GRG801" s="111"/>
      <c r="GRH801" s="111"/>
      <c r="GRI801" s="111"/>
      <c r="GRJ801" s="111"/>
      <c r="GRK801" s="111"/>
      <c r="GRL801" s="111"/>
      <c r="GRM801" s="111"/>
      <c r="GRN801" s="111"/>
      <c r="GRO801" s="111"/>
      <c r="GRP801" s="111"/>
      <c r="GRQ801" s="111"/>
      <c r="GRR801" s="111"/>
      <c r="GRS801" s="111"/>
      <c r="GRT801" s="111"/>
      <c r="GRU801" s="111"/>
      <c r="GRV801" s="111"/>
      <c r="GRW801" s="111"/>
      <c r="GRX801" s="111"/>
      <c r="GRY801" s="111"/>
      <c r="GRZ801" s="111"/>
      <c r="GSA801" s="111"/>
      <c r="GSB801" s="111"/>
      <c r="GSC801" s="111"/>
      <c r="GSD801" s="111"/>
      <c r="GSE801" s="111"/>
      <c r="GSF801" s="111"/>
      <c r="GSG801" s="111"/>
      <c r="GSH801" s="111"/>
      <c r="GSI801" s="111"/>
      <c r="GSJ801" s="111"/>
      <c r="GSK801" s="111"/>
      <c r="GSL801" s="111"/>
      <c r="GSM801" s="111"/>
      <c r="GSN801" s="111"/>
      <c r="GSO801" s="111"/>
      <c r="GSP801" s="111"/>
      <c r="GSQ801" s="111"/>
      <c r="GSR801" s="111"/>
      <c r="GSS801" s="111"/>
      <c r="GST801" s="111"/>
      <c r="GSU801" s="111"/>
      <c r="GSV801" s="111"/>
      <c r="GSW801" s="111"/>
      <c r="GSX801" s="111"/>
      <c r="GSY801" s="111"/>
      <c r="GSZ801" s="111"/>
      <c r="GTA801" s="111"/>
      <c r="GTB801" s="111"/>
      <c r="GTC801" s="111"/>
      <c r="GTD801" s="111"/>
      <c r="GTE801" s="111"/>
      <c r="GTF801" s="111"/>
      <c r="GTG801" s="111"/>
      <c r="GTH801" s="111"/>
      <c r="GTI801" s="111"/>
      <c r="GTJ801" s="111"/>
      <c r="GTK801" s="111"/>
      <c r="GTL801" s="111"/>
      <c r="GTM801" s="111"/>
      <c r="GTN801" s="111"/>
      <c r="GTO801" s="111"/>
      <c r="GTP801" s="111"/>
      <c r="GTQ801" s="111"/>
      <c r="GTR801" s="111"/>
      <c r="GTS801" s="111"/>
      <c r="GTT801" s="111"/>
      <c r="GTU801" s="111"/>
      <c r="GTV801" s="111"/>
      <c r="GTW801" s="111"/>
      <c r="GTX801" s="111"/>
      <c r="GTY801" s="111"/>
      <c r="GTZ801" s="111"/>
      <c r="GUA801" s="111"/>
      <c r="GUB801" s="111"/>
      <c r="GUC801" s="111"/>
      <c r="GUD801" s="111"/>
      <c r="GUE801" s="111"/>
      <c r="GUF801" s="111"/>
      <c r="GUG801" s="111"/>
      <c r="GUH801" s="111"/>
      <c r="GUI801" s="111"/>
      <c r="GUJ801" s="111"/>
      <c r="GUK801" s="111"/>
      <c r="GUL801" s="111"/>
      <c r="GUM801" s="111"/>
      <c r="GUN801" s="111"/>
      <c r="GUO801" s="111"/>
      <c r="GUP801" s="111"/>
      <c r="GUQ801" s="111"/>
      <c r="GUR801" s="111"/>
      <c r="GUS801" s="111"/>
      <c r="GUT801" s="111"/>
      <c r="GUU801" s="111"/>
      <c r="GUV801" s="111"/>
      <c r="GUW801" s="111"/>
      <c r="GUX801" s="111"/>
      <c r="GUY801" s="111"/>
      <c r="GUZ801" s="111"/>
      <c r="GVA801" s="111"/>
      <c r="GVB801" s="111"/>
      <c r="GVC801" s="111"/>
      <c r="GVD801" s="111"/>
      <c r="GVE801" s="111"/>
      <c r="GVF801" s="111"/>
      <c r="GVG801" s="111"/>
      <c r="GVH801" s="111"/>
      <c r="GVI801" s="111"/>
      <c r="GVJ801" s="111"/>
      <c r="GVK801" s="111"/>
      <c r="GVL801" s="111"/>
      <c r="GVM801" s="111"/>
      <c r="GVN801" s="111"/>
      <c r="GVO801" s="111"/>
      <c r="GVP801" s="111"/>
      <c r="GVQ801" s="111"/>
      <c r="GVR801" s="111"/>
      <c r="GVS801" s="111"/>
      <c r="GVT801" s="111"/>
      <c r="GVU801" s="111"/>
      <c r="GVV801" s="111"/>
      <c r="GVW801" s="111"/>
      <c r="GVX801" s="111"/>
      <c r="GVY801" s="111"/>
      <c r="GVZ801" s="111"/>
      <c r="GWA801" s="111"/>
      <c r="GWB801" s="111"/>
      <c r="GWC801" s="111"/>
      <c r="GWD801" s="111"/>
      <c r="GWE801" s="111"/>
      <c r="GWF801" s="111"/>
      <c r="GWG801" s="111"/>
      <c r="GWH801" s="111"/>
      <c r="GWI801" s="111"/>
      <c r="GWJ801" s="111"/>
      <c r="GWK801" s="111"/>
      <c r="GWL801" s="111"/>
      <c r="GWM801" s="111"/>
      <c r="GWN801" s="111"/>
      <c r="GWO801" s="111"/>
      <c r="GWP801" s="111"/>
      <c r="GWQ801" s="111"/>
      <c r="GWR801" s="111"/>
      <c r="GWS801" s="111"/>
      <c r="GWT801" s="111"/>
      <c r="GWU801" s="111"/>
      <c r="GWV801" s="111"/>
      <c r="GWW801" s="111"/>
      <c r="GWX801" s="111"/>
      <c r="GWY801" s="111"/>
      <c r="GWZ801" s="111"/>
      <c r="GXA801" s="111"/>
      <c r="GXB801" s="111"/>
      <c r="GXC801" s="111"/>
      <c r="GXD801" s="111"/>
      <c r="GXE801" s="111"/>
      <c r="GXF801" s="111"/>
      <c r="GXG801" s="111"/>
      <c r="GXH801" s="111"/>
      <c r="GXI801" s="111"/>
      <c r="GXJ801" s="111"/>
      <c r="GXK801" s="111"/>
      <c r="GXL801" s="111"/>
      <c r="GXM801" s="111"/>
      <c r="GXN801" s="111"/>
      <c r="GXO801" s="111"/>
      <c r="GXP801" s="111"/>
      <c r="GXQ801" s="111"/>
      <c r="GXR801" s="111"/>
      <c r="GXS801" s="111"/>
      <c r="GXT801" s="111"/>
      <c r="GXU801" s="111"/>
      <c r="GXV801" s="111"/>
      <c r="GXW801" s="111"/>
      <c r="GXX801" s="111"/>
      <c r="GXY801" s="111"/>
      <c r="GXZ801" s="111"/>
      <c r="GYA801" s="111"/>
      <c r="GYB801" s="111"/>
      <c r="GYC801" s="111"/>
      <c r="GYD801" s="111"/>
      <c r="GYE801" s="111"/>
      <c r="GYF801" s="111"/>
      <c r="GYG801" s="111"/>
      <c r="GYH801" s="111"/>
      <c r="GYI801" s="111"/>
      <c r="GYJ801" s="111"/>
      <c r="GYK801" s="111"/>
      <c r="GYL801" s="111"/>
      <c r="GYM801" s="111"/>
      <c r="GYN801" s="111"/>
      <c r="GYO801" s="111"/>
      <c r="GYP801" s="111"/>
      <c r="GYQ801" s="111"/>
      <c r="GYR801" s="111"/>
      <c r="GYS801" s="111"/>
      <c r="GYT801" s="111"/>
      <c r="GYU801" s="111"/>
      <c r="GYV801" s="111"/>
      <c r="GYW801" s="111"/>
      <c r="GYX801" s="111"/>
      <c r="GYY801" s="111"/>
      <c r="GYZ801" s="111"/>
      <c r="GZA801" s="111"/>
      <c r="GZB801" s="111"/>
      <c r="GZC801" s="111"/>
      <c r="GZD801" s="111"/>
      <c r="GZE801" s="111"/>
      <c r="GZF801" s="111"/>
      <c r="GZG801" s="111"/>
      <c r="GZH801" s="111"/>
      <c r="GZI801" s="111"/>
      <c r="GZJ801" s="111"/>
      <c r="GZK801" s="111"/>
      <c r="GZL801" s="111"/>
      <c r="GZM801" s="111"/>
      <c r="GZN801" s="111"/>
      <c r="GZO801" s="111"/>
      <c r="GZP801" s="111"/>
      <c r="GZQ801" s="111"/>
      <c r="GZR801" s="111"/>
      <c r="GZS801" s="111"/>
      <c r="GZT801" s="111"/>
      <c r="GZU801" s="111"/>
      <c r="GZV801" s="111"/>
      <c r="GZW801" s="111"/>
      <c r="GZX801" s="111"/>
      <c r="GZY801" s="111"/>
      <c r="GZZ801" s="111"/>
      <c r="HAA801" s="111"/>
      <c r="HAB801" s="111"/>
      <c r="HAC801" s="111"/>
      <c r="HAD801" s="111"/>
      <c r="HAE801" s="111"/>
      <c r="HAF801" s="111"/>
      <c r="HAG801" s="111"/>
      <c r="HAH801" s="111"/>
      <c r="HAI801" s="111"/>
      <c r="HAJ801" s="111"/>
      <c r="HAK801" s="111"/>
      <c r="HAL801" s="111"/>
      <c r="HAM801" s="111"/>
      <c r="HAN801" s="111"/>
      <c r="HAO801" s="111"/>
      <c r="HAP801" s="111"/>
      <c r="HAQ801" s="111"/>
      <c r="HAR801" s="111"/>
      <c r="HAS801" s="111"/>
      <c r="HAT801" s="111"/>
      <c r="HAU801" s="111"/>
      <c r="HAV801" s="111"/>
      <c r="HAW801" s="111"/>
      <c r="HAX801" s="111"/>
      <c r="HAY801" s="111"/>
      <c r="HAZ801" s="111"/>
      <c r="HBA801" s="111"/>
      <c r="HBB801" s="111"/>
      <c r="HBC801" s="111"/>
      <c r="HBD801" s="111"/>
      <c r="HBE801" s="111"/>
      <c r="HBF801" s="111"/>
      <c r="HBG801" s="111"/>
      <c r="HBH801" s="111"/>
      <c r="HBI801" s="111"/>
      <c r="HBJ801" s="111"/>
      <c r="HBK801" s="111"/>
      <c r="HBL801" s="111"/>
      <c r="HBM801" s="111"/>
      <c r="HBN801" s="111"/>
      <c r="HBO801" s="111"/>
      <c r="HBP801" s="111"/>
      <c r="HBQ801" s="111"/>
      <c r="HBR801" s="111"/>
      <c r="HBS801" s="111"/>
      <c r="HBT801" s="111"/>
      <c r="HBU801" s="111"/>
      <c r="HBV801" s="111"/>
      <c r="HBW801" s="111"/>
      <c r="HBX801" s="111"/>
      <c r="HBY801" s="111"/>
      <c r="HBZ801" s="111"/>
      <c r="HCA801" s="111"/>
      <c r="HCB801" s="111"/>
      <c r="HCC801" s="111"/>
      <c r="HCD801" s="111"/>
      <c r="HCE801" s="111"/>
      <c r="HCF801" s="111"/>
      <c r="HCG801" s="111"/>
      <c r="HCH801" s="111"/>
      <c r="HCI801" s="111"/>
      <c r="HCJ801" s="111"/>
      <c r="HCK801" s="111"/>
      <c r="HCL801" s="111"/>
      <c r="HCM801" s="111"/>
      <c r="HCN801" s="111"/>
      <c r="HCO801" s="111"/>
      <c r="HCP801" s="111"/>
      <c r="HCQ801" s="111"/>
      <c r="HCR801" s="111"/>
      <c r="HCS801" s="111"/>
      <c r="HCT801" s="111"/>
      <c r="HCU801" s="111"/>
      <c r="HCV801" s="111"/>
      <c r="HCW801" s="111"/>
      <c r="HCX801" s="111"/>
      <c r="HCY801" s="111"/>
      <c r="HCZ801" s="111"/>
      <c r="HDA801" s="111"/>
      <c r="HDB801" s="111"/>
      <c r="HDC801" s="111"/>
      <c r="HDD801" s="111"/>
      <c r="HDE801" s="111"/>
      <c r="HDF801" s="111"/>
      <c r="HDG801" s="111"/>
      <c r="HDH801" s="111"/>
      <c r="HDI801" s="111"/>
      <c r="HDJ801" s="111"/>
      <c r="HDK801" s="111"/>
      <c r="HDL801" s="111"/>
      <c r="HDM801" s="111"/>
      <c r="HDN801" s="111"/>
      <c r="HDO801" s="111"/>
      <c r="HDP801" s="111"/>
      <c r="HDQ801" s="111"/>
      <c r="HDR801" s="111"/>
      <c r="HDS801" s="111"/>
      <c r="HDT801" s="111"/>
      <c r="HDU801" s="111"/>
      <c r="HDV801" s="111"/>
      <c r="HDW801" s="111"/>
      <c r="HDX801" s="111"/>
      <c r="HDY801" s="111"/>
      <c r="HDZ801" s="111"/>
      <c r="HEA801" s="111"/>
      <c r="HEB801" s="111"/>
      <c r="HEC801" s="111"/>
      <c r="HED801" s="111"/>
      <c r="HEE801" s="111"/>
      <c r="HEF801" s="111"/>
      <c r="HEG801" s="111"/>
      <c r="HEH801" s="111"/>
      <c r="HEI801" s="111"/>
      <c r="HEJ801" s="111"/>
      <c r="HEK801" s="111"/>
      <c r="HEL801" s="111"/>
      <c r="HEM801" s="111"/>
      <c r="HEN801" s="111"/>
      <c r="HEO801" s="111"/>
      <c r="HEP801" s="111"/>
      <c r="HEQ801" s="111"/>
      <c r="HER801" s="111"/>
      <c r="HES801" s="111"/>
      <c r="HET801" s="111"/>
      <c r="HEU801" s="111"/>
      <c r="HEV801" s="111"/>
      <c r="HEW801" s="111"/>
      <c r="HEX801" s="111"/>
      <c r="HEY801" s="111"/>
      <c r="HEZ801" s="111"/>
      <c r="HFA801" s="111"/>
      <c r="HFB801" s="111"/>
      <c r="HFC801" s="111"/>
      <c r="HFD801" s="111"/>
      <c r="HFE801" s="111"/>
      <c r="HFF801" s="111"/>
      <c r="HFG801" s="111"/>
      <c r="HFH801" s="111"/>
      <c r="HFI801" s="111"/>
      <c r="HFJ801" s="111"/>
      <c r="HFK801" s="111"/>
      <c r="HFL801" s="111"/>
      <c r="HFM801" s="111"/>
      <c r="HFN801" s="111"/>
      <c r="HFO801" s="111"/>
      <c r="HFP801" s="111"/>
      <c r="HFQ801" s="111"/>
      <c r="HFR801" s="111"/>
      <c r="HFS801" s="111"/>
      <c r="HFT801" s="111"/>
      <c r="HFU801" s="111"/>
      <c r="HFV801" s="111"/>
      <c r="HFW801" s="111"/>
      <c r="HFX801" s="111"/>
      <c r="HFY801" s="111"/>
      <c r="HFZ801" s="111"/>
      <c r="HGA801" s="111"/>
      <c r="HGB801" s="111"/>
      <c r="HGC801" s="111"/>
      <c r="HGD801" s="111"/>
      <c r="HGE801" s="111"/>
      <c r="HGF801" s="111"/>
      <c r="HGG801" s="111"/>
      <c r="HGH801" s="111"/>
      <c r="HGI801" s="111"/>
      <c r="HGJ801" s="111"/>
      <c r="HGK801" s="111"/>
      <c r="HGL801" s="111"/>
      <c r="HGM801" s="111"/>
      <c r="HGN801" s="111"/>
      <c r="HGO801" s="111"/>
      <c r="HGP801" s="111"/>
      <c r="HGQ801" s="111"/>
      <c r="HGR801" s="111"/>
      <c r="HGS801" s="111"/>
      <c r="HGT801" s="111"/>
      <c r="HGU801" s="111"/>
      <c r="HGV801" s="111"/>
      <c r="HGW801" s="111"/>
      <c r="HGX801" s="111"/>
      <c r="HGY801" s="111"/>
      <c r="HGZ801" s="111"/>
      <c r="HHA801" s="111"/>
      <c r="HHB801" s="111"/>
      <c r="HHC801" s="111"/>
      <c r="HHD801" s="111"/>
      <c r="HHE801" s="111"/>
      <c r="HHF801" s="111"/>
      <c r="HHG801" s="111"/>
      <c r="HHH801" s="111"/>
      <c r="HHI801" s="111"/>
      <c r="HHJ801" s="111"/>
      <c r="HHK801" s="111"/>
      <c r="HHL801" s="111"/>
      <c r="HHM801" s="111"/>
      <c r="HHN801" s="111"/>
      <c r="HHO801" s="111"/>
      <c r="HHP801" s="111"/>
      <c r="HHQ801" s="111"/>
      <c r="HHR801" s="111"/>
      <c r="HHS801" s="111"/>
      <c r="HHT801" s="111"/>
      <c r="HHU801" s="111"/>
      <c r="HHV801" s="111"/>
      <c r="HHW801" s="111"/>
      <c r="HHX801" s="111"/>
      <c r="HHY801" s="111"/>
      <c r="HHZ801" s="111"/>
      <c r="HIA801" s="111"/>
      <c r="HIB801" s="111"/>
      <c r="HIC801" s="111"/>
      <c r="HID801" s="111"/>
      <c r="HIE801" s="111"/>
      <c r="HIF801" s="111"/>
      <c r="HIG801" s="111"/>
      <c r="HIH801" s="111"/>
      <c r="HII801" s="111"/>
      <c r="HIJ801" s="111"/>
      <c r="HIK801" s="111"/>
      <c r="HIL801" s="111"/>
      <c r="HIM801" s="111"/>
      <c r="HIN801" s="111"/>
      <c r="HIO801" s="111"/>
      <c r="HIP801" s="111"/>
      <c r="HIQ801" s="111"/>
      <c r="HIR801" s="111"/>
      <c r="HIS801" s="111"/>
      <c r="HIT801" s="111"/>
      <c r="HIU801" s="111"/>
      <c r="HIV801" s="111"/>
      <c r="HIW801" s="111"/>
      <c r="HIX801" s="111"/>
      <c r="HIY801" s="111"/>
      <c r="HIZ801" s="111"/>
      <c r="HJA801" s="111"/>
      <c r="HJB801" s="111"/>
      <c r="HJC801" s="111"/>
      <c r="HJD801" s="111"/>
      <c r="HJE801" s="111"/>
      <c r="HJF801" s="111"/>
      <c r="HJG801" s="111"/>
      <c r="HJH801" s="111"/>
      <c r="HJI801" s="111"/>
      <c r="HJJ801" s="111"/>
      <c r="HJK801" s="111"/>
      <c r="HJL801" s="111"/>
      <c r="HJM801" s="111"/>
      <c r="HJN801" s="111"/>
      <c r="HJO801" s="111"/>
      <c r="HJP801" s="111"/>
      <c r="HJQ801" s="111"/>
      <c r="HJR801" s="111"/>
      <c r="HJS801" s="111"/>
      <c r="HJT801" s="111"/>
      <c r="HJU801" s="111"/>
      <c r="HJV801" s="111"/>
      <c r="HJW801" s="111"/>
      <c r="HJX801" s="111"/>
      <c r="HJY801" s="111"/>
      <c r="HJZ801" s="111"/>
      <c r="HKA801" s="111"/>
      <c r="HKB801" s="111"/>
      <c r="HKC801" s="111"/>
      <c r="HKD801" s="111"/>
      <c r="HKE801" s="111"/>
      <c r="HKF801" s="111"/>
      <c r="HKG801" s="111"/>
      <c r="HKH801" s="111"/>
      <c r="HKI801" s="111"/>
      <c r="HKJ801" s="111"/>
      <c r="HKK801" s="111"/>
      <c r="HKL801" s="111"/>
      <c r="HKM801" s="111"/>
      <c r="HKN801" s="111"/>
      <c r="HKO801" s="111"/>
      <c r="HKP801" s="111"/>
      <c r="HKQ801" s="111"/>
      <c r="HKR801" s="111"/>
      <c r="HKS801" s="111"/>
      <c r="HKT801" s="111"/>
      <c r="HKU801" s="111"/>
      <c r="HKV801" s="111"/>
      <c r="HKW801" s="111"/>
      <c r="HKX801" s="111"/>
      <c r="HKY801" s="111"/>
      <c r="HKZ801" s="111"/>
      <c r="HLA801" s="111"/>
      <c r="HLB801" s="111"/>
      <c r="HLC801" s="111"/>
      <c r="HLD801" s="111"/>
      <c r="HLE801" s="111"/>
      <c r="HLF801" s="111"/>
      <c r="HLG801" s="111"/>
      <c r="HLH801" s="111"/>
      <c r="HLI801" s="111"/>
      <c r="HLJ801" s="111"/>
      <c r="HLK801" s="111"/>
      <c r="HLL801" s="111"/>
      <c r="HLM801" s="111"/>
      <c r="HLN801" s="111"/>
      <c r="HLO801" s="111"/>
      <c r="HLP801" s="111"/>
      <c r="HLQ801" s="111"/>
      <c r="HLR801" s="111"/>
      <c r="HLS801" s="111"/>
      <c r="HLT801" s="111"/>
      <c r="HLU801" s="111"/>
      <c r="HLV801" s="111"/>
      <c r="HLW801" s="111"/>
      <c r="HLX801" s="111"/>
      <c r="HLY801" s="111"/>
      <c r="HLZ801" s="111"/>
      <c r="HMA801" s="111"/>
      <c r="HMB801" s="111"/>
      <c r="HMC801" s="111"/>
      <c r="HMD801" s="111"/>
      <c r="HME801" s="111"/>
      <c r="HMF801" s="111"/>
      <c r="HMG801" s="111"/>
      <c r="HMH801" s="111"/>
      <c r="HMI801" s="111"/>
      <c r="HMJ801" s="111"/>
      <c r="HMK801" s="111"/>
      <c r="HML801" s="111"/>
      <c r="HMM801" s="111"/>
      <c r="HMN801" s="111"/>
      <c r="HMO801" s="111"/>
      <c r="HMP801" s="111"/>
      <c r="HMQ801" s="111"/>
      <c r="HMR801" s="111"/>
      <c r="HMS801" s="111"/>
      <c r="HMT801" s="111"/>
      <c r="HMU801" s="111"/>
      <c r="HMV801" s="111"/>
      <c r="HMW801" s="111"/>
      <c r="HMX801" s="111"/>
      <c r="HMY801" s="111"/>
      <c r="HMZ801" s="111"/>
      <c r="HNA801" s="111"/>
      <c r="HNB801" s="111"/>
      <c r="HNC801" s="111"/>
      <c r="HND801" s="111"/>
      <c r="HNE801" s="111"/>
      <c r="HNF801" s="111"/>
      <c r="HNG801" s="111"/>
      <c r="HNH801" s="111"/>
      <c r="HNI801" s="111"/>
      <c r="HNJ801" s="111"/>
      <c r="HNK801" s="111"/>
      <c r="HNL801" s="111"/>
      <c r="HNM801" s="111"/>
      <c r="HNN801" s="111"/>
      <c r="HNO801" s="111"/>
      <c r="HNP801" s="111"/>
      <c r="HNQ801" s="111"/>
      <c r="HNR801" s="111"/>
      <c r="HNS801" s="111"/>
      <c r="HNT801" s="111"/>
      <c r="HNU801" s="111"/>
      <c r="HNV801" s="111"/>
      <c r="HNW801" s="111"/>
      <c r="HNX801" s="111"/>
      <c r="HNY801" s="111"/>
      <c r="HNZ801" s="111"/>
      <c r="HOA801" s="111"/>
      <c r="HOB801" s="111"/>
      <c r="HOC801" s="111"/>
      <c r="HOD801" s="111"/>
      <c r="HOE801" s="111"/>
      <c r="HOF801" s="111"/>
      <c r="HOG801" s="111"/>
      <c r="HOH801" s="111"/>
      <c r="HOI801" s="111"/>
      <c r="HOJ801" s="111"/>
      <c r="HOK801" s="111"/>
      <c r="HOL801" s="111"/>
      <c r="HOM801" s="111"/>
      <c r="HON801" s="111"/>
      <c r="HOO801" s="111"/>
      <c r="HOP801" s="111"/>
      <c r="HOQ801" s="111"/>
      <c r="HOR801" s="111"/>
      <c r="HOS801" s="111"/>
      <c r="HOT801" s="111"/>
      <c r="HOU801" s="111"/>
      <c r="HOV801" s="111"/>
      <c r="HOW801" s="111"/>
      <c r="HOX801" s="111"/>
      <c r="HOY801" s="111"/>
      <c r="HOZ801" s="111"/>
      <c r="HPA801" s="111"/>
      <c r="HPB801" s="111"/>
      <c r="HPC801" s="111"/>
      <c r="HPD801" s="111"/>
      <c r="HPE801" s="111"/>
      <c r="HPF801" s="111"/>
      <c r="HPG801" s="111"/>
      <c r="HPH801" s="111"/>
      <c r="HPI801" s="111"/>
      <c r="HPJ801" s="111"/>
      <c r="HPK801" s="111"/>
      <c r="HPL801" s="111"/>
      <c r="HPM801" s="111"/>
      <c r="HPN801" s="111"/>
      <c r="HPO801" s="111"/>
      <c r="HPP801" s="111"/>
      <c r="HPQ801" s="111"/>
      <c r="HPR801" s="111"/>
      <c r="HPS801" s="111"/>
      <c r="HPT801" s="111"/>
      <c r="HPU801" s="111"/>
      <c r="HPV801" s="111"/>
      <c r="HPW801" s="111"/>
      <c r="HPX801" s="111"/>
      <c r="HPY801" s="111"/>
      <c r="HPZ801" s="111"/>
      <c r="HQA801" s="111"/>
      <c r="HQB801" s="111"/>
      <c r="HQC801" s="111"/>
      <c r="HQD801" s="111"/>
      <c r="HQE801" s="111"/>
      <c r="HQF801" s="111"/>
      <c r="HQG801" s="111"/>
      <c r="HQH801" s="111"/>
      <c r="HQI801" s="111"/>
      <c r="HQJ801" s="111"/>
      <c r="HQK801" s="111"/>
      <c r="HQL801" s="111"/>
      <c r="HQM801" s="111"/>
      <c r="HQN801" s="111"/>
      <c r="HQO801" s="111"/>
      <c r="HQP801" s="111"/>
      <c r="HQQ801" s="111"/>
      <c r="HQR801" s="111"/>
      <c r="HQS801" s="111"/>
      <c r="HQT801" s="111"/>
      <c r="HQU801" s="111"/>
      <c r="HQV801" s="111"/>
      <c r="HQW801" s="111"/>
      <c r="HQX801" s="111"/>
      <c r="HQY801" s="111"/>
      <c r="HQZ801" s="111"/>
      <c r="HRA801" s="111"/>
      <c r="HRB801" s="111"/>
      <c r="HRC801" s="111"/>
      <c r="HRD801" s="111"/>
      <c r="HRE801" s="111"/>
      <c r="HRF801" s="111"/>
      <c r="HRG801" s="111"/>
      <c r="HRH801" s="111"/>
      <c r="HRI801" s="111"/>
      <c r="HRJ801" s="111"/>
      <c r="HRK801" s="111"/>
      <c r="HRL801" s="111"/>
      <c r="HRM801" s="111"/>
      <c r="HRN801" s="111"/>
      <c r="HRO801" s="111"/>
      <c r="HRP801" s="111"/>
      <c r="HRQ801" s="111"/>
      <c r="HRR801" s="111"/>
      <c r="HRS801" s="111"/>
      <c r="HRT801" s="111"/>
      <c r="HRU801" s="111"/>
      <c r="HRV801" s="111"/>
      <c r="HRW801" s="111"/>
      <c r="HRX801" s="111"/>
      <c r="HRY801" s="111"/>
      <c r="HRZ801" s="111"/>
      <c r="HSA801" s="111"/>
      <c r="HSB801" s="111"/>
      <c r="HSC801" s="111"/>
      <c r="HSD801" s="111"/>
      <c r="HSE801" s="111"/>
      <c r="HSF801" s="111"/>
      <c r="HSG801" s="111"/>
      <c r="HSH801" s="111"/>
      <c r="HSI801" s="111"/>
      <c r="HSJ801" s="111"/>
      <c r="HSK801" s="111"/>
      <c r="HSL801" s="111"/>
      <c r="HSM801" s="111"/>
      <c r="HSN801" s="111"/>
      <c r="HSO801" s="111"/>
      <c r="HSP801" s="111"/>
      <c r="HSQ801" s="111"/>
      <c r="HSR801" s="111"/>
      <c r="HSS801" s="111"/>
      <c r="HST801" s="111"/>
      <c r="HSU801" s="111"/>
      <c r="HSV801" s="111"/>
      <c r="HSW801" s="111"/>
      <c r="HSX801" s="111"/>
      <c r="HSY801" s="111"/>
      <c r="HSZ801" s="111"/>
      <c r="HTA801" s="111"/>
      <c r="HTB801" s="111"/>
      <c r="HTC801" s="111"/>
      <c r="HTD801" s="111"/>
      <c r="HTE801" s="111"/>
      <c r="HTF801" s="111"/>
      <c r="HTG801" s="111"/>
      <c r="HTH801" s="111"/>
      <c r="HTI801" s="111"/>
      <c r="HTJ801" s="111"/>
      <c r="HTK801" s="111"/>
      <c r="HTL801" s="111"/>
      <c r="HTM801" s="111"/>
      <c r="HTN801" s="111"/>
      <c r="HTO801" s="111"/>
      <c r="HTP801" s="111"/>
      <c r="HTQ801" s="111"/>
      <c r="HTR801" s="111"/>
      <c r="HTS801" s="111"/>
      <c r="HTT801" s="111"/>
      <c r="HTU801" s="111"/>
      <c r="HTV801" s="111"/>
      <c r="HTW801" s="111"/>
      <c r="HTX801" s="111"/>
      <c r="HTY801" s="111"/>
      <c r="HTZ801" s="111"/>
      <c r="HUA801" s="111"/>
      <c r="HUB801" s="111"/>
      <c r="HUC801" s="111"/>
      <c r="HUD801" s="111"/>
      <c r="HUE801" s="111"/>
      <c r="HUF801" s="111"/>
      <c r="HUG801" s="111"/>
      <c r="HUH801" s="111"/>
      <c r="HUI801" s="111"/>
      <c r="HUJ801" s="111"/>
      <c r="HUK801" s="111"/>
      <c r="HUL801" s="111"/>
      <c r="HUM801" s="111"/>
      <c r="HUN801" s="111"/>
      <c r="HUO801" s="111"/>
      <c r="HUP801" s="111"/>
      <c r="HUQ801" s="111"/>
      <c r="HUR801" s="111"/>
      <c r="HUS801" s="111"/>
      <c r="HUT801" s="111"/>
      <c r="HUU801" s="111"/>
      <c r="HUV801" s="111"/>
      <c r="HUW801" s="111"/>
      <c r="HUX801" s="111"/>
      <c r="HUY801" s="111"/>
      <c r="HUZ801" s="111"/>
      <c r="HVA801" s="111"/>
      <c r="HVB801" s="111"/>
      <c r="HVC801" s="111"/>
      <c r="HVD801" s="111"/>
      <c r="HVE801" s="111"/>
      <c r="HVF801" s="111"/>
      <c r="HVG801" s="111"/>
      <c r="HVH801" s="111"/>
      <c r="HVI801" s="111"/>
      <c r="HVJ801" s="111"/>
      <c r="HVK801" s="111"/>
      <c r="HVL801" s="111"/>
      <c r="HVM801" s="111"/>
      <c r="HVN801" s="111"/>
      <c r="HVO801" s="111"/>
      <c r="HVP801" s="111"/>
      <c r="HVQ801" s="111"/>
      <c r="HVR801" s="111"/>
      <c r="HVS801" s="111"/>
      <c r="HVT801" s="111"/>
      <c r="HVU801" s="111"/>
      <c r="HVV801" s="111"/>
      <c r="HVW801" s="111"/>
      <c r="HVX801" s="111"/>
      <c r="HVY801" s="111"/>
      <c r="HVZ801" s="111"/>
      <c r="HWA801" s="111"/>
      <c r="HWB801" s="111"/>
      <c r="HWC801" s="111"/>
      <c r="HWD801" s="111"/>
      <c r="HWE801" s="111"/>
      <c r="HWF801" s="111"/>
      <c r="HWG801" s="111"/>
      <c r="HWH801" s="111"/>
      <c r="HWI801" s="111"/>
      <c r="HWJ801" s="111"/>
      <c r="HWK801" s="111"/>
      <c r="HWL801" s="111"/>
      <c r="HWM801" s="111"/>
      <c r="HWN801" s="111"/>
      <c r="HWO801" s="111"/>
      <c r="HWP801" s="111"/>
      <c r="HWQ801" s="111"/>
      <c r="HWR801" s="111"/>
      <c r="HWS801" s="111"/>
      <c r="HWT801" s="111"/>
      <c r="HWU801" s="111"/>
      <c r="HWV801" s="111"/>
      <c r="HWW801" s="111"/>
      <c r="HWX801" s="111"/>
      <c r="HWY801" s="111"/>
      <c r="HWZ801" s="111"/>
      <c r="HXA801" s="111"/>
      <c r="HXB801" s="111"/>
      <c r="HXC801" s="111"/>
      <c r="HXD801" s="111"/>
      <c r="HXE801" s="111"/>
      <c r="HXF801" s="111"/>
      <c r="HXG801" s="111"/>
      <c r="HXH801" s="111"/>
      <c r="HXI801" s="111"/>
      <c r="HXJ801" s="111"/>
      <c r="HXK801" s="111"/>
      <c r="HXL801" s="111"/>
      <c r="HXM801" s="111"/>
      <c r="HXN801" s="111"/>
      <c r="HXO801" s="111"/>
      <c r="HXP801" s="111"/>
      <c r="HXQ801" s="111"/>
      <c r="HXR801" s="111"/>
      <c r="HXS801" s="111"/>
      <c r="HXT801" s="111"/>
      <c r="HXU801" s="111"/>
      <c r="HXV801" s="111"/>
      <c r="HXW801" s="111"/>
      <c r="HXX801" s="111"/>
      <c r="HXY801" s="111"/>
      <c r="HXZ801" s="111"/>
      <c r="HYA801" s="111"/>
      <c r="HYB801" s="111"/>
      <c r="HYC801" s="111"/>
      <c r="HYD801" s="111"/>
      <c r="HYE801" s="111"/>
      <c r="HYF801" s="111"/>
      <c r="HYG801" s="111"/>
      <c r="HYH801" s="111"/>
      <c r="HYI801" s="111"/>
      <c r="HYJ801" s="111"/>
      <c r="HYK801" s="111"/>
      <c r="HYL801" s="111"/>
      <c r="HYM801" s="111"/>
      <c r="HYN801" s="111"/>
      <c r="HYO801" s="111"/>
      <c r="HYP801" s="111"/>
      <c r="HYQ801" s="111"/>
      <c r="HYR801" s="111"/>
      <c r="HYS801" s="111"/>
      <c r="HYT801" s="111"/>
      <c r="HYU801" s="111"/>
      <c r="HYV801" s="111"/>
      <c r="HYW801" s="111"/>
      <c r="HYX801" s="111"/>
      <c r="HYY801" s="111"/>
      <c r="HYZ801" s="111"/>
      <c r="HZA801" s="111"/>
      <c r="HZB801" s="111"/>
      <c r="HZC801" s="111"/>
      <c r="HZD801" s="111"/>
      <c r="HZE801" s="111"/>
      <c r="HZF801" s="111"/>
      <c r="HZG801" s="111"/>
      <c r="HZH801" s="111"/>
      <c r="HZI801" s="111"/>
      <c r="HZJ801" s="111"/>
      <c r="HZK801" s="111"/>
      <c r="HZL801" s="111"/>
      <c r="HZM801" s="111"/>
      <c r="HZN801" s="111"/>
      <c r="HZO801" s="111"/>
      <c r="HZP801" s="111"/>
      <c r="HZQ801" s="111"/>
      <c r="HZR801" s="111"/>
      <c r="HZS801" s="111"/>
      <c r="HZT801" s="111"/>
      <c r="HZU801" s="111"/>
      <c r="HZV801" s="111"/>
      <c r="HZW801" s="111"/>
      <c r="HZX801" s="111"/>
      <c r="HZY801" s="111"/>
      <c r="HZZ801" s="111"/>
      <c r="IAA801" s="111"/>
      <c r="IAB801" s="111"/>
      <c r="IAC801" s="111"/>
      <c r="IAD801" s="111"/>
      <c r="IAE801" s="111"/>
      <c r="IAF801" s="111"/>
      <c r="IAG801" s="111"/>
      <c r="IAH801" s="111"/>
      <c r="IAI801" s="111"/>
      <c r="IAJ801" s="111"/>
      <c r="IAK801" s="111"/>
      <c r="IAL801" s="111"/>
      <c r="IAM801" s="111"/>
      <c r="IAN801" s="111"/>
      <c r="IAO801" s="111"/>
      <c r="IAP801" s="111"/>
      <c r="IAQ801" s="111"/>
      <c r="IAR801" s="111"/>
      <c r="IAS801" s="111"/>
      <c r="IAT801" s="111"/>
      <c r="IAU801" s="111"/>
      <c r="IAV801" s="111"/>
      <c r="IAW801" s="111"/>
      <c r="IAX801" s="111"/>
      <c r="IAY801" s="111"/>
      <c r="IAZ801" s="111"/>
      <c r="IBA801" s="111"/>
      <c r="IBB801" s="111"/>
      <c r="IBC801" s="111"/>
      <c r="IBD801" s="111"/>
      <c r="IBE801" s="111"/>
      <c r="IBF801" s="111"/>
      <c r="IBG801" s="111"/>
      <c r="IBH801" s="111"/>
      <c r="IBI801" s="111"/>
      <c r="IBJ801" s="111"/>
      <c r="IBK801" s="111"/>
      <c r="IBL801" s="111"/>
      <c r="IBM801" s="111"/>
      <c r="IBN801" s="111"/>
      <c r="IBO801" s="111"/>
      <c r="IBP801" s="111"/>
      <c r="IBQ801" s="111"/>
      <c r="IBR801" s="111"/>
      <c r="IBS801" s="111"/>
      <c r="IBT801" s="111"/>
      <c r="IBU801" s="111"/>
      <c r="IBV801" s="111"/>
      <c r="IBW801" s="111"/>
      <c r="IBX801" s="111"/>
      <c r="IBY801" s="111"/>
      <c r="IBZ801" s="111"/>
      <c r="ICA801" s="111"/>
      <c r="ICB801" s="111"/>
      <c r="ICC801" s="111"/>
      <c r="ICD801" s="111"/>
      <c r="ICE801" s="111"/>
      <c r="ICF801" s="111"/>
      <c r="ICG801" s="111"/>
      <c r="ICH801" s="111"/>
      <c r="ICI801" s="111"/>
      <c r="ICJ801" s="111"/>
      <c r="ICK801" s="111"/>
      <c r="ICL801" s="111"/>
      <c r="ICM801" s="111"/>
      <c r="ICN801" s="111"/>
      <c r="ICO801" s="111"/>
      <c r="ICP801" s="111"/>
      <c r="ICQ801" s="111"/>
      <c r="ICR801" s="111"/>
      <c r="ICS801" s="111"/>
      <c r="ICT801" s="111"/>
      <c r="ICU801" s="111"/>
      <c r="ICV801" s="111"/>
      <c r="ICW801" s="111"/>
      <c r="ICX801" s="111"/>
      <c r="ICY801" s="111"/>
      <c r="ICZ801" s="111"/>
      <c r="IDA801" s="111"/>
      <c r="IDB801" s="111"/>
      <c r="IDC801" s="111"/>
      <c r="IDD801" s="111"/>
      <c r="IDE801" s="111"/>
      <c r="IDF801" s="111"/>
      <c r="IDG801" s="111"/>
      <c r="IDH801" s="111"/>
      <c r="IDI801" s="111"/>
      <c r="IDJ801" s="111"/>
      <c r="IDK801" s="111"/>
      <c r="IDL801" s="111"/>
      <c r="IDM801" s="111"/>
      <c r="IDN801" s="111"/>
      <c r="IDO801" s="111"/>
      <c r="IDP801" s="111"/>
      <c r="IDQ801" s="111"/>
      <c r="IDR801" s="111"/>
      <c r="IDS801" s="111"/>
      <c r="IDT801" s="111"/>
      <c r="IDU801" s="111"/>
      <c r="IDV801" s="111"/>
      <c r="IDW801" s="111"/>
      <c r="IDX801" s="111"/>
      <c r="IDY801" s="111"/>
      <c r="IDZ801" s="111"/>
      <c r="IEA801" s="111"/>
      <c r="IEB801" s="111"/>
      <c r="IEC801" s="111"/>
      <c r="IED801" s="111"/>
      <c r="IEE801" s="111"/>
      <c r="IEF801" s="111"/>
      <c r="IEG801" s="111"/>
      <c r="IEH801" s="111"/>
      <c r="IEI801" s="111"/>
      <c r="IEJ801" s="111"/>
      <c r="IEK801" s="111"/>
      <c r="IEL801" s="111"/>
      <c r="IEM801" s="111"/>
      <c r="IEN801" s="111"/>
      <c r="IEO801" s="111"/>
      <c r="IEP801" s="111"/>
      <c r="IEQ801" s="111"/>
      <c r="IER801" s="111"/>
      <c r="IES801" s="111"/>
      <c r="IET801" s="111"/>
      <c r="IEU801" s="111"/>
      <c r="IEV801" s="111"/>
      <c r="IEW801" s="111"/>
      <c r="IEX801" s="111"/>
      <c r="IEY801" s="111"/>
      <c r="IEZ801" s="111"/>
      <c r="IFA801" s="111"/>
      <c r="IFB801" s="111"/>
      <c r="IFC801" s="111"/>
      <c r="IFD801" s="111"/>
      <c r="IFE801" s="111"/>
      <c r="IFF801" s="111"/>
      <c r="IFG801" s="111"/>
      <c r="IFH801" s="111"/>
      <c r="IFI801" s="111"/>
      <c r="IFJ801" s="111"/>
      <c r="IFK801" s="111"/>
      <c r="IFL801" s="111"/>
      <c r="IFM801" s="111"/>
      <c r="IFN801" s="111"/>
      <c r="IFO801" s="111"/>
      <c r="IFP801" s="111"/>
      <c r="IFQ801" s="111"/>
      <c r="IFR801" s="111"/>
      <c r="IFS801" s="111"/>
      <c r="IFT801" s="111"/>
      <c r="IFU801" s="111"/>
      <c r="IFV801" s="111"/>
      <c r="IFW801" s="111"/>
      <c r="IFX801" s="111"/>
      <c r="IFY801" s="111"/>
      <c r="IFZ801" s="111"/>
      <c r="IGA801" s="111"/>
      <c r="IGB801" s="111"/>
      <c r="IGC801" s="111"/>
      <c r="IGD801" s="111"/>
      <c r="IGE801" s="111"/>
      <c r="IGF801" s="111"/>
      <c r="IGG801" s="111"/>
      <c r="IGH801" s="111"/>
      <c r="IGI801" s="111"/>
      <c r="IGJ801" s="111"/>
      <c r="IGK801" s="111"/>
      <c r="IGL801" s="111"/>
      <c r="IGM801" s="111"/>
      <c r="IGN801" s="111"/>
      <c r="IGO801" s="111"/>
      <c r="IGP801" s="111"/>
      <c r="IGQ801" s="111"/>
      <c r="IGR801" s="111"/>
      <c r="IGS801" s="111"/>
      <c r="IGT801" s="111"/>
      <c r="IGU801" s="111"/>
      <c r="IGV801" s="111"/>
      <c r="IGW801" s="111"/>
      <c r="IGX801" s="111"/>
      <c r="IGY801" s="111"/>
      <c r="IGZ801" s="111"/>
      <c r="IHA801" s="111"/>
      <c r="IHB801" s="111"/>
      <c r="IHC801" s="111"/>
      <c r="IHD801" s="111"/>
      <c r="IHE801" s="111"/>
      <c r="IHF801" s="111"/>
      <c r="IHG801" s="111"/>
      <c r="IHH801" s="111"/>
      <c r="IHI801" s="111"/>
      <c r="IHJ801" s="111"/>
      <c r="IHK801" s="111"/>
      <c r="IHL801" s="111"/>
      <c r="IHM801" s="111"/>
      <c r="IHN801" s="111"/>
      <c r="IHO801" s="111"/>
      <c r="IHP801" s="111"/>
      <c r="IHQ801" s="111"/>
      <c r="IHR801" s="111"/>
      <c r="IHS801" s="111"/>
      <c r="IHT801" s="111"/>
      <c r="IHU801" s="111"/>
      <c r="IHV801" s="111"/>
      <c r="IHW801" s="111"/>
      <c r="IHX801" s="111"/>
      <c r="IHY801" s="111"/>
      <c r="IHZ801" s="111"/>
      <c r="IIA801" s="111"/>
      <c r="IIB801" s="111"/>
      <c r="IIC801" s="111"/>
      <c r="IID801" s="111"/>
      <c r="IIE801" s="111"/>
      <c r="IIF801" s="111"/>
      <c r="IIG801" s="111"/>
      <c r="IIH801" s="111"/>
      <c r="III801" s="111"/>
      <c r="IIJ801" s="111"/>
      <c r="IIK801" s="111"/>
      <c r="IIL801" s="111"/>
      <c r="IIM801" s="111"/>
      <c r="IIN801" s="111"/>
      <c r="IIO801" s="111"/>
      <c r="IIP801" s="111"/>
      <c r="IIQ801" s="111"/>
      <c r="IIR801" s="111"/>
      <c r="IIS801" s="111"/>
      <c r="IIT801" s="111"/>
      <c r="IIU801" s="111"/>
      <c r="IIV801" s="111"/>
      <c r="IIW801" s="111"/>
      <c r="IIX801" s="111"/>
      <c r="IIY801" s="111"/>
      <c r="IIZ801" s="111"/>
      <c r="IJA801" s="111"/>
      <c r="IJB801" s="111"/>
      <c r="IJC801" s="111"/>
      <c r="IJD801" s="111"/>
      <c r="IJE801" s="111"/>
      <c r="IJF801" s="111"/>
      <c r="IJG801" s="111"/>
      <c r="IJH801" s="111"/>
      <c r="IJI801" s="111"/>
      <c r="IJJ801" s="111"/>
      <c r="IJK801" s="111"/>
      <c r="IJL801" s="111"/>
      <c r="IJM801" s="111"/>
      <c r="IJN801" s="111"/>
      <c r="IJO801" s="111"/>
      <c r="IJP801" s="111"/>
      <c r="IJQ801" s="111"/>
      <c r="IJR801" s="111"/>
      <c r="IJS801" s="111"/>
      <c r="IJT801" s="111"/>
      <c r="IJU801" s="111"/>
      <c r="IJV801" s="111"/>
      <c r="IJW801" s="111"/>
      <c r="IJX801" s="111"/>
      <c r="IJY801" s="111"/>
      <c r="IJZ801" s="111"/>
      <c r="IKA801" s="111"/>
      <c r="IKB801" s="111"/>
      <c r="IKC801" s="111"/>
      <c r="IKD801" s="111"/>
      <c r="IKE801" s="111"/>
      <c r="IKF801" s="111"/>
      <c r="IKG801" s="111"/>
      <c r="IKH801" s="111"/>
      <c r="IKI801" s="111"/>
      <c r="IKJ801" s="111"/>
      <c r="IKK801" s="111"/>
      <c r="IKL801" s="111"/>
      <c r="IKM801" s="111"/>
      <c r="IKN801" s="111"/>
      <c r="IKO801" s="111"/>
      <c r="IKP801" s="111"/>
      <c r="IKQ801" s="111"/>
      <c r="IKR801" s="111"/>
      <c r="IKS801" s="111"/>
      <c r="IKT801" s="111"/>
      <c r="IKU801" s="111"/>
      <c r="IKV801" s="111"/>
      <c r="IKW801" s="111"/>
      <c r="IKX801" s="111"/>
      <c r="IKY801" s="111"/>
      <c r="IKZ801" s="111"/>
      <c r="ILA801" s="111"/>
      <c r="ILB801" s="111"/>
      <c r="ILC801" s="111"/>
      <c r="ILD801" s="111"/>
      <c r="ILE801" s="111"/>
      <c r="ILF801" s="111"/>
      <c r="ILG801" s="111"/>
      <c r="ILH801" s="111"/>
      <c r="ILI801" s="111"/>
      <c r="ILJ801" s="111"/>
      <c r="ILK801" s="111"/>
      <c r="ILL801" s="111"/>
      <c r="ILM801" s="111"/>
      <c r="ILN801" s="111"/>
      <c r="ILO801" s="111"/>
      <c r="ILP801" s="111"/>
      <c r="ILQ801" s="111"/>
      <c r="ILR801" s="111"/>
      <c r="ILS801" s="111"/>
      <c r="ILT801" s="111"/>
      <c r="ILU801" s="111"/>
      <c r="ILV801" s="111"/>
      <c r="ILW801" s="111"/>
      <c r="ILX801" s="111"/>
      <c r="ILY801" s="111"/>
      <c r="ILZ801" s="111"/>
      <c r="IMA801" s="111"/>
      <c r="IMB801" s="111"/>
      <c r="IMC801" s="111"/>
      <c r="IMD801" s="111"/>
      <c r="IME801" s="111"/>
      <c r="IMF801" s="111"/>
      <c r="IMG801" s="111"/>
      <c r="IMH801" s="111"/>
      <c r="IMI801" s="111"/>
      <c r="IMJ801" s="111"/>
      <c r="IMK801" s="111"/>
      <c r="IML801" s="111"/>
      <c r="IMM801" s="111"/>
      <c r="IMN801" s="111"/>
      <c r="IMO801" s="111"/>
      <c r="IMP801" s="111"/>
      <c r="IMQ801" s="111"/>
      <c r="IMR801" s="111"/>
      <c r="IMS801" s="111"/>
      <c r="IMT801" s="111"/>
      <c r="IMU801" s="111"/>
      <c r="IMV801" s="111"/>
      <c r="IMW801" s="111"/>
      <c r="IMX801" s="111"/>
      <c r="IMY801" s="111"/>
      <c r="IMZ801" s="111"/>
      <c r="INA801" s="111"/>
      <c r="INB801" s="111"/>
      <c r="INC801" s="111"/>
      <c r="IND801" s="111"/>
      <c r="INE801" s="111"/>
      <c r="INF801" s="111"/>
      <c r="ING801" s="111"/>
      <c r="INH801" s="111"/>
      <c r="INI801" s="111"/>
      <c r="INJ801" s="111"/>
      <c r="INK801" s="111"/>
      <c r="INL801" s="111"/>
      <c r="INM801" s="111"/>
      <c r="INN801" s="111"/>
      <c r="INO801" s="111"/>
      <c r="INP801" s="111"/>
      <c r="INQ801" s="111"/>
      <c r="INR801" s="111"/>
      <c r="INS801" s="111"/>
      <c r="INT801" s="111"/>
      <c r="INU801" s="111"/>
      <c r="INV801" s="111"/>
      <c r="INW801" s="111"/>
      <c r="INX801" s="111"/>
      <c r="INY801" s="111"/>
      <c r="INZ801" s="111"/>
      <c r="IOA801" s="111"/>
      <c r="IOB801" s="111"/>
      <c r="IOC801" s="111"/>
      <c r="IOD801" s="111"/>
      <c r="IOE801" s="111"/>
      <c r="IOF801" s="111"/>
      <c r="IOG801" s="111"/>
      <c r="IOH801" s="111"/>
      <c r="IOI801" s="111"/>
      <c r="IOJ801" s="111"/>
      <c r="IOK801" s="111"/>
      <c r="IOL801" s="111"/>
      <c r="IOM801" s="111"/>
      <c r="ION801" s="111"/>
      <c r="IOO801" s="111"/>
      <c r="IOP801" s="111"/>
      <c r="IOQ801" s="111"/>
      <c r="IOR801" s="111"/>
      <c r="IOS801" s="111"/>
      <c r="IOT801" s="111"/>
      <c r="IOU801" s="111"/>
      <c r="IOV801" s="111"/>
      <c r="IOW801" s="111"/>
      <c r="IOX801" s="111"/>
      <c r="IOY801" s="111"/>
      <c r="IOZ801" s="111"/>
      <c r="IPA801" s="111"/>
      <c r="IPB801" s="111"/>
      <c r="IPC801" s="111"/>
      <c r="IPD801" s="111"/>
      <c r="IPE801" s="111"/>
      <c r="IPF801" s="111"/>
      <c r="IPG801" s="111"/>
      <c r="IPH801" s="111"/>
      <c r="IPI801" s="111"/>
      <c r="IPJ801" s="111"/>
      <c r="IPK801" s="111"/>
      <c r="IPL801" s="111"/>
      <c r="IPM801" s="111"/>
      <c r="IPN801" s="111"/>
      <c r="IPO801" s="111"/>
      <c r="IPP801" s="111"/>
      <c r="IPQ801" s="111"/>
      <c r="IPR801" s="111"/>
      <c r="IPS801" s="111"/>
      <c r="IPT801" s="111"/>
      <c r="IPU801" s="111"/>
      <c r="IPV801" s="111"/>
      <c r="IPW801" s="111"/>
      <c r="IPX801" s="111"/>
      <c r="IPY801" s="111"/>
      <c r="IPZ801" s="111"/>
      <c r="IQA801" s="111"/>
      <c r="IQB801" s="111"/>
      <c r="IQC801" s="111"/>
      <c r="IQD801" s="111"/>
      <c r="IQE801" s="111"/>
      <c r="IQF801" s="111"/>
      <c r="IQG801" s="111"/>
      <c r="IQH801" s="111"/>
      <c r="IQI801" s="111"/>
      <c r="IQJ801" s="111"/>
      <c r="IQK801" s="111"/>
      <c r="IQL801" s="111"/>
      <c r="IQM801" s="111"/>
      <c r="IQN801" s="111"/>
      <c r="IQO801" s="111"/>
      <c r="IQP801" s="111"/>
      <c r="IQQ801" s="111"/>
      <c r="IQR801" s="111"/>
      <c r="IQS801" s="111"/>
      <c r="IQT801" s="111"/>
      <c r="IQU801" s="111"/>
      <c r="IQV801" s="111"/>
      <c r="IQW801" s="111"/>
      <c r="IQX801" s="111"/>
      <c r="IQY801" s="111"/>
      <c r="IQZ801" s="111"/>
      <c r="IRA801" s="111"/>
      <c r="IRB801" s="111"/>
      <c r="IRC801" s="111"/>
      <c r="IRD801" s="111"/>
      <c r="IRE801" s="111"/>
      <c r="IRF801" s="111"/>
      <c r="IRG801" s="111"/>
      <c r="IRH801" s="111"/>
      <c r="IRI801" s="111"/>
      <c r="IRJ801" s="111"/>
      <c r="IRK801" s="111"/>
      <c r="IRL801" s="111"/>
      <c r="IRM801" s="111"/>
      <c r="IRN801" s="111"/>
      <c r="IRO801" s="111"/>
      <c r="IRP801" s="111"/>
      <c r="IRQ801" s="111"/>
      <c r="IRR801" s="111"/>
      <c r="IRS801" s="111"/>
      <c r="IRT801" s="111"/>
      <c r="IRU801" s="111"/>
      <c r="IRV801" s="111"/>
      <c r="IRW801" s="111"/>
      <c r="IRX801" s="111"/>
      <c r="IRY801" s="111"/>
      <c r="IRZ801" s="111"/>
      <c r="ISA801" s="111"/>
      <c r="ISB801" s="111"/>
      <c r="ISC801" s="111"/>
      <c r="ISD801" s="111"/>
      <c r="ISE801" s="111"/>
      <c r="ISF801" s="111"/>
      <c r="ISG801" s="111"/>
      <c r="ISH801" s="111"/>
      <c r="ISI801" s="111"/>
      <c r="ISJ801" s="111"/>
      <c r="ISK801" s="111"/>
      <c r="ISL801" s="111"/>
      <c r="ISM801" s="111"/>
      <c r="ISN801" s="111"/>
      <c r="ISO801" s="111"/>
      <c r="ISP801" s="111"/>
      <c r="ISQ801" s="111"/>
      <c r="ISR801" s="111"/>
      <c r="ISS801" s="111"/>
      <c r="IST801" s="111"/>
      <c r="ISU801" s="111"/>
      <c r="ISV801" s="111"/>
      <c r="ISW801" s="111"/>
      <c r="ISX801" s="111"/>
      <c r="ISY801" s="111"/>
      <c r="ISZ801" s="111"/>
      <c r="ITA801" s="111"/>
      <c r="ITB801" s="111"/>
      <c r="ITC801" s="111"/>
      <c r="ITD801" s="111"/>
      <c r="ITE801" s="111"/>
      <c r="ITF801" s="111"/>
      <c r="ITG801" s="111"/>
      <c r="ITH801" s="111"/>
      <c r="ITI801" s="111"/>
      <c r="ITJ801" s="111"/>
      <c r="ITK801" s="111"/>
      <c r="ITL801" s="111"/>
      <c r="ITM801" s="111"/>
      <c r="ITN801" s="111"/>
      <c r="ITO801" s="111"/>
      <c r="ITP801" s="111"/>
      <c r="ITQ801" s="111"/>
      <c r="ITR801" s="111"/>
      <c r="ITS801" s="111"/>
      <c r="ITT801" s="111"/>
      <c r="ITU801" s="111"/>
      <c r="ITV801" s="111"/>
      <c r="ITW801" s="111"/>
      <c r="ITX801" s="111"/>
      <c r="ITY801" s="111"/>
      <c r="ITZ801" s="111"/>
      <c r="IUA801" s="111"/>
      <c r="IUB801" s="111"/>
      <c r="IUC801" s="111"/>
      <c r="IUD801" s="111"/>
      <c r="IUE801" s="111"/>
      <c r="IUF801" s="111"/>
      <c r="IUG801" s="111"/>
      <c r="IUH801" s="111"/>
      <c r="IUI801" s="111"/>
      <c r="IUJ801" s="111"/>
      <c r="IUK801" s="111"/>
      <c r="IUL801" s="111"/>
      <c r="IUM801" s="111"/>
      <c r="IUN801" s="111"/>
      <c r="IUO801" s="111"/>
      <c r="IUP801" s="111"/>
      <c r="IUQ801" s="111"/>
      <c r="IUR801" s="111"/>
      <c r="IUS801" s="111"/>
      <c r="IUT801" s="111"/>
      <c r="IUU801" s="111"/>
      <c r="IUV801" s="111"/>
      <c r="IUW801" s="111"/>
      <c r="IUX801" s="111"/>
      <c r="IUY801" s="111"/>
      <c r="IUZ801" s="111"/>
      <c r="IVA801" s="111"/>
      <c r="IVB801" s="111"/>
      <c r="IVC801" s="111"/>
      <c r="IVD801" s="111"/>
      <c r="IVE801" s="111"/>
      <c r="IVF801" s="111"/>
      <c r="IVG801" s="111"/>
      <c r="IVH801" s="111"/>
      <c r="IVI801" s="111"/>
      <c r="IVJ801" s="111"/>
      <c r="IVK801" s="111"/>
      <c r="IVL801" s="111"/>
      <c r="IVM801" s="111"/>
      <c r="IVN801" s="111"/>
      <c r="IVO801" s="111"/>
      <c r="IVP801" s="111"/>
      <c r="IVQ801" s="111"/>
      <c r="IVR801" s="111"/>
      <c r="IVS801" s="111"/>
      <c r="IVT801" s="111"/>
      <c r="IVU801" s="111"/>
      <c r="IVV801" s="111"/>
      <c r="IVW801" s="111"/>
      <c r="IVX801" s="111"/>
      <c r="IVY801" s="111"/>
      <c r="IVZ801" s="111"/>
      <c r="IWA801" s="111"/>
      <c r="IWB801" s="111"/>
      <c r="IWC801" s="111"/>
      <c r="IWD801" s="111"/>
      <c r="IWE801" s="111"/>
      <c r="IWF801" s="111"/>
      <c r="IWG801" s="111"/>
      <c r="IWH801" s="111"/>
      <c r="IWI801" s="111"/>
      <c r="IWJ801" s="111"/>
      <c r="IWK801" s="111"/>
      <c r="IWL801" s="111"/>
      <c r="IWM801" s="111"/>
      <c r="IWN801" s="111"/>
      <c r="IWO801" s="111"/>
      <c r="IWP801" s="111"/>
      <c r="IWQ801" s="111"/>
      <c r="IWR801" s="111"/>
      <c r="IWS801" s="111"/>
      <c r="IWT801" s="111"/>
      <c r="IWU801" s="111"/>
      <c r="IWV801" s="111"/>
      <c r="IWW801" s="111"/>
      <c r="IWX801" s="111"/>
      <c r="IWY801" s="111"/>
      <c r="IWZ801" s="111"/>
      <c r="IXA801" s="111"/>
      <c r="IXB801" s="111"/>
      <c r="IXC801" s="111"/>
      <c r="IXD801" s="111"/>
      <c r="IXE801" s="111"/>
      <c r="IXF801" s="111"/>
      <c r="IXG801" s="111"/>
      <c r="IXH801" s="111"/>
      <c r="IXI801" s="111"/>
      <c r="IXJ801" s="111"/>
      <c r="IXK801" s="111"/>
      <c r="IXL801" s="111"/>
      <c r="IXM801" s="111"/>
      <c r="IXN801" s="111"/>
      <c r="IXO801" s="111"/>
      <c r="IXP801" s="111"/>
      <c r="IXQ801" s="111"/>
      <c r="IXR801" s="111"/>
      <c r="IXS801" s="111"/>
      <c r="IXT801" s="111"/>
      <c r="IXU801" s="111"/>
      <c r="IXV801" s="111"/>
      <c r="IXW801" s="111"/>
      <c r="IXX801" s="111"/>
      <c r="IXY801" s="111"/>
      <c r="IXZ801" s="111"/>
      <c r="IYA801" s="111"/>
      <c r="IYB801" s="111"/>
      <c r="IYC801" s="111"/>
      <c r="IYD801" s="111"/>
      <c r="IYE801" s="111"/>
      <c r="IYF801" s="111"/>
      <c r="IYG801" s="111"/>
      <c r="IYH801" s="111"/>
      <c r="IYI801" s="111"/>
      <c r="IYJ801" s="111"/>
      <c r="IYK801" s="111"/>
      <c r="IYL801" s="111"/>
      <c r="IYM801" s="111"/>
      <c r="IYN801" s="111"/>
      <c r="IYO801" s="111"/>
      <c r="IYP801" s="111"/>
      <c r="IYQ801" s="111"/>
      <c r="IYR801" s="111"/>
      <c r="IYS801" s="111"/>
      <c r="IYT801" s="111"/>
      <c r="IYU801" s="111"/>
      <c r="IYV801" s="111"/>
      <c r="IYW801" s="111"/>
      <c r="IYX801" s="111"/>
      <c r="IYY801" s="111"/>
      <c r="IYZ801" s="111"/>
      <c r="IZA801" s="111"/>
      <c r="IZB801" s="111"/>
      <c r="IZC801" s="111"/>
      <c r="IZD801" s="111"/>
      <c r="IZE801" s="111"/>
      <c r="IZF801" s="111"/>
      <c r="IZG801" s="111"/>
      <c r="IZH801" s="111"/>
      <c r="IZI801" s="111"/>
      <c r="IZJ801" s="111"/>
      <c r="IZK801" s="111"/>
      <c r="IZL801" s="111"/>
      <c r="IZM801" s="111"/>
      <c r="IZN801" s="111"/>
      <c r="IZO801" s="111"/>
      <c r="IZP801" s="111"/>
      <c r="IZQ801" s="111"/>
      <c r="IZR801" s="111"/>
      <c r="IZS801" s="111"/>
      <c r="IZT801" s="111"/>
      <c r="IZU801" s="111"/>
      <c r="IZV801" s="111"/>
      <c r="IZW801" s="111"/>
      <c r="IZX801" s="111"/>
      <c r="IZY801" s="111"/>
      <c r="IZZ801" s="111"/>
      <c r="JAA801" s="111"/>
      <c r="JAB801" s="111"/>
      <c r="JAC801" s="111"/>
      <c r="JAD801" s="111"/>
      <c r="JAE801" s="111"/>
      <c r="JAF801" s="111"/>
      <c r="JAG801" s="111"/>
      <c r="JAH801" s="111"/>
      <c r="JAI801" s="111"/>
      <c r="JAJ801" s="111"/>
      <c r="JAK801" s="111"/>
      <c r="JAL801" s="111"/>
      <c r="JAM801" s="111"/>
      <c r="JAN801" s="111"/>
      <c r="JAO801" s="111"/>
      <c r="JAP801" s="111"/>
      <c r="JAQ801" s="111"/>
      <c r="JAR801" s="111"/>
      <c r="JAS801" s="111"/>
      <c r="JAT801" s="111"/>
      <c r="JAU801" s="111"/>
      <c r="JAV801" s="111"/>
      <c r="JAW801" s="111"/>
      <c r="JAX801" s="111"/>
      <c r="JAY801" s="111"/>
      <c r="JAZ801" s="111"/>
      <c r="JBA801" s="111"/>
      <c r="JBB801" s="111"/>
      <c r="JBC801" s="111"/>
      <c r="JBD801" s="111"/>
      <c r="JBE801" s="111"/>
      <c r="JBF801" s="111"/>
      <c r="JBG801" s="111"/>
      <c r="JBH801" s="111"/>
      <c r="JBI801" s="111"/>
      <c r="JBJ801" s="111"/>
      <c r="JBK801" s="111"/>
      <c r="JBL801" s="111"/>
      <c r="JBM801" s="111"/>
      <c r="JBN801" s="111"/>
      <c r="JBO801" s="111"/>
      <c r="JBP801" s="111"/>
      <c r="JBQ801" s="111"/>
      <c r="JBR801" s="111"/>
      <c r="JBS801" s="111"/>
      <c r="JBT801" s="111"/>
      <c r="JBU801" s="111"/>
      <c r="JBV801" s="111"/>
      <c r="JBW801" s="111"/>
      <c r="JBX801" s="111"/>
      <c r="JBY801" s="111"/>
      <c r="JBZ801" s="111"/>
      <c r="JCA801" s="111"/>
      <c r="JCB801" s="111"/>
      <c r="JCC801" s="111"/>
      <c r="JCD801" s="111"/>
      <c r="JCE801" s="111"/>
      <c r="JCF801" s="111"/>
      <c r="JCG801" s="111"/>
      <c r="JCH801" s="111"/>
      <c r="JCI801" s="111"/>
      <c r="JCJ801" s="111"/>
      <c r="JCK801" s="111"/>
      <c r="JCL801" s="111"/>
      <c r="JCM801" s="111"/>
      <c r="JCN801" s="111"/>
      <c r="JCO801" s="111"/>
      <c r="JCP801" s="111"/>
      <c r="JCQ801" s="111"/>
      <c r="JCR801" s="111"/>
      <c r="JCS801" s="111"/>
      <c r="JCT801" s="111"/>
      <c r="JCU801" s="111"/>
      <c r="JCV801" s="111"/>
      <c r="JCW801" s="111"/>
      <c r="JCX801" s="111"/>
      <c r="JCY801" s="111"/>
      <c r="JCZ801" s="111"/>
      <c r="JDA801" s="111"/>
      <c r="JDB801" s="111"/>
      <c r="JDC801" s="111"/>
      <c r="JDD801" s="111"/>
      <c r="JDE801" s="111"/>
      <c r="JDF801" s="111"/>
      <c r="JDG801" s="111"/>
      <c r="JDH801" s="111"/>
      <c r="JDI801" s="111"/>
      <c r="JDJ801" s="111"/>
      <c r="JDK801" s="111"/>
      <c r="JDL801" s="111"/>
      <c r="JDM801" s="111"/>
      <c r="JDN801" s="111"/>
      <c r="JDO801" s="111"/>
      <c r="JDP801" s="111"/>
      <c r="JDQ801" s="111"/>
      <c r="JDR801" s="111"/>
      <c r="JDS801" s="111"/>
      <c r="JDT801" s="111"/>
      <c r="JDU801" s="111"/>
      <c r="JDV801" s="111"/>
      <c r="JDW801" s="111"/>
      <c r="JDX801" s="111"/>
      <c r="JDY801" s="111"/>
      <c r="JDZ801" s="111"/>
      <c r="JEA801" s="111"/>
      <c r="JEB801" s="111"/>
      <c r="JEC801" s="111"/>
      <c r="JED801" s="111"/>
      <c r="JEE801" s="111"/>
      <c r="JEF801" s="111"/>
      <c r="JEG801" s="111"/>
      <c r="JEH801" s="111"/>
      <c r="JEI801" s="111"/>
      <c r="JEJ801" s="111"/>
      <c r="JEK801" s="111"/>
      <c r="JEL801" s="111"/>
      <c r="JEM801" s="111"/>
      <c r="JEN801" s="111"/>
      <c r="JEO801" s="111"/>
      <c r="JEP801" s="111"/>
      <c r="JEQ801" s="111"/>
      <c r="JER801" s="111"/>
      <c r="JES801" s="111"/>
      <c r="JET801" s="111"/>
      <c r="JEU801" s="111"/>
      <c r="JEV801" s="111"/>
      <c r="JEW801" s="111"/>
      <c r="JEX801" s="111"/>
      <c r="JEY801" s="111"/>
      <c r="JEZ801" s="111"/>
      <c r="JFA801" s="111"/>
      <c r="JFB801" s="111"/>
      <c r="JFC801" s="111"/>
      <c r="JFD801" s="111"/>
      <c r="JFE801" s="111"/>
      <c r="JFF801" s="111"/>
      <c r="JFG801" s="111"/>
      <c r="JFH801" s="111"/>
      <c r="JFI801" s="111"/>
      <c r="JFJ801" s="111"/>
      <c r="JFK801" s="111"/>
      <c r="JFL801" s="111"/>
      <c r="JFM801" s="111"/>
      <c r="JFN801" s="111"/>
      <c r="JFO801" s="111"/>
      <c r="JFP801" s="111"/>
      <c r="JFQ801" s="111"/>
      <c r="JFR801" s="111"/>
      <c r="JFS801" s="111"/>
      <c r="JFT801" s="111"/>
      <c r="JFU801" s="111"/>
      <c r="JFV801" s="111"/>
      <c r="JFW801" s="111"/>
      <c r="JFX801" s="111"/>
      <c r="JFY801" s="111"/>
      <c r="JFZ801" s="111"/>
      <c r="JGA801" s="111"/>
      <c r="JGB801" s="111"/>
      <c r="JGC801" s="111"/>
      <c r="JGD801" s="111"/>
      <c r="JGE801" s="111"/>
      <c r="JGF801" s="111"/>
      <c r="JGG801" s="111"/>
      <c r="JGH801" s="111"/>
      <c r="JGI801" s="111"/>
      <c r="JGJ801" s="111"/>
      <c r="JGK801" s="111"/>
      <c r="JGL801" s="111"/>
      <c r="JGM801" s="111"/>
      <c r="JGN801" s="111"/>
      <c r="JGO801" s="111"/>
      <c r="JGP801" s="111"/>
      <c r="JGQ801" s="111"/>
      <c r="JGR801" s="111"/>
      <c r="JGS801" s="111"/>
      <c r="JGT801" s="111"/>
      <c r="JGU801" s="111"/>
      <c r="JGV801" s="111"/>
      <c r="JGW801" s="111"/>
      <c r="JGX801" s="111"/>
      <c r="JGY801" s="111"/>
      <c r="JGZ801" s="111"/>
      <c r="JHA801" s="111"/>
      <c r="JHB801" s="111"/>
      <c r="JHC801" s="111"/>
      <c r="JHD801" s="111"/>
      <c r="JHE801" s="111"/>
      <c r="JHF801" s="111"/>
      <c r="JHG801" s="111"/>
      <c r="JHH801" s="111"/>
      <c r="JHI801" s="111"/>
      <c r="JHJ801" s="111"/>
      <c r="JHK801" s="111"/>
      <c r="JHL801" s="111"/>
      <c r="JHM801" s="111"/>
      <c r="JHN801" s="111"/>
      <c r="JHO801" s="111"/>
      <c r="JHP801" s="111"/>
      <c r="JHQ801" s="111"/>
      <c r="JHR801" s="111"/>
      <c r="JHS801" s="111"/>
      <c r="JHT801" s="111"/>
      <c r="JHU801" s="111"/>
      <c r="JHV801" s="111"/>
      <c r="JHW801" s="111"/>
      <c r="JHX801" s="111"/>
      <c r="JHY801" s="111"/>
      <c r="JHZ801" s="111"/>
      <c r="JIA801" s="111"/>
      <c r="JIB801" s="111"/>
      <c r="JIC801" s="111"/>
      <c r="JID801" s="111"/>
      <c r="JIE801" s="111"/>
      <c r="JIF801" s="111"/>
      <c r="JIG801" s="111"/>
      <c r="JIH801" s="111"/>
      <c r="JII801" s="111"/>
      <c r="JIJ801" s="111"/>
      <c r="JIK801" s="111"/>
      <c r="JIL801" s="111"/>
      <c r="JIM801" s="111"/>
      <c r="JIN801" s="111"/>
      <c r="JIO801" s="111"/>
      <c r="JIP801" s="111"/>
      <c r="JIQ801" s="111"/>
      <c r="JIR801" s="111"/>
      <c r="JIS801" s="111"/>
      <c r="JIT801" s="111"/>
      <c r="JIU801" s="111"/>
      <c r="JIV801" s="111"/>
      <c r="JIW801" s="111"/>
      <c r="JIX801" s="111"/>
      <c r="JIY801" s="111"/>
      <c r="JIZ801" s="111"/>
      <c r="JJA801" s="111"/>
      <c r="JJB801" s="111"/>
      <c r="JJC801" s="111"/>
      <c r="JJD801" s="111"/>
      <c r="JJE801" s="111"/>
      <c r="JJF801" s="111"/>
      <c r="JJG801" s="111"/>
      <c r="JJH801" s="111"/>
      <c r="JJI801" s="111"/>
      <c r="JJJ801" s="111"/>
      <c r="JJK801" s="111"/>
      <c r="JJL801" s="111"/>
      <c r="JJM801" s="111"/>
      <c r="JJN801" s="111"/>
      <c r="JJO801" s="111"/>
      <c r="JJP801" s="111"/>
      <c r="JJQ801" s="111"/>
      <c r="JJR801" s="111"/>
      <c r="JJS801" s="111"/>
      <c r="JJT801" s="111"/>
      <c r="JJU801" s="111"/>
      <c r="JJV801" s="111"/>
      <c r="JJW801" s="111"/>
      <c r="JJX801" s="111"/>
      <c r="JJY801" s="111"/>
      <c r="JJZ801" s="111"/>
      <c r="JKA801" s="111"/>
      <c r="JKB801" s="111"/>
      <c r="JKC801" s="111"/>
      <c r="JKD801" s="111"/>
      <c r="JKE801" s="111"/>
      <c r="JKF801" s="111"/>
      <c r="JKG801" s="111"/>
      <c r="JKH801" s="111"/>
      <c r="JKI801" s="111"/>
      <c r="JKJ801" s="111"/>
      <c r="JKK801" s="111"/>
      <c r="JKL801" s="111"/>
      <c r="JKM801" s="111"/>
      <c r="JKN801" s="111"/>
      <c r="JKO801" s="111"/>
      <c r="JKP801" s="111"/>
      <c r="JKQ801" s="111"/>
      <c r="JKR801" s="111"/>
      <c r="JKS801" s="111"/>
      <c r="JKT801" s="111"/>
      <c r="JKU801" s="111"/>
      <c r="JKV801" s="111"/>
      <c r="JKW801" s="111"/>
      <c r="JKX801" s="111"/>
      <c r="JKY801" s="111"/>
      <c r="JKZ801" s="111"/>
      <c r="JLA801" s="111"/>
      <c r="JLB801" s="111"/>
      <c r="JLC801" s="111"/>
      <c r="JLD801" s="111"/>
      <c r="JLE801" s="111"/>
      <c r="JLF801" s="111"/>
      <c r="JLG801" s="111"/>
      <c r="JLH801" s="111"/>
      <c r="JLI801" s="111"/>
      <c r="JLJ801" s="111"/>
      <c r="JLK801" s="111"/>
      <c r="JLL801" s="111"/>
      <c r="JLM801" s="111"/>
      <c r="JLN801" s="111"/>
      <c r="JLO801" s="111"/>
      <c r="JLP801" s="111"/>
      <c r="JLQ801" s="111"/>
      <c r="JLR801" s="111"/>
      <c r="JLS801" s="111"/>
      <c r="JLT801" s="111"/>
      <c r="JLU801" s="111"/>
      <c r="JLV801" s="111"/>
      <c r="JLW801" s="111"/>
      <c r="JLX801" s="111"/>
      <c r="JLY801" s="111"/>
      <c r="JLZ801" s="111"/>
      <c r="JMA801" s="111"/>
      <c r="JMB801" s="111"/>
      <c r="JMC801" s="111"/>
      <c r="JMD801" s="111"/>
      <c r="JME801" s="111"/>
      <c r="JMF801" s="111"/>
      <c r="JMG801" s="111"/>
      <c r="JMH801" s="111"/>
      <c r="JMI801" s="111"/>
      <c r="JMJ801" s="111"/>
      <c r="JMK801" s="111"/>
      <c r="JML801" s="111"/>
      <c r="JMM801" s="111"/>
      <c r="JMN801" s="111"/>
      <c r="JMO801" s="111"/>
      <c r="JMP801" s="111"/>
      <c r="JMQ801" s="111"/>
      <c r="JMR801" s="111"/>
      <c r="JMS801" s="111"/>
      <c r="JMT801" s="111"/>
      <c r="JMU801" s="111"/>
      <c r="JMV801" s="111"/>
      <c r="JMW801" s="111"/>
      <c r="JMX801" s="111"/>
      <c r="JMY801" s="111"/>
      <c r="JMZ801" s="111"/>
      <c r="JNA801" s="111"/>
      <c r="JNB801" s="111"/>
      <c r="JNC801" s="111"/>
      <c r="JND801" s="111"/>
      <c r="JNE801" s="111"/>
      <c r="JNF801" s="111"/>
      <c r="JNG801" s="111"/>
      <c r="JNH801" s="111"/>
      <c r="JNI801" s="111"/>
      <c r="JNJ801" s="111"/>
      <c r="JNK801" s="111"/>
      <c r="JNL801" s="111"/>
      <c r="JNM801" s="111"/>
      <c r="JNN801" s="111"/>
      <c r="JNO801" s="111"/>
      <c r="JNP801" s="111"/>
      <c r="JNQ801" s="111"/>
      <c r="JNR801" s="111"/>
      <c r="JNS801" s="111"/>
      <c r="JNT801" s="111"/>
      <c r="JNU801" s="111"/>
      <c r="JNV801" s="111"/>
      <c r="JNW801" s="111"/>
      <c r="JNX801" s="111"/>
      <c r="JNY801" s="111"/>
      <c r="JNZ801" s="111"/>
      <c r="JOA801" s="111"/>
      <c r="JOB801" s="111"/>
      <c r="JOC801" s="111"/>
      <c r="JOD801" s="111"/>
      <c r="JOE801" s="111"/>
      <c r="JOF801" s="111"/>
      <c r="JOG801" s="111"/>
      <c r="JOH801" s="111"/>
      <c r="JOI801" s="111"/>
      <c r="JOJ801" s="111"/>
      <c r="JOK801" s="111"/>
      <c r="JOL801" s="111"/>
      <c r="JOM801" s="111"/>
      <c r="JON801" s="111"/>
      <c r="JOO801" s="111"/>
      <c r="JOP801" s="111"/>
      <c r="JOQ801" s="111"/>
      <c r="JOR801" s="111"/>
      <c r="JOS801" s="111"/>
      <c r="JOT801" s="111"/>
      <c r="JOU801" s="111"/>
      <c r="JOV801" s="111"/>
      <c r="JOW801" s="111"/>
      <c r="JOX801" s="111"/>
      <c r="JOY801" s="111"/>
      <c r="JOZ801" s="111"/>
      <c r="JPA801" s="111"/>
      <c r="JPB801" s="111"/>
      <c r="JPC801" s="111"/>
      <c r="JPD801" s="111"/>
      <c r="JPE801" s="111"/>
      <c r="JPF801" s="111"/>
      <c r="JPG801" s="111"/>
      <c r="JPH801" s="111"/>
      <c r="JPI801" s="111"/>
      <c r="JPJ801" s="111"/>
      <c r="JPK801" s="111"/>
      <c r="JPL801" s="111"/>
      <c r="JPM801" s="111"/>
      <c r="JPN801" s="111"/>
      <c r="JPO801" s="111"/>
      <c r="JPP801" s="111"/>
      <c r="JPQ801" s="111"/>
      <c r="JPR801" s="111"/>
      <c r="JPS801" s="111"/>
      <c r="JPT801" s="111"/>
      <c r="JPU801" s="111"/>
      <c r="JPV801" s="111"/>
      <c r="JPW801" s="111"/>
      <c r="JPX801" s="111"/>
      <c r="JPY801" s="111"/>
      <c r="JPZ801" s="111"/>
      <c r="JQA801" s="111"/>
      <c r="JQB801" s="111"/>
      <c r="JQC801" s="111"/>
      <c r="JQD801" s="111"/>
      <c r="JQE801" s="111"/>
      <c r="JQF801" s="111"/>
      <c r="JQG801" s="111"/>
      <c r="JQH801" s="111"/>
      <c r="JQI801" s="111"/>
      <c r="JQJ801" s="111"/>
      <c r="JQK801" s="111"/>
      <c r="JQL801" s="111"/>
      <c r="JQM801" s="111"/>
      <c r="JQN801" s="111"/>
      <c r="JQO801" s="111"/>
      <c r="JQP801" s="111"/>
      <c r="JQQ801" s="111"/>
      <c r="JQR801" s="111"/>
      <c r="JQS801" s="111"/>
      <c r="JQT801" s="111"/>
      <c r="JQU801" s="111"/>
      <c r="JQV801" s="111"/>
      <c r="JQW801" s="111"/>
      <c r="JQX801" s="111"/>
      <c r="JQY801" s="111"/>
      <c r="JQZ801" s="111"/>
      <c r="JRA801" s="111"/>
      <c r="JRB801" s="111"/>
      <c r="JRC801" s="111"/>
      <c r="JRD801" s="111"/>
      <c r="JRE801" s="111"/>
      <c r="JRF801" s="111"/>
      <c r="JRG801" s="111"/>
      <c r="JRH801" s="111"/>
      <c r="JRI801" s="111"/>
      <c r="JRJ801" s="111"/>
      <c r="JRK801" s="111"/>
      <c r="JRL801" s="111"/>
      <c r="JRM801" s="111"/>
      <c r="JRN801" s="111"/>
      <c r="JRO801" s="111"/>
      <c r="JRP801" s="111"/>
      <c r="JRQ801" s="111"/>
      <c r="JRR801" s="111"/>
      <c r="JRS801" s="111"/>
      <c r="JRT801" s="111"/>
      <c r="JRU801" s="111"/>
      <c r="JRV801" s="111"/>
      <c r="JRW801" s="111"/>
      <c r="JRX801" s="111"/>
      <c r="JRY801" s="111"/>
      <c r="JRZ801" s="111"/>
      <c r="JSA801" s="111"/>
      <c r="JSB801" s="111"/>
      <c r="JSC801" s="111"/>
      <c r="JSD801" s="111"/>
      <c r="JSE801" s="111"/>
      <c r="JSF801" s="111"/>
      <c r="JSG801" s="111"/>
      <c r="JSH801" s="111"/>
      <c r="JSI801" s="111"/>
      <c r="JSJ801" s="111"/>
      <c r="JSK801" s="111"/>
      <c r="JSL801" s="111"/>
      <c r="JSM801" s="111"/>
      <c r="JSN801" s="111"/>
      <c r="JSO801" s="111"/>
      <c r="JSP801" s="111"/>
      <c r="JSQ801" s="111"/>
      <c r="JSR801" s="111"/>
      <c r="JSS801" s="111"/>
      <c r="JST801" s="111"/>
      <c r="JSU801" s="111"/>
      <c r="JSV801" s="111"/>
      <c r="JSW801" s="111"/>
      <c r="JSX801" s="111"/>
      <c r="JSY801" s="111"/>
      <c r="JSZ801" s="111"/>
      <c r="JTA801" s="111"/>
      <c r="JTB801" s="111"/>
      <c r="JTC801" s="111"/>
      <c r="JTD801" s="111"/>
      <c r="JTE801" s="111"/>
      <c r="JTF801" s="111"/>
      <c r="JTG801" s="111"/>
      <c r="JTH801" s="111"/>
      <c r="JTI801" s="111"/>
      <c r="JTJ801" s="111"/>
      <c r="JTK801" s="111"/>
      <c r="JTL801" s="111"/>
      <c r="JTM801" s="111"/>
      <c r="JTN801" s="111"/>
      <c r="JTO801" s="111"/>
      <c r="JTP801" s="111"/>
      <c r="JTQ801" s="111"/>
      <c r="JTR801" s="111"/>
      <c r="JTS801" s="111"/>
      <c r="JTT801" s="111"/>
      <c r="JTU801" s="111"/>
      <c r="JTV801" s="111"/>
      <c r="JTW801" s="111"/>
      <c r="JTX801" s="111"/>
      <c r="JTY801" s="111"/>
      <c r="JTZ801" s="111"/>
      <c r="JUA801" s="111"/>
      <c r="JUB801" s="111"/>
      <c r="JUC801" s="111"/>
      <c r="JUD801" s="111"/>
      <c r="JUE801" s="111"/>
      <c r="JUF801" s="111"/>
      <c r="JUG801" s="111"/>
      <c r="JUH801" s="111"/>
      <c r="JUI801" s="111"/>
      <c r="JUJ801" s="111"/>
      <c r="JUK801" s="111"/>
      <c r="JUL801" s="111"/>
      <c r="JUM801" s="111"/>
      <c r="JUN801" s="111"/>
      <c r="JUO801" s="111"/>
      <c r="JUP801" s="111"/>
      <c r="JUQ801" s="111"/>
      <c r="JUR801" s="111"/>
      <c r="JUS801" s="111"/>
      <c r="JUT801" s="111"/>
      <c r="JUU801" s="111"/>
      <c r="JUV801" s="111"/>
      <c r="JUW801" s="111"/>
      <c r="JUX801" s="111"/>
      <c r="JUY801" s="111"/>
      <c r="JUZ801" s="111"/>
      <c r="JVA801" s="111"/>
      <c r="JVB801" s="111"/>
      <c r="JVC801" s="111"/>
      <c r="JVD801" s="111"/>
      <c r="JVE801" s="111"/>
      <c r="JVF801" s="111"/>
      <c r="JVG801" s="111"/>
      <c r="JVH801" s="111"/>
      <c r="JVI801" s="111"/>
      <c r="JVJ801" s="111"/>
      <c r="JVK801" s="111"/>
      <c r="JVL801" s="111"/>
      <c r="JVM801" s="111"/>
      <c r="JVN801" s="111"/>
      <c r="JVO801" s="111"/>
      <c r="JVP801" s="111"/>
      <c r="JVQ801" s="111"/>
      <c r="JVR801" s="111"/>
      <c r="JVS801" s="111"/>
      <c r="JVT801" s="111"/>
      <c r="JVU801" s="111"/>
      <c r="JVV801" s="111"/>
      <c r="JVW801" s="111"/>
      <c r="JVX801" s="111"/>
      <c r="JVY801" s="111"/>
      <c r="JVZ801" s="111"/>
      <c r="JWA801" s="111"/>
      <c r="JWB801" s="111"/>
      <c r="JWC801" s="111"/>
      <c r="JWD801" s="111"/>
      <c r="JWE801" s="111"/>
      <c r="JWF801" s="111"/>
      <c r="JWG801" s="111"/>
      <c r="JWH801" s="111"/>
      <c r="JWI801" s="111"/>
      <c r="JWJ801" s="111"/>
      <c r="JWK801" s="111"/>
      <c r="JWL801" s="111"/>
      <c r="JWM801" s="111"/>
      <c r="JWN801" s="111"/>
      <c r="JWO801" s="111"/>
      <c r="JWP801" s="111"/>
      <c r="JWQ801" s="111"/>
      <c r="JWR801" s="111"/>
      <c r="JWS801" s="111"/>
      <c r="JWT801" s="111"/>
      <c r="JWU801" s="111"/>
      <c r="JWV801" s="111"/>
      <c r="JWW801" s="111"/>
      <c r="JWX801" s="111"/>
      <c r="JWY801" s="111"/>
      <c r="JWZ801" s="111"/>
      <c r="JXA801" s="111"/>
      <c r="JXB801" s="111"/>
      <c r="JXC801" s="111"/>
      <c r="JXD801" s="111"/>
      <c r="JXE801" s="111"/>
      <c r="JXF801" s="111"/>
      <c r="JXG801" s="111"/>
      <c r="JXH801" s="111"/>
      <c r="JXI801" s="111"/>
      <c r="JXJ801" s="111"/>
      <c r="JXK801" s="111"/>
      <c r="JXL801" s="111"/>
      <c r="JXM801" s="111"/>
      <c r="JXN801" s="111"/>
      <c r="JXO801" s="111"/>
      <c r="JXP801" s="111"/>
      <c r="JXQ801" s="111"/>
      <c r="JXR801" s="111"/>
      <c r="JXS801" s="111"/>
      <c r="JXT801" s="111"/>
      <c r="JXU801" s="111"/>
      <c r="JXV801" s="111"/>
      <c r="JXW801" s="111"/>
      <c r="JXX801" s="111"/>
      <c r="JXY801" s="111"/>
      <c r="JXZ801" s="111"/>
      <c r="JYA801" s="111"/>
      <c r="JYB801" s="111"/>
      <c r="JYC801" s="111"/>
      <c r="JYD801" s="111"/>
      <c r="JYE801" s="111"/>
      <c r="JYF801" s="111"/>
      <c r="JYG801" s="111"/>
      <c r="JYH801" s="111"/>
      <c r="JYI801" s="111"/>
      <c r="JYJ801" s="111"/>
      <c r="JYK801" s="111"/>
      <c r="JYL801" s="111"/>
      <c r="JYM801" s="111"/>
      <c r="JYN801" s="111"/>
      <c r="JYO801" s="111"/>
      <c r="JYP801" s="111"/>
      <c r="JYQ801" s="111"/>
      <c r="JYR801" s="111"/>
      <c r="JYS801" s="111"/>
      <c r="JYT801" s="111"/>
      <c r="JYU801" s="111"/>
      <c r="JYV801" s="111"/>
      <c r="JYW801" s="111"/>
      <c r="JYX801" s="111"/>
      <c r="JYY801" s="111"/>
      <c r="JYZ801" s="111"/>
      <c r="JZA801" s="111"/>
      <c r="JZB801" s="111"/>
      <c r="JZC801" s="111"/>
      <c r="JZD801" s="111"/>
      <c r="JZE801" s="111"/>
      <c r="JZF801" s="111"/>
      <c r="JZG801" s="111"/>
      <c r="JZH801" s="111"/>
      <c r="JZI801" s="111"/>
      <c r="JZJ801" s="111"/>
      <c r="JZK801" s="111"/>
      <c r="JZL801" s="111"/>
      <c r="JZM801" s="111"/>
      <c r="JZN801" s="111"/>
      <c r="JZO801" s="111"/>
      <c r="JZP801" s="111"/>
      <c r="JZQ801" s="111"/>
      <c r="JZR801" s="111"/>
      <c r="JZS801" s="111"/>
      <c r="JZT801" s="111"/>
      <c r="JZU801" s="111"/>
      <c r="JZV801" s="111"/>
      <c r="JZW801" s="111"/>
      <c r="JZX801" s="111"/>
      <c r="JZY801" s="111"/>
      <c r="JZZ801" s="111"/>
      <c r="KAA801" s="111"/>
      <c r="KAB801" s="111"/>
      <c r="KAC801" s="111"/>
      <c r="KAD801" s="111"/>
      <c r="KAE801" s="111"/>
      <c r="KAF801" s="111"/>
      <c r="KAG801" s="111"/>
      <c r="KAH801" s="111"/>
      <c r="KAI801" s="111"/>
      <c r="KAJ801" s="111"/>
      <c r="KAK801" s="111"/>
      <c r="KAL801" s="111"/>
      <c r="KAM801" s="111"/>
      <c r="KAN801" s="111"/>
      <c r="KAO801" s="111"/>
      <c r="KAP801" s="111"/>
      <c r="KAQ801" s="111"/>
      <c r="KAR801" s="111"/>
      <c r="KAS801" s="111"/>
      <c r="KAT801" s="111"/>
      <c r="KAU801" s="111"/>
      <c r="KAV801" s="111"/>
      <c r="KAW801" s="111"/>
      <c r="KAX801" s="111"/>
      <c r="KAY801" s="111"/>
      <c r="KAZ801" s="111"/>
      <c r="KBA801" s="111"/>
      <c r="KBB801" s="111"/>
      <c r="KBC801" s="111"/>
      <c r="KBD801" s="111"/>
      <c r="KBE801" s="111"/>
      <c r="KBF801" s="111"/>
      <c r="KBG801" s="111"/>
      <c r="KBH801" s="111"/>
      <c r="KBI801" s="111"/>
      <c r="KBJ801" s="111"/>
      <c r="KBK801" s="111"/>
      <c r="KBL801" s="111"/>
      <c r="KBM801" s="111"/>
      <c r="KBN801" s="111"/>
      <c r="KBO801" s="111"/>
      <c r="KBP801" s="111"/>
      <c r="KBQ801" s="111"/>
      <c r="KBR801" s="111"/>
      <c r="KBS801" s="111"/>
      <c r="KBT801" s="111"/>
      <c r="KBU801" s="111"/>
      <c r="KBV801" s="111"/>
      <c r="KBW801" s="111"/>
      <c r="KBX801" s="111"/>
      <c r="KBY801" s="111"/>
      <c r="KBZ801" s="111"/>
      <c r="KCA801" s="111"/>
      <c r="KCB801" s="111"/>
      <c r="KCC801" s="111"/>
      <c r="KCD801" s="111"/>
      <c r="KCE801" s="111"/>
      <c r="KCF801" s="111"/>
      <c r="KCG801" s="111"/>
      <c r="KCH801" s="111"/>
      <c r="KCI801" s="111"/>
      <c r="KCJ801" s="111"/>
      <c r="KCK801" s="111"/>
      <c r="KCL801" s="111"/>
      <c r="KCM801" s="111"/>
      <c r="KCN801" s="111"/>
      <c r="KCO801" s="111"/>
      <c r="KCP801" s="111"/>
      <c r="KCQ801" s="111"/>
      <c r="KCR801" s="111"/>
      <c r="KCS801" s="111"/>
      <c r="KCT801" s="111"/>
      <c r="KCU801" s="111"/>
      <c r="KCV801" s="111"/>
      <c r="KCW801" s="111"/>
      <c r="KCX801" s="111"/>
      <c r="KCY801" s="111"/>
      <c r="KCZ801" s="111"/>
      <c r="KDA801" s="111"/>
      <c r="KDB801" s="111"/>
      <c r="KDC801" s="111"/>
      <c r="KDD801" s="111"/>
      <c r="KDE801" s="111"/>
      <c r="KDF801" s="111"/>
      <c r="KDG801" s="111"/>
      <c r="KDH801" s="111"/>
      <c r="KDI801" s="111"/>
      <c r="KDJ801" s="111"/>
      <c r="KDK801" s="111"/>
      <c r="KDL801" s="111"/>
      <c r="KDM801" s="111"/>
      <c r="KDN801" s="111"/>
      <c r="KDO801" s="111"/>
      <c r="KDP801" s="111"/>
      <c r="KDQ801" s="111"/>
      <c r="KDR801" s="111"/>
      <c r="KDS801" s="111"/>
      <c r="KDT801" s="111"/>
      <c r="KDU801" s="111"/>
      <c r="KDV801" s="111"/>
      <c r="KDW801" s="111"/>
      <c r="KDX801" s="111"/>
      <c r="KDY801" s="111"/>
      <c r="KDZ801" s="111"/>
      <c r="KEA801" s="111"/>
      <c r="KEB801" s="111"/>
      <c r="KEC801" s="111"/>
      <c r="KED801" s="111"/>
      <c r="KEE801" s="111"/>
      <c r="KEF801" s="111"/>
      <c r="KEG801" s="111"/>
      <c r="KEH801" s="111"/>
      <c r="KEI801" s="111"/>
      <c r="KEJ801" s="111"/>
      <c r="KEK801" s="111"/>
      <c r="KEL801" s="111"/>
      <c r="KEM801" s="111"/>
      <c r="KEN801" s="111"/>
      <c r="KEO801" s="111"/>
      <c r="KEP801" s="111"/>
      <c r="KEQ801" s="111"/>
      <c r="KER801" s="111"/>
      <c r="KES801" s="111"/>
      <c r="KET801" s="111"/>
      <c r="KEU801" s="111"/>
      <c r="KEV801" s="111"/>
      <c r="KEW801" s="111"/>
      <c r="KEX801" s="111"/>
      <c r="KEY801" s="111"/>
      <c r="KEZ801" s="111"/>
      <c r="KFA801" s="111"/>
      <c r="KFB801" s="111"/>
      <c r="KFC801" s="111"/>
      <c r="KFD801" s="111"/>
      <c r="KFE801" s="111"/>
      <c r="KFF801" s="111"/>
      <c r="KFG801" s="111"/>
      <c r="KFH801" s="111"/>
      <c r="KFI801" s="111"/>
      <c r="KFJ801" s="111"/>
      <c r="KFK801" s="111"/>
      <c r="KFL801" s="111"/>
      <c r="KFM801" s="111"/>
      <c r="KFN801" s="111"/>
      <c r="KFO801" s="111"/>
      <c r="KFP801" s="111"/>
      <c r="KFQ801" s="111"/>
      <c r="KFR801" s="111"/>
      <c r="KFS801" s="111"/>
      <c r="KFT801" s="111"/>
      <c r="KFU801" s="111"/>
      <c r="KFV801" s="111"/>
      <c r="KFW801" s="111"/>
      <c r="KFX801" s="111"/>
      <c r="KFY801" s="111"/>
      <c r="KFZ801" s="111"/>
      <c r="KGA801" s="111"/>
      <c r="KGB801" s="111"/>
      <c r="KGC801" s="111"/>
      <c r="KGD801" s="111"/>
      <c r="KGE801" s="111"/>
      <c r="KGF801" s="111"/>
      <c r="KGG801" s="111"/>
      <c r="KGH801" s="111"/>
      <c r="KGI801" s="111"/>
      <c r="KGJ801" s="111"/>
      <c r="KGK801" s="111"/>
      <c r="KGL801" s="111"/>
      <c r="KGM801" s="111"/>
      <c r="KGN801" s="111"/>
      <c r="KGO801" s="111"/>
      <c r="KGP801" s="111"/>
      <c r="KGQ801" s="111"/>
      <c r="KGR801" s="111"/>
      <c r="KGS801" s="111"/>
      <c r="KGT801" s="111"/>
      <c r="KGU801" s="111"/>
      <c r="KGV801" s="111"/>
      <c r="KGW801" s="111"/>
      <c r="KGX801" s="111"/>
      <c r="KGY801" s="111"/>
      <c r="KGZ801" s="111"/>
      <c r="KHA801" s="111"/>
      <c r="KHB801" s="111"/>
      <c r="KHC801" s="111"/>
      <c r="KHD801" s="111"/>
      <c r="KHE801" s="111"/>
      <c r="KHF801" s="111"/>
      <c r="KHG801" s="111"/>
      <c r="KHH801" s="111"/>
      <c r="KHI801" s="111"/>
      <c r="KHJ801" s="111"/>
      <c r="KHK801" s="111"/>
      <c r="KHL801" s="111"/>
      <c r="KHM801" s="111"/>
      <c r="KHN801" s="111"/>
      <c r="KHO801" s="111"/>
      <c r="KHP801" s="111"/>
      <c r="KHQ801" s="111"/>
      <c r="KHR801" s="111"/>
      <c r="KHS801" s="111"/>
      <c r="KHT801" s="111"/>
      <c r="KHU801" s="111"/>
      <c r="KHV801" s="111"/>
      <c r="KHW801" s="111"/>
      <c r="KHX801" s="111"/>
      <c r="KHY801" s="111"/>
      <c r="KHZ801" s="111"/>
      <c r="KIA801" s="111"/>
      <c r="KIB801" s="111"/>
      <c r="KIC801" s="111"/>
      <c r="KID801" s="111"/>
      <c r="KIE801" s="111"/>
      <c r="KIF801" s="111"/>
      <c r="KIG801" s="111"/>
      <c r="KIH801" s="111"/>
      <c r="KII801" s="111"/>
      <c r="KIJ801" s="111"/>
      <c r="KIK801" s="111"/>
      <c r="KIL801" s="111"/>
      <c r="KIM801" s="111"/>
      <c r="KIN801" s="111"/>
      <c r="KIO801" s="111"/>
      <c r="KIP801" s="111"/>
      <c r="KIQ801" s="111"/>
      <c r="KIR801" s="111"/>
      <c r="KIS801" s="111"/>
      <c r="KIT801" s="111"/>
      <c r="KIU801" s="111"/>
      <c r="KIV801" s="111"/>
      <c r="KIW801" s="111"/>
      <c r="KIX801" s="111"/>
      <c r="KIY801" s="111"/>
      <c r="KIZ801" s="111"/>
      <c r="KJA801" s="111"/>
      <c r="KJB801" s="111"/>
      <c r="KJC801" s="111"/>
      <c r="KJD801" s="111"/>
      <c r="KJE801" s="111"/>
      <c r="KJF801" s="111"/>
      <c r="KJG801" s="111"/>
      <c r="KJH801" s="111"/>
      <c r="KJI801" s="111"/>
      <c r="KJJ801" s="111"/>
      <c r="KJK801" s="111"/>
      <c r="KJL801" s="111"/>
      <c r="KJM801" s="111"/>
      <c r="KJN801" s="111"/>
      <c r="KJO801" s="111"/>
      <c r="KJP801" s="111"/>
      <c r="KJQ801" s="111"/>
      <c r="KJR801" s="111"/>
      <c r="KJS801" s="111"/>
      <c r="KJT801" s="111"/>
      <c r="KJU801" s="111"/>
      <c r="KJV801" s="111"/>
      <c r="KJW801" s="111"/>
      <c r="KJX801" s="111"/>
      <c r="KJY801" s="111"/>
      <c r="KJZ801" s="111"/>
      <c r="KKA801" s="111"/>
      <c r="KKB801" s="111"/>
      <c r="KKC801" s="111"/>
      <c r="KKD801" s="111"/>
      <c r="KKE801" s="111"/>
      <c r="KKF801" s="111"/>
      <c r="KKG801" s="111"/>
      <c r="KKH801" s="111"/>
      <c r="KKI801" s="111"/>
      <c r="KKJ801" s="111"/>
      <c r="KKK801" s="111"/>
      <c r="KKL801" s="111"/>
      <c r="KKM801" s="111"/>
      <c r="KKN801" s="111"/>
      <c r="KKO801" s="111"/>
      <c r="KKP801" s="111"/>
      <c r="KKQ801" s="111"/>
      <c r="KKR801" s="111"/>
      <c r="KKS801" s="111"/>
      <c r="KKT801" s="111"/>
      <c r="KKU801" s="111"/>
      <c r="KKV801" s="111"/>
      <c r="KKW801" s="111"/>
      <c r="KKX801" s="111"/>
      <c r="KKY801" s="111"/>
      <c r="KKZ801" s="111"/>
      <c r="KLA801" s="111"/>
      <c r="KLB801" s="111"/>
      <c r="KLC801" s="111"/>
      <c r="KLD801" s="111"/>
      <c r="KLE801" s="111"/>
      <c r="KLF801" s="111"/>
      <c r="KLG801" s="111"/>
      <c r="KLH801" s="111"/>
      <c r="KLI801" s="111"/>
      <c r="KLJ801" s="111"/>
      <c r="KLK801" s="111"/>
      <c r="KLL801" s="111"/>
      <c r="KLM801" s="111"/>
      <c r="KLN801" s="111"/>
      <c r="KLO801" s="111"/>
      <c r="KLP801" s="111"/>
      <c r="KLQ801" s="111"/>
      <c r="KLR801" s="111"/>
      <c r="KLS801" s="111"/>
      <c r="KLT801" s="111"/>
      <c r="KLU801" s="111"/>
      <c r="KLV801" s="111"/>
      <c r="KLW801" s="111"/>
      <c r="KLX801" s="111"/>
      <c r="KLY801" s="111"/>
      <c r="KLZ801" s="111"/>
      <c r="KMA801" s="111"/>
      <c r="KMB801" s="111"/>
      <c r="KMC801" s="111"/>
      <c r="KMD801" s="111"/>
      <c r="KME801" s="111"/>
      <c r="KMF801" s="111"/>
      <c r="KMG801" s="111"/>
      <c r="KMH801" s="111"/>
      <c r="KMI801" s="111"/>
      <c r="KMJ801" s="111"/>
      <c r="KMK801" s="111"/>
      <c r="KML801" s="111"/>
      <c r="KMM801" s="111"/>
      <c r="KMN801" s="111"/>
      <c r="KMO801" s="111"/>
      <c r="KMP801" s="111"/>
      <c r="KMQ801" s="111"/>
      <c r="KMR801" s="111"/>
      <c r="KMS801" s="111"/>
      <c r="KMT801" s="111"/>
      <c r="KMU801" s="111"/>
      <c r="KMV801" s="111"/>
      <c r="KMW801" s="111"/>
      <c r="KMX801" s="111"/>
      <c r="KMY801" s="111"/>
      <c r="KMZ801" s="111"/>
      <c r="KNA801" s="111"/>
      <c r="KNB801" s="111"/>
      <c r="KNC801" s="111"/>
      <c r="KND801" s="111"/>
      <c r="KNE801" s="111"/>
      <c r="KNF801" s="111"/>
      <c r="KNG801" s="111"/>
      <c r="KNH801" s="111"/>
      <c r="KNI801" s="111"/>
      <c r="KNJ801" s="111"/>
      <c r="KNK801" s="111"/>
      <c r="KNL801" s="111"/>
      <c r="KNM801" s="111"/>
      <c r="KNN801" s="111"/>
      <c r="KNO801" s="111"/>
      <c r="KNP801" s="111"/>
      <c r="KNQ801" s="111"/>
      <c r="KNR801" s="111"/>
      <c r="KNS801" s="111"/>
      <c r="KNT801" s="111"/>
      <c r="KNU801" s="111"/>
      <c r="KNV801" s="111"/>
      <c r="KNW801" s="111"/>
      <c r="KNX801" s="111"/>
      <c r="KNY801" s="111"/>
      <c r="KNZ801" s="111"/>
      <c r="KOA801" s="111"/>
      <c r="KOB801" s="111"/>
      <c r="KOC801" s="111"/>
      <c r="KOD801" s="111"/>
      <c r="KOE801" s="111"/>
      <c r="KOF801" s="111"/>
      <c r="KOG801" s="111"/>
      <c r="KOH801" s="111"/>
      <c r="KOI801" s="111"/>
      <c r="KOJ801" s="111"/>
      <c r="KOK801" s="111"/>
      <c r="KOL801" s="111"/>
      <c r="KOM801" s="111"/>
      <c r="KON801" s="111"/>
      <c r="KOO801" s="111"/>
      <c r="KOP801" s="111"/>
      <c r="KOQ801" s="111"/>
      <c r="KOR801" s="111"/>
      <c r="KOS801" s="111"/>
      <c r="KOT801" s="111"/>
      <c r="KOU801" s="111"/>
      <c r="KOV801" s="111"/>
      <c r="KOW801" s="111"/>
      <c r="KOX801" s="111"/>
      <c r="KOY801" s="111"/>
      <c r="KOZ801" s="111"/>
      <c r="KPA801" s="111"/>
      <c r="KPB801" s="111"/>
      <c r="KPC801" s="111"/>
      <c r="KPD801" s="111"/>
      <c r="KPE801" s="111"/>
      <c r="KPF801" s="111"/>
      <c r="KPG801" s="111"/>
      <c r="KPH801" s="111"/>
      <c r="KPI801" s="111"/>
      <c r="KPJ801" s="111"/>
      <c r="KPK801" s="111"/>
      <c r="KPL801" s="111"/>
      <c r="KPM801" s="111"/>
      <c r="KPN801" s="111"/>
      <c r="KPO801" s="111"/>
      <c r="KPP801" s="111"/>
      <c r="KPQ801" s="111"/>
      <c r="KPR801" s="111"/>
      <c r="KPS801" s="111"/>
      <c r="KPT801" s="111"/>
      <c r="KPU801" s="111"/>
      <c r="KPV801" s="111"/>
      <c r="KPW801" s="111"/>
      <c r="KPX801" s="111"/>
      <c r="KPY801" s="111"/>
      <c r="KPZ801" s="111"/>
      <c r="KQA801" s="111"/>
      <c r="KQB801" s="111"/>
      <c r="KQC801" s="111"/>
      <c r="KQD801" s="111"/>
      <c r="KQE801" s="111"/>
      <c r="KQF801" s="111"/>
      <c r="KQG801" s="111"/>
      <c r="KQH801" s="111"/>
      <c r="KQI801" s="111"/>
      <c r="KQJ801" s="111"/>
      <c r="KQK801" s="111"/>
      <c r="KQL801" s="111"/>
      <c r="KQM801" s="111"/>
      <c r="KQN801" s="111"/>
      <c r="KQO801" s="111"/>
      <c r="KQP801" s="111"/>
      <c r="KQQ801" s="111"/>
      <c r="KQR801" s="111"/>
      <c r="KQS801" s="111"/>
      <c r="KQT801" s="111"/>
      <c r="KQU801" s="111"/>
      <c r="KQV801" s="111"/>
      <c r="KQW801" s="111"/>
      <c r="KQX801" s="111"/>
      <c r="KQY801" s="111"/>
      <c r="KQZ801" s="111"/>
      <c r="KRA801" s="111"/>
      <c r="KRB801" s="111"/>
      <c r="KRC801" s="111"/>
      <c r="KRD801" s="111"/>
      <c r="KRE801" s="111"/>
      <c r="KRF801" s="111"/>
      <c r="KRG801" s="111"/>
      <c r="KRH801" s="111"/>
      <c r="KRI801" s="111"/>
      <c r="KRJ801" s="111"/>
      <c r="KRK801" s="111"/>
      <c r="KRL801" s="111"/>
      <c r="KRM801" s="111"/>
      <c r="KRN801" s="111"/>
      <c r="KRO801" s="111"/>
      <c r="KRP801" s="111"/>
      <c r="KRQ801" s="111"/>
      <c r="KRR801" s="111"/>
      <c r="KRS801" s="111"/>
      <c r="KRT801" s="111"/>
      <c r="KRU801" s="111"/>
      <c r="KRV801" s="111"/>
      <c r="KRW801" s="111"/>
      <c r="KRX801" s="111"/>
      <c r="KRY801" s="111"/>
      <c r="KRZ801" s="111"/>
      <c r="KSA801" s="111"/>
      <c r="KSB801" s="111"/>
      <c r="KSC801" s="111"/>
      <c r="KSD801" s="111"/>
      <c r="KSE801" s="111"/>
      <c r="KSF801" s="111"/>
      <c r="KSG801" s="111"/>
      <c r="KSH801" s="111"/>
      <c r="KSI801" s="111"/>
      <c r="KSJ801" s="111"/>
      <c r="KSK801" s="111"/>
      <c r="KSL801" s="111"/>
      <c r="KSM801" s="111"/>
      <c r="KSN801" s="111"/>
      <c r="KSO801" s="111"/>
      <c r="KSP801" s="111"/>
      <c r="KSQ801" s="111"/>
      <c r="KSR801" s="111"/>
      <c r="KSS801" s="111"/>
      <c r="KST801" s="111"/>
      <c r="KSU801" s="111"/>
      <c r="KSV801" s="111"/>
      <c r="KSW801" s="111"/>
      <c r="KSX801" s="111"/>
      <c r="KSY801" s="111"/>
      <c r="KSZ801" s="111"/>
      <c r="KTA801" s="111"/>
      <c r="KTB801" s="111"/>
      <c r="KTC801" s="111"/>
      <c r="KTD801" s="111"/>
      <c r="KTE801" s="111"/>
      <c r="KTF801" s="111"/>
      <c r="KTG801" s="111"/>
      <c r="KTH801" s="111"/>
      <c r="KTI801" s="111"/>
      <c r="KTJ801" s="111"/>
      <c r="KTK801" s="111"/>
      <c r="KTL801" s="111"/>
      <c r="KTM801" s="111"/>
      <c r="KTN801" s="111"/>
      <c r="KTO801" s="111"/>
      <c r="KTP801" s="111"/>
      <c r="KTQ801" s="111"/>
      <c r="KTR801" s="111"/>
      <c r="KTS801" s="111"/>
      <c r="KTT801" s="111"/>
      <c r="KTU801" s="111"/>
      <c r="KTV801" s="111"/>
      <c r="KTW801" s="111"/>
      <c r="KTX801" s="111"/>
      <c r="KTY801" s="111"/>
      <c r="KTZ801" s="111"/>
      <c r="KUA801" s="111"/>
      <c r="KUB801" s="111"/>
      <c r="KUC801" s="111"/>
      <c r="KUD801" s="111"/>
      <c r="KUE801" s="111"/>
      <c r="KUF801" s="111"/>
      <c r="KUG801" s="111"/>
      <c r="KUH801" s="111"/>
      <c r="KUI801" s="111"/>
      <c r="KUJ801" s="111"/>
      <c r="KUK801" s="111"/>
      <c r="KUL801" s="111"/>
      <c r="KUM801" s="111"/>
      <c r="KUN801" s="111"/>
      <c r="KUO801" s="111"/>
      <c r="KUP801" s="111"/>
      <c r="KUQ801" s="111"/>
      <c r="KUR801" s="111"/>
      <c r="KUS801" s="111"/>
      <c r="KUT801" s="111"/>
      <c r="KUU801" s="111"/>
      <c r="KUV801" s="111"/>
      <c r="KUW801" s="111"/>
      <c r="KUX801" s="111"/>
      <c r="KUY801" s="111"/>
      <c r="KUZ801" s="111"/>
      <c r="KVA801" s="111"/>
      <c r="KVB801" s="111"/>
      <c r="KVC801" s="111"/>
      <c r="KVD801" s="111"/>
      <c r="KVE801" s="111"/>
      <c r="KVF801" s="111"/>
      <c r="KVG801" s="111"/>
      <c r="KVH801" s="111"/>
      <c r="KVI801" s="111"/>
      <c r="KVJ801" s="111"/>
      <c r="KVK801" s="111"/>
      <c r="KVL801" s="111"/>
      <c r="KVM801" s="111"/>
      <c r="KVN801" s="111"/>
      <c r="KVO801" s="111"/>
      <c r="KVP801" s="111"/>
      <c r="KVQ801" s="111"/>
      <c r="KVR801" s="111"/>
      <c r="KVS801" s="111"/>
      <c r="KVT801" s="111"/>
      <c r="KVU801" s="111"/>
      <c r="KVV801" s="111"/>
      <c r="KVW801" s="111"/>
      <c r="KVX801" s="111"/>
      <c r="KVY801" s="111"/>
      <c r="KVZ801" s="111"/>
      <c r="KWA801" s="111"/>
      <c r="KWB801" s="111"/>
      <c r="KWC801" s="111"/>
      <c r="KWD801" s="111"/>
      <c r="KWE801" s="111"/>
      <c r="KWF801" s="111"/>
      <c r="KWG801" s="111"/>
      <c r="KWH801" s="111"/>
      <c r="KWI801" s="111"/>
      <c r="KWJ801" s="111"/>
      <c r="KWK801" s="111"/>
      <c r="KWL801" s="111"/>
      <c r="KWM801" s="111"/>
      <c r="KWN801" s="111"/>
      <c r="KWO801" s="111"/>
      <c r="KWP801" s="111"/>
      <c r="KWQ801" s="111"/>
      <c r="KWR801" s="111"/>
      <c r="KWS801" s="111"/>
      <c r="KWT801" s="111"/>
      <c r="KWU801" s="111"/>
      <c r="KWV801" s="111"/>
      <c r="KWW801" s="111"/>
      <c r="KWX801" s="111"/>
      <c r="KWY801" s="111"/>
      <c r="KWZ801" s="111"/>
      <c r="KXA801" s="111"/>
      <c r="KXB801" s="111"/>
      <c r="KXC801" s="111"/>
      <c r="KXD801" s="111"/>
      <c r="KXE801" s="111"/>
      <c r="KXF801" s="111"/>
      <c r="KXG801" s="111"/>
      <c r="KXH801" s="111"/>
      <c r="KXI801" s="111"/>
      <c r="KXJ801" s="111"/>
      <c r="KXK801" s="111"/>
      <c r="KXL801" s="111"/>
      <c r="KXM801" s="111"/>
      <c r="KXN801" s="111"/>
      <c r="KXO801" s="111"/>
      <c r="KXP801" s="111"/>
      <c r="KXQ801" s="111"/>
      <c r="KXR801" s="111"/>
      <c r="KXS801" s="111"/>
      <c r="KXT801" s="111"/>
      <c r="KXU801" s="111"/>
      <c r="KXV801" s="111"/>
      <c r="KXW801" s="111"/>
      <c r="KXX801" s="111"/>
      <c r="KXY801" s="111"/>
      <c r="KXZ801" s="111"/>
      <c r="KYA801" s="111"/>
      <c r="KYB801" s="111"/>
      <c r="KYC801" s="111"/>
      <c r="KYD801" s="111"/>
      <c r="KYE801" s="111"/>
      <c r="KYF801" s="111"/>
      <c r="KYG801" s="111"/>
      <c r="KYH801" s="111"/>
      <c r="KYI801" s="111"/>
      <c r="KYJ801" s="111"/>
      <c r="KYK801" s="111"/>
      <c r="KYL801" s="111"/>
      <c r="KYM801" s="111"/>
      <c r="KYN801" s="111"/>
      <c r="KYO801" s="111"/>
      <c r="KYP801" s="111"/>
      <c r="KYQ801" s="111"/>
      <c r="KYR801" s="111"/>
      <c r="KYS801" s="111"/>
      <c r="KYT801" s="111"/>
      <c r="KYU801" s="111"/>
      <c r="KYV801" s="111"/>
      <c r="KYW801" s="111"/>
      <c r="KYX801" s="111"/>
      <c r="KYY801" s="111"/>
      <c r="KYZ801" s="111"/>
      <c r="KZA801" s="111"/>
      <c r="KZB801" s="111"/>
      <c r="KZC801" s="111"/>
      <c r="KZD801" s="111"/>
      <c r="KZE801" s="111"/>
      <c r="KZF801" s="111"/>
      <c r="KZG801" s="111"/>
      <c r="KZH801" s="111"/>
      <c r="KZI801" s="111"/>
      <c r="KZJ801" s="111"/>
      <c r="KZK801" s="111"/>
      <c r="KZL801" s="111"/>
      <c r="KZM801" s="111"/>
      <c r="KZN801" s="111"/>
      <c r="KZO801" s="111"/>
      <c r="KZP801" s="111"/>
      <c r="KZQ801" s="111"/>
      <c r="KZR801" s="111"/>
      <c r="KZS801" s="111"/>
      <c r="KZT801" s="111"/>
      <c r="KZU801" s="111"/>
      <c r="KZV801" s="111"/>
      <c r="KZW801" s="111"/>
      <c r="KZX801" s="111"/>
      <c r="KZY801" s="111"/>
      <c r="KZZ801" s="111"/>
      <c r="LAA801" s="111"/>
      <c r="LAB801" s="111"/>
      <c r="LAC801" s="111"/>
      <c r="LAD801" s="111"/>
      <c r="LAE801" s="111"/>
      <c r="LAF801" s="111"/>
      <c r="LAG801" s="111"/>
      <c r="LAH801" s="111"/>
      <c r="LAI801" s="111"/>
      <c r="LAJ801" s="111"/>
      <c r="LAK801" s="111"/>
      <c r="LAL801" s="111"/>
      <c r="LAM801" s="111"/>
      <c r="LAN801" s="111"/>
      <c r="LAO801" s="111"/>
      <c r="LAP801" s="111"/>
      <c r="LAQ801" s="111"/>
      <c r="LAR801" s="111"/>
      <c r="LAS801" s="111"/>
      <c r="LAT801" s="111"/>
      <c r="LAU801" s="111"/>
      <c r="LAV801" s="111"/>
      <c r="LAW801" s="111"/>
      <c r="LAX801" s="111"/>
      <c r="LAY801" s="111"/>
      <c r="LAZ801" s="111"/>
      <c r="LBA801" s="111"/>
      <c r="LBB801" s="111"/>
      <c r="LBC801" s="111"/>
      <c r="LBD801" s="111"/>
      <c r="LBE801" s="111"/>
      <c r="LBF801" s="111"/>
      <c r="LBG801" s="111"/>
      <c r="LBH801" s="111"/>
      <c r="LBI801" s="111"/>
      <c r="LBJ801" s="111"/>
      <c r="LBK801" s="111"/>
      <c r="LBL801" s="111"/>
      <c r="LBM801" s="111"/>
      <c r="LBN801" s="111"/>
      <c r="LBO801" s="111"/>
      <c r="LBP801" s="111"/>
      <c r="LBQ801" s="111"/>
      <c r="LBR801" s="111"/>
      <c r="LBS801" s="111"/>
      <c r="LBT801" s="111"/>
      <c r="LBU801" s="111"/>
      <c r="LBV801" s="111"/>
      <c r="LBW801" s="111"/>
      <c r="LBX801" s="111"/>
      <c r="LBY801" s="111"/>
      <c r="LBZ801" s="111"/>
      <c r="LCA801" s="111"/>
      <c r="LCB801" s="111"/>
      <c r="LCC801" s="111"/>
      <c r="LCD801" s="111"/>
      <c r="LCE801" s="111"/>
      <c r="LCF801" s="111"/>
      <c r="LCG801" s="111"/>
      <c r="LCH801" s="111"/>
      <c r="LCI801" s="111"/>
      <c r="LCJ801" s="111"/>
      <c r="LCK801" s="111"/>
      <c r="LCL801" s="111"/>
      <c r="LCM801" s="111"/>
      <c r="LCN801" s="111"/>
      <c r="LCO801" s="111"/>
      <c r="LCP801" s="111"/>
      <c r="LCQ801" s="111"/>
      <c r="LCR801" s="111"/>
      <c r="LCS801" s="111"/>
      <c r="LCT801" s="111"/>
      <c r="LCU801" s="111"/>
      <c r="LCV801" s="111"/>
      <c r="LCW801" s="111"/>
      <c r="LCX801" s="111"/>
      <c r="LCY801" s="111"/>
      <c r="LCZ801" s="111"/>
      <c r="LDA801" s="111"/>
      <c r="LDB801" s="111"/>
      <c r="LDC801" s="111"/>
      <c r="LDD801" s="111"/>
      <c r="LDE801" s="111"/>
      <c r="LDF801" s="111"/>
      <c r="LDG801" s="111"/>
      <c r="LDH801" s="111"/>
      <c r="LDI801" s="111"/>
      <c r="LDJ801" s="111"/>
      <c r="LDK801" s="111"/>
      <c r="LDL801" s="111"/>
      <c r="LDM801" s="111"/>
      <c r="LDN801" s="111"/>
      <c r="LDO801" s="111"/>
      <c r="LDP801" s="111"/>
      <c r="LDQ801" s="111"/>
      <c r="LDR801" s="111"/>
      <c r="LDS801" s="111"/>
      <c r="LDT801" s="111"/>
      <c r="LDU801" s="111"/>
      <c r="LDV801" s="111"/>
      <c r="LDW801" s="111"/>
      <c r="LDX801" s="111"/>
      <c r="LDY801" s="111"/>
      <c r="LDZ801" s="111"/>
      <c r="LEA801" s="111"/>
      <c r="LEB801" s="111"/>
      <c r="LEC801" s="111"/>
      <c r="LED801" s="111"/>
      <c r="LEE801" s="111"/>
      <c r="LEF801" s="111"/>
      <c r="LEG801" s="111"/>
      <c r="LEH801" s="111"/>
      <c r="LEI801" s="111"/>
      <c r="LEJ801" s="111"/>
      <c r="LEK801" s="111"/>
      <c r="LEL801" s="111"/>
      <c r="LEM801" s="111"/>
      <c r="LEN801" s="111"/>
      <c r="LEO801" s="111"/>
      <c r="LEP801" s="111"/>
      <c r="LEQ801" s="111"/>
      <c r="LER801" s="111"/>
      <c r="LES801" s="111"/>
      <c r="LET801" s="111"/>
      <c r="LEU801" s="111"/>
      <c r="LEV801" s="111"/>
      <c r="LEW801" s="111"/>
      <c r="LEX801" s="111"/>
      <c r="LEY801" s="111"/>
      <c r="LEZ801" s="111"/>
      <c r="LFA801" s="111"/>
      <c r="LFB801" s="111"/>
      <c r="LFC801" s="111"/>
      <c r="LFD801" s="111"/>
      <c r="LFE801" s="111"/>
      <c r="LFF801" s="111"/>
      <c r="LFG801" s="111"/>
      <c r="LFH801" s="111"/>
      <c r="LFI801" s="111"/>
      <c r="LFJ801" s="111"/>
      <c r="LFK801" s="111"/>
      <c r="LFL801" s="111"/>
      <c r="LFM801" s="111"/>
      <c r="LFN801" s="111"/>
      <c r="LFO801" s="111"/>
      <c r="LFP801" s="111"/>
      <c r="LFQ801" s="111"/>
      <c r="LFR801" s="111"/>
      <c r="LFS801" s="111"/>
      <c r="LFT801" s="111"/>
      <c r="LFU801" s="111"/>
      <c r="LFV801" s="111"/>
      <c r="LFW801" s="111"/>
      <c r="LFX801" s="111"/>
      <c r="LFY801" s="111"/>
      <c r="LFZ801" s="111"/>
      <c r="LGA801" s="111"/>
      <c r="LGB801" s="111"/>
      <c r="LGC801" s="111"/>
      <c r="LGD801" s="111"/>
      <c r="LGE801" s="111"/>
      <c r="LGF801" s="111"/>
      <c r="LGG801" s="111"/>
      <c r="LGH801" s="111"/>
      <c r="LGI801" s="111"/>
      <c r="LGJ801" s="111"/>
      <c r="LGK801" s="111"/>
      <c r="LGL801" s="111"/>
      <c r="LGM801" s="111"/>
      <c r="LGN801" s="111"/>
      <c r="LGO801" s="111"/>
      <c r="LGP801" s="111"/>
      <c r="LGQ801" s="111"/>
      <c r="LGR801" s="111"/>
      <c r="LGS801" s="111"/>
      <c r="LGT801" s="111"/>
      <c r="LGU801" s="111"/>
      <c r="LGV801" s="111"/>
      <c r="LGW801" s="111"/>
      <c r="LGX801" s="111"/>
      <c r="LGY801" s="111"/>
      <c r="LGZ801" s="111"/>
      <c r="LHA801" s="111"/>
      <c r="LHB801" s="111"/>
      <c r="LHC801" s="111"/>
      <c r="LHD801" s="111"/>
      <c r="LHE801" s="111"/>
      <c r="LHF801" s="111"/>
      <c r="LHG801" s="111"/>
      <c r="LHH801" s="111"/>
      <c r="LHI801" s="111"/>
      <c r="LHJ801" s="111"/>
      <c r="LHK801" s="111"/>
      <c r="LHL801" s="111"/>
      <c r="LHM801" s="111"/>
      <c r="LHN801" s="111"/>
      <c r="LHO801" s="111"/>
      <c r="LHP801" s="111"/>
      <c r="LHQ801" s="111"/>
      <c r="LHR801" s="111"/>
      <c r="LHS801" s="111"/>
      <c r="LHT801" s="111"/>
      <c r="LHU801" s="111"/>
      <c r="LHV801" s="111"/>
      <c r="LHW801" s="111"/>
      <c r="LHX801" s="111"/>
      <c r="LHY801" s="111"/>
      <c r="LHZ801" s="111"/>
      <c r="LIA801" s="111"/>
      <c r="LIB801" s="111"/>
      <c r="LIC801" s="111"/>
      <c r="LID801" s="111"/>
      <c r="LIE801" s="111"/>
      <c r="LIF801" s="111"/>
      <c r="LIG801" s="111"/>
      <c r="LIH801" s="111"/>
      <c r="LII801" s="111"/>
      <c r="LIJ801" s="111"/>
      <c r="LIK801" s="111"/>
      <c r="LIL801" s="111"/>
      <c r="LIM801" s="111"/>
      <c r="LIN801" s="111"/>
      <c r="LIO801" s="111"/>
      <c r="LIP801" s="111"/>
      <c r="LIQ801" s="111"/>
      <c r="LIR801" s="111"/>
      <c r="LIS801" s="111"/>
      <c r="LIT801" s="111"/>
      <c r="LIU801" s="111"/>
      <c r="LIV801" s="111"/>
      <c r="LIW801" s="111"/>
      <c r="LIX801" s="111"/>
      <c r="LIY801" s="111"/>
      <c r="LIZ801" s="111"/>
      <c r="LJA801" s="111"/>
      <c r="LJB801" s="111"/>
      <c r="LJC801" s="111"/>
      <c r="LJD801" s="111"/>
      <c r="LJE801" s="111"/>
      <c r="LJF801" s="111"/>
      <c r="LJG801" s="111"/>
      <c r="LJH801" s="111"/>
      <c r="LJI801" s="111"/>
      <c r="LJJ801" s="111"/>
      <c r="LJK801" s="111"/>
      <c r="LJL801" s="111"/>
      <c r="LJM801" s="111"/>
      <c r="LJN801" s="111"/>
      <c r="LJO801" s="111"/>
      <c r="LJP801" s="111"/>
      <c r="LJQ801" s="111"/>
      <c r="LJR801" s="111"/>
      <c r="LJS801" s="111"/>
      <c r="LJT801" s="111"/>
      <c r="LJU801" s="111"/>
      <c r="LJV801" s="111"/>
      <c r="LJW801" s="111"/>
      <c r="LJX801" s="111"/>
      <c r="LJY801" s="111"/>
      <c r="LJZ801" s="111"/>
      <c r="LKA801" s="111"/>
      <c r="LKB801" s="111"/>
      <c r="LKC801" s="111"/>
      <c r="LKD801" s="111"/>
      <c r="LKE801" s="111"/>
      <c r="LKF801" s="111"/>
      <c r="LKG801" s="111"/>
      <c r="LKH801" s="111"/>
      <c r="LKI801" s="111"/>
      <c r="LKJ801" s="111"/>
      <c r="LKK801" s="111"/>
      <c r="LKL801" s="111"/>
      <c r="LKM801" s="111"/>
      <c r="LKN801" s="111"/>
      <c r="LKO801" s="111"/>
      <c r="LKP801" s="111"/>
      <c r="LKQ801" s="111"/>
      <c r="LKR801" s="111"/>
      <c r="LKS801" s="111"/>
      <c r="LKT801" s="111"/>
      <c r="LKU801" s="111"/>
      <c r="LKV801" s="111"/>
      <c r="LKW801" s="111"/>
      <c r="LKX801" s="111"/>
      <c r="LKY801" s="111"/>
      <c r="LKZ801" s="111"/>
      <c r="LLA801" s="111"/>
      <c r="LLB801" s="111"/>
      <c r="LLC801" s="111"/>
      <c r="LLD801" s="111"/>
      <c r="LLE801" s="111"/>
      <c r="LLF801" s="111"/>
      <c r="LLG801" s="111"/>
      <c r="LLH801" s="111"/>
      <c r="LLI801" s="111"/>
      <c r="LLJ801" s="111"/>
      <c r="LLK801" s="111"/>
      <c r="LLL801" s="111"/>
      <c r="LLM801" s="111"/>
      <c r="LLN801" s="111"/>
      <c r="LLO801" s="111"/>
      <c r="LLP801" s="111"/>
      <c r="LLQ801" s="111"/>
      <c r="LLR801" s="111"/>
      <c r="LLS801" s="111"/>
      <c r="LLT801" s="111"/>
      <c r="LLU801" s="111"/>
      <c r="LLV801" s="111"/>
      <c r="LLW801" s="111"/>
      <c r="LLX801" s="111"/>
      <c r="LLY801" s="111"/>
      <c r="LLZ801" s="111"/>
      <c r="LMA801" s="111"/>
      <c r="LMB801" s="111"/>
      <c r="LMC801" s="111"/>
      <c r="LMD801" s="111"/>
      <c r="LME801" s="111"/>
      <c r="LMF801" s="111"/>
      <c r="LMG801" s="111"/>
      <c r="LMH801" s="111"/>
      <c r="LMI801" s="111"/>
      <c r="LMJ801" s="111"/>
      <c r="LMK801" s="111"/>
      <c r="LML801" s="111"/>
      <c r="LMM801" s="111"/>
      <c r="LMN801" s="111"/>
      <c r="LMO801" s="111"/>
      <c r="LMP801" s="111"/>
      <c r="LMQ801" s="111"/>
      <c r="LMR801" s="111"/>
      <c r="LMS801" s="111"/>
      <c r="LMT801" s="111"/>
      <c r="LMU801" s="111"/>
      <c r="LMV801" s="111"/>
      <c r="LMW801" s="111"/>
      <c r="LMX801" s="111"/>
      <c r="LMY801" s="111"/>
      <c r="LMZ801" s="111"/>
      <c r="LNA801" s="111"/>
      <c r="LNB801" s="111"/>
      <c r="LNC801" s="111"/>
      <c r="LND801" s="111"/>
      <c r="LNE801" s="111"/>
      <c r="LNF801" s="111"/>
      <c r="LNG801" s="111"/>
      <c r="LNH801" s="111"/>
      <c r="LNI801" s="111"/>
      <c r="LNJ801" s="111"/>
      <c r="LNK801" s="111"/>
      <c r="LNL801" s="111"/>
      <c r="LNM801" s="111"/>
      <c r="LNN801" s="111"/>
      <c r="LNO801" s="111"/>
      <c r="LNP801" s="111"/>
      <c r="LNQ801" s="111"/>
      <c r="LNR801" s="111"/>
      <c r="LNS801" s="111"/>
      <c r="LNT801" s="111"/>
      <c r="LNU801" s="111"/>
      <c r="LNV801" s="111"/>
      <c r="LNW801" s="111"/>
      <c r="LNX801" s="111"/>
      <c r="LNY801" s="111"/>
      <c r="LNZ801" s="111"/>
      <c r="LOA801" s="111"/>
      <c r="LOB801" s="111"/>
      <c r="LOC801" s="111"/>
      <c r="LOD801" s="111"/>
      <c r="LOE801" s="111"/>
      <c r="LOF801" s="111"/>
      <c r="LOG801" s="111"/>
      <c r="LOH801" s="111"/>
      <c r="LOI801" s="111"/>
      <c r="LOJ801" s="111"/>
      <c r="LOK801" s="111"/>
      <c r="LOL801" s="111"/>
      <c r="LOM801" s="111"/>
      <c r="LON801" s="111"/>
      <c r="LOO801" s="111"/>
      <c r="LOP801" s="111"/>
      <c r="LOQ801" s="111"/>
      <c r="LOR801" s="111"/>
      <c r="LOS801" s="111"/>
      <c r="LOT801" s="111"/>
      <c r="LOU801" s="111"/>
      <c r="LOV801" s="111"/>
      <c r="LOW801" s="111"/>
      <c r="LOX801" s="111"/>
      <c r="LOY801" s="111"/>
      <c r="LOZ801" s="111"/>
      <c r="LPA801" s="111"/>
      <c r="LPB801" s="111"/>
      <c r="LPC801" s="111"/>
      <c r="LPD801" s="111"/>
      <c r="LPE801" s="111"/>
      <c r="LPF801" s="111"/>
      <c r="LPG801" s="111"/>
      <c r="LPH801" s="111"/>
      <c r="LPI801" s="111"/>
      <c r="LPJ801" s="111"/>
      <c r="LPK801" s="111"/>
      <c r="LPL801" s="111"/>
      <c r="LPM801" s="111"/>
      <c r="LPN801" s="111"/>
      <c r="LPO801" s="111"/>
      <c r="LPP801" s="111"/>
      <c r="LPQ801" s="111"/>
      <c r="LPR801" s="111"/>
      <c r="LPS801" s="111"/>
      <c r="LPT801" s="111"/>
      <c r="LPU801" s="111"/>
      <c r="LPV801" s="111"/>
      <c r="LPW801" s="111"/>
      <c r="LPX801" s="111"/>
      <c r="LPY801" s="111"/>
      <c r="LPZ801" s="111"/>
      <c r="LQA801" s="111"/>
      <c r="LQB801" s="111"/>
      <c r="LQC801" s="111"/>
      <c r="LQD801" s="111"/>
      <c r="LQE801" s="111"/>
      <c r="LQF801" s="111"/>
      <c r="LQG801" s="111"/>
      <c r="LQH801" s="111"/>
      <c r="LQI801" s="111"/>
      <c r="LQJ801" s="111"/>
      <c r="LQK801" s="111"/>
      <c r="LQL801" s="111"/>
      <c r="LQM801" s="111"/>
      <c r="LQN801" s="111"/>
      <c r="LQO801" s="111"/>
      <c r="LQP801" s="111"/>
      <c r="LQQ801" s="111"/>
      <c r="LQR801" s="111"/>
      <c r="LQS801" s="111"/>
      <c r="LQT801" s="111"/>
      <c r="LQU801" s="111"/>
      <c r="LQV801" s="111"/>
      <c r="LQW801" s="111"/>
      <c r="LQX801" s="111"/>
      <c r="LQY801" s="111"/>
      <c r="LQZ801" s="111"/>
      <c r="LRA801" s="111"/>
      <c r="LRB801" s="111"/>
      <c r="LRC801" s="111"/>
      <c r="LRD801" s="111"/>
      <c r="LRE801" s="111"/>
      <c r="LRF801" s="111"/>
      <c r="LRG801" s="111"/>
      <c r="LRH801" s="111"/>
      <c r="LRI801" s="111"/>
      <c r="LRJ801" s="111"/>
      <c r="LRK801" s="111"/>
      <c r="LRL801" s="111"/>
      <c r="LRM801" s="111"/>
      <c r="LRN801" s="111"/>
      <c r="LRO801" s="111"/>
      <c r="LRP801" s="111"/>
      <c r="LRQ801" s="111"/>
      <c r="LRR801" s="111"/>
      <c r="LRS801" s="111"/>
      <c r="LRT801" s="111"/>
      <c r="LRU801" s="111"/>
      <c r="LRV801" s="111"/>
      <c r="LRW801" s="111"/>
      <c r="LRX801" s="111"/>
      <c r="LRY801" s="111"/>
      <c r="LRZ801" s="111"/>
      <c r="LSA801" s="111"/>
      <c r="LSB801" s="111"/>
      <c r="LSC801" s="111"/>
      <c r="LSD801" s="111"/>
      <c r="LSE801" s="111"/>
      <c r="LSF801" s="111"/>
      <c r="LSG801" s="111"/>
      <c r="LSH801" s="111"/>
      <c r="LSI801" s="111"/>
      <c r="LSJ801" s="111"/>
      <c r="LSK801" s="111"/>
      <c r="LSL801" s="111"/>
      <c r="LSM801" s="111"/>
      <c r="LSN801" s="111"/>
      <c r="LSO801" s="111"/>
      <c r="LSP801" s="111"/>
      <c r="LSQ801" s="111"/>
      <c r="LSR801" s="111"/>
      <c r="LSS801" s="111"/>
      <c r="LST801" s="111"/>
      <c r="LSU801" s="111"/>
      <c r="LSV801" s="111"/>
      <c r="LSW801" s="111"/>
      <c r="LSX801" s="111"/>
      <c r="LSY801" s="111"/>
      <c r="LSZ801" s="111"/>
      <c r="LTA801" s="111"/>
      <c r="LTB801" s="111"/>
      <c r="LTC801" s="111"/>
      <c r="LTD801" s="111"/>
      <c r="LTE801" s="111"/>
      <c r="LTF801" s="111"/>
      <c r="LTG801" s="111"/>
      <c r="LTH801" s="111"/>
      <c r="LTI801" s="111"/>
      <c r="LTJ801" s="111"/>
      <c r="LTK801" s="111"/>
      <c r="LTL801" s="111"/>
      <c r="LTM801" s="111"/>
      <c r="LTN801" s="111"/>
      <c r="LTO801" s="111"/>
      <c r="LTP801" s="111"/>
      <c r="LTQ801" s="111"/>
      <c r="LTR801" s="111"/>
      <c r="LTS801" s="111"/>
      <c r="LTT801" s="111"/>
      <c r="LTU801" s="111"/>
      <c r="LTV801" s="111"/>
      <c r="LTW801" s="111"/>
      <c r="LTX801" s="111"/>
      <c r="LTY801" s="111"/>
      <c r="LTZ801" s="111"/>
      <c r="LUA801" s="111"/>
      <c r="LUB801" s="111"/>
      <c r="LUC801" s="111"/>
      <c r="LUD801" s="111"/>
      <c r="LUE801" s="111"/>
      <c r="LUF801" s="111"/>
      <c r="LUG801" s="111"/>
      <c r="LUH801" s="111"/>
      <c r="LUI801" s="111"/>
      <c r="LUJ801" s="111"/>
      <c r="LUK801" s="111"/>
      <c r="LUL801" s="111"/>
      <c r="LUM801" s="111"/>
      <c r="LUN801" s="111"/>
      <c r="LUO801" s="111"/>
      <c r="LUP801" s="111"/>
      <c r="LUQ801" s="111"/>
      <c r="LUR801" s="111"/>
      <c r="LUS801" s="111"/>
      <c r="LUT801" s="111"/>
      <c r="LUU801" s="111"/>
      <c r="LUV801" s="111"/>
      <c r="LUW801" s="111"/>
      <c r="LUX801" s="111"/>
      <c r="LUY801" s="111"/>
      <c r="LUZ801" s="111"/>
      <c r="LVA801" s="111"/>
      <c r="LVB801" s="111"/>
      <c r="LVC801" s="111"/>
      <c r="LVD801" s="111"/>
      <c r="LVE801" s="111"/>
      <c r="LVF801" s="111"/>
      <c r="LVG801" s="111"/>
      <c r="LVH801" s="111"/>
      <c r="LVI801" s="111"/>
      <c r="LVJ801" s="111"/>
      <c r="LVK801" s="111"/>
      <c r="LVL801" s="111"/>
      <c r="LVM801" s="111"/>
      <c r="LVN801" s="111"/>
      <c r="LVO801" s="111"/>
      <c r="LVP801" s="111"/>
      <c r="LVQ801" s="111"/>
      <c r="LVR801" s="111"/>
      <c r="LVS801" s="111"/>
      <c r="LVT801" s="111"/>
      <c r="LVU801" s="111"/>
      <c r="LVV801" s="111"/>
      <c r="LVW801" s="111"/>
      <c r="LVX801" s="111"/>
      <c r="LVY801" s="111"/>
      <c r="LVZ801" s="111"/>
      <c r="LWA801" s="111"/>
      <c r="LWB801" s="111"/>
      <c r="LWC801" s="111"/>
      <c r="LWD801" s="111"/>
      <c r="LWE801" s="111"/>
      <c r="LWF801" s="111"/>
      <c r="LWG801" s="111"/>
      <c r="LWH801" s="111"/>
      <c r="LWI801" s="111"/>
      <c r="LWJ801" s="111"/>
      <c r="LWK801" s="111"/>
      <c r="LWL801" s="111"/>
      <c r="LWM801" s="111"/>
      <c r="LWN801" s="111"/>
      <c r="LWO801" s="111"/>
      <c r="LWP801" s="111"/>
      <c r="LWQ801" s="111"/>
      <c r="LWR801" s="111"/>
      <c r="LWS801" s="111"/>
      <c r="LWT801" s="111"/>
      <c r="LWU801" s="111"/>
      <c r="LWV801" s="111"/>
      <c r="LWW801" s="111"/>
      <c r="LWX801" s="111"/>
      <c r="LWY801" s="111"/>
      <c r="LWZ801" s="111"/>
      <c r="LXA801" s="111"/>
      <c r="LXB801" s="111"/>
      <c r="LXC801" s="111"/>
      <c r="LXD801" s="111"/>
      <c r="LXE801" s="111"/>
      <c r="LXF801" s="111"/>
      <c r="LXG801" s="111"/>
      <c r="LXH801" s="111"/>
      <c r="LXI801" s="111"/>
      <c r="LXJ801" s="111"/>
      <c r="LXK801" s="111"/>
      <c r="LXL801" s="111"/>
      <c r="LXM801" s="111"/>
      <c r="LXN801" s="111"/>
      <c r="LXO801" s="111"/>
      <c r="LXP801" s="111"/>
      <c r="LXQ801" s="111"/>
      <c r="LXR801" s="111"/>
      <c r="LXS801" s="111"/>
      <c r="LXT801" s="111"/>
      <c r="LXU801" s="111"/>
      <c r="LXV801" s="111"/>
      <c r="LXW801" s="111"/>
      <c r="LXX801" s="111"/>
      <c r="LXY801" s="111"/>
      <c r="LXZ801" s="111"/>
      <c r="LYA801" s="111"/>
      <c r="LYB801" s="111"/>
      <c r="LYC801" s="111"/>
      <c r="LYD801" s="111"/>
      <c r="LYE801" s="111"/>
      <c r="LYF801" s="111"/>
      <c r="LYG801" s="111"/>
      <c r="LYH801" s="111"/>
      <c r="LYI801" s="111"/>
      <c r="LYJ801" s="111"/>
      <c r="LYK801" s="111"/>
      <c r="LYL801" s="111"/>
      <c r="LYM801" s="111"/>
      <c r="LYN801" s="111"/>
      <c r="LYO801" s="111"/>
      <c r="LYP801" s="111"/>
      <c r="LYQ801" s="111"/>
      <c r="LYR801" s="111"/>
      <c r="LYS801" s="111"/>
      <c r="LYT801" s="111"/>
      <c r="LYU801" s="111"/>
      <c r="LYV801" s="111"/>
      <c r="LYW801" s="111"/>
      <c r="LYX801" s="111"/>
      <c r="LYY801" s="111"/>
      <c r="LYZ801" s="111"/>
      <c r="LZA801" s="111"/>
      <c r="LZB801" s="111"/>
      <c r="LZC801" s="111"/>
      <c r="LZD801" s="111"/>
      <c r="LZE801" s="111"/>
      <c r="LZF801" s="111"/>
      <c r="LZG801" s="111"/>
      <c r="LZH801" s="111"/>
      <c r="LZI801" s="111"/>
      <c r="LZJ801" s="111"/>
      <c r="LZK801" s="111"/>
      <c r="LZL801" s="111"/>
      <c r="LZM801" s="111"/>
      <c r="LZN801" s="111"/>
      <c r="LZO801" s="111"/>
      <c r="LZP801" s="111"/>
      <c r="LZQ801" s="111"/>
      <c r="LZR801" s="111"/>
      <c r="LZS801" s="111"/>
      <c r="LZT801" s="111"/>
      <c r="LZU801" s="111"/>
      <c r="LZV801" s="111"/>
      <c r="LZW801" s="111"/>
      <c r="LZX801" s="111"/>
      <c r="LZY801" s="111"/>
      <c r="LZZ801" s="111"/>
      <c r="MAA801" s="111"/>
      <c r="MAB801" s="111"/>
      <c r="MAC801" s="111"/>
      <c r="MAD801" s="111"/>
      <c r="MAE801" s="111"/>
      <c r="MAF801" s="111"/>
      <c r="MAG801" s="111"/>
      <c r="MAH801" s="111"/>
      <c r="MAI801" s="111"/>
      <c r="MAJ801" s="111"/>
      <c r="MAK801" s="111"/>
      <c r="MAL801" s="111"/>
      <c r="MAM801" s="111"/>
      <c r="MAN801" s="111"/>
      <c r="MAO801" s="111"/>
      <c r="MAP801" s="111"/>
      <c r="MAQ801" s="111"/>
      <c r="MAR801" s="111"/>
      <c r="MAS801" s="111"/>
      <c r="MAT801" s="111"/>
      <c r="MAU801" s="111"/>
      <c r="MAV801" s="111"/>
      <c r="MAW801" s="111"/>
      <c r="MAX801" s="111"/>
      <c r="MAY801" s="111"/>
      <c r="MAZ801" s="111"/>
      <c r="MBA801" s="111"/>
      <c r="MBB801" s="111"/>
      <c r="MBC801" s="111"/>
      <c r="MBD801" s="111"/>
      <c r="MBE801" s="111"/>
      <c r="MBF801" s="111"/>
      <c r="MBG801" s="111"/>
      <c r="MBH801" s="111"/>
      <c r="MBI801" s="111"/>
      <c r="MBJ801" s="111"/>
      <c r="MBK801" s="111"/>
      <c r="MBL801" s="111"/>
      <c r="MBM801" s="111"/>
      <c r="MBN801" s="111"/>
      <c r="MBO801" s="111"/>
      <c r="MBP801" s="111"/>
      <c r="MBQ801" s="111"/>
      <c r="MBR801" s="111"/>
      <c r="MBS801" s="111"/>
      <c r="MBT801" s="111"/>
      <c r="MBU801" s="111"/>
      <c r="MBV801" s="111"/>
      <c r="MBW801" s="111"/>
      <c r="MBX801" s="111"/>
      <c r="MBY801" s="111"/>
      <c r="MBZ801" s="111"/>
      <c r="MCA801" s="111"/>
      <c r="MCB801" s="111"/>
      <c r="MCC801" s="111"/>
      <c r="MCD801" s="111"/>
      <c r="MCE801" s="111"/>
      <c r="MCF801" s="111"/>
      <c r="MCG801" s="111"/>
      <c r="MCH801" s="111"/>
      <c r="MCI801" s="111"/>
      <c r="MCJ801" s="111"/>
      <c r="MCK801" s="111"/>
      <c r="MCL801" s="111"/>
      <c r="MCM801" s="111"/>
      <c r="MCN801" s="111"/>
      <c r="MCO801" s="111"/>
      <c r="MCP801" s="111"/>
      <c r="MCQ801" s="111"/>
      <c r="MCR801" s="111"/>
      <c r="MCS801" s="111"/>
      <c r="MCT801" s="111"/>
      <c r="MCU801" s="111"/>
      <c r="MCV801" s="111"/>
      <c r="MCW801" s="111"/>
      <c r="MCX801" s="111"/>
      <c r="MCY801" s="111"/>
      <c r="MCZ801" s="111"/>
      <c r="MDA801" s="111"/>
      <c r="MDB801" s="111"/>
      <c r="MDC801" s="111"/>
      <c r="MDD801" s="111"/>
      <c r="MDE801" s="111"/>
      <c r="MDF801" s="111"/>
      <c r="MDG801" s="111"/>
      <c r="MDH801" s="111"/>
      <c r="MDI801" s="111"/>
      <c r="MDJ801" s="111"/>
      <c r="MDK801" s="111"/>
      <c r="MDL801" s="111"/>
      <c r="MDM801" s="111"/>
      <c r="MDN801" s="111"/>
      <c r="MDO801" s="111"/>
      <c r="MDP801" s="111"/>
      <c r="MDQ801" s="111"/>
      <c r="MDR801" s="111"/>
      <c r="MDS801" s="111"/>
      <c r="MDT801" s="111"/>
      <c r="MDU801" s="111"/>
      <c r="MDV801" s="111"/>
      <c r="MDW801" s="111"/>
      <c r="MDX801" s="111"/>
      <c r="MDY801" s="111"/>
      <c r="MDZ801" s="111"/>
      <c r="MEA801" s="111"/>
      <c r="MEB801" s="111"/>
      <c r="MEC801" s="111"/>
      <c r="MED801" s="111"/>
      <c r="MEE801" s="111"/>
      <c r="MEF801" s="111"/>
      <c r="MEG801" s="111"/>
      <c r="MEH801" s="111"/>
      <c r="MEI801" s="111"/>
      <c r="MEJ801" s="111"/>
      <c r="MEK801" s="111"/>
      <c r="MEL801" s="111"/>
      <c r="MEM801" s="111"/>
      <c r="MEN801" s="111"/>
      <c r="MEO801" s="111"/>
      <c r="MEP801" s="111"/>
      <c r="MEQ801" s="111"/>
      <c r="MER801" s="111"/>
      <c r="MES801" s="111"/>
      <c r="MET801" s="111"/>
      <c r="MEU801" s="111"/>
      <c r="MEV801" s="111"/>
      <c r="MEW801" s="111"/>
      <c r="MEX801" s="111"/>
      <c r="MEY801" s="111"/>
      <c r="MEZ801" s="111"/>
      <c r="MFA801" s="111"/>
      <c r="MFB801" s="111"/>
      <c r="MFC801" s="111"/>
      <c r="MFD801" s="111"/>
      <c r="MFE801" s="111"/>
      <c r="MFF801" s="111"/>
      <c r="MFG801" s="111"/>
      <c r="MFH801" s="111"/>
      <c r="MFI801" s="111"/>
      <c r="MFJ801" s="111"/>
      <c r="MFK801" s="111"/>
      <c r="MFL801" s="111"/>
      <c r="MFM801" s="111"/>
      <c r="MFN801" s="111"/>
      <c r="MFO801" s="111"/>
      <c r="MFP801" s="111"/>
      <c r="MFQ801" s="111"/>
      <c r="MFR801" s="111"/>
      <c r="MFS801" s="111"/>
      <c r="MFT801" s="111"/>
      <c r="MFU801" s="111"/>
      <c r="MFV801" s="111"/>
      <c r="MFW801" s="111"/>
      <c r="MFX801" s="111"/>
      <c r="MFY801" s="111"/>
      <c r="MFZ801" s="111"/>
      <c r="MGA801" s="111"/>
      <c r="MGB801" s="111"/>
      <c r="MGC801" s="111"/>
      <c r="MGD801" s="111"/>
      <c r="MGE801" s="111"/>
      <c r="MGF801" s="111"/>
      <c r="MGG801" s="111"/>
      <c r="MGH801" s="111"/>
      <c r="MGI801" s="111"/>
      <c r="MGJ801" s="111"/>
      <c r="MGK801" s="111"/>
      <c r="MGL801" s="111"/>
      <c r="MGM801" s="111"/>
      <c r="MGN801" s="111"/>
      <c r="MGO801" s="111"/>
      <c r="MGP801" s="111"/>
      <c r="MGQ801" s="111"/>
      <c r="MGR801" s="111"/>
      <c r="MGS801" s="111"/>
      <c r="MGT801" s="111"/>
      <c r="MGU801" s="111"/>
      <c r="MGV801" s="111"/>
      <c r="MGW801" s="111"/>
      <c r="MGX801" s="111"/>
      <c r="MGY801" s="111"/>
      <c r="MGZ801" s="111"/>
      <c r="MHA801" s="111"/>
      <c r="MHB801" s="111"/>
      <c r="MHC801" s="111"/>
      <c r="MHD801" s="111"/>
      <c r="MHE801" s="111"/>
      <c r="MHF801" s="111"/>
      <c r="MHG801" s="111"/>
      <c r="MHH801" s="111"/>
      <c r="MHI801" s="111"/>
      <c r="MHJ801" s="111"/>
      <c r="MHK801" s="111"/>
      <c r="MHL801" s="111"/>
      <c r="MHM801" s="111"/>
      <c r="MHN801" s="111"/>
      <c r="MHO801" s="111"/>
      <c r="MHP801" s="111"/>
      <c r="MHQ801" s="111"/>
      <c r="MHR801" s="111"/>
      <c r="MHS801" s="111"/>
      <c r="MHT801" s="111"/>
      <c r="MHU801" s="111"/>
      <c r="MHV801" s="111"/>
      <c r="MHW801" s="111"/>
      <c r="MHX801" s="111"/>
      <c r="MHY801" s="111"/>
      <c r="MHZ801" s="111"/>
      <c r="MIA801" s="111"/>
      <c r="MIB801" s="111"/>
      <c r="MIC801" s="111"/>
      <c r="MID801" s="111"/>
      <c r="MIE801" s="111"/>
      <c r="MIF801" s="111"/>
      <c r="MIG801" s="111"/>
      <c r="MIH801" s="111"/>
      <c r="MII801" s="111"/>
      <c r="MIJ801" s="111"/>
      <c r="MIK801" s="111"/>
      <c r="MIL801" s="111"/>
      <c r="MIM801" s="111"/>
      <c r="MIN801" s="111"/>
      <c r="MIO801" s="111"/>
      <c r="MIP801" s="111"/>
      <c r="MIQ801" s="111"/>
      <c r="MIR801" s="111"/>
      <c r="MIS801" s="111"/>
      <c r="MIT801" s="111"/>
      <c r="MIU801" s="111"/>
      <c r="MIV801" s="111"/>
      <c r="MIW801" s="111"/>
      <c r="MIX801" s="111"/>
      <c r="MIY801" s="111"/>
      <c r="MIZ801" s="111"/>
      <c r="MJA801" s="111"/>
      <c r="MJB801" s="111"/>
      <c r="MJC801" s="111"/>
      <c r="MJD801" s="111"/>
      <c r="MJE801" s="111"/>
      <c r="MJF801" s="111"/>
      <c r="MJG801" s="111"/>
      <c r="MJH801" s="111"/>
      <c r="MJI801" s="111"/>
      <c r="MJJ801" s="111"/>
      <c r="MJK801" s="111"/>
      <c r="MJL801" s="111"/>
      <c r="MJM801" s="111"/>
      <c r="MJN801" s="111"/>
      <c r="MJO801" s="111"/>
      <c r="MJP801" s="111"/>
      <c r="MJQ801" s="111"/>
      <c r="MJR801" s="111"/>
      <c r="MJS801" s="111"/>
      <c r="MJT801" s="111"/>
      <c r="MJU801" s="111"/>
      <c r="MJV801" s="111"/>
      <c r="MJW801" s="111"/>
      <c r="MJX801" s="111"/>
      <c r="MJY801" s="111"/>
      <c r="MJZ801" s="111"/>
      <c r="MKA801" s="111"/>
      <c r="MKB801" s="111"/>
      <c r="MKC801" s="111"/>
      <c r="MKD801" s="111"/>
      <c r="MKE801" s="111"/>
      <c r="MKF801" s="111"/>
      <c r="MKG801" s="111"/>
      <c r="MKH801" s="111"/>
      <c r="MKI801" s="111"/>
      <c r="MKJ801" s="111"/>
      <c r="MKK801" s="111"/>
      <c r="MKL801" s="111"/>
      <c r="MKM801" s="111"/>
      <c r="MKN801" s="111"/>
      <c r="MKO801" s="111"/>
      <c r="MKP801" s="111"/>
      <c r="MKQ801" s="111"/>
      <c r="MKR801" s="111"/>
      <c r="MKS801" s="111"/>
      <c r="MKT801" s="111"/>
      <c r="MKU801" s="111"/>
      <c r="MKV801" s="111"/>
      <c r="MKW801" s="111"/>
      <c r="MKX801" s="111"/>
      <c r="MKY801" s="111"/>
      <c r="MKZ801" s="111"/>
      <c r="MLA801" s="111"/>
      <c r="MLB801" s="111"/>
      <c r="MLC801" s="111"/>
      <c r="MLD801" s="111"/>
      <c r="MLE801" s="111"/>
      <c r="MLF801" s="111"/>
      <c r="MLG801" s="111"/>
      <c r="MLH801" s="111"/>
      <c r="MLI801" s="111"/>
      <c r="MLJ801" s="111"/>
      <c r="MLK801" s="111"/>
      <c r="MLL801" s="111"/>
      <c r="MLM801" s="111"/>
      <c r="MLN801" s="111"/>
      <c r="MLO801" s="111"/>
      <c r="MLP801" s="111"/>
      <c r="MLQ801" s="111"/>
      <c r="MLR801" s="111"/>
      <c r="MLS801" s="111"/>
      <c r="MLT801" s="111"/>
      <c r="MLU801" s="111"/>
      <c r="MLV801" s="111"/>
      <c r="MLW801" s="111"/>
      <c r="MLX801" s="111"/>
      <c r="MLY801" s="111"/>
      <c r="MLZ801" s="111"/>
      <c r="MMA801" s="111"/>
      <c r="MMB801" s="111"/>
      <c r="MMC801" s="111"/>
      <c r="MMD801" s="111"/>
      <c r="MME801" s="111"/>
      <c r="MMF801" s="111"/>
      <c r="MMG801" s="111"/>
      <c r="MMH801" s="111"/>
      <c r="MMI801" s="111"/>
      <c r="MMJ801" s="111"/>
      <c r="MMK801" s="111"/>
      <c r="MML801" s="111"/>
      <c r="MMM801" s="111"/>
      <c r="MMN801" s="111"/>
      <c r="MMO801" s="111"/>
      <c r="MMP801" s="111"/>
      <c r="MMQ801" s="111"/>
      <c r="MMR801" s="111"/>
      <c r="MMS801" s="111"/>
      <c r="MMT801" s="111"/>
      <c r="MMU801" s="111"/>
      <c r="MMV801" s="111"/>
      <c r="MMW801" s="111"/>
      <c r="MMX801" s="111"/>
      <c r="MMY801" s="111"/>
      <c r="MMZ801" s="111"/>
      <c r="MNA801" s="111"/>
      <c r="MNB801" s="111"/>
      <c r="MNC801" s="111"/>
      <c r="MND801" s="111"/>
      <c r="MNE801" s="111"/>
      <c r="MNF801" s="111"/>
      <c r="MNG801" s="111"/>
      <c r="MNH801" s="111"/>
      <c r="MNI801" s="111"/>
      <c r="MNJ801" s="111"/>
      <c r="MNK801" s="111"/>
      <c r="MNL801" s="111"/>
      <c r="MNM801" s="111"/>
      <c r="MNN801" s="111"/>
      <c r="MNO801" s="111"/>
      <c r="MNP801" s="111"/>
      <c r="MNQ801" s="111"/>
      <c r="MNR801" s="111"/>
      <c r="MNS801" s="111"/>
      <c r="MNT801" s="111"/>
      <c r="MNU801" s="111"/>
      <c r="MNV801" s="111"/>
      <c r="MNW801" s="111"/>
      <c r="MNX801" s="111"/>
      <c r="MNY801" s="111"/>
      <c r="MNZ801" s="111"/>
      <c r="MOA801" s="111"/>
      <c r="MOB801" s="111"/>
      <c r="MOC801" s="111"/>
      <c r="MOD801" s="111"/>
      <c r="MOE801" s="111"/>
      <c r="MOF801" s="111"/>
      <c r="MOG801" s="111"/>
      <c r="MOH801" s="111"/>
      <c r="MOI801" s="111"/>
      <c r="MOJ801" s="111"/>
      <c r="MOK801" s="111"/>
      <c r="MOL801" s="111"/>
      <c r="MOM801" s="111"/>
      <c r="MON801" s="111"/>
      <c r="MOO801" s="111"/>
      <c r="MOP801" s="111"/>
      <c r="MOQ801" s="111"/>
      <c r="MOR801" s="111"/>
      <c r="MOS801" s="111"/>
      <c r="MOT801" s="111"/>
      <c r="MOU801" s="111"/>
      <c r="MOV801" s="111"/>
      <c r="MOW801" s="111"/>
      <c r="MOX801" s="111"/>
      <c r="MOY801" s="111"/>
      <c r="MOZ801" s="111"/>
      <c r="MPA801" s="111"/>
      <c r="MPB801" s="111"/>
      <c r="MPC801" s="111"/>
      <c r="MPD801" s="111"/>
      <c r="MPE801" s="111"/>
      <c r="MPF801" s="111"/>
      <c r="MPG801" s="111"/>
      <c r="MPH801" s="111"/>
      <c r="MPI801" s="111"/>
      <c r="MPJ801" s="111"/>
      <c r="MPK801" s="111"/>
      <c r="MPL801" s="111"/>
      <c r="MPM801" s="111"/>
      <c r="MPN801" s="111"/>
      <c r="MPO801" s="111"/>
      <c r="MPP801" s="111"/>
      <c r="MPQ801" s="111"/>
      <c r="MPR801" s="111"/>
      <c r="MPS801" s="111"/>
      <c r="MPT801" s="111"/>
      <c r="MPU801" s="111"/>
      <c r="MPV801" s="111"/>
      <c r="MPW801" s="111"/>
      <c r="MPX801" s="111"/>
      <c r="MPY801" s="111"/>
      <c r="MPZ801" s="111"/>
      <c r="MQA801" s="111"/>
      <c r="MQB801" s="111"/>
      <c r="MQC801" s="111"/>
      <c r="MQD801" s="111"/>
      <c r="MQE801" s="111"/>
      <c r="MQF801" s="111"/>
      <c r="MQG801" s="111"/>
      <c r="MQH801" s="111"/>
      <c r="MQI801" s="111"/>
      <c r="MQJ801" s="111"/>
      <c r="MQK801" s="111"/>
      <c r="MQL801" s="111"/>
      <c r="MQM801" s="111"/>
      <c r="MQN801" s="111"/>
      <c r="MQO801" s="111"/>
      <c r="MQP801" s="111"/>
      <c r="MQQ801" s="111"/>
      <c r="MQR801" s="111"/>
      <c r="MQS801" s="111"/>
      <c r="MQT801" s="111"/>
      <c r="MQU801" s="111"/>
      <c r="MQV801" s="111"/>
      <c r="MQW801" s="111"/>
      <c r="MQX801" s="111"/>
      <c r="MQY801" s="111"/>
      <c r="MQZ801" s="111"/>
      <c r="MRA801" s="111"/>
      <c r="MRB801" s="111"/>
      <c r="MRC801" s="111"/>
      <c r="MRD801" s="111"/>
      <c r="MRE801" s="111"/>
      <c r="MRF801" s="111"/>
      <c r="MRG801" s="111"/>
      <c r="MRH801" s="111"/>
      <c r="MRI801" s="111"/>
      <c r="MRJ801" s="111"/>
      <c r="MRK801" s="111"/>
      <c r="MRL801" s="111"/>
      <c r="MRM801" s="111"/>
      <c r="MRN801" s="111"/>
      <c r="MRO801" s="111"/>
      <c r="MRP801" s="111"/>
      <c r="MRQ801" s="111"/>
      <c r="MRR801" s="111"/>
      <c r="MRS801" s="111"/>
      <c r="MRT801" s="111"/>
      <c r="MRU801" s="111"/>
      <c r="MRV801" s="111"/>
      <c r="MRW801" s="111"/>
      <c r="MRX801" s="111"/>
      <c r="MRY801" s="111"/>
      <c r="MRZ801" s="111"/>
      <c r="MSA801" s="111"/>
      <c r="MSB801" s="111"/>
      <c r="MSC801" s="111"/>
      <c r="MSD801" s="111"/>
      <c r="MSE801" s="111"/>
      <c r="MSF801" s="111"/>
      <c r="MSG801" s="111"/>
      <c r="MSH801" s="111"/>
      <c r="MSI801" s="111"/>
      <c r="MSJ801" s="111"/>
      <c r="MSK801" s="111"/>
      <c r="MSL801" s="111"/>
      <c r="MSM801" s="111"/>
      <c r="MSN801" s="111"/>
      <c r="MSO801" s="111"/>
      <c r="MSP801" s="111"/>
      <c r="MSQ801" s="111"/>
      <c r="MSR801" s="111"/>
      <c r="MSS801" s="111"/>
      <c r="MST801" s="111"/>
      <c r="MSU801" s="111"/>
      <c r="MSV801" s="111"/>
      <c r="MSW801" s="111"/>
      <c r="MSX801" s="111"/>
      <c r="MSY801" s="111"/>
      <c r="MSZ801" s="111"/>
      <c r="MTA801" s="111"/>
      <c r="MTB801" s="111"/>
      <c r="MTC801" s="111"/>
      <c r="MTD801" s="111"/>
      <c r="MTE801" s="111"/>
      <c r="MTF801" s="111"/>
      <c r="MTG801" s="111"/>
      <c r="MTH801" s="111"/>
      <c r="MTI801" s="111"/>
      <c r="MTJ801" s="111"/>
      <c r="MTK801" s="111"/>
      <c r="MTL801" s="111"/>
      <c r="MTM801" s="111"/>
      <c r="MTN801" s="111"/>
      <c r="MTO801" s="111"/>
      <c r="MTP801" s="111"/>
      <c r="MTQ801" s="111"/>
      <c r="MTR801" s="111"/>
      <c r="MTS801" s="111"/>
      <c r="MTT801" s="111"/>
      <c r="MTU801" s="111"/>
      <c r="MTV801" s="111"/>
      <c r="MTW801" s="111"/>
      <c r="MTX801" s="111"/>
      <c r="MTY801" s="111"/>
      <c r="MTZ801" s="111"/>
      <c r="MUA801" s="111"/>
      <c r="MUB801" s="111"/>
      <c r="MUC801" s="111"/>
      <c r="MUD801" s="111"/>
      <c r="MUE801" s="111"/>
      <c r="MUF801" s="111"/>
      <c r="MUG801" s="111"/>
      <c r="MUH801" s="111"/>
      <c r="MUI801" s="111"/>
      <c r="MUJ801" s="111"/>
      <c r="MUK801" s="111"/>
      <c r="MUL801" s="111"/>
      <c r="MUM801" s="111"/>
      <c r="MUN801" s="111"/>
      <c r="MUO801" s="111"/>
      <c r="MUP801" s="111"/>
      <c r="MUQ801" s="111"/>
      <c r="MUR801" s="111"/>
      <c r="MUS801" s="111"/>
      <c r="MUT801" s="111"/>
      <c r="MUU801" s="111"/>
      <c r="MUV801" s="111"/>
      <c r="MUW801" s="111"/>
      <c r="MUX801" s="111"/>
      <c r="MUY801" s="111"/>
      <c r="MUZ801" s="111"/>
      <c r="MVA801" s="111"/>
      <c r="MVB801" s="111"/>
      <c r="MVC801" s="111"/>
      <c r="MVD801" s="111"/>
      <c r="MVE801" s="111"/>
      <c r="MVF801" s="111"/>
      <c r="MVG801" s="111"/>
      <c r="MVH801" s="111"/>
      <c r="MVI801" s="111"/>
      <c r="MVJ801" s="111"/>
      <c r="MVK801" s="111"/>
      <c r="MVL801" s="111"/>
      <c r="MVM801" s="111"/>
      <c r="MVN801" s="111"/>
      <c r="MVO801" s="111"/>
      <c r="MVP801" s="111"/>
      <c r="MVQ801" s="111"/>
      <c r="MVR801" s="111"/>
      <c r="MVS801" s="111"/>
      <c r="MVT801" s="111"/>
      <c r="MVU801" s="111"/>
      <c r="MVV801" s="111"/>
      <c r="MVW801" s="111"/>
      <c r="MVX801" s="111"/>
      <c r="MVY801" s="111"/>
      <c r="MVZ801" s="111"/>
      <c r="MWA801" s="111"/>
      <c r="MWB801" s="111"/>
      <c r="MWC801" s="111"/>
      <c r="MWD801" s="111"/>
      <c r="MWE801" s="111"/>
      <c r="MWF801" s="111"/>
      <c r="MWG801" s="111"/>
      <c r="MWH801" s="111"/>
      <c r="MWI801" s="111"/>
      <c r="MWJ801" s="111"/>
      <c r="MWK801" s="111"/>
      <c r="MWL801" s="111"/>
      <c r="MWM801" s="111"/>
      <c r="MWN801" s="111"/>
      <c r="MWO801" s="111"/>
      <c r="MWP801" s="111"/>
      <c r="MWQ801" s="111"/>
      <c r="MWR801" s="111"/>
      <c r="MWS801" s="111"/>
      <c r="MWT801" s="111"/>
      <c r="MWU801" s="111"/>
      <c r="MWV801" s="111"/>
      <c r="MWW801" s="111"/>
      <c r="MWX801" s="111"/>
      <c r="MWY801" s="111"/>
      <c r="MWZ801" s="111"/>
      <c r="MXA801" s="111"/>
      <c r="MXB801" s="111"/>
      <c r="MXC801" s="111"/>
      <c r="MXD801" s="111"/>
      <c r="MXE801" s="111"/>
      <c r="MXF801" s="111"/>
      <c r="MXG801" s="111"/>
      <c r="MXH801" s="111"/>
      <c r="MXI801" s="111"/>
      <c r="MXJ801" s="111"/>
      <c r="MXK801" s="111"/>
      <c r="MXL801" s="111"/>
      <c r="MXM801" s="111"/>
      <c r="MXN801" s="111"/>
      <c r="MXO801" s="111"/>
      <c r="MXP801" s="111"/>
      <c r="MXQ801" s="111"/>
      <c r="MXR801" s="111"/>
      <c r="MXS801" s="111"/>
      <c r="MXT801" s="111"/>
      <c r="MXU801" s="111"/>
      <c r="MXV801" s="111"/>
      <c r="MXW801" s="111"/>
      <c r="MXX801" s="111"/>
      <c r="MXY801" s="111"/>
      <c r="MXZ801" s="111"/>
      <c r="MYA801" s="111"/>
      <c r="MYB801" s="111"/>
      <c r="MYC801" s="111"/>
      <c r="MYD801" s="111"/>
      <c r="MYE801" s="111"/>
      <c r="MYF801" s="111"/>
      <c r="MYG801" s="111"/>
      <c r="MYH801" s="111"/>
      <c r="MYI801" s="111"/>
      <c r="MYJ801" s="111"/>
      <c r="MYK801" s="111"/>
      <c r="MYL801" s="111"/>
      <c r="MYM801" s="111"/>
      <c r="MYN801" s="111"/>
      <c r="MYO801" s="111"/>
      <c r="MYP801" s="111"/>
      <c r="MYQ801" s="111"/>
      <c r="MYR801" s="111"/>
      <c r="MYS801" s="111"/>
      <c r="MYT801" s="111"/>
      <c r="MYU801" s="111"/>
      <c r="MYV801" s="111"/>
      <c r="MYW801" s="111"/>
      <c r="MYX801" s="111"/>
      <c r="MYY801" s="111"/>
      <c r="MYZ801" s="111"/>
      <c r="MZA801" s="111"/>
      <c r="MZB801" s="111"/>
      <c r="MZC801" s="111"/>
      <c r="MZD801" s="111"/>
      <c r="MZE801" s="111"/>
      <c r="MZF801" s="111"/>
      <c r="MZG801" s="111"/>
      <c r="MZH801" s="111"/>
      <c r="MZI801" s="111"/>
      <c r="MZJ801" s="111"/>
      <c r="MZK801" s="111"/>
      <c r="MZL801" s="111"/>
      <c r="MZM801" s="111"/>
      <c r="MZN801" s="111"/>
      <c r="MZO801" s="111"/>
      <c r="MZP801" s="111"/>
      <c r="MZQ801" s="111"/>
      <c r="MZR801" s="111"/>
      <c r="MZS801" s="111"/>
      <c r="MZT801" s="111"/>
      <c r="MZU801" s="111"/>
      <c r="MZV801" s="111"/>
      <c r="MZW801" s="111"/>
      <c r="MZX801" s="111"/>
      <c r="MZY801" s="111"/>
      <c r="MZZ801" s="111"/>
      <c r="NAA801" s="111"/>
      <c r="NAB801" s="111"/>
      <c r="NAC801" s="111"/>
      <c r="NAD801" s="111"/>
      <c r="NAE801" s="111"/>
      <c r="NAF801" s="111"/>
      <c r="NAG801" s="111"/>
      <c r="NAH801" s="111"/>
      <c r="NAI801" s="111"/>
      <c r="NAJ801" s="111"/>
      <c r="NAK801" s="111"/>
      <c r="NAL801" s="111"/>
      <c r="NAM801" s="111"/>
      <c r="NAN801" s="111"/>
      <c r="NAO801" s="111"/>
      <c r="NAP801" s="111"/>
      <c r="NAQ801" s="111"/>
      <c r="NAR801" s="111"/>
      <c r="NAS801" s="111"/>
      <c r="NAT801" s="111"/>
      <c r="NAU801" s="111"/>
      <c r="NAV801" s="111"/>
      <c r="NAW801" s="111"/>
      <c r="NAX801" s="111"/>
      <c r="NAY801" s="111"/>
      <c r="NAZ801" s="111"/>
      <c r="NBA801" s="111"/>
      <c r="NBB801" s="111"/>
      <c r="NBC801" s="111"/>
      <c r="NBD801" s="111"/>
      <c r="NBE801" s="111"/>
      <c r="NBF801" s="111"/>
      <c r="NBG801" s="111"/>
      <c r="NBH801" s="111"/>
      <c r="NBI801" s="111"/>
      <c r="NBJ801" s="111"/>
      <c r="NBK801" s="111"/>
      <c r="NBL801" s="111"/>
      <c r="NBM801" s="111"/>
      <c r="NBN801" s="111"/>
      <c r="NBO801" s="111"/>
      <c r="NBP801" s="111"/>
      <c r="NBQ801" s="111"/>
      <c r="NBR801" s="111"/>
      <c r="NBS801" s="111"/>
      <c r="NBT801" s="111"/>
      <c r="NBU801" s="111"/>
      <c r="NBV801" s="111"/>
      <c r="NBW801" s="111"/>
      <c r="NBX801" s="111"/>
      <c r="NBY801" s="111"/>
      <c r="NBZ801" s="111"/>
      <c r="NCA801" s="111"/>
      <c r="NCB801" s="111"/>
      <c r="NCC801" s="111"/>
      <c r="NCD801" s="111"/>
      <c r="NCE801" s="111"/>
      <c r="NCF801" s="111"/>
      <c r="NCG801" s="111"/>
      <c r="NCH801" s="111"/>
      <c r="NCI801" s="111"/>
      <c r="NCJ801" s="111"/>
      <c r="NCK801" s="111"/>
      <c r="NCL801" s="111"/>
      <c r="NCM801" s="111"/>
      <c r="NCN801" s="111"/>
      <c r="NCO801" s="111"/>
      <c r="NCP801" s="111"/>
      <c r="NCQ801" s="111"/>
      <c r="NCR801" s="111"/>
      <c r="NCS801" s="111"/>
      <c r="NCT801" s="111"/>
      <c r="NCU801" s="111"/>
      <c r="NCV801" s="111"/>
      <c r="NCW801" s="111"/>
      <c r="NCX801" s="111"/>
      <c r="NCY801" s="111"/>
      <c r="NCZ801" s="111"/>
      <c r="NDA801" s="111"/>
      <c r="NDB801" s="111"/>
      <c r="NDC801" s="111"/>
      <c r="NDD801" s="111"/>
      <c r="NDE801" s="111"/>
      <c r="NDF801" s="111"/>
      <c r="NDG801" s="111"/>
      <c r="NDH801" s="111"/>
      <c r="NDI801" s="111"/>
      <c r="NDJ801" s="111"/>
      <c r="NDK801" s="111"/>
      <c r="NDL801" s="111"/>
      <c r="NDM801" s="111"/>
      <c r="NDN801" s="111"/>
      <c r="NDO801" s="111"/>
      <c r="NDP801" s="111"/>
      <c r="NDQ801" s="111"/>
      <c r="NDR801" s="111"/>
      <c r="NDS801" s="111"/>
      <c r="NDT801" s="111"/>
      <c r="NDU801" s="111"/>
      <c r="NDV801" s="111"/>
      <c r="NDW801" s="111"/>
      <c r="NDX801" s="111"/>
      <c r="NDY801" s="111"/>
      <c r="NDZ801" s="111"/>
      <c r="NEA801" s="111"/>
      <c r="NEB801" s="111"/>
      <c r="NEC801" s="111"/>
      <c r="NED801" s="111"/>
      <c r="NEE801" s="111"/>
      <c r="NEF801" s="111"/>
      <c r="NEG801" s="111"/>
      <c r="NEH801" s="111"/>
      <c r="NEI801" s="111"/>
      <c r="NEJ801" s="111"/>
      <c r="NEK801" s="111"/>
      <c r="NEL801" s="111"/>
      <c r="NEM801" s="111"/>
      <c r="NEN801" s="111"/>
      <c r="NEO801" s="111"/>
      <c r="NEP801" s="111"/>
      <c r="NEQ801" s="111"/>
      <c r="NER801" s="111"/>
      <c r="NES801" s="111"/>
      <c r="NET801" s="111"/>
      <c r="NEU801" s="111"/>
      <c r="NEV801" s="111"/>
      <c r="NEW801" s="111"/>
      <c r="NEX801" s="111"/>
      <c r="NEY801" s="111"/>
      <c r="NEZ801" s="111"/>
      <c r="NFA801" s="111"/>
      <c r="NFB801" s="111"/>
      <c r="NFC801" s="111"/>
      <c r="NFD801" s="111"/>
      <c r="NFE801" s="111"/>
      <c r="NFF801" s="111"/>
      <c r="NFG801" s="111"/>
      <c r="NFH801" s="111"/>
      <c r="NFI801" s="111"/>
      <c r="NFJ801" s="111"/>
      <c r="NFK801" s="111"/>
      <c r="NFL801" s="111"/>
      <c r="NFM801" s="111"/>
      <c r="NFN801" s="111"/>
      <c r="NFO801" s="111"/>
      <c r="NFP801" s="111"/>
      <c r="NFQ801" s="111"/>
      <c r="NFR801" s="111"/>
      <c r="NFS801" s="111"/>
      <c r="NFT801" s="111"/>
      <c r="NFU801" s="111"/>
      <c r="NFV801" s="111"/>
      <c r="NFW801" s="111"/>
      <c r="NFX801" s="111"/>
      <c r="NFY801" s="111"/>
      <c r="NFZ801" s="111"/>
      <c r="NGA801" s="111"/>
      <c r="NGB801" s="111"/>
      <c r="NGC801" s="111"/>
      <c r="NGD801" s="111"/>
      <c r="NGE801" s="111"/>
      <c r="NGF801" s="111"/>
      <c r="NGG801" s="111"/>
      <c r="NGH801" s="111"/>
      <c r="NGI801" s="111"/>
      <c r="NGJ801" s="111"/>
      <c r="NGK801" s="111"/>
      <c r="NGL801" s="111"/>
      <c r="NGM801" s="111"/>
      <c r="NGN801" s="111"/>
      <c r="NGO801" s="111"/>
      <c r="NGP801" s="111"/>
      <c r="NGQ801" s="111"/>
      <c r="NGR801" s="111"/>
      <c r="NGS801" s="111"/>
      <c r="NGT801" s="111"/>
      <c r="NGU801" s="111"/>
      <c r="NGV801" s="111"/>
      <c r="NGW801" s="111"/>
      <c r="NGX801" s="111"/>
      <c r="NGY801" s="111"/>
      <c r="NGZ801" s="111"/>
      <c r="NHA801" s="111"/>
      <c r="NHB801" s="111"/>
      <c r="NHC801" s="111"/>
      <c r="NHD801" s="111"/>
      <c r="NHE801" s="111"/>
      <c r="NHF801" s="111"/>
      <c r="NHG801" s="111"/>
      <c r="NHH801" s="111"/>
      <c r="NHI801" s="111"/>
      <c r="NHJ801" s="111"/>
      <c r="NHK801" s="111"/>
      <c r="NHL801" s="111"/>
      <c r="NHM801" s="111"/>
      <c r="NHN801" s="111"/>
      <c r="NHO801" s="111"/>
      <c r="NHP801" s="111"/>
      <c r="NHQ801" s="111"/>
      <c r="NHR801" s="111"/>
      <c r="NHS801" s="111"/>
      <c r="NHT801" s="111"/>
      <c r="NHU801" s="111"/>
      <c r="NHV801" s="111"/>
      <c r="NHW801" s="111"/>
      <c r="NHX801" s="111"/>
      <c r="NHY801" s="111"/>
      <c r="NHZ801" s="111"/>
      <c r="NIA801" s="111"/>
      <c r="NIB801" s="111"/>
      <c r="NIC801" s="111"/>
      <c r="NID801" s="111"/>
      <c r="NIE801" s="111"/>
      <c r="NIF801" s="111"/>
      <c r="NIG801" s="111"/>
      <c r="NIH801" s="111"/>
      <c r="NII801" s="111"/>
      <c r="NIJ801" s="111"/>
      <c r="NIK801" s="111"/>
      <c r="NIL801" s="111"/>
      <c r="NIM801" s="111"/>
      <c r="NIN801" s="111"/>
      <c r="NIO801" s="111"/>
      <c r="NIP801" s="111"/>
      <c r="NIQ801" s="111"/>
      <c r="NIR801" s="111"/>
      <c r="NIS801" s="111"/>
      <c r="NIT801" s="111"/>
      <c r="NIU801" s="111"/>
      <c r="NIV801" s="111"/>
      <c r="NIW801" s="111"/>
      <c r="NIX801" s="111"/>
      <c r="NIY801" s="111"/>
      <c r="NIZ801" s="111"/>
      <c r="NJA801" s="111"/>
      <c r="NJB801" s="111"/>
      <c r="NJC801" s="111"/>
      <c r="NJD801" s="111"/>
      <c r="NJE801" s="111"/>
      <c r="NJF801" s="111"/>
      <c r="NJG801" s="111"/>
      <c r="NJH801" s="111"/>
      <c r="NJI801" s="111"/>
      <c r="NJJ801" s="111"/>
      <c r="NJK801" s="111"/>
      <c r="NJL801" s="111"/>
      <c r="NJM801" s="111"/>
      <c r="NJN801" s="111"/>
      <c r="NJO801" s="111"/>
      <c r="NJP801" s="111"/>
      <c r="NJQ801" s="111"/>
      <c r="NJR801" s="111"/>
      <c r="NJS801" s="111"/>
      <c r="NJT801" s="111"/>
      <c r="NJU801" s="111"/>
      <c r="NJV801" s="111"/>
      <c r="NJW801" s="111"/>
      <c r="NJX801" s="111"/>
      <c r="NJY801" s="111"/>
      <c r="NJZ801" s="111"/>
      <c r="NKA801" s="111"/>
      <c r="NKB801" s="111"/>
      <c r="NKC801" s="111"/>
      <c r="NKD801" s="111"/>
      <c r="NKE801" s="111"/>
      <c r="NKF801" s="111"/>
      <c r="NKG801" s="111"/>
      <c r="NKH801" s="111"/>
      <c r="NKI801" s="111"/>
      <c r="NKJ801" s="111"/>
      <c r="NKK801" s="111"/>
      <c r="NKL801" s="111"/>
      <c r="NKM801" s="111"/>
      <c r="NKN801" s="111"/>
      <c r="NKO801" s="111"/>
      <c r="NKP801" s="111"/>
      <c r="NKQ801" s="111"/>
      <c r="NKR801" s="111"/>
      <c r="NKS801" s="111"/>
      <c r="NKT801" s="111"/>
      <c r="NKU801" s="111"/>
      <c r="NKV801" s="111"/>
      <c r="NKW801" s="111"/>
      <c r="NKX801" s="111"/>
      <c r="NKY801" s="111"/>
      <c r="NKZ801" s="111"/>
      <c r="NLA801" s="111"/>
      <c r="NLB801" s="111"/>
      <c r="NLC801" s="111"/>
      <c r="NLD801" s="111"/>
      <c r="NLE801" s="111"/>
      <c r="NLF801" s="111"/>
      <c r="NLG801" s="111"/>
      <c r="NLH801" s="111"/>
      <c r="NLI801" s="111"/>
      <c r="NLJ801" s="111"/>
      <c r="NLK801" s="111"/>
      <c r="NLL801" s="111"/>
      <c r="NLM801" s="111"/>
      <c r="NLN801" s="111"/>
      <c r="NLO801" s="111"/>
      <c r="NLP801" s="111"/>
      <c r="NLQ801" s="111"/>
      <c r="NLR801" s="111"/>
      <c r="NLS801" s="111"/>
      <c r="NLT801" s="111"/>
      <c r="NLU801" s="111"/>
      <c r="NLV801" s="111"/>
      <c r="NLW801" s="111"/>
      <c r="NLX801" s="111"/>
      <c r="NLY801" s="111"/>
      <c r="NLZ801" s="111"/>
      <c r="NMA801" s="111"/>
      <c r="NMB801" s="111"/>
      <c r="NMC801" s="111"/>
      <c r="NMD801" s="111"/>
      <c r="NME801" s="111"/>
      <c r="NMF801" s="111"/>
      <c r="NMG801" s="111"/>
      <c r="NMH801" s="111"/>
      <c r="NMI801" s="111"/>
      <c r="NMJ801" s="111"/>
      <c r="NMK801" s="111"/>
      <c r="NML801" s="111"/>
      <c r="NMM801" s="111"/>
      <c r="NMN801" s="111"/>
      <c r="NMO801" s="111"/>
      <c r="NMP801" s="111"/>
      <c r="NMQ801" s="111"/>
      <c r="NMR801" s="111"/>
      <c r="NMS801" s="111"/>
      <c r="NMT801" s="111"/>
      <c r="NMU801" s="111"/>
      <c r="NMV801" s="111"/>
      <c r="NMW801" s="111"/>
      <c r="NMX801" s="111"/>
      <c r="NMY801" s="111"/>
      <c r="NMZ801" s="111"/>
      <c r="NNA801" s="111"/>
      <c r="NNB801" s="111"/>
      <c r="NNC801" s="111"/>
      <c r="NND801" s="111"/>
      <c r="NNE801" s="111"/>
      <c r="NNF801" s="111"/>
      <c r="NNG801" s="111"/>
      <c r="NNH801" s="111"/>
      <c r="NNI801" s="111"/>
      <c r="NNJ801" s="111"/>
      <c r="NNK801" s="111"/>
      <c r="NNL801" s="111"/>
      <c r="NNM801" s="111"/>
      <c r="NNN801" s="111"/>
      <c r="NNO801" s="111"/>
      <c r="NNP801" s="111"/>
      <c r="NNQ801" s="111"/>
      <c r="NNR801" s="111"/>
      <c r="NNS801" s="111"/>
      <c r="NNT801" s="111"/>
      <c r="NNU801" s="111"/>
      <c r="NNV801" s="111"/>
      <c r="NNW801" s="111"/>
      <c r="NNX801" s="111"/>
      <c r="NNY801" s="111"/>
      <c r="NNZ801" s="111"/>
      <c r="NOA801" s="111"/>
      <c r="NOB801" s="111"/>
      <c r="NOC801" s="111"/>
      <c r="NOD801" s="111"/>
      <c r="NOE801" s="111"/>
      <c r="NOF801" s="111"/>
      <c r="NOG801" s="111"/>
      <c r="NOH801" s="111"/>
      <c r="NOI801" s="111"/>
      <c r="NOJ801" s="111"/>
      <c r="NOK801" s="111"/>
      <c r="NOL801" s="111"/>
      <c r="NOM801" s="111"/>
      <c r="NON801" s="111"/>
      <c r="NOO801" s="111"/>
      <c r="NOP801" s="111"/>
      <c r="NOQ801" s="111"/>
      <c r="NOR801" s="111"/>
      <c r="NOS801" s="111"/>
      <c r="NOT801" s="111"/>
      <c r="NOU801" s="111"/>
      <c r="NOV801" s="111"/>
      <c r="NOW801" s="111"/>
      <c r="NOX801" s="111"/>
      <c r="NOY801" s="111"/>
      <c r="NOZ801" s="111"/>
      <c r="NPA801" s="111"/>
      <c r="NPB801" s="111"/>
      <c r="NPC801" s="111"/>
      <c r="NPD801" s="111"/>
      <c r="NPE801" s="111"/>
      <c r="NPF801" s="111"/>
      <c r="NPG801" s="111"/>
      <c r="NPH801" s="111"/>
      <c r="NPI801" s="111"/>
      <c r="NPJ801" s="111"/>
      <c r="NPK801" s="111"/>
      <c r="NPL801" s="111"/>
      <c r="NPM801" s="111"/>
      <c r="NPN801" s="111"/>
      <c r="NPO801" s="111"/>
      <c r="NPP801" s="111"/>
      <c r="NPQ801" s="111"/>
      <c r="NPR801" s="111"/>
      <c r="NPS801" s="111"/>
      <c r="NPT801" s="111"/>
      <c r="NPU801" s="111"/>
      <c r="NPV801" s="111"/>
      <c r="NPW801" s="111"/>
      <c r="NPX801" s="111"/>
      <c r="NPY801" s="111"/>
      <c r="NPZ801" s="111"/>
      <c r="NQA801" s="111"/>
      <c r="NQB801" s="111"/>
      <c r="NQC801" s="111"/>
      <c r="NQD801" s="111"/>
      <c r="NQE801" s="111"/>
      <c r="NQF801" s="111"/>
      <c r="NQG801" s="111"/>
      <c r="NQH801" s="111"/>
      <c r="NQI801" s="111"/>
      <c r="NQJ801" s="111"/>
      <c r="NQK801" s="111"/>
      <c r="NQL801" s="111"/>
      <c r="NQM801" s="111"/>
      <c r="NQN801" s="111"/>
      <c r="NQO801" s="111"/>
      <c r="NQP801" s="111"/>
      <c r="NQQ801" s="111"/>
      <c r="NQR801" s="111"/>
      <c r="NQS801" s="111"/>
      <c r="NQT801" s="111"/>
      <c r="NQU801" s="111"/>
      <c r="NQV801" s="111"/>
      <c r="NQW801" s="111"/>
      <c r="NQX801" s="111"/>
      <c r="NQY801" s="111"/>
      <c r="NQZ801" s="111"/>
      <c r="NRA801" s="111"/>
      <c r="NRB801" s="111"/>
      <c r="NRC801" s="111"/>
      <c r="NRD801" s="111"/>
      <c r="NRE801" s="111"/>
      <c r="NRF801" s="111"/>
      <c r="NRG801" s="111"/>
      <c r="NRH801" s="111"/>
      <c r="NRI801" s="111"/>
      <c r="NRJ801" s="111"/>
      <c r="NRK801" s="111"/>
      <c r="NRL801" s="111"/>
      <c r="NRM801" s="111"/>
      <c r="NRN801" s="111"/>
      <c r="NRO801" s="111"/>
      <c r="NRP801" s="111"/>
      <c r="NRQ801" s="111"/>
      <c r="NRR801" s="111"/>
      <c r="NRS801" s="111"/>
      <c r="NRT801" s="111"/>
      <c r="NRU801" s="111"/>
      <c r="NRV801" s="111"/>
      <c r="NRW801" s="111"/>
      <c r="NRX801" s="111"/>
      <c r="NRY801" s="111"/>
      <c r="NRZ801" s="111"/>
      <c r="NSA801" s="111"/>
      <c r="NSB801" s="111"/>
      <c r="NSC801" s="111"/>
      <c r="NSD801" s="111"/>
      <c r="NSE801" s="111"/>
      <c r="NSF801" s="111"/>
      <c r="NSG801" s="111"/>
      <c r="NSH801" s="111"/>
      <c r="NSI801" s="111"/>
      <c r="NSJ801" s="111"/>
      <c r="NSK801" s="111"/>
      <c r="NSL801" s="111"/>
      <c r="NSM801" s="111"/>
      <c r="NSN801" s="111"/>
      <c r="NSO801" s="111"/>
      <c r="NSP801" s="111"/>
      <c r="NSQ801" s="111"/>
      <c r="NSR801" s="111"/>
      <c r="NSS801" s="111"/>
      <c r="NST801" s="111"/>
      <c r="NSU801" s="111"/>
      <c r="NSV801" s="111"/>
      <c r="NSW801" s="111"/>
      <c r="NSX801" s="111"/>
      <c r="NSY801" s="111"/>
      <c r="NSZ801" s="111"/>
      <c r="NTA801" s="111"/>
      <c r="NTB801" s="111"/>
      <c r="NTC801" s="111"/>
      <c r="NTD801" s="111"/>
      <c r="NTE801" s="111"/>
      <c r="NTF801" s="111"/>
      <c r="NTG801" s="111"/>
      <c r="NTH801" s="111"/>
      <c r="NTI801" s="111"/>
      <c r="NTJ801" s="111"/>
      <c r="NTK801" s="111"/>
      <c r="NTL801" s="111"/>
      <c r="NTM801" s="111"/>
      <c r="NTN801" s="111"/>
      <c r="NTO801" s="111"/>
      <c r="NTP801" s="111"/>
      <c r="NTQ801" s="111"/>
      <c r="NTR801" s="111"/>
      <c r="NTS801" s="111"/>
      <c r="NTT801" s="111"/>
      <c r="NTU801" s="111"/>
      <c r="NTV801" s="111"/>
      <c r="NTW801" s="111"/>
      <c r="NTX801" s="111"/>
      <c r="NTY801" s="111"/>
      <c r="NTZ801" s="111"/>
      <c r="NUA801" s="111"/>
      <c r="NUB801" s="111"/>
      <c r="NUC801" s="111"/>
      <c r="NUD801" s="111"/>
      <c r="NUE801" s="111"/>
      <c r="NUF801" s="111"/>
      <c r="NUG801" s="111"/>
      <c r="NUH801" s="111"/>
      <c r="NUI801" s="111"/>
      <c r="NUJ801" s="111"/>
      <c r="NUK801" s="111"/>
      <c r="NUL801" s="111"/>
      <c r="NUM801" s="111"/>
      <c r="NUN801" s="111"/>
      <c r="NUO801" s="111"/>
      <c r="NUP801" s="111"/>
      <c r="NUQ801" s="111"/>
      <c r="NUR801" s="111"/>
      <c r="NUS801" s="111"/>
      <c r="NUT801" s="111"/>
      <c r="NUU801" s="111"/>
      <c r="NUV801" s="111"/>
      <c r="NUW801" s="111"/>
      <c r="NUX801" s="111"/>
      <c r="NUY801" s="111"/>
      <c r="NUZ801" s="111"/>
      <c r="NVA801" s="111"/>
      <c r="NVB801" s="111"/>
      <c r="NVC801" s="111"/>
      <c r="NVD801" s="111"/>
      <c r="NVE801" s="111"/>
      <c r="NVF801" s="111"/>
      <c r="NVG801" s="111"/>
      <c r="NVH801" s="111"/>
      <c r="NVI801" s="111"/>
      <c r="NVJ801" s="111"/>
      <c r="NVK801" s="111"/>
      <c r="NVL801" s="111"/>
      <c r="NVM801" s="111"/>
      <c r="NVN801" s="111"/>
      <c r="NVO801" s="111"/>
      <c r="NVP801" s="111"/>
      <c r="NVQ801" s="111"/>
      <c r="NVR801" s="111"/>
      <c r="NVS801" s="111"/>
      <c r="NVT801" s="111"/>
      <c r="NVU801" s="111"/>
      <c r="NVV801" s="111"/>
      <c r="NVW801" s="111"/>
      <c r="NVX801" s="111"/>
      <c r="NVY801" s="111"/>
      <c r="NVZ801" s="111"/>
      <c r="NWA801" s="111"/>
      <c r="NWB801" s="111"/>
      <c r="NWC801" s="111"/>
      <c r="NWD801" s="111"/>
      <c r="NWE801" s="111"/>
      <c r="NWF801" s="111"/>
      <c r="NWG801" s="111"/>
      <c r="NWH801" s="111"/>
      <c r="NWI801" s="111"/>
      <c r="NWJ801" s="111"/>
      <c r="NWK801" s="111"/>
      <c r="NWL801" s="111"/>
      <c r="NWM801" s="111"/>
      <c r="NWN801" s="111"/>
      <c r="NWO801" s="111"/>
      <c r="NWP801" s="111"/>
      <c r="NWQ801" s="111"/>
      <c r="NWR801" s="111"/>
      <c r="NWS801" s="111"/>
      <c r="NWT801" s="111"/>
      <c r="NWU801" s="111"/>
      <c r="NWV801" s="111"/>
      <c r="NWW801" s="111"/>
      <c r="NWX801" s="111"/>
      <c r="NWY801" s="111"/>
      <c r="NWZ801" s="111"/>
      <c r="NXA801" s="111"/>
      <c r="NXB801" s="111"/>
      <c r="NXC801" s="111"/>
      <c r="NXD801" s="111"/>
      <c r="NXE801" s="111"/>
      <c r="NXF801" s="111"/>
      <c r="NXG801" s="111"/>
      <c r="NXH801" s="111"/>
      <c r="NXI801" s="111"/>
      <c r="NXJ801" s="111"/>
      <c r="NXK801" s="111"/>
      <c r="NXL801" s="111"/>
      <c r="NXM801" s="111"/>
      <c r="NXN801" s="111"/>
      <c r="NXO801" s="111"/>
      <c r="NXP801" s="111"/>
      <c r="NXQ801" s="111"/>
      <c r="NXR801" s="111"/>
      <c r="NXS801" s="111"/>
      <c r="NXT801" s="111"/>
      <c r="NXU801" s="111"/>
      <c r="NXV801" s="111"/>
      <c r="NXW801" s="111"/>
      <c r="NXX801" s="111"/>
      <c r="NXY801" s="111"/>
      <c r="NXZ801" s="111"/>
      <c r="NYA801" s="111"/>
      <c r="NYB801" s="111"/>
      <c r="NYC801" s="111"/>
      <c r="NYD801" s="111"/>
      <c r="NYE801" s="111"/>
      <c r="NYF801" s="111"/>
      <c r="NYG801" s="111"/>
      <c r="NYH801" s="111"/>
      <c r="NYI801" s="111"/>
      <c r="NYJ801" s="111"/>
      <c r="NYK801" s="111"/>
      <c r="NYL801" s="111"/>
      <c r="NYM801" s="111"/>
      <c r="NYN801" s="111"/>
      <c r="NYO801" s="111"/>
      <c r="NYP801" s="111"/>
      <c r="NYQ801" s="111"/>
      <c r="NYR801" s="111"/>
      <c r="NYS801" s="111"/>
      <c r="NYT801" s="111"/>
      <c r="NYU801" s="111"/>
      <c r="NYV801" s="111"/>
      <c r="NYW801" s="111"/>
      <c r="NYX801" s="111"/>
      <c r="NYY801" s="111"/>
      <c r="NYZ801" s="111"/>
      <c r="NZA801" s="111"/>
      <c r="NZB801" s="111"/>
      <c r="NZC801" s="111"/>
      <c r="NZD801" s="111"/>
      <c r="NZE801" s="111"/>
      <c r="NZF801" s="111"/>
      <c r="NZG801" s="111"/>
      <c r="NZH801" s="111"/>
      <c r="NZI801" s="111"/>
      <c r="NZJ801" s="111"/>
      <c r="NZK801" s="111"/>
      <c r="NZL801" s="111"/>
      <c r="NZM801" s="111"/>
      <c r="NZN801" s="111"/>
      <c r="NZO801" s="111"/>
      <c r="NZP801" s="111"/>
      <c r="NZQ801" s="111"/>
      <c r="NZR801" s="111"/>
      <c r="NZS801" s="111"/>
      <c r="NZT801" s="111"/>
      <c r="NZU801" s="111"/>
      <c r="NZV801" s="111"/>
      <c r="NZW801" s="111"/>
      <c r="NZX801" s="111"/>
      <c r="NZY801" s="111"/>
      <c r="NZZ801" s="111"/>
      <c r="OAA801" s="111"/>
      <c r="OAB801" s="111"/>
      <c r="OAC801" s="111"/>
      <c r="OAD801" s="111"/>
      <c r="OAE801" s="111"/>
      <c r="OAF801" s="111"/>
      <c r="OAG801" s="111"/>
      <c r="OAH801" s="111"/>
      <c r="OAI801" s="111"/>
      <c r="OAJ801" s="111"/>
      <c r="OAK801" s="111"/>
      <c r="OAL801" s="111"/>
      <c r="OAM801" s="111"/>
      <c r="OAN801" s="111"/>
      <c r="OAO801" s="111"/>
      <c r="OAP801" s="111"/>
      <c r="OAQ801" s="111"/>
      <c r="OAR801" s="111"/>
      <c r="OAS801" s="111"/>
      <c r="OAT801" s="111"/>
      <c r="OAU801" s="111"/>
      <c r="OAV801" s="111"/>
      <c r="OAW801" s="111"/>
      <c r="OAX801" s="111"/>
      <c r="OAY801" s="111"/>
      <c r="OAZ801" s="111"/>
      <c r="OBA801" s="111"/>
      <c r="OBB801" s="111"/>
      <c r="OBC801" s="111"/>
      <c r="OBD801" s="111"/>
      <c r="OBE801" s="111"/>
      <c r="OBF801" s="111"/>
      <c r="OBG801" s="111"/>
      <c r="OBH801" s="111"/>
      <c r="OBI801" s="111"/>
      <c r="OBJ801" s="111"/>
      <c r="OBK801" s="111"/>
      <c r="OBL801" s="111"/>
      <c r="OBM801" s="111"/>
      <c r="OBN801" s="111"/>
      <c r="OBO801" s="111"/>
      <c r="OBP801" s="111"/>
      <c r="OBQ801" s="111"/>
      <c r="OBR801" s="111"/>
      <c r="OBS801" s="111"/>
      <c r="OBT801" s="111"/>
      <c r="OBU801" s="111"/>
      <c r="OBV801" s="111"/>
      <c r="OBW801" s="111"/>
      <c r="OBX801" s="111"/>
      <c r="OBY801" s="111"/>
      <c r="OBZ801" s="111"/>
      <c r="OCA801" s="111"/>
      <c r="OCB801" s="111"/>
      <c r="OCC801" s="111"/>
      <c r="OCD801" s="111"/>
      <c r="OCE801" s="111"/>
      <c r="OCF801" s="111"/>
      <c r="OCG801" s="111"/>
      <c r="OCH801" s="111"/>
      <c r="OCI801" s="111"/>
      <c r="OCJ801" s="111"/>
      <c r="OCK801" s="111"/>
      <c r="OCL801" s="111"/>
      <c r="OCM801" s="111"/>
      <c r="OCN801" s="111"/>
      <c r="OCO801" s="111"/>
      <c r="OCP801" s="111"/>
      <c r="OCQ801" s="111"/>
      <c r="OCR801" s="111"/>
      <c r="OCS801" s="111"/>
      <c r="OCT801" s="111"/>
      <c r="OCU801" s="111"/>
      <c r="OCV801" s="111"/>
      <c r="OCW801" s="111"/>
      <c r="OCX801" s="111"/>
      <c r="OCY801" s="111"/>
      <c r="OCZ801" s="111"/>
      <c r="ODA801" s="111"/>
      <c r="ODB801" s="111"/>
      <c r="ODC801" s="111"/>
      <c r="ODD801" s="111"/>
      <c r="ODE801" s="111"/>
      <c r="ODF801" s="111"/>
      <c r="ODG801" s="111"/>
      <c r="ODH801" s="111"/>
      <c r="ODI801" s="111"/>
      <c r="ODJ801" s="111"/>
      <c r="ODK801" s="111"/>
      <c r="ODL801" s="111"/>
      <c r="ODM801" s="111"/>
      <c r="ODN801" s="111"/>
      <c r="ODO801" s="111"/>
      <c r="ODP801" s="111"/>
      <c r="ODQ801" s="111"/>
      <c r="ODR801" s="111"/>
      <c r="ODS801" s="111"/>
      <c r="ODT801" s="111"/>
      <c r="ODU801" s="111"/>
      <c r="ODV801" s="111"/>
      <c r="ODW801" s="111"/>
      <c r="ODX801" s="111"/>
      <c r="ODY801" s="111"/>
      <c r="ODZ801" s="111"/>
      <c r="OEA801" s="111"/>
      <c r="OEB801" s="111"/>
      <c r="OEC801" s="111"/>
      <c r="OED801" s="111"/>
      <c r="OEE801" s="111"/>
      <c r="OEF801" s="111"/>
      <c r="OEG801" s="111"/>
      <c r="OEH801" s="111"/>
      <c r="OEI801" s="111"/>
      <c r="OEJ801" s="111"/>
      <c r="OEK801" s="111"/>
      <c r="OEL801" s="111"/>
      <c r="OEM801" s="111"/>
      <c r="OEN801" s="111"/>
      <c r="OEO801" s="111"/>
      <c r="OEP801" s="111"/>
      <c r="OEQ801" s="111"/>
      <c r="OER801" s="111"/>
      <c r="OES801" s="111"/>
      <c r="OET801" s="111"/>
      <c r="OEU801" s="111"/>
      <c r="OEV801" s="111"/>
      <c r="OEW801" s="111"/>
      <c r="OEX801" s="111"/>
      <c r="OEY801" s="111"/>
      <c r="OEZ801" s="111"/>
      <c r="OFA801" s="111"/>
      <c r="OFB801" s="111"/>
      <c r="OFC801" s="111"/>
      <c r="OFD801" s="111"/>
      <c r="OFE801" s="111"/>
      <c r="OFF801" s="111"/>
      <c r="OFG801" s="111"/>
      <c r="OFH801" s="111"/>
      <c r="OFI801" s="111"/>
      <c r="OFJ801" s="111"/>
      <c r="OFK801" s="111"/>
      <c r="OFL801" s="111"/>
      <c r="OFM801" s="111"/>
      <c r="OFN801" s="111"/>
      <c r="OFO801" s="111"/>
      <c r="OFP801" s="111"/>
      <c r="OFQ801" s="111"/>
      <c r="OFR801" s="111"/>
      <c r="OFS801" s="111"/>
      <c r="OFT801" s="111"/>
      <c r="OFU801" s="111"/>
      <c r="OFV801" s="111"/>
      <c r="OFW801" s="111"/>
      <c r="OFX801" s="111"/>
      <c r="OFY801" s="111"/>
      <c r="OFZ801" s="111"/>
      <c r="OGA801" s="111"/>
      <c r="OGB801" s="111"/>
      <c r="OGC801" s="111"/>
      <c r="OGD801" s="111"/>
      <c r="OGE801" s="111"/>
      <c r="OGF801" s="111"/>
      <c r="OGG801" s="111"/>
      <c r="OGH801" s="111"/>
      <c r="OGI801" s="111"/>
      <c r="OGJ801" s="111"/>
      <c r="OGK801" s="111"/>
      <c r="OGL801" s="111"/>
      <c r="OGM801" s="111"/>
      <c r="OGN801" s="111"/>
      <c r="OGO801" s="111"/>
      <c r="OGP801" s="111"/>
      <c r="OGQ801" s="111"/>
      <c r="OGR801" s="111"/>
      <c r="OGS801" s="111"/>
      <c r="OGT801" s="111"/>
      <c r="OGU801" s="111"/>
      <c r="OGV801" s="111"/>
      <c r="OGW801" s="111"/>
      <c r="OGX801" s="111"/>
      <c r="OGY801" s="111"/>
      <c r="OGZ801" s="111"/>
      <c r="OHA801" s="111"/>
      <c r="OHB801" s="111"/>
      <c r="OHC801" s="111"/>
      <c r="OHD801" s="111"/>
      <c r="OHE801" s="111"/>
      <c r="OHF801" s="111"/>
      <c r="OHG801" s="111"/>
      <c r="OHH801" s="111"/>
      <c r="OHI801" s="111"/>
      <c r="OHJ801" s="111"/>
      <c r="OHK801" s="111"/>
      <c r="OHL801" s="111"/>
      <c r="OHM801" s="111"/>
      <c r="OHN801" s="111"/>
      <c r="OHO801" s="111"/>
      <c r="OHP801" s="111"/>
      <c r="OHQ801" s="111"/>
      <c r="OHR801" s="111"/>
      <c r="OHS801" s="111"/>
      <c r="OHT801" s="111"/>
      <c r="OHU801" s="111"/>
      <c r="OHV801" s="111"/>
      <c r="OHW801" s="111"/>
      <c r="OHX801" s="111"/>
      <c r="OHY801" s="111"/>
      <c r="OHZ801" s="111"/>
      <c r="OIA801" s="111"/>
      <c r="OIB801" s="111"/>
      <c r="OIC801" s="111"/>
      <c r="OID801" s="111"/>
      <c r="OIE801" s="111"/>
      <c r="OIF801" s="111"/>
      <c r="OIG801" s="111"/>
      <c r="OIH801" s="111"/>
      <c r="OII801" s="111"/>
      <c r="OIJ801" s="111"/>
      <c r="OIK801" s="111"/>
      <c r="OIL801" s="111"/>
      <c r="OIM801" s="111"/>
      <c r="OIN801" s="111"/>
      <c r="OIO801" s="111"/>
      <c r="OIP801" s="111"/>
      <c r="OIQ801" s="111"/>
      <c r="OIR801" s="111"/>
      <c r="OIS801" s="111"/>
      <c r="OIT801" s="111"/>
      <c r="OIU801" s="111"/>
      <c r="OIV801" s="111"/>
      <c r="OIW801" s="111"/>
      <c r="OIX801" s="111"/>
      <c r="OIY801" s="111"/>
      <c r="OIZ801" s="111"/>
      <c r="OJA801" s="111"/>
      <c r="OJB801" s="111"/>
      <c r="OJC801" s="111"/>
      <c r="OJD801" s="111"/>
      <c r="OJE801" s="111"/>
      <c r="OJF801" s="111"/>
      <c r="OJG801" s="111"/>
      <c r="OJH801" s="111"/>
      <c r="OJI801" s="111"/>
      <c r="OJJ801" s="111"/>
      <c r="OJK801" s="111"/>
      <c r="OJL801" s="111"/>
      <c r="OJM801" s="111"/>
      <c r="OJN801" s="111"/>
      <c r="OJO801" s="111"/>
      <c r="OJP801" s="111"/>
      <c r="OJQ801" s="111"/>
      <c r="OJR801" s="111"/>
      <c r="OJS801" s="111"/>
      <c r="OJT801" s="111"/>
      <c r="OJU801" s="111"/>
      <c r="OJV801" s="111"/>
      <c r="OJW801" s="111"/>
      <c r="OJX801" s="111"/>
      <c r="OJY801" s="111"/>
      <c r="OJZ801" s="111"/>
      <c r="OKA801" s="111"/>
      <c r="OKB801" s="111"/>
      <c r="OKC801" s="111"/>
      <c r="OKD801" s="111"/>
      <c r="OKE801" s="111"/>
      <c r="OKF801" s="111"/>
      <c r="OKG801" s="111"/>
      <c r="OKH801" s="111"/>
      <c r="OKI801" s="111"/>
      <c r="OKJ801" s="111"/>
      <c r="OKK801" s="111"/>
      <c r="OKL801" s="111"/>
      <c r="OKM801" s="111"/>
      <c r="OKN801" s="111"/>
      <c r="OKO801" s="111"/>
      <c r="OKP801" s="111"/>
      <c r="OKQ801" s="111"/>
      <c r="OKR801" s="111"/>
      <c r="OKS801" s="111"/>
      <c r="OKT801" s="111"/>
      <c r="OKU801" s="111"/>
      <c r="OKV801" s="111"/>
      <c r="OKW801" s="111"/>
      <c r="OKX801" s="111"/>
      <c r="OKY801" s="111"/>
      <c r="OKZ801" s="111"/>
      <c r="OLA801" s="111"/>
      <c r="OLB801" s="111"/>
      <c r="OLC801" s="111"/>
      <c r="OLD801" s="111"/>
      <c r="OLE801" s="111"/>
      <c r="OLF801" s="111"/>
      <c r="OLG801" s="111"/>
      <c r="OLH801" s="111"/>
      <c r="OLI801" s="111"/>
      <c r="OLJ801" s="111"/>
      <c r="OLK801" s="111"/>
      <c r="OLL801" s="111"/>
      <c r="OLM801" s="111"/>
      <c r="OLN801" s="111"/>
      <c r="OLO801" s="111"/>
      <c r="OLP801" s="111"/>
      <c r="OLQ801" s="111"/>
      <c r="OLR801" s="111"/>
      <c r="OLS801" s="111"/>
      <c r="OLT801" s="111"/>
      <c r="OLU801" s="111"/>
      <c r="OLV801" s="111"/>
      <c r="OLW801" s="111"/>
      <c r="OLX801" s="111"/>
      <c r="OLY801" s="111"/>
      <c r="OLZ801" s="111"/>
      <c r="OMA801" s="111"/>
      <c r="OMB801" s="111"/>
      <c r="OMC801" s="111"/>
      <c r="OMD801" s="111"/>
      <c r="OME801" s="111"/>
      <c r="OMF801" s="111"/>
      <c r="OMG801" s="111"/>
      <c r="OMH801" s="111"/>
      <c r="OMI801" s="111"/>
      <c r="OMJ801" s="111"/>
      <c r="OMK801" s="111"/>
      <c r="OML801" s="111"/>
      <c r="OMM801" s="111"/>
      <c r="OMN801" s="111"/>
      <c r="OMO801" s="111"/>
      <c r="OMP801" s="111"/>
      <c r="OMQ801" s="111"/>
      <c r="OMR801" s="111"/>
      <c r="OMS801" s="111"/>
      <c r="OMT801" s="111"/>
      <c r="OMU801" s="111"/>
      <c r="OMV801" s="111"/>
      <c r="OMW801" s="111"/>
      <c r="OMX801" s="111"/>
      <c r="OMY801" s="111"/>
      <c r="OMZ801" s="111"/>
      <c r="ONA801" s="111"/>
      <c r="ONB801" s="111"/>
      <c r="ONC801" s="111"/>
      <c r="OND801" s="111"/>
      <c r="ONE801" s="111"/>
      <c r="ONF801" s="111"/>
      <c r="ONG801" s="111"/>
      <c r="ONH801" s="111"/>
      <c r="ONI801" s="111"/>
      <c r="ONJ801" s="111"/>
      <c r="ONK801" s="111"/>
      <c r="ONL801" s="111"/>
      <c r="ONM801" s="111"/>
      <c r="ONN801" s="111"/>
      <c r="ONO801" s="111"/>
      <c r="ONP801" s="111"/>
      <c r="ONQ801" s="111"/>
      <c r="ONR801" s="111"/>
      <c r="ONS801" s="111"/>
      <c r="ONT801" s="111"/>
      <c r="ONU801" s="111"/>
      <c r="ONV801" s="111"/>
      <c r="ONW801" s="111"/>
      <c r="ONX801" s="111"/>
      <c r="ONY801" s="111"/>
      <c r="ONZ801" s="111"/>
      <c r="OOA801" s="111"/>
      <c r="OOB801" s="111"/>
      <c r="OOC801" s="111"/>
      <c r="OOD801" s="111"/>
      <c r="OOE801" s="111"/>
      <c r="OOF801" s="111"/>
      <c r="OOG801" s="111"/>
      <c r="OOH801" s="111"/>
      <c r="OOI801" s="111"/>
      <c r="OOJ801" s="111"/>
      <c r="OOK801" s="111"/>
      <c r="OOL801" s="111"/>
      <c r="OOM801" s="111"/>
      <c r="OON801" s="111"/>
      <c r="OOO801" s="111"/>
      <c r="OOP801" s="111"/>
      <c r="OOQ801" s="111"/>
      <c r="OOR801" s="111"/>
      <c r="OOS801" s="111"/>
      <c r="OOT801" s="111"/>
      <c r="OOU801" s="111"/>
      <c r="OOV801" s="111"/>
      <c r="OOW801" s="111"/>
      <c r="OOX801" s="111"/>
      <c r="OOY801" s="111"/>
      <c r="OOZ801" s="111"/>
      <c r="OPA801" s="111"/>
      <c r="OPB801" s="111"/>
      <c r="OPC801" s="111"/>
      <c r="OPD801" s="111"/>
      <c r="OPE801" s="111"/>
      <c r="OPF801" s="111"/>
      <c r="OPG801" s="111"/>
      <c r="OPH801" s="111"/>
      <c r="OPI801" s="111"/>
      <c r="OPJ801" s="111"/>
      <c r="OPK801" s="111"/>
      <c r="OPL801" s="111"/>
      <c r="OPM801" s="111"/>
      <c r="OPN801" s="111"/>
      <c r="OPO801" s="111"/>
      <c r="OPP801" s="111"/>
      <c r="OPQ801" s="111"/>
      <c r="OPR801" s="111"/>
      <c r="OPS801" s="111"/>
      <c r="OPT801" s="111"/>
      <c r="OPU801" s="111"/>
      <c r="OPV801" s="111"/>
      <c r="OPW801" s="111"/>
      <c r="OPX801" s="111"/>
      <c r="OPY801" s="111"/>
      <c r="OPZ801" s="111"/>
      <c r="OQA801" s="111"/>
      <c r="OQB801" s="111"/>
      <c r="OQC801" s="111"/>
      <c r="OQD801" s="111"/>
      <c r="OQE801" s="111"/>
      <c r="OQF801" s="111"/>
      <c r="OQG801" s="111"/>
      <c r="OQH801" s="111"/>
      <c r="OQI801" s="111"/>
      <c r="OQJ801" s="111"/>
      <c r="OQK801" s="111"/>
      <c r="OQL801" s="111"/>
      <c r="OQM801" s="111"/>
      <c r="OQN801" s="111"/>
      <c r="OQO801" s="111"/>
      <c r="OQP801" s="111"/>
      <c r="OQQ801" s="111"/>
      <c r="OQR801" s="111"/>
      <c r="OQS801" s="111"/>
      <c r="OQT801" s="111"/>
      <c r="OQU801" s="111"/>
      <c r="OQV801" s="111"/>
      <c r="OQW801" s="111"/>
      <c r="OQX801" s="111"/>
      <c r="OQY801" s="111"/>
      <c r="OQZ801" s="111"/>
      <c r="ORA801" s="111"/>
      <c r="ORB801" s="111"/>
      <c r="ORC801" s="111"/>
      <c r="ORD801" s="111"/>
      <c r="ORE801" s="111"/>
      <c r="ORF801" s="111"/>
      <c r="ORG801" s="111"/>
      <c r="ORH801" s="111"/>
      <c r="ORI801" s="111"/>
      <c r="ORJ801" s="111"/>
      <c r="ORK801" s="111"/>
      <c r="ORL801" s="111"/>
      <c r="ORM801" s="111"/>
      <c r="ORN801" s="111"/>
      <c r="ORO801" s="111"/>
      <c r="ORP801" s="111"/>
      <c r="ORQ801" s="111"/>
      <c r="ORR801" s="111"/>
      <c r="ORS801" s="111"/>
      <c r="ORT801" s="111"/>
      <c r="ORU801" s="111"/>
      <c r="ORV801" s="111"/>
      <c r="ORW801" s="111"/>
      <c r="ORX801" s="111"/>
      <c r="ORY801" s="111"/>
      <c r="ORZ801" s="111"/>
      <c r="OSA801" s="111"/>
      <c r="OSB801" s="111"/>
      <c r="OSC801" s="111"/>
      <c r="OSD801" s="111"/>
      <c r="OSE801" s="111"/>
      <c r="OSF801" s="111"/>
      <c r="OSG801" s="111"/>
      <c r="OSH801" s="111"/>
      <c r="OSI801" s="111"/>
      <c r="OSJ801" s="111"/>
      <c r="OSK801" s="111"/>
      <c r="OSL801" s="111"/>
      <c r="OSM801" s="111"/>
      <c r="OSN801" s="111"/>
      <c r="OSO801" s="111"/>
      <c r="OSP801" s="111"/>
      <c r="OSQ801" s="111"/>
      <c r="OSR801" s="111"/>
      <c r="OSS801" s="111"/>
      <c r="OST801" s="111"/>
      <c r="OSU801" s="111"/>
      <c r="OSV801" s="111"/>
      <c r="OSW801" s="111"/>
      <c r="OSX801" s="111"/>
      <c r="OSY801" s="111"/>
      <c r="OSZ801" s="111"/>
      <c r="OTA801" s="111"/>
      <c r="OTB801" s="111"/>
      <c r="OTC801" s="111"/>
      <c r="OTD801" s="111"/>
      <c r="OTE801" s="111"/>
      <c r="OTF801" s="111"/>
      <c r="OTG801" s="111"/>
      <c r="OTH801" s="111"/>
      <c r="OTI801" s="111"/>
      <c r="OTJ801" s="111"/>
      <c r="OTK801" s="111"/>
      <c r="OTL801" s="111"/>
      <c r="OTM801" s="111"/>
      <c r="OTN801" s="111"/>
      <c r="OTO801" s="111"/>
      <c r="OTP801" s="111"/>
      <c r="OTQ801" s="111"/>
      <c r="OTR801" s="111"/>
      <c r="OTS801" s="111"/>
      <c r="OTT801" s="111"/>
      <c r="OTU801" s="111"/>
      <c r="OTV801" s="111"/>
      <c r="OTW801" s="111"/>
      <c r="OTX801" s="111"/>
      <c r="OTY801" s="111"/>
      <c r="OTZ801" s="111"/>
      <c r="OUA801" s="111"/>
      <c r="OUB801" s="111"/>
      <c r="OUC801" s="111"/>
      <c r="OUD801" s="111"/>
      <c r="OUE801" s="111"/>
      <c r="OUF801" s="111"/>
      <c r="OUG801" s="111"/>
      <c r="OUH801" s="111"/>
      <c r="OUI801" s="111"/>
      <c r="OUJ801" s="111"/>
      <c r="OUK801" s="111"/>
      <c r="OUL801" s="111"/>
      <c r="OUM801" s="111"/>
      <c r="OUN801" s="111"/>
      <c r="OUO801" s="111"/>
      <c r="OUP801" s="111"/>
      <c r="OUQ801" s="111"/>
      <c r="OUR801" s="111"/>
      <c r="OUS801" s="111"/>
      <c r="OUT801" s="111"/>
      <c r="OUU801" s="111"/>
      <c r="OUV801" s="111"/>
      <c r="OUW801" s="111"/>
      <c r="OUX801" s="111"/>
      <c r="OUY801" s="111"/>
      <c r="OUZ801" s="111"/>
      <c r="OVA801" s="111"/>
      <c r="OVB801" s="111"/>
      <c r="OVC801" s="111"/>
      <c r="OVD801" s="111"/>
      <c r="OVE801" s="111"/>
      <c r="OVF801" s="111"/>
      <c r="OVG801" s="111"/>
      <c r="OVH801" s="111"/>
      <c r="OVI801" s="111"/>
      <c r="OVJ801" s="111"/>
      <c r="OVK801" s="111"/>
      <c r="OVL801" s="111"/>
      <c r="OVM801" s="111"/>
      <c r="OVN801" s="111"/>
      <c r="OVO801" s="111"/>
      <c r="OVP801" s="111"/>
      <c r="OVQ801" s="111"/>
      <c r="OVR801" s="111"/>
      <c r="OVS801" s="111"/>
      <c r="OVT801" s="111"/>
      <c r="OVU801" s="111"/>
      <c r="OVV801" s="111"/>
      <c r="OVW801" s="111"/>
      <c r="OVX801" s="111"/>
      <c r="OVY801" s="111"/>
      <c r="OVZ801" s="111"/>
      <c r="OWA801" s="111"/>
      <c r="OWB801" s="111"/>
      <c r="OWC801" s="111"/>
      <c r="OWD801" s="111"/>
      <c r="OWE801" s="111"/>
      <c r="OWF801" s="111"/>
      <c r="OWG801" s="111"/>
      <c r="OWH801" s="111"/>
      <c r="OWI801" s="111"/>
      <c r="OWJ801" s="111"/>
      <c r="OWK801" s="111"/>
      <c r="OWL801" s="111"/>
      <c r="OWM801" s="111"/>
      <c r="OWN801" s="111"/>
      <c r="OWO801" s="111"/>
      <c r="OWP801" s="111"/>
      <c r="OWQ801" s="111"/>
      <c r="OWR801" s="111"/>
      <c r="OWS801" s="111"/>
      <c r="OWT801" s="111"/>
      <c r="OWU801" s="111"/>
      <c r="OWV801" s="111"/>
      <c r="OWW801" s="111"/>
      <c r="OWX801" s="111"/>
      <c r="OWY801" s="111"/>
      <c r="OWZ801" s="111"/>
      <c r="OXA801" s="111"/>
      <c r="OXB801" s="111"/>
      <c r="OXC801" s="111"/>
      <c r="OXD801" s="111"/>
      <c r="OXE801" s="111"/>
      <c r="OXF801" s="111"/>
      <c r="OXG801" s="111"/>
      <c r="OXH801" s="111"/>
      <c r="OXI801" s="111"/>
      <c r="OXJ801" s="111"/>
      <c r="OXK801" s="111"/>
      <c r="OXL801" s="111"/>
      <c r="OXM801" s="111"/>
      <c r="OXN801" s="111"/>
      <c r="OXO801" s="111"/>
      <c r="OXP801" s="111"/>
      <c r="OXQ801" s="111"/>
      <c r="OXR801" s="111"/>
      <c r="OXS801" s="111"/>
      <c r="OXT801" s="111"/>
      <c r="OXU801" s="111"/>
      <c r="OXV801" s="111"/>
      <c r="OXW801" s="111"/>
      <c r="OXX801" s="111"/>
      <c r="OXY801" s="111"/>
      <c r="OXZ801" s="111"/>
      <c r="OYA801" s="111"/>
      <c r="OYB801" s="111"/>
      <c r="OYC801" s="111"/>
      <c r="OYD801" s="111"/>
      <c r="OYE801" s="111"/>
      <c r="OYF801" s="111"/>
      <c r="OYG801" s="111"/>
      <c r="OYH801" s="111"/>
      <c r="OYI801" s="111"/>
      <c r="OYJ801" s="111"/>
      <c r="OYK801" s="111"/>
      <c r="OYL801" s="111"/>
      <c r="OYM801" s="111"/>
      <c r="OYN801" s="111"/>
      <c r="OYO801" s="111"/>
      <c r="OYP801" s="111"/>
      <c r="OYQ801" s="111"/>
      <c r="OYR801" s="111"/>
      <c r="OYS801" s="111"/>
      <c r="OYT801" s="111"/>
      <c r="OYU801" s="111"/>
      <c r="OYV801" s="111"/>
      <c r="OYW801" s="111"/>
      <c r="OYX801" s="111"/>
      <c r="OYY801" s="111"/>
      <c r="OYZ801" s="111"/>
      <c r="OZA801" s="111"/>
      <c r="OZB801" s="111"/>
      <c r="OZC801" s="111"/>
      <c r="OZD801" s="111"/>
      <c r="OZE801" s="111"/>
      <c r="OZF801" s="111"/>
      <c r="OZG801" s="111"/>
      <c r="OZH801" s="111"/>
      <c r="OZI801" s="111"/>
      <c r="OZJ801" s="111"/>
      <c r="OZK801" s="111"/>
      <c r="OZL801" s="111"/>
      <c r="OZM801" s="111"/>
      <c r="OZN801" s="111"/>
      <c r="OZO801" s="111"/>
      <c r="OZP801" s="111"/>
      <c r="OZQ801" s="111"/>
      <c r="OZR801" s="111"/>
      <c r="OZS801" s="111"/>
      <c r="OZT801" s="111"/>
      <c r="OZU801" s="111"/>
      <c r="OZV801" s="111"/>
      <c r="OZW801" s="111"/>
      <c r="OZX801" s="111"/>
      <c r="OZY801" s="111"/>
      <c r="OZZ801" s="111"/>
      <c r="PAA801" s="111"/>
      <c r="PAB801" s="111"/>
      <c r="PAC801" s="111"/>
      <c r="PAD801" s="111"/>
      <c r="PAE801" s="111"/>
      <c r="PAF801" s="111"/>
      <c r="PAG801" s="111"/>
      <c r="PAH801" s="111"/>
      <c r="PAI801" s="111"/>
      <c r="PAJ801" s="111"/>
      <c r="PAK801" s="111"/>
      <c r="PAL801" s="111"/>
      <c r="PAM801" s="111"/>
      <c r="PAN801" s="111"/>
      <c r="PAO801" s="111"/>
      <c r="PAP801" s="111"/>
      <c r="PAQ801" s="111"/>
      <c r="PAR801" s="111"/>
      <c r="PAS801" s="111"/>
      <c r="PAT801" s="111"/>
      <c r="PAU801" s="111"/>
      <c r="PAV801" s="111"/>
      <c r="PAW801" s="111"/>
      <c r="PAX801" s="111"/>
      <c r="PAY801" s="111"/>
      <c r="PAZ801" s="111"/>
      <c r="PBA801" s="111"/>
      <c r="PBB801" s="111"/>
      <c r="PBC801" s="111"/>
      <c r="PBD801" s="111"/>
      <c r="PBE801" s="111"/>
      <c r="PBF801" s="111"/>
      <c r="PBG801" s="111"/>
      <c r="PBH801" s="111"/>
      <c r="PBI801" s="111"/>
      <c r="PBJ801" s="111"/>
      <c r="PBK801" s="111"/>
      <c r="PBL801" s="111"/>
      <c r="PBM801" s="111"/>
      <c r="PBN801" s="111"/>
      <c r="PBO801" s="111"/>
      <c r="PBP801" s="111"/>
      <c r="PBQ801" s="111"/>
      <c r="PBR801" s="111"/>
      <c r="PBS801" s="111"/>
      <c r="PBT801" s="111"/>
      <c r="PBU801" s="111"/>
      <c r="PBV801" s="111"/>
      <c r="PBW801" s="111"/>
      <c r="PBX801" s="111"/>
      <c r="PBY801" s="111"/>
      <c r="PBZ801" s="111"/>
      <c r="PCA801" s="111"/>
      <c r="PCB801" s="111"/>
      <c r="PCC801" s="111"/>
      <c r="PCD801" s="111"/>
      <c r="PCE801" s="111"/>
      <c r="PCF801" s="111"/>
      <c r="PCG801" s="111"/>
      <c r="PCH801" s="111"/>
      <c r="PCI801" s="111"/>
      <c r="PCJ801" s="111"/>
      <c r="PCK801" s="111"/>
      <c r="PCL801" s="111"/>
      <c r="PCM801" s="111"/>
      <c r="PCN801" s="111"/>
      <c r="PCO801" s="111"/>
      <c r="PCP801" s="111"/>
      <c r="PCQ801" s="111"/>
      <c r="PCR801" s="111"/>
      <c r="PCS801" s="111"/>
      <c r="PCT801" s="111"/>
      <c r="PCU801" s="111"/>
      <c r="PCV801" s="111"/>
      <c r="PCW801" s="111"/>
      <c r="PCX801" s="111"/>
      <c r="PCY801" s="111"/>
      <c r="PCZ801" s="111"/>
      <c r="PDA801" s="111"/>
      <c r="PDB801" s="111"/>
      <c r="PDC801" s="111"/>
      <c r="PDD801" s="111"/>
      <c r="PDE801" s="111"/>
      <c r="PDF801" s="111"/>
      <c r="PDG801" s="111"/>
      <c r="PDH801" s="111"/>
      <c r="PDI801" s="111"/>
      <c r="PDJ801" s="111"/>
      <c r="PDK801" s="111"/>
      <c r="PDL801" s="111"/>
      <c r="PDM801" s="111"/>
      <c r="PDN801" s="111"/>
      <c r="PDO801" s="111"/>
      <c r="PDP801" s="111"/>
      <c r="PDQ801" s="111"/>
      <c r="PDR801" s="111"/>
      <c r="PDS801" s="111"/>
      <c r="PDT801" s="111"/>
      <c r="PDU801" s="111"/>
      <c r="PDV801" s="111"/>
      <c r="PDW801" s="111"/>
      <c r="PDX801" s="111"/>
      <c r="PDY801" s="111"/>
      <c r="PDZ801" s="111"/>
      <c r="PEA801" s="111"/>
      <c r="PEB801" s="111"/>
      <c r="PEC801" s="111"/>
      <c r="PED801" s="111"/>
      <c r="PEE801" s="111"/>
      <c r="PEF801" s="111"/>
      <c r="PEG801" s="111"/>
      <c r="PEH801" s="111"/>
      <c r="PEI801" s="111"/>
      <c r="PEJ801" s="111"/>
      <c r="PEK801" s="111"/>
      <c r="PEL801" s="111"/>
      <c r="PEM801" s="111"/>
      <c r="PEN801" s="111"/>
      <c r="PEO801" s="111"/>
      <c r="PEP801" s="111"/>
      <c r="PEQ801" s="111"/>
      <c r="PER801" s="111"/>
      <c r="PES801" s="111"/>
      <c r="PET801" s="111"/>
      <c r="PEU801" s="111"/>
      <c r="PEV801" s="111"/>
      <c r="PEW801" s="111"/>
      <c r="PEX801" s="111"/>
      <c r="PEY801" s="111"/>
      <c r="PEZ801" s="111"/>
      <c r="PFA801" s="111"/>
      <c r="PFB801" s="111"/>
      <c r="PFC801" s="111"/>
      <c r="PFD801" s="111"/>
      <c r="PFE801" s="111"/>
      <c r="PFF801" s="111"/>
      <c r="PFG801" s="111"/>
      <c r="PFH801" s="111"/>
      <c r="PFI801" s="111"/>
      <c r="PFJ801" s="111"/>
      <c r="PFK801" s="111"/>
      <c r="PFL801" s="111"/>
      <c r="PFM801" s="111"/>
      <c r="PFN801" s="111"/>
      <c r="PFO801" s="111"/>
      <c r="PFP801" s="111"/>
      <c r="PFQ801" s="111"/>
      <c r="PFR801" s="111"/>
      <c r="PFS801" s="111"/>
      <c r="PFT801" s="111"/>
      <c r="PFU801" s="111"/>
      <c r="PFV801" s="111"/>
      <c r="PFW801" s="111"/>
      <c r="PFX801" s="111"/>
      <c r="PFY801" s="111"/>
      <c r="PFZ801" s="111"/>
      <c r="PGA801" s="111"/>
      <c r="PGB801" s="111"/>
      <c r="PGC801" s="111"/>
      <c r="PGD801" s="111"/>
      <c r="PGE801" s="111"/>
      <c r="PGF801" s="111"/>
      <c r="PGG801" s="111"/>
      <c r="PGH801" s="111"/>
      <c r="PGI801" s="111"/>
      <c r="PGJ801" s="111"/>
      <c r="PGK801" s="111"/>
      <c r="PGL801" s="111"/>
      <c r="PGM801" s="111"/>
      <c r="PGN801" s="111"/>
      <c r="PGO801" s="111"/>
      <c r="PGP801" s="111"/>
      <c r="PGQ801" s="111"/>
      <c r="PGR801" s="111"/>
      <c r="PGS801" s="111"/>
      <c r="PGT801" s="111"/>
      <c r="PGU801" s="111"/>
      <c r="PGV801" s="111"/>
      <c r="PGW801" s="111"/>
      <c r="PGX801" s="111"/>
      <c r="PGY801" s="111"/>
      <c r="PGZ801" s="111"/>
      <c r="PHA801" s="111"/>
      <c r="PHB801" s="111"/>
      <c r="PHC801" s="111"/>
      <c r="PHD801" s="111"/>
      <c r="PHE801" s="111"/>
      <c r="PHF801" s="111"/>
      <c r="PHG801" s="111"/>
      <c r="PHH801" s="111"/>
      <c r="PHI801" s="111"/>
      <c r="PHJ801" s="111"/>
      <c r="PHK801" s="111"/>
      <c r="PHL801" s="111"/>
      <c r="PHM801" s="111"/>
      <c r="PHN801" s="111"/>
      <c r="PHO801" s="111"/>
      <c r="PHP801" s="111"/>
      <c r="PHQ801" s="111"/>
      <c r="PHR801" s="111"/>
      <c r="PHS801" s="111"/>
      <c r="PHT801" s="111"/>
      <c r="PHU801" s="111"/>
      <c r="PHV801" s="111"/>
      <c r="PHW801" s="111"/>
      <c r="PHX801" s="111"/>
      <c r="PHY801" s="111"/>
      <c r="PHZ801" s="111"/>
      <c r="PIA801" s="111"/>
      <c r="PIB801" s="111"/>
      <c r="PIC801" s="111"/>
      <c r="PID801" s="111"/>
      <c r="PIE801" s="111"/>
      <c r="PIF801" s="111"/>
      <c r="PIG801" s="111"/>
      <c r="PIH801" s="111"/>
      <c r="PII801" s="111"/>
      <c r="PIJ801" s="111"/>
      <c r="PIK801" s="111"/>
      <c r="PIL801" s="111"/>
      <c r="PIM801" s="111"/>
      <c r="PIN801" s="111"/>
      <c r="PIO801" s="111"/>
      <c r="PIP801" s="111"/>
      <c r="PIQ801" s="111"/>
      <c r="PIR801" s="111"/>
      <c r="PIS801" s="111"/>
      <c r="PIT801" s="111"/>
      <c r="PIU801" s="111"/>
      <c r="PIV801" s="111"/>
      <c r="PIW801" s="111"/>
      <c r="PIX801" s="111"/>
      <c r="PIY801" s="111"/>
      <c r="PIZ801" s="111"/>
      <c r="PJA801" s="111"/>
      <c r="PJB801" s="111"/>
      <c r="PJC801" s="111"/>
      <c r="PJD801" s="111"/>
      <c r="PJE801" s="111"/>
      <c r="PJF801" s="111"/>
      <c r="PJG801" s="111"/>
      <c r="PJH801" s="111"/>
      <c r="PJI801" s="111"/>
      <c r="PJJ801" s="111"/>
      <c r="PJK801" s="111"/>
      <c r="PJL801" s="111"/>
      <c r="PJM801" s="111"/>
      <c r="PJN801" s="111"/>
      <c r="PJO801" s="111"/>
      <c r="PJP801" s="111"/>
      <c r="PJQ801" s="111"/>
      <c r="PJR801" s="111"/>
      <c r="PJS801" s="111"/>
      <c r="PJT801" s="111"/>
      <c r="PJU801" s="111"/>
      <c r="PJV801" s="111"/>
      <c r="PJW801" s="111"/>
      <c r="PJX801" s="111"/>
      <c r="PJY801" s="111"/>
      <c r="PJZ801" s="111"/>
      <c r="PKA801" s="111"/>
      <c r="PKB801" s="111"/>
      <c r="PKC801" s="111"/>
      <c r="PKD801" s="111"/>
      <c r="PKE801" s="111"/>
      <c r="PKF801" s="111"/>
      <c r="PKG801" s="111"/>
      <c r="PKH801" s="111"/>
      <c r="PKI801" s="111"/>
      <c r="PKJ801" s="111"/>
      <c r="PKK801" s="111"/>
      <c r="PKL801" s="111"/>
      <c r="PKM801" s="111"/>
      <c r="PKN801" s="111"/>
      <c r="PKO801" s="111"/>
      <c r="PKP801" s="111"/>
      <c r="PKQ801" s="111"/>
      <c r="PKR801" s="111"/>
      <c r="PKS801" s="111"/>
      <c r="PKT801" s="111"/>
      <c r="PKU801" s="111"/>
      <c r="PKV801" s="111"/>
      <c r="PKW801" s="111"/>
      <c r="PKX801" s="111"/>
      <c r="PKY801" s="111"/>
      <c r="PKZ801" s="111"/>
      <c r="PLA801" s="111"/>
      <c r="PLB801" s="111"/>
      <c r="PLC801" s="111"/>
      <c r="PLD801" s="111"/>
      <c r="PLE801" s="111"/>
      <c r="PLF801" s="111"/>
      <c r="PLG801" s="111"/>
      <c r="PLH801" s="111"/>
      <c r="PLI801" s="111"/>
      <c r="PLJ801" s="111"/>
      <c r="PLK801" s="111"/>
      <c r="PLL801" s="111"/>
      <c r="PLM801" s="111"/>
      <c r="PLN801" s="111"/>
      <c r="PLO801" s="111"/>
      <c r="PLP801" s="111"/>
      <c r="PLQ801" s="111"/>
      <c r="PLR801" s="111"/>
      <c r="PLS801" s="111"/>
      <c r="PLT801" s="111"/>
      <c r="PLU801" s="111"/>
      <c r="PLV801" s="111"/>
      <c r="PLW801" s="111"/>
      <c r="PLX801" s="111"/>
      <c r="PLY801" s="111"/>
      <c r="PLZ801" s="111"/>
      <c r="PMA801" s="111"/>
      <c r="PMB801" s="111"/>
      <c r="PMC801" s="111"/>
      <c r="PMD801" s="111"/>
      <c r="PME801" s="111"/>
      <c r="PMF801" s="111"/>
      <c r="PMG801" s="111"/>
      <c r="PMH801" s="111"/>
      <c r="PMI801" s="111"/>
      <c r="PMJ801" s="111"/>
      <c r="PMK801" s="111"/>
      <c r="PML801" s="111"/>
      <c r="PMM801" s="111"/>
      <c r="PMN801" s="111"/>
      <c r="PMO801" s="111"/>
      <c r="PMP801" s="111"/>
      <c r="PMQ801" s="111"/>
      <c r="PMR801" s="111"/>
      <c r="PMS801" s="111"/>
      <c r="PMT801" s="111"/>
      <c r="PMU801" s="111"/>
      <c r="PMV801" s="111"/>
      <c r="PMW801" s="111"/>
      <c r="PMX801" s="111"/>
      <c r="PMY801" s="111"/>
      <c r="PMZ801" s="111"/>
      <c r="PNA801" s="111"/>
      <c r="PNB801" s="111"/>
      <c r="PNC801" s="111"/>
      <c r="PND801" s="111"/>
      <c r="PNE801" s="111"/>
      <c r="PNF801" s="111"/>
      <c r="PNG801" s="111"/>
      <c r="PNH801" s="111"/>
      <c r="PNI801" s="111"/>
      <c r="PNJ801" s="111"/>
      <c r="PNK801" s="111"/>
      <c r="PNL801" s="111"/>
      <c r="PNM801" s="111"/>
      <c r="PNN801" s="111"/>
      <c r="PNO801" s="111"/>
      <c r="PNP801" s="111"/>
      <c r="PNQ801" s="111"/>
      <c r="PNR801" s="111"/>
      <c r="PNS801" s="111"/>
      <c r="PNT801" s="111"/>
      <c r="PNU801" s="111"/>
      <c r="PNV801" s="111"/>
      <c r="PNW801" s="111"/>
      <c r="PNX801" s="111"/>
      <c r="PNY801" s="111"/>
      <c r="PNZ801" s="111"/>
      <c r="POA801" s="111"/>
      <c r="POB801" s="111"/>
      <c r="POC801" s="111"/>
      <c r="POD801" s="111"/>
      <c r="POE801" s="111"/>
      <c r="POF801" s="111"/>
      <c r="POG801" s="111"/>
      <c r="POH801" s="111"/>
      <c r="POI801" s="111"/>
      <c r="POJ801" s="111"/>
      <c r="POK801" s="111"/>
      <c r="POL801" s="111"/>
      <c r="POM801" s="111"/>
      <c r="PON801" s="111"/>
      <c r="POO801" s="111"/>
      <c r="POP801" s="111"/>
      <c r="POQ801" s="111"/>
      <c r="POR801" s="111"/>
      <c r="POS801" s="111"/>
      <c r="POT801" s="111"/>
      <c r="POU801" s="111"/>
      <c r="POV801" s="111"/>
      <c r="POW801" s="111"/>
      <c r="POX801" s="111"/>
      <c r="POY801" s="111"/>
      <c r="POZ801" s="111"/>
      <c r="PPA801" s="111"/>
      <c r="PPB801" s="111"/>
      <c r="PPC801" s="111"/>
      <c r="PPD801" s="111"/>
      <c r="PPE801" s="111"/>
      <c r="PPF801" s="111"/>
      <c r="PPG801" s="111"/>
      <c r="PPH801" s="111"/>
      <c r="PPI801" s="111"/>
      <c r="PPJ801" s="111"/>
      <c r="PPK801" s="111"/>
      <c r="PPL801" s="111"/>
      <c r="PPM801" s="111"/>
      <c r="PPN801" s="111"/>
      <c r="PPO801" s="111"/>
      <c r="PPP801" s="111"/>
      <c r="PPQ801" s="111"/>
      <c r="PPR801" s="111"/>
      <c r="PPS801" s="111"/>
      <c r="PPT801" s="111"/>
      <c r="PPU801" s="111"/>
      <c r="PPV801" s="111"/>
      <c r="PPW801" s="111"/>
      <c r="PPX801" s="111"/>
      <c r="PPY801" s="111"/>
      <c r="PPZ801" s="111"/>
      <c r="PQA801" s="111"/>
      <c r="PQB801" s="111"/>
      <c r="PQC801" s="111"/>
      <c r="PQD801" s="111"/>
      <c r="PQE801" s="111"/>
      <c r="PQF801" s="111"/>
      <c r="PQG801" s="111"/>
      <c r="PQH801" s="111"/>
      <c r="PQI801" s="111"/>
      <c r="PQJ801" s="111"/>
      <c r="PQK801" s="111"/>
      <c r="PQL801" s="111"/>
      <c r="PQM801" s="111"/>
      <c r="PQN801" s="111"/>
      <c r="PQO801" s="111"/>
      <c r="PQP801" s="111"/>
      <c r="PQQ801" s="111"/>
      <c r="PQR801" s="111"/>
      <c r="PQS801" s="111"/>
      <c r="PQT801" s="111"/>
      <c r="PQU801" s="111"/>
      <c r="PQV801" s="111"/>
      <c r="PQW801" s="111"/>
      <c r="PQX801" s="111"/>
      <c r="PQY801" s="111"/>
      <c r="PQZ801" s="111"/>
      <c r="PRA801" s="111"/>
      <c r="PRB801" s="111"/>
      <c r="PRC801" s="111"/>
      <c r="PRD801" s="111"/>
      <c r="PRE801" s="111"/>
      <c r="PRF801" s="111"/>
      <c r="PRG801" s="111"/>
      <c r="PRH801" s="111"/>
      <c r="PRI801" s="111"/>
      <c r="PRJ801" s="111"/>
      <c r="PRK801" s="111"/>
      <c r="PRL801" s="111"/>
      <c r="PRM801" s="111"/>
      <c r="PRN801" s="111"/>
      <c r="PRO801" s="111"/>
      <c r="PRP801" s="111"/>
      <c r="PRQ801" s="111"/>
      <c r="PRR801" s="111"/>
      <c r="PRS801" s="111"/>
      <c r="PRT801" s="111"/>
      <c r="PRU801" s="111"/>
      <c r="PRV801" s="111"/>
      <c r="PRW801" s="111"/>
      <c r="PRX801" s="111"/>
      <c r="PRY801" s="111"/>
      <c r="PRZ801" s="111"/>
      <c r="PSA801" s="111"/>
      <c r="PSB801" s="111"/>
      <c r="PSC801" s="111"/>
      <c r="PSD801" s="111"/>
      <c r="PSE801" s="111"/>
      <c r="PSF801" s="111"/>
      <c r="PSG801" s="111"/>
      <c r="PSH801" s="111"/>
      <c r="PSI801" s="111"/>
      <c r="PSJ801" s="111"/>
      <c r="PSK801" s="111"/>
      <c r="PSL801" s="111"/>
      <c r="PSM801" s="111"/>
      <c r="PSN801" s="111"/>
      <c r="PSO801" s="111"/>
      <c r="PSP801" s="111"/>
      <c r="PSQ801" s="111"/>
      <c r="PSR801" s="111"/>
      <c r="PSS801" s="111"/>
      <c r="PST801" s="111"/>
      <c r="PSU801" s="111"/>
      <c r="PSV801" s="111"/>
      <c r="PSW801" s="111"/>
      <c r="PSX801" s="111"/>
      <c r="PSY801" s="111"/>
      <c r="PSZ801" s="111"/>
      <c r="PTA801" s="111"/>
      <c r="PTB801" s="111"/>
      <c r="PTC801" s="111"/>
      <c r="PTD801" s="111"/>
      <c r="PTE801" s="111"/>
      <c r="PTF801" s="111"/>
      <c r="PTG801" s="111"/>
      <c r="PTH801" s="111"/>
      <c r="PTI801" s="111"/>
      <c r="PTJ801" s="111"/>
      <c r="PTK801" s="111"/>
      <c r="PTL801" s="111"/>
      <c r="PTM801" s="111"/>
      <c r="PTN801" s="111"/>
      <c r="PTO801" s="111"/>
      <c r="PTP801" s="111"/>
      <c r="PTQ801" s="111"/>
      <c r="PTR801" s="111"/>
      <c r="PTS801" s="111"/>
      <c r="PTT801" s="111"/>
      <c r="PTU801" s="111"/>
      <c r="PTV801" s="111"/>
      <c r="PTW801" s="111"/>
      <c r="PTX801" s="111"/>
      <c r="PTY801" s="111"/>
      <c r="PTZ801" s="111"/>
      <c r="PUA801" s="111"/>
      <c r="PUB801" s="111"/>
      <c r="PUC801" s="111"/>
      <c r="PUD801" s="111"/>
      <c r="PUE801" s="111"/>
      <c r="PUF801" s="111"/>
      <c r="PUG801" s="111"/>
      <c r="PUH801" s="111"/>
      <c r="PUI801" s="111"/>
      <c r="PUJ801" s="111"/>
      <c r="PUK801" s="111"/>
      <c r="PUL801" s="111"/>
      <c r="PUM801" s="111"/>
      <c r="PUN801" s="111"/>
      <c r="PUO801" s="111"/>
      <c r="PUP801" s="111"/>
      <c r="PUQ801" s="111"/>
      <c r="PUR801" s="111"/>
      <c r="PUS801" s="111"/>
      <c r="PUT801" s="111"/>
      <c r="PUU801" s="111"/>
      <c r="PUV801" s="111"/>
      <c r="PUW801" s="111"/>
      <c r="PUX801" s="111"/>
      <c r="PUY801" s="111"/>
      <c r="PUZ801" s="111"/>
      <c r="PVA801" s="111"/>
      <c r="PVB801" s="111"/>
      <c r="PVC801" s="111"/>
      <c r="PVD801" s="111"/>
      <c r="PVE801" s="111"/>
      <c r="PVF801" s="111"/>
      <c r="PVG801" s="111"/>
      <c r="PVH801" s="111"/>
      <c r="PVI801" s="111"/>
      <c r="PVJ801" s="111"/>
      <c r="PVK801" s="111"/>
      <c r="PVL801" s="111"/>
      <c r="PVM801" s="111"/>
      <c r="PVN801" s="111"/>
      <c r="PVO801" s="111"/>
      <c r="PVP801" s="111"/>
      <c r="PVQ801" s="111"/>
      <c r="PVR801" s="111"/>
      <c r="PVS801" s="111"/>
      <c r="PVT801" s="111"/>
      <c r="PVU801" s="111"/>
      <c r="PVV801" s="111"/>
      <c r="PVW801" s="111"/>
      <c r="PVX801" s="111"/>
      <c r="PVY801" s="111"/>
      <c r="PVZ801" s="111"/>
      <c r="PWA801" s="111"/>
      <c r="PWB801" s="111"/>
      <c r="PWC801" s="111"/>
      <c r="PWD801" s="111"/>
      <c r="PWE801" s="111"/>
      <c r="PWF801" s="111"/>
      <c r="PWG801" s="111"/>
      <c r="PWH801" s="111"/>
      <c r="PWI801" s="111"/>
      <c r="PWJ801" s="111"/>
      <c r="PWK801" s="111"/>
      <c r="PWL801" s="111"/>
      <c r="PWM801" s="111"/>
      <c r="PWN801" s="111"/>
      <c r="PWO801" s="111"/>
      <c r="PWP801" s="111"/>
      <c r="PWQ801" s="111"/>
      <c r="PWR801" s="111"/>
      <c r="PWS801" s="111"/>
      <c r="PWT801" s="111"/>
      <c r="PWU801" s="111"/>
      <c r="PWV801" s="111"/>
      <c r="PWW801" s="111"/>
      <c r="PWX801" s="111"/>
      <c r="PWY801" s="111"/>
      <c r="PWZ801" s="111"/>
      <c r="PXA801" s="111"/>
      <c r="PXB801" s="111"/>
      <c r="PXC801" s="111"/>
      <c r="PXD801" s="111"/>
      <c r="PXE801" s="111"/>
      <c r="PXF801" s="111"/>
      <c r="PXG801" s="111"/>
      <c r="PXH801" s="111"/>
      <c r="PXI801" s="111"/>
      <c r="PXJ801" s="111"/>
      <c r="PXK801" s="111"/>
      <c r="PXL801" s="111"/>
      <c r="PXM801" s="111"/>
      <c r="PXN801" s="111"/>
      <c r="PXO801" s="111"/>
      <c r="PXP801" s="111"/>
      <c r="PXQ801" s="111"/>
      <c r="PXR801" s="111"/>
      <c r="PXS801" s="111"/>
      <c r="PXT801" s="111"/>
      <c r="PXU801" s="111"/>
      <c r="PXV801" s="111"/>
      <c r="PXW801" s="111"/>
      <c r="PXX801" s="111"/>
      <c r="PXY801" s="111"/>
      <c r="PXZ801" s="111"/>
      <c r="PYA801" s="111"/>
      <c r="PYB801" s="111"/>
      <c r="PYC801" s="111"/>
      <c r="PYD801" s="111"/>
      <c r="PYE801" s="111"/>
      <c r="PYF801" s="111"/>
      <c r="PYG801" s="111"/>
      <c r="PYH801" s="111"/>
      <c r="PYI801" s="111"/>
      <c r="PYJ801" s="111"/>
      <c r="PYK801" s="111"/>
      <c r="PYL801" s="111"/>
      <c r="PYM801" s="111"/>
      <c r="PYN801" s="111"/>
      <c r="PYO801" s="111"/>
      <c r="PYP801" s="111"/>
      <c r="PYQ801" s="111"/>
      <c r="PYR801" s="111"/>
      <c r="PYS801" s="111"/>
      <c r="PYT801" s="111"/>
      <c r="PYU801" s="111"/>
      <c r="PYV801" s="111"/>
      <c r="PYW801" s="111"/>
      <c r="PYX801" s="111"/>
      <c r="PYY801" s="111"/>
      <c r="PYZ801" s="111"/>
      <c r="PZA801" s="111"/>
      <c r="PZB801" s="111"/>
      <c r="PZC801" s="111"/>
      <c r="PZD801" s="111"/>
      <c r="PZE801" s="111"/>
      <c r="PZF801" s="111"/>
      <c r="PZG801" s="111"/>
      <c r="PZH801" s="111"/>
      <c r="PZI801" s="111"/>
      <c r="PZJ801" s="111"/>
      <c r="PZK801" s="111"/>
      <c r="PZL801" s="111"/>
      <c r="PZM801" s="111"/>
      <c r="PZN801" s="111"/>
      <c r="PZO801" s="111"/>
      <c r="PZP801" s="111"/>
      <c r="PZQ801" s="111"/>
      <c r="PZR801" s="111"/>
      <c r="PZS801" s="111"/>
      <c r="PZT801" s="111"/>
      <c r="PZU801" s="111"/>
      <c r="PZV801" s="111"/>
      <c r="PZW801" s="111"/>
      <c r="PZX801" s="111"/>
      <c r="PZY801" s="111"/>
      <c r="PZZ801" s="111"/>
      <c r="QAA801" s="111"/>
      <c r="QAB801" s="111"/>
      <c r="QAC801" s="111"/>
      <c r="QAD801" s="111"/>
      <c r="QAE801" s="111"/>
      <c r="QAF801" s="111"/>
      <c r="QAG801" s="111"/>
      <c r="QAH801" s="111"/>
      <c r="QAI801" s="111"/>
      <c r="QAJ801" s="111"/>
      <c r="QAK801" s="111"/>
      <c r="QAL801" s="111"/>
      <c r="QAM801" s="111"/>
      <c r="QAN801" s="111"/>
      <c r="QAO801" s="111"/>
      <c r="QAP801" s="111"/>
      <c r="QAQ801" s="111"/>
      <c r="QAR801" s="111"/>
      <c r="QAS801" s="111"/>
      <c r="QAT801" s="111"/>
      <c r="QAU801" s="111"/>
      <c r="QAV801" s="111"/>
      <c r="QAW801" s="111"/>
      <c r="QAX801" s="111"/>
      <c r="QAY801" s="111"/>
      <c r="QAZ801" s="111"/>
      <c r="QBA801" s="111"/>
      <c r="QBB801" s="111"/>
      <c r="QBC801" s="111"/>
      <c r="QBD801" s="111"/>
      <c r="QBE801" s="111"/>
      <c r="QBF801" s="111"/>
      <c r="QBG801" s="111"/>
      <c r="QBH801" s="111"/>
      <c r="QBI801" s="111"/>
      <c r="QBJ801" s="111"/>
      <c r="QBK801" s="111"/>
      <c r="QBL801" s="111"/>
      <c r="QBM801" s="111"/>
      <c r="QBN801" s="111"/>
      <c r="QBO801" s="111"/>
      <c r="QBP801" s="111"/>
      <c r="QBQ801" s="111"/>
      <c r="QBR801" s="111"/>
      <c r="QBS801" s="111"/>
      <c r="QBT801" s="111"/>
      <c r="QBU801" s="111"/>
      <c r="QBV801" s="111"/>
      <c r="QBW801" s="111"/>
      <c r="QBX801" s="111"/>
      <c r="QBY801" s="111"/>
      <c r="QBZ801" s="111"/>
      <c r="QCA801" s="111"/>
      <c r="QCB801" s="111"/>
      <c r="QCC801" s="111"/>
      <c r="QCD801" s="111"/>
      <c r="QCE801" s="111"/>
      <c r="QCF801" s="111"/>
      <c r="QCG801" s="111"/>
      <c r="QCH801" s="111"/>
      <c r="QCI801" s="111"/>
      <c r="QCJ801" s="111"/>
      <c r="QCK801" s="111"/>
      <c r="QCL801" s="111"/>
      <c r="QCM801" s="111"/>
      <c r="QCN801" s="111"/>
      <c r="QCO801" s="111"/>
      <c r="QCP801" s="111"/>
      <c r="QCQ801" s="111"/>
      <c r="QCR801" s="111"/>
      <c r="QCS801" s="111"/>
      <c r="QCT801" s="111"/>
      <c r="QCU801" s="111"/>
      <c r="QCV801" s="111"/>
      <c r="QCW801" s="111"/>
      <c r="QCX801" s="111"/>
      <c r="QCY801" s="111"/>
      <c r="QCZ801" s="111"/>
      <c r="QDA801" s="111"/>
      <c r="QDB801" s="111"/>
      <c r="QDC801" s="111"/>
      <c r="QDD801" s="111"/>
      <c r="QDE801" s="111"/>
      <c r="QDF801" s="111"/>
      <c r="QDG801" s="111"/>
      <c r="QDH801" s="111"/>
      <c r="QDI801" s="111"/>
      <c r="QDJ801" s="111"/>
      <c r="QDK801" s="111"/>
      <c r="QDL801" s="111"/>
      <c r="QDM801" s="111"/>
      <c r="QDN801" s="111"/>
      <c r="QDO801" s="111"/>
      <c r="QDP801" s="111"/>
      <c r="QDQ801" s="111"/>
      <c r="QDR801" s="111"/>
      <c r="QDS801" s="111"/>
      <c r="QDT801" s="111"/>
      <c r="QDU801" s="111"/>
      <c r="QDV801" s="111"/>
      <c r="QDW801" s="111"/>
      <c r="QDX801" s="111"/>
      <c r="QDY801" s="111"/>
      <c r="QDZ801" s="111"/>
      <c r="QEA801" s="111"/>
      <c r="QEB801" s="111"/>
      <c r="QEC801" s="111"/>
      <c r="QED801" s="111"/>
      <c r="QEE801" s="111"/>
      <c r="QEF801" s="111"/>
      <c r="QEG801" s="111"/>
      <c r="QEH801" s="111"/>
      <c r="QEI801" s="111"/>
      <c r="QEJ801" s="111"/>
      <c r="QEK801" s="111"/>
      <c r="QEL801" s="111"/>
      <c r="QEM801" s="111"/>
      <c r="QEN801" s="111"/>
      <c r="QEO801" s="111"/>
      <c r="QEP801" s="111"/>
      <c r="QEQ801" s="111"/>
      <c r="QER801" s="111"/>
      <c r="QES801" s="111"/>
      <c r="QET801" s="111"/>
      <c r="QEU801" s="111"/>
      <c r="QEV801" s="111"/>
      <c r="QEW801" s="111"/>
      <c r="QEX801" s="111"/>
      <c r="QEY801" s="111"/>
      <c r="QEZ801" s="111"/>
      <c r="QFA801" s="111"/>
      <c r="QFB801" s="111"/>
      <c r="QFC801" s="111"/>
      <c r="QFD801" s="111"/>
      <c r="QFE801" s="111"/>
      <c r="QFF801" s="111"/>
      <c r="QFG801" s="111"/>
      <c r="QFH801" s="111"/>
      <c r="QFI801" s="111"/>
      <c r="QFJ801" s="111"/>
      <c r="QFK801" s="111"/>
      <c r="QFL801" s="111"/>
      <c r="QFM801" s="111"/>
      <c r="QFN801" s="111"/>
      <c r="QFO801" s="111"/>
      <c r="QFP801" s="111"/>
      <c r="QFQ801" s="111"/>
      <c r="QFR801" s="111"/>
      <c r="QFS801" s="111"/>
      <c r="QFT801" s="111"/>
      <c r="QFU801" s="111"/>
      <c r="QFV801" s="111"/>
      <c r="QFW801" s="111"/>
      <c r="QFX801" s="111"/>
      <c r="QFY801" s="111"/>
      <c r="QFZ801" s="111"/>
      <c r="QGA801" s="111"/>
      <c r="QGB801" s="111"/>
      <c r="QGC801" s="111"/>
      <c r="QGD801" s="111"/>
      <c r="QGE801" s="111"/>
      <c r="QGF801" s="111"/>
      <c r="QGG801" s="111"/>
      <c r="QGH801" s="111"/>
      <c r="QGI801" s="111"/>
      <c r="QGJ801" s="111"/>
      <c r="QGK801" s="111"/>
      <c r="QGL801" s="111"/>
      <c r="QGM801" s="111"/>
      <c r="QGN801" s="111"/>
      <c r="QGO801" s="111"/>
      <c r="QGP801" s="111"/>
      <c r="QGQ801" s="111"/>
      <c r="QGR801" s="111"/>
      <c r="QGS801" s="111"/>
      <c r="QGT801" s="111"/>
      <c r="QGU801" s="111"/>
      <c r="QGV801" s="111"/>
      <c r="QGW801" s="111"/>
      <c r="QGX801" s="111"/>
      <c r="QGY801" s="111"/>
      <c r="QGZ801" s="111"/>
      <c r="QHA801" s="111"/>
      <c r="QHB801" s="111"/>
      <c r="QHC801" s="111"/>
      <c r="QHD801" s="111"/>
      <c r="QHE801" s="111"/>
      <c r="QHF801" s="111"/>
      <c r="QHG801" s="111"/>
      <c r="QHH801" s="111"/>
      <c r="QHI801" s="111"/>
      <c r="QHJ801" s="111"/>
      <c r="QHK801" s="111"/>
      <c r="QHL801" s="111"/>
      <c r="QHM801" s="111"/>
      <c r="QHN801" s="111"/>
      <c r="QHO801" s="111"/>
      <c r="QHP801" s="111"/>
      <c r="QHQ801" s="111"/>
      <c r="QHR801" s="111"/>
      <c r="QHS801" s="111"/>
      <c r="QHT801" s="111"/>
      <c r="QHU801" s="111"/>
      <c r="QHV801" s="111"/>
      <c r="QHW801" s="111"/>
      <c r="QHX801" s="111"/>
      <c r="QHY801" s="111"/>
      <c r="QHZ801" s="111"/>
      <c r="QIA801" s="111"/>
      <c r="QIB801" s="111"/>
      <c r="QIC801" s="111"/>
      <c r="QID801" s="111"/>
      <c r="QIE801" s="111"/>
      <c r="QIF801" s="111"/>
      <c r="QIG801" s="111"/>
      <c r="QIH801" s="111"/>
      <c r="QII801" s="111"/>
      <c r="QIJ801" s="111"/>
      <c r="QIK801" s="111"/>
      <c r="QIL801" s="111"/>
      <c r="QIM801" s="111"/>
      <c r="QIN801" s="111"/>
      <c r="QIO801" s="111"/>
      <c r="QIP801" s="111"/>
      <c r="QIQ801" s="111"/>
      <c r="QIR801" s="111"/>
      <c r="QIS801" s="111"/>
      <c r="QIT801" s="111"/>
      <c r="QIU801" s="111"/>
      <c r="QIV801" s="111"/>
      <c r="QIW801" s="111"/>
      <c r="QIX801" s="111"/>
      <c r="QIY801" s="111"/>
      <c r="QIZ801" s="111"/>
      <c r="QJA801" s="111"/>
      <c r="QJB801" s="111"/>
      <c r="QJC801" s="111"/>
      <c r="QJD801" s="111"/>
      <c r="QJE801" s="111"/>
      <c r="QJF801" s="111"/>
      <c r="QJG801" s="111"/>
      <c r="QJH801" s="111"/>
      <c r="QJI801" s="111"/>
      <c r="QJJ801" s="111"/>
      <c r="QJK801" s="111"/>
      <c r="QJL801" s="111"/>
      <c r="QJM801" s="111"/>
      <c r="QJN801" s="111"/>
      <c r="QJO801" s="111"/>
      <c r="QJP801" s="111"/>
      <c r="QJQ801" s="111"/>
      <c r="QJR801" s="111"/>
      <c r="QJS801" s="111"/>
      <c r="QJT801" s="111"/>
      <c r="QJU801" s="111"/>
      <c r="QJV801" s="111"/>
      <c r="QJW801" s="111"/>
      <c r="QJX801" s="111"/>
      <c r="QJY801" s="111"/>
      <c r="QJZ801" s="111"/>
      <c r="QKA801" s="111"/>
      <c r="QKB801" s="111"/>
      <c r="QKC801" s="111"/>
      <c r="QKD801" s="111"/>
      <c r="QKE801" s="111"/>
      <c r="QKF801" s="111"/>
      <c r="QKG801" s="111"/>
      <c r="QKH801" s="111"/>
      <c r="QKI801" s="111"/>
      <c r="QKJ801" s="111"/>
      <c r="QKK801" s="111"/>
      <c r="QKL801" s="111"/>
      <c r="QKM801" s="111"/>
      <c r="QKN801" s="111"/>
      <c r="QKO801" s="111"/>
      <c r="QKP801" s="111"/>
      <c r="QKQ801" s="111"/>
      <c r="QKR801" s="111"/>
      <c r="QKS801" s="111"/>
      <c r="QKT801" s="111"/>
      <c r="QKU801" s="111"/>
      <c r="QKV801" s="111"/>
      <c r="QKW801" s="111"/>
      <c r="QKX801" s="111"/>
      <c r="QKY801" s="111"/>
      <c r="QKZ801" s="111"/>
      <c r="QLA801" s="111"/>
      <c r="QLB801" s="111"/>
      <c r="QLC801" s="111"/>
      <c r="QLD801" s="111"/>
      <c r="QLE801" s="111"/>
      <c r="QLF801" s="111"/>
      <c r="QLG801" s="111"/>
      <c r="QLH801" s="111"/>
      <c r="QLI801" s="111"/>
      <c r="QLJ801" s="111"/>
      <c r="QLK801" s="111"/>
      <c r="QLL801" s="111"/>
      <c r="QLM801" s="111"/>
      <c r="QLN801" s="111"/>
      <c r="QLO801" s="111"/>
      <c r="QLP801" s="111"/>
      <c r="QLQ801" s="111"/>
      <c r="QLR801" s="111"/>
      <c r="QLS801" s="111"/>
      <c r="QLT801" s="111"/>
      <c r="QLU801" s="111"/>
      <c r="QLV801" s="111"/>
      <c r="QLW801" s="111"/>
      <c r="QLX801" s="111"/>
      <c r="QLY801" s="111"/>
      <c r="QLZ801" s="111"/>
      <c r="QMA801" s="111"/>
      <c r="QMB801" s="111"/>
      <c r="QMC801" s="111"/>
      <c r="QMD801" s="111"/>
      <c r="QME801" s="111"/>
      <c r="QMF801" s="111"/>
      <c r="QMG801" s="111"/>
      <c r="QMH801" s="111"/>
      <c r="QMI801" s="111"/>
      <c r="QMJ801" s="111"/>
      <c r="QMK801" s="111"/>
      <c r="QML801" s="111"/>
      <c r="QMM801" s="111"/>
      <c r="QMN801" s="111"/>
      <c r="QMO801" s="111"/>
      <c r="QMP801" s="111"/>
      <c r="QMQ801" s="111"/>
      <c r="QMR801" s="111"/>
      <c r="QMS801" s="111"/>
      <c r="QMT801" s="111"/>
      <c r="QMU801" s="111"/>
      <c r="QMV801" s="111"/>
      <c r="QMW801" s="111"/>
      <c r="QMX801" s="111"/>
      <c r="QMY801" s="111"/>
      <c r="QMZ801" s="111"/>
      <c r="QNA801" s="111"/>
      <c r="QNB801" s="111"/>
      <c r="QNC801" s="111"/>
      <c r="QND801" s="111"/>
      <c r="QNE801" s="111"/>
      <c r="QNF801" s="111"/>
      <c r="QNG801" s="111"/>
      <c r="QNH801" s="111"/>
      <c r="QNI801" s="111"/>
      <c r="QNJ801" s="111"/>
      <c r="QNK801" s="111"/>
      <c r="QNL801" s="111"/>
      <c r="QNM801" s="111"/>
      <c r="QNN801" s="111"/>
      <c r="QNO801" s="111"/>
      <c r="QNP801" s="111"/>
      <c r="QNQ801" s="111"/>
      <c r="QNR801" s="111"/>
      <c r="QNS801" s="111"/>
      <c r="QNT801" s="111"/>
      <c r="QNU801" s="111"/>
      <c r="QNV801" s="111"/>
      <c r="QNW801" s="111"/>
      <c r="QNX801" s="111"/>
      <c r="QNY801" s="111"/>
      <c r="QNZ801" s="111"/>
      <c r="QOA801" s="111"/>
      <c r="QOB801" s="111"/>
      <c r="QOC801" s="111"/>
      <c r="QOD801" s="111"/>
      <c r="QOE801" s="111"/>
      <c r="QOF801" s="111"/>
      <c r="QOG801" s="111"/>
      <c r="QOH801" s="111"/>
      <c r="QOI801" s="111"/>
      <c r="QOJ801" s="111"/>
      <c r="QOK801" s="111"/>
      <c r="QOL801" s="111"/>
      <c r="QOM801" s="111"/>
      <c r="QON801" s="111"/>
      <c r="QOO801" s="111"/>
      <c r="QOP801" s="111"/>
      <c r="QOQ801" s="111"/>
      <c r="QOR801" s="111"/>
      <c r="QOS801" s="111"/>
      <c r="QOT801" s="111"/>
      <c r="QOU801" s="111"/>
      <c r="QOV801" s="111"/>
      <c r="QOW801" s="111"/>
      <c r="QOX801" s="111"/>
      <c r="QOY801" s="111"/>
      <c r="QOZ801" s="111"/>
      <c r="QPA801" s="111"/>
      <c r="QPB801" s="111"/>
      <c r="QPC801" s="111"/>
      <c r="QPD801" s="111"/>
      <c r="QPE801" s="111"/>
      <c r="QPF801" s="111"/>
      <c r="QPG801" s="111"/>
      <c r="QPH801" s="111"/>
      <c r="QPI801" s="111"/>
      <c r="QPJ801" s="111"/>
      <c r="QPK801" s="111"/>
      <c r="QPL801" s="111"/>
      <c r="QPM801" s="111"/>
      <c r="QPN801" s="111"/>
      <c r="QPO801" s="111"/>
      <c r="QPP801" s="111"/>
      <c r="QPQ801" s="111"/>
      <c r="QPR801" s="111"/>
      <c r="QPS801" s="111"/>
      <c r="QPT801" s="111"/>
      <c r="QPU801" s="111"/>
      <c r="QPV801" s="111"/>
      <c r="QPW801" s="111"/>
      <c r="QPX801" s="111"/>
      <c r="QPY801" s="111"/>
      <c r="QPZ801" s="111"/>
      <c r="QQA801" s="111"/>
      <c r="QQB801" s="111"/>
      <c r="QQC801" s="111"/>
      <c r="QQD801" s="111"/>
      <c r="QQE801" s="111"/>
      <c r="QQF801" s="111"/>
      <c r="QQG801" s="111"/>
      <c r="QQH801" s="111"/>
      <c r="QQI801" s="111"/>
      <c r="QQJ801" s="111"/>
      <c r="QQK801" s="111"/>
      <c r="QQL801" s="111"/>
      <c r="QQM801" s="111"/>
      <c r="QQN801" s="111"/>
      <c r="QQO801" s="111"/>
      <c r="QQP801" s="111"/>
      <c r="QQQ801" s="111"/>
      <c r="QQR801" s="111"/>
      <c r="QQS801" s="111"/>
      <c r="QQT801" s="111"/>
      <c r="QQU801" s="111"/>
      <c r="QQV801" s="111"/>
      <c r="QQW801" s="111"/>
      <c r="QQX801" s="111"/>
      <c r="QQY801" s="111"/>
      <c r="QQZ801" s="111"/>
      <c r="QRA801" s="111"/>
      <c r="QRB801" s="111"/>
      <c r="QRC801" s="111"/>
      <c r="QRD801" s="111"/>
      <c r="QRE801" s="111"/>
      <c r="QRF801" s="111"/>
      <c r="QRG801" s="111"/>
      <c r="QRH801" s="111"/>
      <c r="QRI801" s="111"/>
      <c r="QRJ801" s="111"/>
      <c r="QRK801" s="111"/>
      <c r="QRL801" s="111"/>
      <c r="QRM801" s="111"/>
      <c r="QRN801" s="111"/>
      <c r="QRO801" s="111"/>
      <c r="QRP801" s="111"/>
      <c r="QRQ801" s="111"/>
      <c r="QRR801" s="111"/>
      <c r="QRS801" s="111"/>
      <c r="QRT801" s="111"/>
      <c r="QRU801" s="111"/>
      <c r="QRV801" s="111"/>
      <c r="QRW801" s="111"/>
      <c r="QRX801" s="111"/>
      <c r="QRY801" s="111"/>
      <c r="QRZ801" s="111"/>
      <c r="QSA801" s="111"/>
      <c r="QSB801" s="111"/>
      <c r="QSC801" s="111"/>
      <c r="QSD801" s="111"/>
      <c r="QSE801" s="111"/>
      <c r="QSF801" s="111"/>
      <c r="QSG801" s="111"/>
      <c r="QSH801" s="111"/>
      <c r="QSI801" s="111"/>
      <c r="QSJ801" s="111"/>
      <c r="QSK801" s="111"/>
      <c r="QSL801" s="111"/>
      <c r="QSM801" s="111"/>
      <c r="QSN801" s="111"/>
      <c r="QSO801" s="111"/>
      <c r="QSP801" s="111"/>
      <c r="QSQ801" s="111"/>
      <c r="QSR801" s="111"/>
      <c r="QSS801" s="111"/>
      <c r="QST801" s="111"/>
      <c r="QSU801" s="111"/>
      <c r="QSV801" s="111"/>
      <c r="QSW801" s="111"/>
      <c r="QSX801" s="111"/>
      <c r="QSY801" s="111"/>
      <c r="QSZ801" s="111"/>
      <c r="QTA801" s="111"/>
      <c r="QTB801" s="111"/>
      <c r="QTC801" s="111"/>
      <c r="QTD801" s="111"/>
      <c r="QTE801" s="111"/>
      <c r="QTF801" s="111"/>
      <c r="QTG801" s="111"/>
      <c r="QTH801" s="111"/>
      <c r="QTI801" s="111"/>
      <c r="QTJ801" s="111"/>
      <c r="QTK801" s="111"/>
      <c r="QTL801" s="111"/>
      <c r="QTM801" s="111"/>
      <c r="QTN801" s="111"/>
      <c r="QTO801" s="111"/>
      <c r="QTP801" s="111"/>
      <c r="QTQ801" s="111"/>
      <c r="QTR801" s="111"/>
      <c r="QTS801" s="111"/>
      <c r="QTT801" s="111"/>
      <c r="QTU801" s="111"/>
      <c r="QTV801" s="111"/>
      <c r="QTW801" s="111"/>
      <c r="QTX801" s="111"/>
      <c r="QTY801" s="111"/>
      <c r="QTZ801" s="111"/>
      <c r="QUA801" s="111"/>
      <c r="QUB801" s="111"/>
      <c r="QUC801" s="111"/>
      <c r="QUD801" s="111"/>
      <c r="QUE801" s="111"/>
      <c r="QUF801" s="111"/>
      <c r="QUG801" s="111"/>
      <c r="QUH801" s="111"/>
      <c r="QUI801" s="111"/>
      <c r="QUJ801" s="111"/>
      <c r="QUK801" s="111"/>
      <c r="QUL801" s="111"/>
      <c r="QUM801" s="111"/>
      <c r="QUN801" s="111"/>
      <c r="QUO801" s="111"/>
      <c r="QUP801" s="111"/>
      <c r="QUQ801" s="111"/>
      <c r="QUR801" s="111"/>
      <c r="QUS801" s="111"/>
      <c r="QUT801" s="111"/>
      <c r="QUU801" s="111"/>
      <c r="QUV801" s="111"/>
      <c r="QUW801" s="111"/>
      <c r="QUX801" s="111"/>
      <c r="QUY801" s="111"/>
      <c r="QUZ801" s="111"/>
      <c r="QVA801" s="111"/>
      <c r="QVB801" s="111"/>
      <c r="QVC801" s="111"/>
      <c r="QVD801" s="111"/>
      <c r="QVE801" s="111"/>
      <c r="QVF801" s="111"/>
      <c r="QVG801" s="111"/>
      <c r="QVH801" s="111"/>
      <c r="QVI801" s="111"/>
      <c r="QVJ801" s="111"/>
      <c r="QVK801" s="111"/>
      <c r="QVL801" s="111"/>
      <c r="QVM801" s="111"/>
      <c r="QVN801" s="111"/>
      <c r="QVO801" s="111"/>
      <c r="QVP801" s="111"/>
      <c r="QVQ801" s="111"/>
      <c r="QVR801" s="111"/>
      <c r="QVS801" s="111"/>
      <c r="QVT801" s="111"/>
      <c r="QVU801" s="111"/>
      <c r="QVV801" s="111"/>
      <c r="QVW801" s="111"/>
      <c r="QVX801" s="111"/>
      <c r="QVY801" s="111"/>
      <c r="QVZ801" s="111"/>
      <c r="QWA801" s="111"/>
      <c r="QWB801" s="111"/>
      <c r="QWC801" s="111"/>
      <c r="QWD801" s="111"/>
      <c r="QWE801" s="111"/>
      <c r="QWF801" s="111"/>
      <c r="QWG801" s="111"/>
      <c r="QWH801" s="111"/>
      <c r="QWI801" s="111"/>
      <c r="QWJ801" s="111"/>
      <c r="QWK801" s="111"/>
      <c r="QWL801" s="111"/>
      <c r="QWM801" s="111"/>
      <c r="QWN801" s="111"/>
      <c r="QWO801" s="111"/>
      <c r="QWP801" s="111"/>
      <c r="QWQ801" s="111"/>
      <c r="QWR801" s="111"/>
      <c r="QWS801" s="111"/>
      <c r="QWT801" s="111"/>
      <c r="QWU801" s="111"/>
      <c r="QWV801" s="111"/>
      <c r="QWW801" s="111"/>
      <c r="QWX801" s="111"/>
      <c r="QWY801" s="111"/>
      <c r="QWZ801" s="111"/>
      <c r="QXA801" s="111"/>
      <c r="QXB801" s="111"/>
      <c r="QXC801" s="111"/>
      <c r="QXD801" s="111"/>
      <c r="QXE801" s="111"/>
      <c r="QXF801" s="111"/>
      <c r="QXG801" s="111"/>
      <c r="QXH801" s="111"/>
      <c r="QXI801" s="111"/>
      <c r="QXJ801" s="111"/>
      <c r="QXK801" s="111"/>
      <c r="QXL801" s="111"/>
      <c r="QXM801" s="111"/>
      <c r="QXN801" s="111"/>
      <c r="QXO801" s="111"/>
      <c r="QXP801" s="111"/>
      <c r="QXQ801" s="111"/>
      <c r="QXR801" s="111"/>
      <c r="QXS801" s="111"/>
      <c r="QXT801" s="111"/>
      <c r="QXU801" s="111"/>
      <c r="QXV801" s="111"/>
      <c r="QXW801" s="111"/>
      <c r="QXX801" s="111"/>
      <c r="QXY801" s="111"/>
      <c r="QXZ801" s="111"/>
      <c r="QYA801" s="111"/>
      <c r="QYB801" s="111"/>
      <c r="QYC801" s="111"/>
      <c r="QYD801" s="111"/>
      <c r="QYE801" s="111"/>
      <c r="QYF801" s="111"/>
      <c r="QYG801" s="111"/>
      <c r="QYH801" s="111"/>
      <c r="QYI801" s="111"/>
      <c r="QYJ801" s="111"/>
      <c r="QYK801" s="111"/>
      <c r="QYL801" s="111"/>
      <c r="QYM801" s="111"/>
      <c r="QYN801" s="111"/>
      <c r="QYO801" s="111"/>
      <c r="QYP801" s="111"/>
      <c r="QYQ801" s="111"/>
      <c r="QYR801" s="111"/>
      <c r="QYS801" s="111"/>
      <c r="QYT801" s="111"/>
      <c r="QYU801" s="111"/>
      <c r="QYV801" s="111"/>
      <c r="QYW801" s="111"/>
      <c r="QYX801" s="111"/>
      <c r="QYY801" s="111"/>
      <c r="QYZ801" s="111"/>
      <c r="QZA801" s="111"/>
      <c r="QZB801" s="111"/>
      <c r="QZC801" s="111"/>
      <c r="QZD801" s="111"/>
      <c r="QZE801" s="111"/>
      <c r="QZF801" s="111"/>
      <c r="QZG801" s="111"/>
      <c r="QZH801" s="111"/>
      <c r="QZI801" s="111"/>
      <c r="QZJ801" s="111"/>
      <c r="QZK801" s="111"/>
      <c r="QZL801" s="111"/>
      <c r="QZM801" s="111"/>
      <c r="QZN801" s="111"/>
      <c r="QZO801" s="111"/>
      <c r="QZP801" s="111"/>
      <c r="QZQ801" s="111"/>
      <c r="QZR801" s="111"/>
      <c r="QZS801" s="111"/>
      <c r="QZT801" s="111"/>
      <c r="QZU801" s="111"/>
      <c r="QZV801" s="111"/>
      <c r="QZW801" s="111"/>
      <c r="QZX801" s="111"/>
      <c r="QZY801" s="111"/>
      <c r="QZZ801" s="111"/>
      <c r="RAA801" s="111"/>
      <c r="RAB801" s="111"/>
      <c r="RAC801" s="111"/>
      <c r="RAD801" s="111"/>
      <c r="RAE801" s="111"/>
      <c r="RAF801" s="111"/>
      <c r="RAG801" s="111"/>
      <c r="RAH801" s="111"/>
      <c r="RAI801" s="111"/>
      <c r="RAJ801" s="111"/>
      <c r="RAK801" s="111"/>
      <c r="RAL801" s="111"/>
      <c r="RAM801" s="111"/>
      <c r="RAN801" s="111"/>
      <c r="RAO801" s="111"/>
      <c r="RAP801" s="111"/>
      <c r="RAQ801" s="111"/>
      <c r="RAR801" s="111"/>
      <c r="RAS801" s="111"/>
      <c r="RAT801" s="111"/>
      <c r="RAU801" s="111"/>
      <c r="RAV801" s="111"/>
      <c r="RAW801" s="111"/>
      <c r="RAX801" s="111"/>
      <c r="RAY801" s="111"/>
      <c r="RAZ801" s="111"/>
      <c r="RBA801" s="111"/>
      <c r="RBB801" s="111"/>
      <c r="RBC801" s="111"/>
      <c r="RBD801" s="111"/>
      <c r="RBE801" s="111"/>
      <c r="RBF801" s="111"/>
      <c r="RBG801" s="111"/>
      <c r="RBH801" s="111"/>
      <c r="RBI801" s="111"/>
      <c r="RBJ801" s="111"/>
      <c r="RBK801" s="111"/>
      <c r="RBL801" s="111"/>
      <c r="RBM801" s="111"/>
      <c r="RBN801" s="111"/>
      <c r="RBO801" s="111"/>
      <c r="RBP801" s="111"/>
      <c r="RBQ801" s="111"/>
      <c r="RBR801" s="111"/>
      <c r="RBS801" s="111"/>
      <c r="RBT801" s="111"/>
      <c r="RBU801" s="111"/>
      <c r="RBV801" s="111"/>
      <c r="RBW801" s="111"/>
      <c r="RBX801" s="111"/>
      <c r="RBY801" s="111"/>
      <c r="RBZ801" s="111"/>
      <c r="RCA801" s="111"/>
      <c r="RCB801" s="111"/>
      <c r="RCC801" s="111"/>
      <c r="RCD801" s="111"/>
      <c r="RCE801" s="111"/>
      <c r="RCF801" s="111"/>
      <c r="RCG801" s="111"/>
      <c r="RCH801" s="111"/>
      <c r="RCI801" s="111"/>
      <c r="RCJ801" s="111"/>
      <c r="RCK801" s="111"/>
      <c r="RCL801" s="111"/>
      <c r="RCM801" s="111"/>
      <c r="RCN801" s="111"/>
      <c r="RCO801" s="111"/>
      <c r="RCP801" s="111"/>
      <c r="RCQ801" s="111"/>
      <c r="RCR801" s="111"/>
      <c r="RCS801" s="111"/>
      <c r="RCT801" s="111"/>
      <c r="RCU801" s="111"/>
      <c r="RCV801" s="111"/>
      <c r="RCW801" s="111"/>
      <c r="RCX801" s="111"/>
      <c r="RCY801" s="111"/>
      <c r="RCZ801" s="111"/>
      <c r="RDA801" s="111"/>
      <c r="RDB801" s="111"/>
      <c r="RDC801" s="111"/>
      <c r="RDD801" s="111"/>
      <c r="RDE801" s="111"/>
      <c r="RDF801" s="111"/>
      <c r="RDG801" s="111"/>
      <c r="RDH801" s="111"/>
      <c r="RDI801" s="111"/>
      <c r="RDJ801" s="111"/>
      <c r="RDK801" s="111"/>
      <c r="RDL801" s="111"/>
      <c r="RDM801" s="111"/>
      <c r="RDN801" s="111"/>
      <c r="RDO801" s="111"/>
      <c r="RDP801" s="111"/>
      <c r="RDQ801" s="111"/>
      <c r="RDR801" s="111"/>
      <c r="RDS801" s="111"/>
      <c r="RDT801" s="111"/>
      <c r="RDU801" s="111"/>
      <c r="RDV801" s="111"/>
      <c r="RDW801" s="111"/>
      <c r="RDX801" s="111"/>
      <c r="RDY801" s="111"/>
      <c r="RDZ801" s="111"/>
      <c r="REA801" s="111"/>
      <c r="REB801" s="111"/>
      <c r="REC801" s="111"/>
      <c r="RED801" s="111"/>
      <c r="REE801" s="111"/>
      <c r="REF801" s="111"/>
      <c r="REG801" s="111"/>
      <c r="REH801" s="111"/>
      <c r="REI801" s="111"/>
      <c r="REJ801" s="111"/>
      <c r="REK801" s="111"/>
      <c r="REL801" s="111"/>
      <c r="REM801" s="111"/>
      <c r="REN801" s="111"/>
      <c r="REO801" s="111"/>
      <c r="REP801" s="111"/>
      <c r="REQ801" s="111"/>
      <c r="RER801" s="111"/>
      <c r="RES801" s="111"/>
      <c r="RET801" s="111"/>
      <c r="REU801" s="111"/>
      <c r="REV801" s="111"/>
      <c r="REW801" s="111"/>
      <c r="REX801" s="111"/>
      <c r="REY801" s="111"/>
      <c r="REZ801" s="111"/>
      <c r="RFA801" s="111"/>
      <c r="RFB801" s="111"/>
      <c r="RFC801" s="111"/>
      <c r="RFD801" s="111"/>
      <c r="RFE801" s="111"/>
      <c r="RFF801" s="111"/>
      <c r="RFG801" s="111"/>
      <c r="RFH801" s="111"/>
      <c r="RFI801" s="111"/>
      <c r="RFJ801" s="111"/>
      <c r="RFK801" s="111"/>
      <c r="RFL801" s="111"/>
      <c r="RFM801" s="111"/>
      <c r="RFN801" s="111"/>
      <c r="RFO801" s="111"/>
      <c r="RFP801" s="111"/>
      <c r="RFQ801" s="111"/>
      <c r="RFR801" s="111"/>
      <c r="RFS801" s="111"/>
      <c r="RFT801" s="111"/>
      <c r="RFU801" s="111"/>
      <c r="RFV801" s="111"/>
      <c r="RFW801" s="111"/>
      <c r="RFX801" s="111"/>
      <c r="RFY801" s="111"/>
      <c r="RFZ801" s="111"/>
      <c r="RGA801" s="111"/>
      <c r="RGB801" s="111"/>
      <c r="RGC801" s="111"/>
      <c r="RGD801" s="111"/>
      <c r="RGE801" s="111"/>
      <c r="RGF801" s="111"/>
      <c r="RGG801" s="111"/>
      <c r="RGH801" s="111"/>
      <c r="RGI801" s="111"/>
      <c r="RGJ801" s="111"/>
      <c r="RGK801" s="111"/>
      <c r="RGL801" s="111"/>
      <c r="RGM801" s="111"/>
      <c r="RGN801" s="111"/>
      <c r="RGO801" s="111"/>
      <c r="RGP801" s="111"/>
      <c r="RGQ801" s="111"/>
      <c r="RGR801" s="111"/>
      <c r="RGS801" s="111"/>
      <c r="RGT801" s="111"/>
      <c r="RGU801" s="111"/>
      <c r="RGV801" s="111"/>
      <c r="RGW801" s="111"/>
      <c r="RGX801" s="111"/>
      <c r="RGY801" s="111"/>
      <c r="RGZ801" s="111"/>
      <c r="RHA801" s="111"/>
      <c r="RHB801" s="111"/>
      <c r="RHC801" s="111"/>
      <c r="RHD801" s="111"/>
      <c r="RHE801" s="111"/>
      <c r="RHF801" s="111"/>
      <c r="RHG801" s="111"/>
      <c r="RHH801" s="111"/>
      <c r="RHI801" s="111"/>
      <c r="RHJ801" s="111"/>
      <c r="RHK801" s="111"/>
      <c r="RHL801" s="111"/>
      <c r="RHM801" s="111"/>
      <c r="RHN801" s="111"/>
      <c r="RHO801" s="111"/>
      <c r="RHP801" s="111"/>
      <c r="RHQ801" s="111"/>
      <c r="RHR801" s="111"/>
      <c r="RHS801" s="111"/>
      <c r="RHT801" s="111"/>
      <c r="RHU801" s="111"/>
      <c r="RHV801" s="111"/>
      <c r="RHW801" s="111"/>
      <c r="RHX801" s="111"/>
      <c r="RHY801" s="111"/>
      <c r="RHZ801" s="111"/>
      <c r="RIA801" s="111"/>
      <c r="RIB801" s="111"/>
      <c r="RIC801" s="111"/>
      <c r="RID801" s="111"/>
      <c r="RIE801" s="111"/>
      <c r="RIF801" s="111"/>
      <c r="RIG801" s="111"/>
      <c r="RIH801" s="111"/>
      <c r="RII801" s="111"/>
      <c r="RIJ801" s="111"/>
      <c r="RIK801" s="111"/>
      <c r="RIL801" s="111"/>
      <c r="RIM801" s="111"/>
      <c r="RIN801" s="111"/>
      <c r="RIO801" s="111"/>
      <c r="RIP801" s="111"/>
      <c r="RIQ801" s="111"/>
      <c r="RIR801" s="111"/>
      <c r="RIS801" s="111"/>
      <c r="RIT801" s="111"/>
      <c r="RIU801" s="111"/>
      <c r="RIV801" s="111"/>
      <c r="RIW801" s="111"/>
      <c r="RIX801" s="111"/>
      <c r="RIY801" s="111"/>
      <c r="RIZ801" s="111"/>
      <c r="RJA801" s="111"/>
      <c r="RJB801" s="111"/>
      <c r="RJC801" s="111"/>
      <c r="RJD801" s="111"/>
      <c r="RJE801" s="111"/>
      <c r="RJF801" s="111"/>
      <c r="RJG801" s="111"/>
      <c r="RJH801" s="111"/>
      <c r="RJI801" s="111"/>
      <c r="RJJ801" s="111"/>
      <c r="RJK801" s="111"/>
      <c r="RJL801" s="111"/>
      <c r="RJM801" s="111"/>
      <c r="RJN801" s="111"/>
      <c r="RJO801" s="111"/>
      <c r="RJP801" s="111"/>
      <c r="RJQ801" s="111"/>
      <c r="RJR801" s="111"/>
      <c r="RJS801" s="111"/>
      <c r="RJT801" s="111"/>
      <c r="RJU801" s="111"/>
      <c r="RJV801" s="111"/>
      <c r="RJW801" s="111"/>
      <c r="RJX801" s="111"/>
      <c r="RJY801" s="111"/>
      <c r="RJZ801" s="111"/>
      <c r="RKA801" s="111"/>
      <c r="RKB801" s="111"/>
      <c r="RKC801" s="111"/>
      <c r="RKD801" s="111"/>
      <c r="RKE801" s="111"/>
      <c r="RKF801" s="111"/>
      <c r="RKG801" s="111"/>
      <c r="RKH801" s="111"/>
      <c r="RKI801" s="111"/>
      <c r="RKJ801" s="111"/>
      <c r="RKK801" s="111"/>
      <c r="RKL801" s="111"/>
      <c r="RKM801" s="111"/>
      <c r="RKN801" s="111"/>
      <c r="RKO801" s="111"/>
      <c r="RKP801" s="111"/>
      <c r="RKQ801" s="111"/>
      <c r="RKR801" s="111"/>
      <c r="RKS801" s="111"/>
      <c r="RKT801" s="111"/>
      <c r="RKU801" s="111"/>
      <c r="RKV801" s="111"/>
      <c r="RKW801" s="111"/>
      <c r="RKX801" s="111"/>
      <c r="RKY801" s="111"/>
      <c r="RKZ801" s="111"/>
      <c r="RLA801" s="111"/>
      <c r="RLB801" s="111"/>
      <c r="RLC801" s="111"/>
      <c r="RLD801" s="111"/>
      <c r="RLE801" s="111"/>
      <c r="RLF801" s="111"/>
      <c r="RLG801" s="111"/>
      <c r="RLH801" s="111"/>
      <c r="RLI801" s="111"/>
      <c r="RLJ801" s="111"/>
      <c r="RLK801" s="111"/>
      <c r="RLL801" s="111"/>
      <c r="RLM801" s="111"/>
      <c r="RLN801" s="111"/>
      <c r="RLO801" s="111"/>
      <c r="RLP801" s="111"/>
      <c r="RLQ801" s="111"/>
      <c r="RLR801" s="111"/>
      <c r="RLS801" s="111"/>
      <c r="RLT801" s="111"/>
      <c r="RLU801" s="111"/>
      <c r="RLV801" s="111"/>
      <c r="RLW801" s="111"/>
      <c r="RLX801" s="111"/>
      <c r="RLY801" s="111"/>
      <c r="RLZ801" s="111"/>
      <c r="RMA801" s="111"/>
      <c r="RMB801" s="111"/>
      <c r="RMC801" s="111"/>
      <c r="RMD801" s="111"/>
      <c r="RME801" s="111"/>
      <c r="RMF801" s="111"/>
      <c r="RMG801" s="111"/>
      <c r="RMH801" s="111"/>
      <c r="RMI801" s="111"/>
      <c r="RMJ801" s="111"/>
      <c r="RMK801" s="111"/>
      <c r="RML801" s="111"/>
      <c r="RMM801" s="111"/>
      <c r="RMN801" s="111"/>
      <c r="RMO801" s="111"/>
      <c r="RMP801" s="111"/>
      <c r="RMQ801" s="111"/>
      <c r="RMR801" s="111"/>
      <c r="RMS801" s="111"/>
      <c r="RMT801" s="111"/>
      <c r="RMU801" s="111"/>
      <c r="RMV801" s="111"/>
      <c r="RMW801" s="111"/>
      <c r="RMX801" s="111"/>
      <c r="RMY801" s="111"/>
      <c r="RMZ801" s="111"/>
      <c r="RNA801" s="111"/>
      <c r="RNB801" s="111"/>
      <c r="RNC801" s="111"/>
      <c r="RND801" s="111"/>
      <c r="RNE801" s="111"/>
      <c r="RNF801" s="111"/>
      <c r="RNG801" s="111"/>
      <c r="RNH801" s="111"/>
      <c r="RNI801" s="111"/>
      <c r="RNJ801" s="111"/>
      <c r="RNK801" s="111"/>
      <c r="RNL801" s="111"/>
      <c r="RNM801" s="111"/>
      <c r="RNN801" s="111"/>
      <c r="RNO801" s="111"/>
      <c r="RNP801" s="111"/>
      <c r="RNQ801" s="111"/>
      <c r="RNR801" s="111"/>
      <c r="RNS801" s="111"/>
      <c r="RNT801" s="111"/>
      <c r="RNU801" s="111"/>
      <c r="RNV801" s="111"/>
      <c r="RNW801" s="111"/>
      <c r="RNX801" s="111"/>
      <c r="RNY801" s="111"/>
      <c r="RNZ801" s="111"/>
      <c r="ROA801" s="111"/>
      <c r="ROB801" s="111"/>
      <c r="ROC801" s="111"/>
      <c r="ROD801" s="111"/>
      <c r="ROE801" s="111"/>
      <c r="ROF801" s="111"/>
      <c r="ROG801" s="111"/>
      <c r="ROH801" s="111"/>
      <c r="ROI801" s="111"/>
      <c r="ROJ801" s="111"/>
      <c r="ROK801" s="111"/>
      <c r="ROL801" s="111"/>
      <c r="ROM801" s="111"/>
      <c r="RON801" s="111"/>
      <c r="ROO801" s="111"/>
      <c r="ROP801" s="111"/>
      <c r="ROQ801" s="111"/>
      <c r="ROR801" s="111"/>
      <c r="ROS801" s="111"/>
      <c r="ROT801" s="111"/>
      <c r="ROU801" s="111"/>
      <c r="ROV801" s="111"/>
      <c r="ROW801" s="111"/>
      <c r="ROX801" s="111"/>
      <c r="ROY801" s="111"/>
      <c r="ROZ801" s="111"/>
      <c r="RPA801" s="111"/>
      <c r="RPB801" s="111"/>
      <c r="RPC801" s="111"/>
      <c r="RPD801" s="111"/>
      <c r="RPE801" s="111"/>
      <c r="RPF801" s="111"/>
      <c r="RPG801" s="111"/>
      <c r="RPH801" s="111"/>
      <c r="RPI801" s="111"/>
      <c r="RPJ801" s="111"/>
      <c r="RPK801" s="111"/>
      <c r="RPL801" s="111"/>
      <c r="RPM801" s="111"/>
      <c r="RPN801" s="111"/>
      <c r="RPO801" s="111"/>
      <c r="RPP801" s="111"/>
      <c r="RPQ801" s="111"/>
      <c r="RPR801" s="111"/>
      <c r="RPS801" s="111"/>
      <c r="RPT801" s="111"/>
      <c r="RPU801" s="111"/>
      <c r="RPV801" s="111"/>
      <c r="RPW801" s="111"/>
      <c r="RPX801" s="111"/>
      <c r="RPY801" s="111"/>
      <c r="RPZ801" s="111"/>
      <c r="RQA801" s="111"/>
      <c r="RQB801" s="111"/>
      <c r="RQC801" s="111"/>
      <c r="RQD801" s="111"/>
      <c r="RQE801" s="111"/>
      <c r="RQF801" s="111"/>
      <c r="RQG801" s="111"/>
      <c r="RQH801" s="111"/>
      <c r="RQI801" s="111"/>
      <c r="RQJ801" s="111"/>
      <c r="RQK801" s="111"/>
      <c r="RQL801" s="111"/>
      <c r="RQM801" s="111"/>
      <c r="RQN801" s="111"/>
      <c r="RQO801" s="111"/>
      <c r="RQP801" s="111"/>
      <c r="RQQ801" s="111"/>
      <c r="RQR801" s="111"/>
      <c r="RQS801" s="111"/>
      <c r="RQT801" s="111"/>
      <c r="RQU801" s="111"/>
      <c r="RQV801" s="111"/>
      <c r="RQW801" s="111"/>
      <c r="RQX801" s="111"/>
      <c r="RQY801" s="111"/>
      <c r="RQZ801" s="111"/>
      <c r="RRA801" s="111"/>
      <c r="RRB801" s="111"/>
      <c r="RRC801" s="111"/>
      <c r="RRD801" s="111"/>
      <c r="RRE801" s="111"/>
      <c r="RRF801" s="111"/>
      <c r="RRG801" s="111"/>
      <c r="RRH801" s="111"/>
      <c r="RRI801" s="111"/>
      <c r="RRJ801" s="111"/>
      <c r="RRK801" s="111"/>
      <c r="RRL801" s="111"/>
      <c r="RRM801" s="111"/>
      <c r="RRN801" s="111"/>
      <c r="RRO801" s="111"/>
      <c r="RRP801" s="111"/>
      <c r="RRQ801" s="111"/>
      <c r="RRR801" s="111"/>
      <c r="RRS801" s="111"/>
      <c r="RRT801" s="111"/>
      <c r="RRU801" s="111"/>
      <c r="RRV801" s="111"/>
      <c r="RRW801" s="111"/>
      <c r="RRX801" s="111"/>
      <c r="RRY801" s="111"/>
      <c r="RRZ801" s="111"/>
      <c r="RSA801" s="111"/>
      <c r="RSB801" s="111"/>
      <c r="RSC801" s="111"/>
      <c r="RSD801" s="111"/>
      <c r="RSE801" s="111"/>
      <c r="RSF801" s="111"/>
      <c r="RSG801" s="111"/>
      <c r="RSH801" s="111"/>
      <c r="RSI801" s="111"/>
      <c r="RSJ801" s="111"/>
      <c r="RSK801" s="111"/>
      <c r="RSL801" s="111"/>
      <c r="RSM801" s="111"/>
      <c r="RSN801" s="111"/>
      <c r="RSO801" s="111"/>
      <c r="RSP801" s="111"/>
      <c r="RSQ801" s="111"/>
      <c r="RSR801" s="111"/>
      <c r="RSS801" s="111"/>
      <c r="RST801" s="111"/>
      <c r="RSU801" s="111"/>
      <c r="RSV801" s="111"/>
      <c r="RSW801" s="111"/>
      <c r="RSX801" s="111"/>
      <c r="RSY801" s="111"/>
      <c r="RSZ801" s="111"/>
      <c r="RTA801" s="111"/>
      <c r="RTB801" s="111"/>
      <c r="RTC801" s="111"/>
      <c r="RTD801" s="111"/>
      <c r="RTE801" s="111"/>
      <c r="RTF801" s="111"/>
      <c r="RTG801" s="111"/>
      <c r="RTH801" s="111"/>
      <c r="RTI801" s="111"/>
      <c r="RTJ801" s="111"/>
      <c r="RTK801" s="111"/>
      <c r="RTL801" s="111"/>
      <c r="RTM801" s="111"/>
      <c r="RTN801" s="111"/>
      <c r="RTO801" s="111"/>
      <c r="RTP801" s="111"/>
      <c r="RTQ801" s="111"/>
      <c r="RTR801" s="111"/>
      <c r="RTS801" s="111"/>
      <c r="RTT801" s="111"/>
      <c r="RTU801" s="111"/>
      <c r="RTV801" s="111"/>
      <c r="RTW801" s="111"/>
      <c r="RTX801" s="111"/>
      <c r="RTY801" s="111"/>
      <c r="RTZ801" s="111"/>
      <c r="RUA801" s="111"/>
      <c r="RUB801" s="111"/>
      <c r="RUC801" s="111"/>
      <c r="RUD801" s="111"/>
      <c r="RUE801" s="111"/>
      <c r="RUF801" s="111"/>
      <c r="RUG801" s="111"/>
      <c r="RUH801" s="111"/>
      <c r="RUI801" s="111"/>
      <c r="RUJ801" s="111"/>
      <c r="RUK801" s="111"/>
      <c r="RUL801" s="111"/>
      <c r="RUM801" s="111"/>
      <c r="RUN801" s="111"/>
      <c r="RUO801" s="111"/>
      <c r="RUP801" s="111"/>
      <c r="RUQ801" s="111"/>
      <c r="RUR801" s="111"/>
      <c r="RUS801" s="111"/>
      <c r="RUT801" s="111"/>
      <c r="RUU801" s="111"/>
      <c r="RUV801" s="111"/>
      <c r="RUW801" s="111"/>
      <c r="RUX801" s="111"/>
      <c r="RUY801" s="111"/>
      <c r="RUZ801" s="111"/>
      <c r="RVA801" s="111"/>
      <c r="RVB801" s="111"/>
      <c r="RVC801" s="111"/>
      <c r="RVD801" s="111"/>
      <c r="RVE801" s="111"/>
      <c r="RVF801" s="111"/>
      <c r="RVG801" s="111"/>
      <c r="RVH801" s="111"/>
      <c r="RVI801" s="111"/>
      <c r="RVJ801" s="111"/>
      <c r="RVK801" s="111"/>
      <c r="RVL801" s="111"/>
      <c r="RVM801" s="111"/>
      <c r="RVN801" s="111"/>
      <c r="RVO801" s="111"/>
      <c r="RVP801" s="111"/>
      <c r="RVQ801" s="111"/>
      <c r="RVR801" s="111"/>
      <c r="RVS801" s="111"/>
      <c r="RVT801" s="111"/>
      <c r="RVU801" s="111"/>
      <c r="RVV801" s="111"/>
      <c r="RVW801" s="111"/>
      <c r="RVX801" s="111"/>
      <c r="RVY801" s="111"/>
      <c r="RVZ801" s="111"/>
      <c r="RWA801" s="111"/>
      <c r="RWB801" s="111"/>
      <c r="RWC801" s="111"/>
      <c r="RWD801" s="111"/>
      <c r="RWE801" s="111"/>
      <c r="RWF801" s="111"/>
      <c r="RWG801" s="111"/>
      <c r="RWH801" s="111"/>
      <c r="RWI801" s="111"/>
      <c r="RWJ801" s="111"/>
      <c r="RWK801" s="111"/>
      <c r="RWL801" s="111"/>
      <c r="RWM801" s="111"/>
      <c r="RWN801" s="111"/>
      <c r="RWO801" s="111"/>
      <c r="RWP801" s="111"/>
      <c r="RWQ801" s="111"/>
      <c r="RWR801" s="111"/>
      <c r="RWS801" s="111"/>
      <c r="RWT801" s="111"/>
      <c r="RWU801" s="111"/>
      <c r="RWV801" s="111"/>
      <c r="RWW801" s="111"/>
      <c r="RWX801" s="111"/>
      <c r="RWY801" s="111"/>
      <c r="RWZ801" s="111"/>
      <c r="RXA801" s="111"/>
      <c r="RXB801" s="111"/>
      <c r="RXC801" s="111"/>
      <c r="RXD801" s="111"/>
      <c r="RXE801" s="111"/>
      <c r="RXF801" s="111"/>
      <c r="RXG801" s="111"/>
      <c r="RXH801" s="111"/>
      <c r="RXI801" s="111"/>
      <c r="RXJ801" s="111"/>
      <c r="RXK801" s="111"/>
      <c r="RXL801" s="111"/>
      <c r="RXM801" s="111"/>
      <c r="RXN801" s="111"/>
      <c r="RXO801" s="111"/>
      <c r="RXP801" s="111"/>
      <c r="RXQ801" s="111"/>
      <c r="RXR801" s="111"/>
      <c r="RXS801" s="111"/>
      <c r="RXT801" s="111"/>
      <c r="RXU801" s="111"/>
      <c r="RXV801" s="111"/>
      <c r="RXW801" s="111"/>
      <c r="RXX801" s="111"/>
      <c r="RXY801" s="111"/>
      <c r="RXZ801" s="111"/>
      <c r="RYA801" s="111"/>
      <c r="RYB801" s="111"/>
      <c r="RYC801" s="111"/>
      <c r="RYD801" s="111"/>
      <c r="RYE801" s="111"/>
      <c r="RYF801" s="111"/>
      <c r="RYG801" s="111"/>
      <c r="RYH801" s="111"/>
      <c r="RYI801" s="111"/>
      <c r="RYJ801" s="111"/>
      <c r="RYK801" s="111"/>
      <c r="RYL801" s="111"/>
      <c r="RYM801" s="111"/>
      <c r="RYN801" s="111"/>
      <c r="RYO801" s="111"/>
      <c r="RYP801" s="111"/>
      <c r="RYQ801" s="111"/>
      <c r="RYR801" s="111"/>
      <c r="RYS801" s="111"/>
      <c r="RYT801" s="111"/>
      <c r="RYU801" s="111"/>
      <c r="RYV801" s="111"/>
      <c r="RYW801" s="111"/>
      <c r="RYX801" s="111"/>
      <c r="RYY801" s="111"/>
      <c r="RYZ801" s="111"/>
      <c r="RZA801" s="111"/>
      <c r="RZB801" s="111"/>
      <c r="RZC801" s="111"/>
      <c r="RZD801" s="111"/>
      <c r="RZE801" s="111"/>
      <c r="RZF801" s="111"/>
      <c r="RZG801" s="111"/>
      <c r="RZH801" s="111"/>
      <c r="RZI801" s="111"/>
      <c r="RZJ801" s="111"/>
      <c r="RZK801" s="111"/>
      <c r="RZL801" s="111"/>
      <c r="RZM801" s="111"/>
      <c r="RZN801" s="111"/>
      <c r="RZO801" s="111"/>
      <c r="RZP801" s="111"/>
      <c r="RZQ801" s="111"/>
      <c r="RZR801" s="111"/>
      <c r="RZS801" s="111"/>
      <c r="RZT801" s="111"/>
      <c r="RZU801" s="111"/>
      <c r="RZV801" s="111"/>
      <c r="RZW801" s="111"/>
      <c r="RZX801" s="111"/>
      <c r="RZY801" s="111"/>
      <c r="RZZ801" s="111"/>
      <c r="SAA801" s="111"/>
      <c r="SAB801" s="111"/>
      <c r="SAC801" s="111"/>
      <c r="SAD801" s="111"/>
      <c r="SAE801" s="111"/>
      <c r="SAF801" s="111"/>
      <c r="SAG801" s="111"/>
      <c r="SAH801" s="111"/>
      <c r="SAI801" s="111"/>
      <c r="SAJ801" s="111"/>
      <c r="SAK801" s="111"/>
      <c r="SAL801" s="111"/>
      <c r="SAM801" s="111"/>
      <c r="SAN801" s="111"/>
      <c r="SAO801" s="111"/>
      <c r="SAP801" s="111"/>
      <c r="SAQ801" s="111"/>
      <c r="SAR801" s="111"/>
      <c r="SAS801" s="111"/>
      <c r="SAT801" s="111"/>
      <c r="SAU801" s="111"/>
      <c r="SAV801" s="111"/>
      <c r="SAW801" s="111"/>
      <c r="SAX801" s="111"/>
      <c r="SAY801" s="111"/>
      <c r="SAZ801" s="111"/>
      <c r="SBA801" s="111"/>
      <c r="SBB801" s="111"/>
      <c r="SBC801" s="111"/>
      <c r="SBD801" s="111"/>
      <c r="SBE801" s="111"/>
      <c r="SBF801" s="111"/>
      <c r="SBG801" s="111"/>
      <c r="SBH801" s="111"/>
      <c r="SBI801" s="111"/>
      <c r="SBJ801" s="111"/>
      <c r="SBK801" s="111"/>
      <c r="SBL801" s="111"/>
      <c r="SBM801" s="111"/>
      <c r="SBN801" s="111"/>
      <c r="SBO801" s="111"/>
      <c r="SBP801" s="111"/>
      <c r="SBQ801" s="111"/>
      <c r="SBR801" s="111"/>
      <c r="SBS801" s="111"/>
      <c r="SBT801" s="111"/>
      <c r="SBU801" s="111"/>
      <c r="SBV801" s="111"/>
      <c r="SBW801" s="111"/>
      <c r="SBX801" s="111"/>
      <c r="SBY801" s="111"/>
      <c r="SBZ801" s="111"/>
      <c r="SCA801" s="111"/>
      <c r="SCB801" s="111"/>
      <c r="SCC801" s="111"/>
      <c r="SCD801" s="111"/>
      <c r="SCE801" s="111"/>
      <c r="SCF801" s="111"/>
      <c r="SCG801" s="111"/>
      <c r="SCH801" s="111"/>
      <c r="SCI801" s="111"/>
      <c r="SCJ801" s="111"/>
      <c r="SCK801" s="111"/>
      <c r="SCL801" s="111"/>
      <c r="SCM801" s="111"/>
      <c r="SCN801" s="111"/>
      <c r="SCO801" s="111"/>
      <c r="SCP801" s="111"/>
      <c r="SCQ801" s="111"/>
      <c r="SCR801" s="111"/>
      <c r="SCS801" s="111"/>
      <c r="SCT801" s="111"/>
      <c r="SCU801" s="111"/>
      <c r="SCV801" s="111"/>
      <c r="SCW801" s="111"/>
      <c r="SCX801" s="111"/>
      <c r="SCY801" s="111"/>
      <c r="SCZ801" s="111"/>
      <c r="SDA801" s="111"/>
      <c r="SDB801" s="111"/>
      <c r="SDC801" s="111"/>
      <c r="SDD801" s="111"/>
      <c r="SDE801" s="111"/>
      <c r="SDF801" s="111"/>
      <c r="SDG801" s="111"/>
      <c r="SDH801" s="111"/>
      <c r="SDI801" s="111"/>
      <c r="SDJ801" s="111"/>
      <c r="SDK801" s="111"/>
      <c r="SDL801" s="111"/>
      <c r="SDM801" s="111"/>
      <c r="SDN801" s="111"/>
      <c r="SDO801" s="111"/>
      <c r="SDP801" s="111"/>
      <c r="SDQ801" s="111"/>
      <c r="SDR801" s="111"/>
      <c r="SDS801" s="111"/>
      <c r="SDT801" s="111"/>
      <c r="SDU801" s="111"/>
      <c r="SDV801" s="111"/>
      <c r="SDW801" s="111"/>
      <c r="SDX801" s="111"/>
      <c r="SDY801" s="111"/>
      <c r="SDZ801" s="111"/>
      <c r="SEA801" s="111"/>
      <c r="SEB801" s="111"/>
      <c r="SEC801" s="111"/>
      <c r="SED801" s="111"/>
      <c r="SEE801" s="111"/>
      <c r="SEF801" s="111"/>
      <c r="SEG801" s="111"/>
      <c r="SEH801" s="111"/>
      <c r="SEI801" s="111"/>
      <c r="SEJ801" s="111"/>
      <c r="SEK801" s="111"/>
      <c r="SEL801" s="111"/>
      <c r="SEM801" s="111"/>
      <c r="SEN801" s="111"/>
      <c r="SEO801" s="111"/>
      <c r="SEP801" s="111"/>
      <c r="SEQ801" s="111"/>
      <c r="SER801" s="111"/>
      <c r="SES801" s="111"/>
      <c r="SET801" s="111"/>
      <c r="SEU801" s="111"/>
      <c r="SEV801" s="111"/>
      <c r="SEW801" s="111"/>
      <c r="SEX801" s="111"/>
      <c r="SEY801" s="111"/>
      <c r="SEZ801" s="111"/>
      <c r="SFA801" s="111"/>
      <c r="SFB801" s="111"/>
      <c r="SFC801" s="111"/>
      <c r="SFD801" s="111"/>
      <c r="SFE801" s="111"/>
      <c r="SFF801" s="111"/>
      <c r="SFG801" s="111"/>
      <c r="SFH801" s="111"/>
      <c r="SFI801" s="111"/>
      <c r="SFJ801" s="111"/>
      <c r="SFK801" s="111"/>
      <c r="SFL801" s="111"/>
      <c r="SFM801" s="111"/>
      <c r="SFN801" s="111"/>
      <c r="SFO801" s="111"/>
      <c r="SFP801" s="111"/>
      <c r="SFQ801" s="111"/>
      <c r="SFR801" s="111"/>
      <c r="SFS801" s="111"/>
      <c r="SFT801" s="111"/>
      <c r="SFU801" s="111"/>
      <c r="SFV801" s="111"/>
      <c r="SFW801" s="111"/>
      <c r="SFX801" s="111"/>
      <c r="SFY801" s="111"/>
      <c r="SFZ801" s="111"/>
      <c r="SGA801" s="111"/>
      <c r="SGB801" s="111"/>
      <c r="SGC801" s="111"/>
      <c r="SGD801" s="111"/>
      <c r="SGE801" s="111"/>
      <c r="SGF801" s="111"/>
      <c r="SGG801" s="111"/>
      <c r="SGH801" s="111"/>
      <c r="SGI801" s="111"/>
      <c r="SGJ801" s="111"/>
      <c r="SGK801" s="111"/>
      <c r="SGL801" s="111"/>
      <c r="SGM801" s="111"/>
      <c r="SGN801" s="111"/>
      <c r="SGO801" s="111"/>
      <c r="SGP801" s="111"/>
      <c r="SGQ801" s="111"/>
      <c r="SGR801" s="111"/>
      <c r="SGS801" s="111"/>
      <c r="SGT801" s="111"/>
      <c r="SGU801" s="111"/>
      <c r="SGV801" s="111"/>
      <c r="SGW801" s="111"/>
      <c r="SGX801" s="111"/>
      <c r="SGY801" s="111"/>
      <c r="SGZ801" s="111"/>
      <c r="SHA801" s="111"/>
      <c r="SHB801" s="111"/>
      <c r="SHC801" s="111"/>
      <c r="SHD801" s="111"/>
      <c r="SHE801" s="111"/>
      <c r="SHF801" s="111"/>
      <c r="SHG801" s="111"/>
      <c r="SHH801" s="111"/>
      <c r="SHI801" s="111"/>
      <c r="SHJ801" s="111"/>
      <c r="SHK801" s="111"/>
      <c r="SHL801" s="111"/>
      <c r="SHM801" s="111"/>
      <c r="SHN801" s="111"/>
      <c r="SHO801" s="111"/>
      <c r="SHP801" s="111"/>
      <c r="SHQ801" s="111"/>
      <c r="SHR801" s="111"/>
      <c r="SHS801" s="111"/>
      <c r="SHT801" s="111"/>
      <c r="SHU801" s="111"/>
      <c r="SHV801" s="111"/>
      <c r="SHW801" s="111"/>
      <c r="SHX801" s="111"/>
      <c r="SHY801" s="111"/>
      <c r="SHZ801" s="111"/>
      <c r="SIA801" s="111"/>
      <c r="SIB801" s="111"/>
      <c r="SIC801" s="111"/>
      <c r="SID801" s="111"/>
      <c r="SIE801" s="111"/>
      <c r="SIF801" s="111"/>
      <c r="SIG801" s="111"/>
      <c r="SIH801" s="111"/>
      <c r="SII801" s="111"/>
      <c r="SIJ801" s="111"/>
      <c r="SIK801" s="111"/>
      <c r="SIL801" s="111"/>
      <c r="SIM801" s="111"/>
      <c r="SIN801" s="111"/>
      <c r="SIO801" s="111"/>
      <c r="SIP801" s="111"/>
      <c r="SIQ801" s="111"/>
      <c r="SIR801" s="111"/>
      <c r="SIS801" s="111"/>
      <c r="SIT801" s="111"/>
      <c r="SIU801" s="111"/>
      <c r="SIV801" s="111"/>
      <c r="SIW801" s="111"/>
      <c r="SIX801" s="111"/>
      <c r="SIY801" s="111"/>
      <c r="SIZ801" s="111"/>
      <c r="SJA801" s="111"/>
      <c r="SJB801" s="111"/>
      <c r="SJC801" s="111"/>
      <c r="SJD801" s="111"/>
      <c r="SJE801" s="111"/>
      <c r="SJF801" s="111"/>
      <c r="SJG801" s="111"/>
      <c r="SJH801" s="111"/>
      <c r="SJI801" s="111"/>
      <c r="SJJ801" s="111"/>
      <c r="SJK801" s="111"/>
      <c r="SJL801" s="111"/>
      <c r="SJM801" s="111"/>
      <c r="SJN801" s="111"/>
      <c r="SJO801" s="111"/>
      <c r="SJP801" s="111"/>
      <c r="SJQ801" s="111"/>
      <c r="SJR801" s="111"/>
      <c r="SJS801" s="111"/>
      <c r="SJT801" s="111"/>
      <c r="SJU801" s="111"/>
      <c r="SJV801" s="111"/>
      <c r="SJW801" s="111"/>
      <c r="SJX801" s="111"/>
      <c r="SJY801" s="111"/>
      <c r="SJZ801" s="111"/>
      <c r="SKA801" s="111"/>
      <c r="SKB801" s="111"/>
      <c r="SKC801" s="111"/>
      <c r="SKD801" s="111"/>
      <c r="SKE801" s="111"/>
      <c r="SKF801" s="111"/>
      <c r="SKG801" s="111"/>
      <c r="SKH801" s="111"/>
      <c r="SKI801" s="111"/>
      <c r="SKJ801" s="111"/>
      <c r="SKK801" s="111"/>
      <c r="SKL801" s="111"/>
      <c r="SKM801" s="111"/>
      <c r="SKN801" s="111"/>
      <c r="SKO801" s="111"/>
      <c r="SKP801" s="111"/>
      <c r="SKQ801" s="111"/>
      <c r="SKR801" s="111"/>
      <c r="SKS801" s="111"/>
      <c r="SKT801" s="111"/>
      <c r="SKU801" s="111"/>
      <c r="SKV801" s="111"/>
      <c r="SKW801" s="111"/>
      <c r="SKX801" s="111"/>
      <c r="SKY801" s="111"/>
      <c r="SKZ801" s="111"/>
      <c r="SLA801" s="111"/>
      <c r="SLB801" s="111"/>
      <c r="SLC801" s="111"/>
      <c r="SLD801" s="111"/>
      <c r="SLE801" s="111"/>
      <c r="SLF801" s="111"/>
      <c r="SLG801" s="111"/>
      <c r="SLH801" s="111"/>
      <c r="SLI801" s="111"/>
      <c r="SLJ801" s="111"/>
      <c r="SLK801" s="111"/>
      <c r="SLL801" s="111"/>
      <c r="SLM801" s="111"/>
      <c r="SLN801" s="111"/>
      <c r="SLO801" s="111"/>
      <c r="SLP801" s="111"/>
      <c r="SLQ801" s="111"/>
      <c r="SLR801" s="111"/>
      <c r="SLS801" s="111"/>
      <c r="SLT801" s="111"/>
      <c r="SLU801" s="111"/>
      <c r="SLV801" s="111"/>
      <c r="SLW801" s="111"/>
      <c r="SLX801" s="111"/>
      <c r="SLY801" s="111"/>
      <c r="SLZ801" s="111"/>
      <c r="SMA801" s="111"/>
      <c r="SMB801" s="111"/>
      <c r="SMC801" s="111"/>
      <c r="SMD801" s="111"/>
      <c r="SME801" s="111"/>
      <c r="SMF801" s="111"/>
      <c r="SMG801" s="111"/>
      <c r="SMH801" s="111"/>
      <c r="SMI801" s="111"/>
      <c r="SMJ801" s="111"/>
      <c r="SMK801" s="111"/>
      <c r="SML801" s="111"/>
      <c r="SMM801" s="111"/>
      <c r="SMN801" s="111"/>
      <c r="SMO801" s="111"/>
      <c r="SMP801" s="111"/>
      <c r="SMQ801" s="111"/>
      <c r="SMR801" s="111"/>
      <c r="SMS801" s="111"/>
      <c r="SMT801" s="111"/>
      <c r="SMU801" s="111"/>
      <c r="SMV801" s="111"/>
      <c r="SMW801" s="111"/>
      <c r="SMX801" s="111"/>
      <c r="SMY801" s="111"/>
      <c r="SMZ801" s="111"/>
      <c r="SNA801" s="111"/>
      <c r="SNB801" s="111"/>
      <c r="SNC801" s="111"/>
      <c r="SND801" s="111"/>
      <c r="SNE801" s="111"/>
      <c r="SNF801" s="111"/>
      <c r="SNG801" s="111"/>
      <c r="SNH801" s="111"/>
      <c r="SNI801" s="111"/>
      <c r="SNJ801" s="111"/>
      <c r="SNK801" s="111"/>
      <c r="SNL801" s="111"/>
      <c r="SNM801" s="111"/>
      <c r="SNN801" s="111"/>
      <c r="SNO801" s="111"/>
      <c r="SNP801" s="111"/>
      <c r="SNQ801" s="111"/>
      <c r="SNR801" s="111"/>
      <c r="SNS801" s="111"/>
      <c r="SNT801" s="111"/>
      <c r="SNU801" s="111"/>
      <c r="SNV801" s="111"/>
      <c r="SNW801" s="111"/>
      <c r="SNX801" s="111"/>
      <c r="SNY801" s="111"/>
      <c r="SNZ801" s="111"/>
      <c r="SOA801" s="111"/>
      <c r="SOB801" s="111"/>
      <c r="SOC801" s="111"/>
      <c r="SOD801" s="111"/>
      <c r="SOE801" s="111"/>
      <c r="SOF801" s="111"/>
      <c r="SOG801" s="111"/>
      <c r="SOH801" s="111"/>
      <c r="SOI801" s="111"/>
      <c r="SOJ801" s="111"/>
      <c r="SOK801" s="111"/>
      <c r="SOL801" s="111"/>
      <c r="SOM801" s="111"/>
      <c r="SON801" s="111"/>
      <c r="SOO801" s="111"/>
      <c r="SOP801" s="111"/>
      <c r="SOQ801" s="111"/>
      <c r="SOR801" s="111"/>
      <c r="SOS801" s="111"/>
      <c r="SOT801" s="111"/>
      <c r="SOU801" s="111"/>
      <c r="SOV801" s="111"/>
      <c r="SOW801" s="111"/>
      <c r="SOX801" s="111"/>
      <c r="SOY801" s="111"/>
      <c r="SOZ801" s="111"/>
      <c r="SPA801" s="111"/>
      <c r="SPB801" s="111"/>
      <c r="SPC801" s="111"/>
      <c r="SPD801" s="111"/>
      <c r="SPE801" s="111"/>
      <c r="SPF801" s="111"/>
      <c r="SPG801" s="111"/>
      <c r="SPH801" s="111"/>
      <c r="SPI801" s="111"/>
      <c r="SPJ801" s="111"/>
      <c r="SPK801" s="111"/>
      <c r="SPL801" s="111"/>
      <c r="SPM801" s="111"/>
      <c r="SPN801" s="111"/>
      <c r="SPO801" s="111"/>
      <c r="SPP801" s="111"/>
      <c r="SPQ801" s="111"/>
      <c r="SPR801" s="111"/>
      <c r="SPS801" s="111"/>
      <c r="SPT801" s="111"/>
      <c r="SPU801" s="111"/>
      <c r="SPV801" s="111"/>
      <c r="SPW801" s="111"/>
      <c r="SPX801" s="111"/>
      <c r="SPY801" s="111"/>
      <c r="SPZ801" s="111"/>
      <c r="SQA801" s="111"/>
      <c r="SQB801" s="111"/>
      <c r="SQC801" s="111"/>
      <c r="SQD801" s="111"/>
      <c r="SQE801" s="111"/>
      <c r="SQF801" s="111"/>
      <c r="SQG801" s="111"/>
      <c r="SQH801" s="111"/>
      <c r="SQI801" s="111"/>
      <c r="SQJ801" s="111"/>
      <c r="SQK801" s="111"/>
      <c r="SQL801" s="111"/>
      <c r="SQM801" s="111"/>
      <c r="SQN801" s="111"/>
      <c r="SQO801" s="111"/>
      <c r="SQP801" s="111"/>
      <c r="SQQ801" s="111"/>
      <c r="SQR801" s="111"/>
      <c r="SQS801" s="111"/>
      <c r="SQT801" s="111"/>
      <c r="SQU801" s="111"/>
      <c r="SQV801" s="111"/>
      <c r="SQW801" s="111"/>
      <c r="SQX801" s="111"/>
      <c r="SQY801" s="111"/>
      <c r="SQZ801" s="111"/>
      <c r="SRA801" s="111"/>
      <c r="SRB801" s="111"/>
      <c r="SRC801" s="111"/>
      <c r="SRD801" s="111"/>
      <c r="SRE801" s="111"/>
      <c r="SRF801" s="111"/>
      <c r="SRG801" s="111"/>
      <c r="SRH801" s="111"/>
      <c r="SRI801" s="111"/>
      <c r="SRJ801" s="111"/>
      <c r="SRK801" s="111"/>
      <c r="SRL801" s="111"/>
      <c r="SRM801" s="111"/>
      <c r="SRN801" s="111"/>
      <c r="SRO801" s="111"/>
      <c r="SRP801" s="111"/>
      <c r="SRQ801" s="111"/>
      <c r="SRR801" s="111"/>
      <c r="SRS801" s="111"/>
      <c r="SRT801" s="111"/>
      <c r="SRU801" s="111"/>
      <c r="SRV801" s="111"/>
      <c r="SRW801" s="111"/>
      <c r="SRX801" s="111"/>
      <c r="SRY801" s="111"/>
      <c r="SRZ801" s="111"/>
      <c r="SSA801" s="111"/>
      <c r="SSB801" s="111"/>
      <c r="SSC801" s="111"/>
      <c r="SSD801" s="111"/>
      <c r="SSE801" s="111"/>
      <c r="SSF801" s="111"/>
      <c r="SSG801" s="111"/>
      <c r="SSH801" s="111"/>
      <c r="SSI801" s="111"/>
      <c r="SSJ801" s="111"/>
      <c r="SSK801" s="111"/>
      <c r="SSL801" s="111"/>
      <c r="SSM801" s="111"/>
      <c r="SSN801" s="111"/>
      <c r="SSO801" s="111"/>
      <c r="SSP801" s="111"/>
      <c r="SSQ801" s="111"/>
      <c r="SSR801" s="111"/>
      <c r="SSS801" s="111"/>
      <c r="SST801" s="111"/>
      <c r="SSU801" s="111"/>
      <c r="SSV801" s="111"/>
      <c r="SSW801" s="111"/>
      <c r="SSX801" s="111"/>
      <c r="SSY801" s="111"/>
      <c r="SSZ801" s="111"/>
      <c r="STA801" s="111"/>
      <c r="STB801" s="111"/>
      <c r="STC801" s="111"/>
      <c r="STD801" s="111"/>
      <c r="STE801" s="111"/>
      <c r="STF801" s="111"/>
      <c r="STG801" s="111"/>
      <c r="STH801" s="111"/>
      <c r="STI801" s="111"/>
      <c r="STJ801" s="111"/>
      <c r="STK801" s="111"/>
      <c r="STL801" s="111"/>
      <c r="STM801" s="111"/>
      <c r="STN801" s="111"/>
      <c r="STO801" s="111"/>
      <c r="STP801" s="111"/>
      <c r="STQ801" s="111"/>
      <c r="STR801" s="111"/>
      <c r="STS801" s="111"/>
      <c r="STT801" s="111"/>
      <c r="STU801" s="111"/>
      <c r="STV801" s="111"/>
      <c r="STW801" s="111"/>
      <c r="STX801" s="111"/>
      <c r="STY801" s="111"/>
      <c r="STZ801" s="111"/>
      <c r="SUA801" s="111"/>
      <c r="SUB801" s="111"/>
      <c r="SUC801" s="111"/>
      <c r="SUD801" s="111"/>
      <c r="SUE801" s="111"/>
      <c r="SUF801" s="111"/>
      <c r="SUG801" s="111"/>
      <c r="SUH801" s="111"/>
      <c r="SUI801" s="111"/>
      <c r="SUJ801" s="111"/>
      <c r="SUK801" s="111"/>
      <c r="SUL801" s="111"/>
      <c r="SUM801" s="111"/>
      <c r="SUN801" s="111"/>
      <c r="SUO801" s="111"/>
      <c r="SUP801" s="111"/>
      <c r="SUQ801" s="111"/>
      <c r="SUR801" s="111"/>
      <c r="SUS801" s="111"/>
      <c r="SUT801" s="111"/>
      <c r="SUU801" s="111"/>
      <c r="SUV801" s="111"/>
      <c r="SUW801" s="111"/>
      <c r="SUX801" s="111"/>
      <c r="SUY801" s="111"/>
      <c r="SUZ801" s="111"/>
      <c r="SVA801" s="111"/>
      <c r="SVB801" s="111"/>
      <c r="SVC801" s="111"/>
      <c r="SVD801" s="111"/>
      <c r="SVE801" s="111"/>
      <c r="SVF801" s="111"/>
      <c r="SVG801" s="111"/>
      <c r="SVH801" s="111"/>
      <c r="SVI801" s="111"/>
      <c r="SVJ801" s="111"/>
      <c r="SVK801" s="111"/>
      <c r="SVL801" s="111"/>
      <c r="SVM801" s="111"/>
      <c r="SVN801" s="111"/>
      <c r="SVO801" s="111"/>
      <c r="SVP801" s="111"/>
      <c r="SVQ801" s="111"/>
      <c r="SVR801" s="111"/>
      <c r="SVS801" s="111"/>
      <c r="SVT801" s="111"/>
      <c r="SVU801" s="111"/>
      <c r="SVV801" s="111"/>
      <c r="SVW801" s="111"/>
      <c r="SVX801" s="111"/>
      <c r="SVY801" s="111"/>
      <c r="SVZ801" s="111"/>
      <c r="SWA801" s="111"/>
      <c r="SWB801" s="111"/>
      <c r="SWC801" s="111"/>
      <c r="SWD801" s="111"/>
      <c r="SWE801" s="111"/>
      <c r="SWF801" s="111"/>
      <c r="SWG801" s="111"/>
      <c r="SWH801" s="111"/>
      <c r="SWI801" s="111"/>
      <c r="SWJ801" s="111"/>
      <c r="SWK801" s="111"/>
      <c r="SWL801" s="111"/>
      <c r="SWM801" s="111"/>
      <c r="SWN801" s="111"/>
      <c r="SWO801" s="111"/>
      <c r="SWP801" s="111"/>
      <c r="SWQ801" s="111"/>
      <c r="SWR801" s="111"/>
      <c r="SWS801" s="111"/>
      <c r="SWT801" s="111"/>
      <c r="SWU801" s="111"/>
      <c r="SWV801" s="111"/>
      <c r="SWW801" s="111"/>
      <c r="SWX801" s="111"/>
      <c r="SWY801" s="111"/>
      <c r="SWZ801" s="111"/>
      <c r="SXA801" s="111"/>
      <c r="SXB801" s="111"/>
      <c r="SXC801" s="111"/>
      <c r="SXD801" s="111"/>
      <c r="SXE801" s="111"/>
      <c r="SXF801" s="111"/>
      <c r="SXG801" s="111"/>
      <c r="SXH801" s="111"/>
      <c r="SXI801" s="111"/>
      <c r="SXJ801" s="111"/>
      <c r="SXK801" s="111"/>
      <c r="SXL801" s="111"/>
      <c r="SXM801" s="111"/>
      <c r="SXN801" s="111"/>
      <c r="SXO801" s="111"/>
      <c r="SXP801" s="111"/>
      <c r="SXQ801" s="111"/>
      <c r="SXR801" s="111"/>
      <c r="SXS801" s="111"/>
      <c r="SXT801" s="111"/>
      <c r="SXU801" s="111"/>
      <c r="SXV801" s="111"/>
      <c r="SXW801" s="111"/>
      <c r="SXX801" s="111"/>
      <c r="SXY801" s="111"/>
      <c r="SXZ801" s="111"/>
      <c r="SYA801" s="111"/>
      <c r="SYB801" s="111"/>
      <c r="SYC801" s="111"/>
      <c r="SYD801" s="111"/>
      <c r="SYE801" s="111"/>
      <c r="SYF801" s="111"/>
      <c r="SYG801" s="111"/>
      <c r="SYH801" s="111"/>
      <c r="SYI801" s="111"/>
      <c r="SYJ801" s="111"/>
      <c r="SYK801" s="111"/>
      <c r="SYL801" s="111"/>
      <c r="SYM801" s="111"/>
      <c r="SYN801" s="111"/>
      <c r="SYO801" s="111"/>
      <c r="SYP801" s="111"/>
      <c r="SYQ801" s="111"/>
      <c r="SYR801" s="111"/>
      <c r="SYS801" s="111"/>
      <c r="SYT801" s="111"/>
      <c r="SYU801" s="111"/>
      <c r="SYV801" s="111"/>
      <c r="SYW801" s="111"/>
      <c r="SYX801" s="111"/>
      <c r="SYY801" s="111"/>
      <c r="SYZ801" s="111"/>
      <c r="SZA801" s="111"/>
      <c r="SZB801" s="111"/>
      <c r="SZC801" s="111"/>
      <c r="SZD801" s="111"/>
      <c r="SZE801" s="111"/>
      <c r="SZF801" s="111"/>
      <c r="SZG801" s="111"/>
      <c r="SZH801" s="111"/>
      <c r="SZI801" s="111"/>
      <c r="SZJ801" s="111"/>
      <c r="SZK801" s="111"/>
      <c r="SZL801" s="111"/>
      <c r="SZM801" s="111"/>
      <c r="SZN801" s="111"/>
      <c r="SZO801" s="111"/>
      <c r="SZP801" s="111"/>
      <c r="SZQ801" s="111"/>
      <c r="SZR801" s="111"/>
      <c r="SZS801" s="111"/>
      <c r="SZT801" s="111"/>
      <c r="SZU801" s="111"/>
      <c r="SZV801" s="111"/>
      <c r="SZW801" s="111"/>
      <c r="SZX801" s="111"/>
      <c r="SZY801" s="111"/>
      <c r="SZZ801" s="111"/>
      <c r="TAA801" s="111"/>
      <c r="TAB801" s="111"/>
      <c r="TAC801" s="111"/>
      <c r="TAD801" s="111"/>
      <c r="TAE801" s="111"/>
      <c r="TAF801" s="111"/>
      <c r="TAG801" s="111"/>
      <c r="TAH801" s="111"/>
      <c r="TAI801" s="111"/>
      <c r="TAJ801" s="111"/>
      <c r="TAK801" s="111"/>
      <c r="TAL801" s="111"/>
      <c r="TAM801" s="111"/>
      <c r="TAN801" s="111"/>
      <c r="TAO801" s="111"/>
      <c r="TAP801" s="111"/>
      <c r="TAQ801" s="111"/>
      <c r="TAR801" s="111"/>
      <c r="TAS801" s="111"/>
      <c r="TAT801" s="111"/>
      <c r="TAU801" s="111"/>
      <c r="TAV801" s="111"/>
      <c r="TAW801" s="111"/>
      <c r="TAX801" s="111"/>
      <c r="TAY801" s="111"/>
      <c r="TAZ801" s="111"/>
      <c r="TBA801" s="111"/>
      <c r="TBB801" s="111"/>
      <c r="TBC801" s="111"/>
      <c r="TBD801" s="111"/>
      <c r="TBE801" s="111"/>
      <c r="TBF801" s="111"/>
      <c r="TBG801" s="111"/>
      <c r="TBH801" s="111"/>
      <c r="TBI801" s="111"/>
      <c r="TBJ801" s="111"/>
      <c r="TBK801" s="111"/>
      <c r="TBL801" s="111"/>
      <c r="TBM801" s="111"/>
      <c r="TBN801" s="111"/>
      <c r="TBO801" s="111"/>
      <c r="TBP801" s="111"/>
      <c r="TBQ801" s="111"/>
      <c r="TBR801" s="111"/>
      <c r="TBS801" s="111"/>
      <c r="TBT801" s="111"/>
      <c r="TBU801" s="111"/>
      <c r="TBV801" s="111"/>
      <c r="TBW801" s="111"/>
      <c r="TBX801" s="111"/>
      <c r="TBY801" s="111"/>
      <c r="TBZ801" s="111"/>
      <c r="TCA801" s="111"/>
      <c r="TCB801" s="111"/>
      <c r="TCC801" s="111"/>
      <c r="TCD801" s="111"/>
      <c r="TCE801" s="111"/>
      <c r="TCF801" s="111"/>
      <c r="TCG801" s="111"/>
      <c r="TCH801" s="111"/>
      <c r="TCI801" s="111"/>
      <c r="TCJ801" s="111"/>
      <c r="TCK801" s="111"/>
      <c r="TCL801" s="111"/>
      <c r="TCM801" s="111"/>
      <c r="TCN801" s="111"/>
      <c r="TCO801" s="111"/>
      <c r="TCP801" s="111"/>
      <c r="TCQ801" s="111"/>
      <c r="TCR801" s="111"/>
      <c r="TCS801" s="111"/>
      <c r="TCT801" s="111"/>
      <c r="TCU801" s="111"/>
      <c r="TCV801" s="111"/>
      <c r="TCW801" s="111"/>
      <c r="TCX801" s="111"/>
      <c r="TCY801" s="111"/>
      <c r="TCZ801" s="111"/>
      <c r="TDA801" s="111"/>
      <c r="TDB801" s="111"/>
      <c r="TDC801" s="111"/>
      <c r="TDD801" s="111"/>
      <c r="TDE801" s="111"/>
      <c r="TDF801" s="111"/>
      <c r="TDG801" s="111"/>
      <c r="TDH801" s="111"/>
      <c r="TDI801" s="111"/>
      <c r="TDJ801" s="111"/>
      <c r="TDK801" s="111"/>
      <c r="TDL801" s="111"/>
      <c r="TDM801" s="111"/>
      <c r="TDN801" s="111"/>
      <c r="TDO801" s="111"/>
      <c r="TDP801" s="111"/>
      <c r="TDQ801" s="111"/>
      <c r="TDR801" s="111"/>
      <c r="TDS801" s="111"/>
      <c r="TDT801" s="111"/>
      <c r="TDU801" s="111"/>
      <c r="TDV801" s="111"/>
      <c r="TDW801" s="111"/>
      <c r="TDX801" s="111"/>
      <c r="TDY801" s="111"/>
      <c r="TDZ801" s="111"/>
      <c r="TEA801" s="111"/>
      <c r="TEB801" s="111"/>
      <c r="TEC801" s="111"/>
      <c r="TED801" s="111"/>
      <c r="TEE801" s="111"/>
      <c r="TEF801" s="111"/>
      <c r="TEG801" s="111"/>
      <c r="TEH801" s="111"/>
      <c r="TEI801" s="111"/>
      <c r="TEJ801" s="111"/>
      <c r="TEK801" s="111"/>
      <c r="TEL801" s="111"/>
      <c r="TEM801" s="111"/>
      <c r="TEN801" s="111"/>
      <c r="TEO801" s="111"/>
      <c r="TEP801" s="111"/>
      <c r="TEQ801" s="111"/>
      <c r="TER801" s="111"/>
      <c r="TES801" s="111"/>
      <c r="TET801" s="111"/>
      <c r="TEU801" s="111"/>
      <c r="TEV801" s="111"/>
      <c r="TEW801" s="111"/>
      <c r="TEX801" s="111"/>
      <c r="TEY801" s="111"/>
      <c r="TEZ801" s="111"/>
      <c r="TFA801" s="111"/>
      <c r="TFB801" s="111"/>
      <c r="TFC801" s="111"/>
      <c r="TFD801" s="111"/>
      <c r="TFE801" s="111"/>
      <c r="TFF801" s="111"/>
      <c r="TFG801" s="111"/>
      <c r="TFH801" s="111"/>
      <c r="TFI801" s="111"/>
      <c r="TFJ801" s="111"/>
      <c r="TFK801" s="111"/>
      <c r="TFL801" s="111"/>
      <c r="TFM801" s="111"/>
      <c r="TFN801" s="111"/>
      <c r="TFO801" s="111"/>
      <c r="TFP801" s="111"/>
      <c r="TFQ801" s="111"/>
      <c r="TFR801" s="111"/>
      <c r="TFS801" s="111"/>
      <c r="TFT801" s="111"/>
      <c r="TFU801" s="111"/>
      <c r="TFV801" s="111"/>
      <c r="TFW801" s="111"/>
      <c r="TFX801" s="111"/>
      <c r="TFY801" s="111"/>
      <c r="TFZ801" s="111"/>
      <c r="TGA801" s="111"/>
      <c r="TGB801" s="111"/>
      <c r="TGC801" s="111"/>
      <c r="TGD801" s="111"/>
      <c r="TGE801" s="111"/>
      <c r="TGF801" s="111"/>
      <c r="TGG801" s="111"/>
      <c r="TGH801" s="111"/>
      <c r="TGI801" s="111"/>
      <c r="TGJ801" s="111"/>
      <c r="TGK801" s="111"/>
      <c r="TGL801" s="111"/>
      <c r="TGM801" s="111"/>
      <c r="TGN801" s="111"/>
      <c r="TGO801" s="111"/>
      <c r="TGP801" s="111"/>
      <c r="TGQ801" s="111"/>
      <c r="TGR801" s="111"/>
      <c r="TGS801" s="111"/>
      <c r="TGT801" s="111"/>
      <c r="TGU801" s="111"/>
      <c r="TGV801" s="111"/>
      <c r="TGW801" s="111"/>
      <c r="TGX801" s="111"/>
      <c r="TGY801" s="111"/>
      <c r="TGZ801" s="111"/>
      <c r="THA801" s="111"/>
      <c r="THB801" s="111"/>
      <c r="THC801" s="111"/>
      <c r="THD801" s="111"/>
      <c r="THE801" s="111"/>
      <c r="THF801" s="111"/>
      <c r="THG801" s="111"/>
      <c r="THH801" s="111"/>
      <c r="THI801" s="111"/>
      <c r="THJ801" s="111"/>
      <c r="THK801" s="111"/>
      <c r="THL801" s="111"/>
      <c r="THM801" s="111"/>
      <c r="THN801" s="111"/>
      <c r="THO801" s="111"/>
      <c r="THP801" s="111"/>
      <c r="THQ801" s="111"/>
      <c r="THR801" s="111"/>
      <c r="THS801" s="111"/>
      <c r="THT801" s="111"/>
      <c r="THU801" s="111"/>
      <c r="THV801" s="111"/>
      <c r="THW801" s="111"/>
      <c r="THX801" s="111"/>
      <c r="THY801" s="111"/>
      <c r="THZ801" s="111"/>
      <c r="TIA801" s="111"/>
      <c r="TIB801" s="111"/>
      <c r="TIC801" s="111"/>
      <c r="TID801" s="111"/>
      <c r="TIE801" s="111"/>
      <c r="TIF801" s="111"/>
      <c r="TIG801" s="111"/>
      <c r="TIH801" s="111"/>
      <c r="TII801" s="111"/>
      <c r="TIJ801" s="111"/>
      <c r="TIK801" s="111"/>
      <c r="TIL801" s="111"/>
      <c r="TIM801" s="111"/>
      <c r="TIN801" s="111"/>
      <c r="TIO801" s="111"/>
      <c r="TIP801" s="111"/>
      <c r="TIQ801" s="111"/>
      <c r="TIR801" s="111"/>
      <c r="TIS801" s="111"/>
      <c r="TIT801" s="111"/>
      <c r="TIU801" s="111"/>
      <c r="TIV801" s="111"/>
      <c r="TIW801" s="111"/>
      <c r="TIX801" s="111"/>
      <c r="TIY801" s="111"/>
      <c r="TIZ801" s="111"/>
      <c r="TJA801" s="111"/>
      <c r="TJB801" s="111"/>
      <c r="TJC801" s="111"/>
      <c r="TJD801" s="111"/>
      <c r="TJE801" s="111"/>
      <c r="TJF801" s="111"/>
      <c r="TJG801" s="111"/>
      <c r="TJH801" s="111"/>
      <c r="TJI801" s="111"/>
      <c r="TJJ801" s="111"/>
      <c r="TJK801" s="111"/>
      <c r="TJL801" s="111"/>
      <c r="TJM801" s="111"/>
      <c r="TJN801" s="111"/>
      <c r="TJO801" s="111"/>
      <c r="TJP801" s="111"/>
      <c r="TJQ801" s="111"/>
      <c r="TJR801" s="111"/>
      <c r="TJS801" s="111"/>
      <c r="TJT801" s="111"/>
      <c r="TJU801" s="111"/>
      <c r="TJV801" s="111"/>
      <c r="TJW801" s="111"/>
      <c r="TJX801" s="111"/>
      <c r="TJY801" s="111"/>
      <c r="TJZ801" s="111"/>
      <c r="TKA801" s="111"/>
      <c r="TKB801" s="111"/>
      <c r="TKC801" s="111"/>
      <c r="TKD801" s="111"/>
      <c r="TKE801" s="111"/>
      <c r="TKF801" s="111"/>
      <c r="TKG801" s="111"/>
      <c r="TKH801" s="111"/>
      <c r="TKI801" s="111"/>
      <c r="TKJ801" s="111"/>
      <c r="TKK801" s="111"/>
      <c r="TKL801" s="111"/>
      <c r="TKM801" s="111"/>
      <c r="TKN801" s="111"/>
      <c r="TKO801" s="111"/>
      <c r="TKP801" s="111"/>
      <c r="TKQ801" s="111"/>
      <c r="TKR801" s="111"/>
      <c r="TKS801" s="111"/>
      <c r="TKT801" s="111"/>
      <c r="TKU801" s="111"/>
      <c r="TKV801" s="111"/>
      <c r="TKW801" s="111"/>
      <c r="TKX801" s="111"/>
      <c r="TKY801" s="111"/>
      <c r="TKZ801" s="111"/>
      <c r="TLA801" s="111"/>
      <c r="TLB801" s="111"/>
      <c r="TLC801" s="111"/>
      <c r="TLD801" s="111"/>
      <c r="TLE801" s="111"/>
      <c r="TLF801" s="111"/>
      <c r="TLG801" s="111"/>
      <c r="TLH801" s="111"/>
      <c r="TLI801" s="111"/>
      <c r="TLJ801" s="111"/>
      <c r="TLK801" s="111"/>
      <c r="TLL801" s="111"/>
      <c r="TLM801" s="111"/>
      <c r="TLN801" s="111"/>
      <c r="TLO801" s="111"/>
      <c r="TLP801" s="111"/>
      <c r="TLQ801" s="111"/>
      <c r="TLR801" s="111"/>
      <c r="TLS801" s="111"/>
      <c r="TLT801" s="111"/>
      <c r="TLU801" s="111"/>
      <c r="TLV801" s="111"/>
      <c r="TLW801" s="111"/>
      <c r="TLX801" s="111"/>
      <c r="TLY801" s="111"/>
      <c r="TLZ801" s="111"/>
      <c r="TMA801" s="111"/>
      <c r="TMB801" s="111"/>
      <c r="TMC801" s="111"/>
      <c r="TMD801" s="111"/>
      <c r="TME801" s="111"/>
      <c r="TMF801" s="111"/>
      <c r="TMG801" s="111"/>
      <c r="TMH801" s="111"/>
      <c r="TMI801" s="111"/>
      <c r="TMJ801" s="111"/>
      <c r="TMK801" s="111"/>
      <c r="TML801" s="111"/>
      <c r="TMM801" s="111"/>
      <c r="TMN801" s="111"/>
      <c r="TMO801" s="111"/>
      <c r="TMP801" s="111"/>
      <c r="TMQ801" s="111"/>
      <c r="TMR801" s="111"/>
      <c r="TMS801" s="111"/>
      <c r="TMT801" s="111"/>
      <c r="TMU801" s="111"/>
      <c r="TMV801" s="111"/>
      <c r="TMW801" s="111"/>
      <c r="TMX801" s="111"/>
      <c r="TMY801" s="111"/>
      <c r="TMZ801" s="111"/>
      <c r="TNA801" s="111"/>
      <c r="TNB801" s="111"/>
      <c r="TNC801" s="111"/>
      <c r="TND801" s="111"/>
      <c r="TNE801" s="111"/>
      <c r="TNF801" s="111"/>
      <c r="TNG801" s="111"/>
      <c r="TNH801" s="111"/>
      <c r="TNI801" s="111"/>
      <c r="TNJ801" s="111"/>
      <c r="TNK801" s="111"/>
      <c r="TNL801" s="111"/>
      <c r="TNM801" s="111"/>
      <c r="TNN801" s="111"/>
      <c r="TNO801" s="111"/>
      <c r="TNP801" s="111"/>
      <c r="TNQ801" s="111"/>
      <c r="TNR801" s="111"/>
      <c r="TNS801" s="111"/>
      <c r="TNT801" s="111"/>
      <c r="TNU801" s="111"/>
      <c r="TNV801" s="111"/>
      <c r="TNW801" s="111"/>
      <c r="TNX801" s="111"/>
      <c r="TNY801" s="111"/>
      <c r="TNZ801" s="111"/>
      <c r="TOA801" s="111"/>
      <c r="TOB801" s="111"/>
      <c r="TOC801" s="111"/>
      <c r="TOD801" s="111"/>
      <c r="TOE801" s="111"/>
      <c r="TOF801" s="111"/>
      <c r="TOG801" s="111"/>
      <c r="TOH801" s="111"/>
      <c r="TOI801" s="111"/>
      <c r="TOJ801" s="111"/>
      <c r="TOK801" s="111"/>
      <c r="TOL801" s="111"/>
      <c r="TOM801" s="111"/>
      <c r="TON801" s="111"/>
      <c r="TOO801" s="111"/>
      <c r="TOP801" s="111"/>
      <c r="TOQ801" s="111"/>
      <c r="TOR801" s="111"/>
      <c r="TOS801" s="111"/>
      <c r="TOT801" s="111"/>
      <c r="TOU801" s="111"/>
      <c r="TOV801" s="111"/>
      <c r="TOW801" s="111"/>
      <c r="TOX801" s="111"/>
      <c r="TOY801" s="111"/>
      <c r="TOZ801" s="111"/>
      <c r="TPA801" s="111"/>
      <c r="TPB801" s="111"/>
      <c r="TPC801" s="111"/>
      <c r="TPD801" s="111"/>
      <c r="TPE801" s="111"/>
      <c r="TPF801" s="111"/>
      <c r="TPG801" s="111"/>
      <c r="TPH801" s="111"/>
      <c r="TPI801" s="111"/>
      <c r="TPJ801" s="111"/>
      <c r="TPK801" s="111"/>
      <c r="TPL801" s="111"/>
      <c r="TPM801" s="111"/>
      <c r="TPN801" s="111"/>
      <c r="TPO801" s="111"/>
      <c r="TPP801" s="111"/>
      <c r="TPQ801" s="111"/>
      <c r="TPR801" s="111"/>
      <c r="TPS801" s="111"/>
      <c r="TPT801" s="111"/>
      <c r="TPU801" s="111"/>
      <c r="TPV801" s="111"/>
      <c r="TPW801" s="111"/>
      <c r="TPX801" s="111"/>
      <c r="TPY801" s="111"/>
      <c r="TPZ801" s="111"/>
      <c r="TQA801" s="111"/>
      <c r="TQB801" s="111"/>
      <c r="TQC801" s="111"/>
      <c r="TQD801" s="111"/>
      <c r="TQE801" s="111"/>
      <c r="TQF801" s="111"/>
      <c r="TQG801" s="111"/>
      <c r="TQH801" s="111"/>
      <c r="TQI801" s="111"/>
      <c r="TQJ801" s="111"/>
      <c r="TQK801" s="111"/>
      <c r="TQL801" s="111"/>
      <c r="TQM801" s="111"/>
      <c r="TQN801" s="111"/>
      <c r="TQO801" s="111"/>
      <c r="TQP801" s="111"/>
      <c r="TQQ801" s="111"/>
      <c r="TQR801" s="111"/>
      <c r="TQS801" s="111"/>
      <c r="TQT801" s="111"/>
      <c r="TQU801" s="111"/>
      <c r="TQV801" s="111"/>
      <c r="TQW801" s="111"/>
      <c r="TQX801" s="111"/>
      <c r="TQY801" s="111"/>
      <c r="TQZ801" s="111"/>
      <c r="TRA801" s="111"/>
      <c r="TRB801" s="111"/>
      <c r="TRC801" s="111"/>
      <c r="TRD801" s="111"/>
      <c r="TRE801" s="111"/>
      <c r="TRF801" s="111"/>
      <c r="TRG801" s="111"/>
      <c r="TRH801" s="111"/>
      <c r="TRI801" s="111"/>
      <c r="TRJ801" s="111"/>
      <c r="TRK801" s="111"/>
      <c r="TRL801" s="111"/>
      <c r="TRM801" s="111"/>
      <c r="TRN801" s="111"/>
      <c r="TRO801" s="111"/>
      <c r="TRP801" s="111"/>
      <c r="TRQ801" s="111"/>
      <c r="TRR801" s="111"/>
      <c r="TRS801" s="111"/>
      <c r="TRT801" s="111"/>
      <c r="TRU801" s="111"/>
      <c r="TRV801" s="111"/>
      <c r="TRW801" s="111"/>
      <c r="TRX801" s="111"/>
      <c r="TRY801" s="111"/>
      <c r="TRZ801" s="111"/>
      <c r="TSA801" s="111"/>
      <c r="TSB801" s="111"/>
      <c r="TSC801" s="111"/>
      <c r="TSD801" s="111"/>
      <c r="TSE801" s="111"/>
      <c r="TSF801" s="111"/>
      <c r="TSG801" s="111"/>
      <c r="TSH801" s="111"/>
      <c r="TSI801" s="111"/>
      <c r="TSJ801" s="111"/>
      <c r="TSK801" s="111"/>
      <c r="TSL801" s="111"/>
      <c r="TSM801" s="111"/>
      <c r="TSN801" s="111"/>
      <c r="TSO801" s="111"/>
      <c r="TSP801" s="111"/>
      <c r="TSQ801" s="111"/>
      <c r="TSR801" s="111"/>
      <c r="TSS801" s="111"/>
      <c r="TST801" s="111"/>
      <c r="TSU801" s="111"/>
      <c r="TSV801" s="111"/>
      <c r="TSW801" s="111"/>
      <c r="TSX801" s="111"/>
      <c r="TSY801" s="111"/>
      <c r="TSZ801" s="111"/>
      <c r="TTA801" s="111"/>
      <c r="TTB801" s="111"/>
      <c r="TTC801" s="111"/>
      <c r="TTD801" s="111"/>
      <c r="TTE801" s="111"/>
      <c r="TTF801" s="111"/>
      <c r="TTG801" s="111"/>
      <c r="TTH801" s="111"/>
      <c r="TTI801" s="111"/>
      <c r="TTJ801" s="111"/>
      <c r="TTK801" s="111"/>
      <c r="TTL801" s="111"/>
      <c r="TTM801" s="111"/>
      <c r="TTN801" s="111"/>
      <c r="TTO801" s="111"/>
      <c r="TTP801" s="111"/>
      <c r="TTQ801" s="111"/>
      <c r="TTR801" s="111"/>
      <c r="TTS801" s="111"/>
      <c r="TTT801" s="111"/>
      <c r="TTU801" s="111"/>
      <c r="TTV801" s="111"/>
      <c r="TTW801" s="111"/>
      <c r="TTX801" s="111"/>
      <c r="TTY801" s="111"/>
      <c r="TTZ801" s="111"/>
      <c r="TUA801" s="111"/>
      <c r="TUB801" s="111"/>
      <c r="TUC801" s="111"/>
      <c r="TUD801" s="111"/>
      <c r="TUE801" s="111"/>
      <c r="TUF801" s="111"/>
      <c r="TUG801" s="111"/>
      <c r="TUH801" s="111"/>
      <c r="TUI801" s="111"/>
      <c r="TUJ801" s="111"/>
      <c r="TUK801" s="111"/>
      <c r="TUL801" s="111"/>
      <c r="TUM801" s="111"/>
      <c r="TUN801" s="111"/>
      <c r="TUO801" s="111"/>
      <c r="TUP801" s="111"/>
      <c r="TUQ801" s="111"/>
      <c r="TUR801" s="111"/>
      <c r="TUS801" s="111"/>
      <c r="TUT801" s="111"/>
      <c r="TUU801" s="111"/>
      <c r="TUV801" s="111"/>
      <c r="TUW801" s="111"/>
      <c r="TUX801" s="111"/>
      <c r="TUY801" s="111"/>
      <c r="TUZ801" s="111"/>
      <c r="TVA801" s="111"/>
      <c r="TVB801" s="111"/>
      <c r="TVC801" s="111"/>
      <c r="TVD801" s="111"/>
      <c r="TVE801" s="111"/>
      <c r="TVF801" s="111"/>
      <c r="TVG801" s="111"/>
      <c r="TVH801" s="111"/>
      <c r="TVI801" s="111"/>
      <c r="TVJ801" s="111"/>
      <c r="TVK801" s="111"/>
      <c r="TVL801" s="111"/>
      <c r="TVM801" s="111"/>
      <c r="TVN801" s="111"/>
      <c r="TVO801" s="111"/>
      <c r="TVP801" s="111"/>
      <c r="TVQ801" s="111"/>
      <c r="TVR801" s="111"/>
      <c r="TVS801" s="111"/>
      <c r="TVT801" s="111"/>
      <c r="TVU801" s="111"/>
      <c r="TVV801" s="111"/>
      <c r="TVW801" s="111"/>
      <c r="TVX801" s="111"/>
      <c r="TVY801" s="111"/>
      <c r="TVZ801" s="111"/>
      <c r="TWA801" s="111"/>
      <c r="TWB801" s="111"/>
      <c r="TWC801" s="111"/>
      <c r="TWD801" s="111"/>
      <c r="TWE801" s="111"/>
      <c r="TWF801" s="111"/>
      <c r="TWG801" s="111"/>
      <c r="TWH801" s="111"/>
      <c r="TWI801" s="111"/>
      <c r="TWJ801" s="111"/>
      <c r="TWK801" s="111"/>
      <c r="TWL801" s="111"/>
      <c r="TWM801" s="111"/>
      <c r="TWN801" s="111"/>
      <c r="TWO801" s="111"/>
      <c r="TWP801" s="111"/>
      <c r="TWQ801" s="111"/>
      <c r="TWR801" s="111"/>
      <c r="TWS801" s="111"/>
      <c r="TWT801" s="111"/>
      <c r="TWU801" s="111"/>
      <c r="TWV801" s="111"/>
      <c r="TWW801" s="111"/>
      <c r="TWX801" s="111"/>
      <c r="TWY801" s="111"/>
      <c r="TWZ801" s="111"/>
      <c r="TXA801" s="111"/>
      <c r="TXB801" s="111"/>
      <c r="TXC801" s="111"/>
      <c r="TXD801" s="111"/>
      <c r="TXE801" s="111"/>
      <c r="TXF801" s="111"/>
      <c r="TXG801" s="111"/>
      <c r="TXH801" s="111"/>
      <c r="TXI801" s="111"/>
      <c r="TXJ801" s="111"/>
      <c r="TXK801" s="111"/>
      <c r="TXL801" s="111"/>
      <c r="TXM801" s="111"/>
      <c r="TXN801" s="111"/>
      <c r="TXO801" s="111"/>
      <c r="TXP801" s="111"/>
      <c r="TXQ801" s="111"/>
      <c r="TXR801" s="111"/>
      <c r="TXS801" s="111"/>
      <c r="TXT801" s="111"/>
      <c r="TXU801" s="111"/>
      <c r="TXV801" s="111"/>
      <c r="TXW801" s="111"/>
      <c r="TXX801" s="111"/>
      <c r="TXY801" s="111"/>
      <c r="TXZ801" s="111"/>
      <c r="TYA801" s="111"/>
      <c r="TYB801" s="111"/>
      <c r="TYC801" s="111"/>
      <c r="TYD801" s="111"/>
      <c r="TYE801" s="111"/>
      <c r="TYF801" s="111"/>
      <c r="TYG801" s="111"/>
      <c r="TYH801" s="111"/>
      <c r="TYI801" s="111"/>
      <c r="TYJ801" s="111"/>
      <c r="TYK801" s="111"/>
      <c r="TYL801" s="111"/>
      <c r="TYM801" s="111"/>
      <c r="TYN801" s="111"/>
      <c r="TYO801" s="111"/>
      <c r="TYP801" s="111"/>
      <c r="TYQ801" s="111"/>
      <c r="TYR801" s="111"/>
      <c r="TYS801" s="111"/>
      <c r="TYT801" s="111"/>
      <c r="TYU801" s="111"/>
      <c r="TYV801" s="111"/>
      <c r="TYW801" s="111"/>
      <c r="TYX801" s="111"/>
      <c r="TYY801" s="111"/>
      <c r="TYZ801" s="111"/>
      <c r="TZA801" s="111"/>
      <c r="TZB801" s="111"/>
      <c r="TZC801" s="111"/>
      <c r="TZD801" s="111"/>
      <c r="TZE801" s="111"/>
      <c r="TZF801" s="111"/>
      <c r="TZG801" s="111"/>
      <c r="TZH801" s="111"/>
      <c r="TZI801" s="111"/>
      <c r="TZJ801" s="111"/>
      <c r="TZK801" s="111"/>
      <c r="TZL801" s="111"/>
      <c r="TZM801" s="111"/>
      <c r="TZN801" s="111"/>
      <c r="TZO801" s="111"/>
      <c r="TZP801" s="111"/>
      <c r="TZQ801" s="111"/>
      <c r="TZR801" s="111"/>
      <c r="TZS801" s="111"/>
      <c r="TZT801" s="111"/>
      <c r="TZU801" s="111"/>
      <c r="TZV801" s="111"/>
      <c r="TZW801" s="111"/>
      <c r="TZX801" s="111"/>
      <c r="TZY801" s="111"/>
      <c r="TZZ801" s="111"/>
      <c r="UAA801" s="111"/>
      <c r="UAB801" s="111"/>
      <c r="UAC801" s="111"/>
      <c r="UAD801" s="111"/>
      <c r="UAE801" s="111"/>
      <c r="UAF801" s="111"/>
      <c r="UAG801" s="111"/>
      <c r="UAH801" s="111"/>
      <c r="UAI801" s="111"/>
      <c r="UAJ801" s="111"/>
      <c r="UAK801" s="111"/>
      <c r="UAL801" s="111"/>
      <c r="UAM801" s="111"/>
      <c r="UAN801" s="111"/>
      <c r="UAO801" s="111"/>
      <c r="UAP801" s="111"/>
      <c r="UAQ801" s="111"/>
      <c r="UAR801" s="111"/>
      <c r="UAS801" s="111"/>
      <c r="UAT801" s="111"/>
      <c r="UAU801" s="111"/>
      <c r="UAV801" s="111"/>
      <c r="UAW801" s="111"/>
      <c r="UAX801" s="111"/>
      <c r="UAY801" s="111"/>
      <c r="UAZ801" s="111"/>
      <c r="UBA801" s="111"/>
      <c r="UBB801" s="111"/>
      <c r="UBC801" s="111"/>
      <c r="UBD801" s="111"/>
      <c r="UBE801" s="111"/>
      <c r="UBF801" s="111"/>
      <c r="UBG801" s="111"/>
      <c r="UBH801" s="111"/>
      <c r="UBI801" s="111"/>
      <c r="UBJ801" s="111"/>
      <c r="UBK801" s="111"/>
      <c r="UBL801" s="111"/>
      <c r="UBM801" s="111"/>
      <c r="UBN801" s="111"/>
      <c r="UBO801" s="111"/>
      <c r="UBP801" s="111"/>
      <c r="UBQ801" s="111"/>
      <c r="UBR801" s="111"/>
      <c r="UBS801" s="111"/>
      <c r="UBT801" s="111"/>
      <c r="UBU801" s="111"/>
      <c r="UBV801" s="111"/>
      <c r="UBW801" s="111"/>
      <c r="UBX801" s="111"/>
      <c r="UBY801" s="111"/>
      <c r="UBZ801" s="111"/>
      <c r="UCA801" s="111"/>
      <c r="UCB801" s="111"/>
      <c r="UCC801" s="111"/>
      <c r="UCD801" s="111"/>
      <c r="UCE801" s="111"/>
      <c r="UCF801" s="111"/>
      <c r="UCG801" s="111"/>
      <c r="UCH801" s="111"/>
      <c r="UCI801" s="111"/>
      <c r="UCJ801" s="111"/>
      <c r="UCK801" s="111"/>
      <c r="UCL801" s="111"/>
      <c r="UCM801" s="111"/>
      <c r="UCN801" s="111"/>
      <c r="UCO801" s="111"/>
      <c r="UCP801" s="111"/>
      <c r="UCQ801" s="111"/>
      <c r="UCR801" s="111"/>
      <c r="UCS801" s="111"/>
      <c r="UCT801" s="111"/>
      <c r="UCU801" s="111"/>
      <c r="UCV801" s="111"/>
      <c r="UCW801" s="111"/>
      <c r="UCX801" s="111"/>
      <c r="UCY801" s="111"/>
      <c r="UCZ801" s="111"/>
      <c r="UDA801" s="111"/>
      <c r="UDB801" s="111"/>
      <c r="UDC801" s="111"/>
      <c r="UDD801" s="111"/>
      <c r="UDE801" s="111"/>
      <c r="UDF801" s="111"/>
      <c r="UDG801" s="111"/>
      <c r="UDH801" s="111"/>
      <c r="UDI801" s="111"/>
      <c r="UDJ801" s="111"/>
      <c r="UDK801" s="111"/>
      <c r="UDL801" s="111"/>
      <c r="UDM801" s="111"/>
      <c r="UDN801" s="111"/>
      <c r="UDO801" s="111"/>
      <c r="UDP801" s="111"/>
      <c r="UDQ801" s="111"/>
      <c r="UDR801" s="111"/>
      <c r="UDS801" s="111"/>
      <c r="UDT801" s="111"/>
      <c r="UDU801" s="111"/>
      <c r="UDV801" s="111"/>
      <c r="UDW801" s="111"/>
      <c r="UDX801" s="111"/>
      <c r="UDY801" s="111"/>
      <c r="UDZ801" s="111"/>
      <c r="UEA801" s="111"/>
      <c r="UEB801" s="111"/>
      <c r="UEC801" s="111"/>
      <c r="UED801" s="111"/>
      <c r="UEE801" s="111"/>
      <c r="UEF801" s="111"/>
      <c r="UEG801" s="111"/>
      <c r="UEH801" s="111"/>
      <c r="UEI801" s="111"/>
      <c r="UEJ801" s="111"/>
      <c r="UEK801" s="111"/>
      <c r="UEL801" s="111"/>
      <c r="UEM801" s="111"/>
      <c r="UEN801" s="111"/>
      <c r="UEO801" s="111"/>
      <c r="UEP801" s="111"/>
      <c r="UEQ801" s="111"/>
      <c r="UER801" s="111"/>
      <c r="UES801" s="111"/>
      <c r="UET801" s="111"/>
      <c r="UEU801" s="111"/>
      <c r="UEV801" s="111"/>
      <c r="UEW801" s="111"/>
      <c r="UEX801" s="111"/>
      <c r="UEY801" s="111"/>
      <c r="UEZ801" s="111"/>
      <c r="UFA801" s="111"/>
      <c r="UFB801" s="111"/>
      <c r="UFC801" s="111"/>
      <c r="UFD801" s="111"/>
      <c r="UFE801" s="111"/>
      <c r="UFF801" s="111"/>
      <c r="UFG801" s="111"/>
      <c r="UFH801" s="111"/>
      <c r="UFI801" s="111"/>
      <c r="UFJ801" s="111"/>
      <c r="UFK801" s="111"/>
      <c r="UFL801" s="111"/>
      <c r="UFM801" s="111"/>
      <c r="UFN801" s="111"/>
      <c r="UFO801" s="111"/>
      <c r="UFP801" s="111"/>
      <c r="UFQ801" s="111"/>
      <c r="UFR801" s="111"/>
      <c r="UFS801" s="111"/>
      <c r="UFT801" s="111"/>
      <c r="UFU801" s="111"/>
      <c r="UFV801" s="111"/>
      <c r="UFW801" s="111"/>
      <c r="UFX801" s="111"/>
      <c r="UFY801" s="111"/>
      <c r="UFZ801" s="111"/>
      <c r="UGA801" s="111"/>
      <c r="UGB801" s="111"/>
      <c r="UGC801" s="111"/>
      <c r="UGD801" s="111"/>
      <c r="UGE801" s="111"/>
      <c r="UGF801" s="111"/>
      <c r="UGG801" s="111"/>
      <c r="UGH801" s="111"/>
      <c r="UGI801" s="111"/>
      <c r="UGJ801" s="111"/>
      <c r="UGK801" s="111"/>
      <c r="UGL801" s="111"/>
      <c r="UGM801" s="111"/>
      <c r="UGN801" s="111"/>
      <c r="UGO801" s="111"/>
      <c r="UGP801" s="111"/>
      <c r="UGQ801" s="111"/>
      <c r="UGR801" s="111"/>
      <c r="UGS801" s="111"/>
      <c r="UGT801" s="111"/>
      <c r="UGU801" s="111"/>
      <c r="UGV801" s="111"/>
      <c r="UGW801" s="111"/>
      <c r="UGX801" s="111"/>
      <c r="UGY801" s="111"/>
      <c r="UGZ801" s="111"/>
      <c r="UHA801" s="111"/>
      <c r="UHB801" s="111"/>
      <c r="UHC801" s="111"/>
      <c r="UHD801" s="111"/>
      <c r="UHE801" s="111"/>
      <c r="UHF801" s="111"/>
      <c r="UHG801" s="111"/>
      <c r="UHH801" s="111"/>
      <c r="UHI801" s="111"/>
      <c r="UHJ801" s="111"/>
      <c r="UHK801" s="111"/>
      <c r="UHL801" s="111"/>
      <c r="UHM801" s="111"/>
      <c r="UHN801" s="111"/>
      <c r="UHO801" s="111"/>
      <c r="UHP801" s="111"/>
      <c r="UHQ801" s="111"/>
      <c r="UHR801" s="111"/>
      <c r="UHS801" s="111"/>
      <c r="UHT801" s="111"/>
      <c r="UHU801" s="111"/>
      <c r="UHV801" s="111"/>
      <c r="UHW801" s="111"/>
      <c r="UHX801" s="111"/>
      <c r="UHY801" s="111"/>
      <c r="UHZ801" s="111"/>
      <c r="UIA801" s="111"/>
      <c r="UIB801" s="111"/>
      <c r="UIC801" s="111"/>
      <c r="UID801" s="111"/>
      <c r="UIE801" s="111"/>
      <c r="UIF801" s="111"/>
      <c r="UIG801" s="111"/>
      <c r="UIH801" s="111"/>
      <c r="UII801" s="111"/>
      <c r="UIJ801" s="111"/>
      <c r="UIK801" s="111"/>
      <c r="UIL801" s="111"/>
      <c r="UIM801" s="111"/>
      <c r="UIN801" s="111"/>
      <c r="UIO801" s="111"/>
      <c r="UIP801" s="111"/>
      <c r="UIQ801" s="111"/>
      <c r="UIR801" s="111"/>
      <c r="UIS801" s="111"/>
      <c r="UIT801" s="111"/>
      <c r="UIU801" s="111"/>
      <c r="UIV801" s="111"/>
      <c r="UIW801" s="111"/>
      <c r="UIX801" s="111"/>
      <c r="UIY801" s="111"/>
      <c r="UIZ801" s="111"/>
      <c r="UJA801" s="111"/>
      <c r="UJB801" s="111"/>
      <c r="UJC801" s="111"/>
      <c r="UJD801" s="111"/>
      <c r="UJE801" s="111"/>
      <c r="UJF801" s="111"/>
      <c r="UJG801" s="111"/>
      <c r="UJH801" s="111"/>
      <c r="UJI801" s="111"/>
      <c r="UJJ801" s="111"/>
      <c r="UJK801" s="111"/>
      <c r="UJL801" s="111"/>
      <c r="UJM801" s="111"/>
      <c r="UJN801" s="111"/>
      <c r="UJO801" s="111"/>
      <c r="UJP801" s="111"/>
      <c r="UJQ801" s="111"/>
      <c r="UJR801" s="111"/>
      <c r="UJS801" s="111"/>
      <c r="UJT801" s="111"/>
      <c r="UJU801" s="111"/>
      <c r="UJV801" s="111"/>
      <c r="UJW801" s="111"/>
      <c r="UJX801" s="111"/>
      <c r="UJY801" s="111"/>
      <c r="UJZ801" s="111"/>
      <c r="UKA801" s="111"/>
      <c r="UKB801" s="111"/>
      <c r="UKC801" s="111"/>
      <c r="UKD801" s="111"/>
      <c r="UKE801" s="111"/>
      <c r="UKF801" s="111"/>
      <c r="UKG801" s="111"/>
      <c r="UKH801" s="111"/>
      <c r="UKI801" s="111"/>
      <c r="UKJ801" s="111"/>
      <c r="UKK801" s="111"/>
      <c r="UKL801" s="111"/>
      <c r="UKM801" s="111"/>
      <c r="UKN801" s="111"/>
      <c r="UKO801" s="111"/>
      <c r="UKP801" s="111"/>
      <c r="UKQ801" s="111"/>
      <c r="UKR801" s="111"/>
      <c r="UKS801" s="111"/>
      <c r="UKT801" s="111"/>
      <c r="UKU801" s="111"/>
      <c r="UKV801" s="111"/>
      <c r="UKW801" s="111"/>
      <c r="UKX801" s="111"/>
      <c r="UKY801" s="111"/>
      <c r="UKZ801" s="111"/>
      <c r="ULA801" s="111"/>
      <c r="ULB801" s="111"/>
      <c r="ULC801" s="111"/>
      <c r="ULD801" s="111"/>
      <c r="ULE801" s="111"/>
      <c r="ULF801" s="111"/>
      <c r="ULG801" s="111"/>
      <c r="ULH801" s="111"/>
      <c r="ULI801" s="111"/>
      <c r="ULJ801" s="111"/>
      <c r="ULK801" s="111"/>
      <c r="ULL801" s="111"/>
      <c r="ULM801" s="111"/>
      <c r="ULN801" s="111"/>
      <c r="ULO801" s="111"/>
      <c r="ULP801" s="111"/>
      <c r="ULQ801" s="111"/>
      <c r="ULR801" s="111"/>
      <c r="ULS801" s="111"/>
      <c r="ULT801" s="111"/>
      <c r="ULU801" s="111"/>
      <c r="ULV801" s="111"/>
      <c r="ULW801" s="111"/>
      <c r="ULX801" s="111"/>
      <c r="ULY801" s="111"/>
      <c r="ULZ801" s="111"/>
      <c r="UMA801" s="111"/>
      <c r="UMB801" s="111"/>
      <c r="UMC801" s="111"/>
      <c r="UMD801" s="111"/>
      <c r="UME801" s="111"/>
      <c r="UMF801" s="111"/>
      <c r="UMG801" s="111"/>
      <c r="UMH801" s="111"/>
      <c r="UMI801" s="111"/>
      <c r="UMJ801" s="111"/>
      <c r="UMK801" s="111"/>
      <c r="UML801" s="111"/>
      <c r="UMM801" s="111"/>
      <c r="UMN801" s="111"/>
      <c r="UMO801" s="111"/>
      <c r="UMP801" s="111"/>
      <c r="UMQ801" s="111"/>
      <c r="UMR801" s="111"/>
      <c r="UMS801" s="111"/>
      <c r="UMT801" s="111"/>
      <c r="UMU801" s="111"/>
      <c r="UMV801" s="111"/>
      <c r="UMW801" s="111"/>
      <c r="UMX801" s="111"/>
      <c r="UMY801" s="111"/>
      <c r="UMZ801" s="111"/>
      <c r="UNA801" s="111"/>
      <c r="UNB801" s="111"/>
      <c r="UNC801" s="111"/>
      <c r="UND801" s="111"/>
      <c r="UNE801" s="111"/>
      <c r="UNF801" s="111"/>
      <c r="UNG801" s="111"/>
      <c r="UNH801" s="111"/>
      <c r="UNI801" s="111"/>
      <c r="UNJ801" s="111"/>
      <c r="UNK801" s="111"/>
      <c r="UNL801" s="111"/>
      <c r="UNM801" s="111"/>
      <c r="UNN801" s="111"/>
      <c r="UNO801" s="111"/>
      <c r="UNP801" s="111"/>
      <c r="UNQ801" s="111"/>
      <c r="UNR801" s="111"/>
      <c r="UNS801" s="111"/>
      <c r="UNT801" s="111"/>
      <c r="UNU801" s="111"/>
      <c r="UNV801" s="111"/>
      <c r="UNW801" s="111"/>
      <c r="UNX801" s="111"/>
      <c r="UNY801" s="111"/>
      <c r="UNZ801" s="111"/>
      <c r="UOA801" s="111"/>
      <c r="UOB801" s="111"/>
      <c r="UOC801" s="111"/>
      <c r="UOD801" s="111"/>
      <c r="UOE801" s="111"/>
      <c r="UOF801" s="111"/>
      <c r="UOG801" s="111"/>
      <c r="UOH801" s="111"/>
      <c r="UOI801" s="111"/>
      <c r="UOJ801" s="111"/>
      <c r="UOK801" s="111"/>
      <c r="UOL801" s="111"/>
      <c r="UOM801" s="111"/>
      <c r="UON801" s="111"/>
      <c r="UOO801" s="111"/>
      <c r="UOP801" s="111"/>
      <c r="UOQ801" s="111"/>
      <c r="UOR801" s="111"/>
      <c r="UOS801" s="111"/>
      <c r="UOT801" s="111"/>
      <c r="UOU801" s="111"/>
      <c r="UOV801" s="111"/>
      <c r="UOW801" s="111"/>
      <c r="UOX801" s="111"/>
      <c r="UOY801" s="111"/>
      <c r="UOZ801" s="111"/>
      <c r="UPA801" s="111"/>
      <c r="UPB801" s="111"/>
      <c r="UPC801" s="111"/>
      <c r="UPD801" s="111"/>
      <c r="UPE801" s="111"/>
      <c r="UPF801" s="111"/>
      <c r="UPG801" s="111"/>
      <c r="UPH801" s="111"/>
      <c r="UPI801" s="111"/>
      <c r="UPJ801" s="111"/>
      <c r="UPK801" s="111"/>
      <c r="UPL801" s="111"/>
      <c r="UPM801" s="111"/>
      <c r="UPN801" s="111"/>
      <c r="UPO801" s="111"/>
      <c r="UPP801" s="111"/>
      <c r="UPQ801" s="111"/>
      <c r="UPR801" s="111"/>
      <c r="UPS801" s="111"/>
      <c r="UPT801" s="111"/>
      <c r="UPU801" s="111"/>
      <c r="UPV801" s="111"/>
      <c r="UPW801" s="111"/>
      <c r="UPX801" s="111"/>
      <c r="UPY801" s="111"/>
      <c r="UPZ801" s="111"/>
      <c r="UQA801" s="111"/>
      <c r="UQB801" s="111"/>
      <c r="UQC801" s="111"/>
      <c r="UQD801" s="111"/>
      <c r="UQE801" s="111"/>
      <c r="UQF801" s="111"/>
      <c r="UQG801" s="111"/>
      <c r="UQH801" s="111"/>
      <c r="UQI801" s="111"/>
      <c r="UQJ801" s="111"/>
      <c r="UQK801" s="111"/>
      <c r="UQL801" s="111"/>
      <c r="UQM801" s="111"/>
      <c r="UQN801" s="111"/>
      <c r="UQO801" s="111"/>
      <c r="UQP801" s="111"/>
      <c r="UQQ801" s="111"/>
      <c r="UQR801" s="111"/>
      <c r="UQS801" s="111"/>
      <c r="UQT801" s="111"/>
      <c r="UQU801" s="111"/>
      <c r="UQV801" s="111"/>
      <c r="UQW801" s="111"/>
      <c r="UQX801" s="111"/>
      <c r="UQY801" s="111"/>
      <c r="UQZ801" s="111"/>
      <c r="URA801" s="111"/>
      <c r="URB801" s="111"/>
      <c r="URC801" s="111"/>
      <c r="URD801" s="111"/>
      <c r="URE801" s="111"/>
      <c r="URF801" s="111"/>
      <c r="URG801" s="111"/>
      <c r="URH801" s="111"/>
      <c r="URI801" s="111"/>
      <c r="URJ801" s="111"/>
      <c r="URK801" s="111"/>
      <c r="URL801" s="111"/>
      <c r="URM801" s="111"/>
      <c r="URN801" s="111"/>
      <c r="URO801" s="111"/>
      <c r="URP801" s="111"/>
      <c r="URQ801" s="111"/>
      <c r="URR801" s="111"/>
      <c r="URS801" s="111"/>
      <c r="URT801" s="111"/>
      <c r="URU801" s="111"/>
      <c r="URV801" s="111"/>
      <c r="URW801" s="111"/>
      <c r="URX801" s="111"/>
      <c r="URY801" s="111"/>
      <c r="URZ801" s="111"/>
      <c r="USA801" s="111"/>
      <c r="USB801" s="111"/>
      <c r="USC801" s="111"/>
      <c r="USD801" s="111"/>
      <c r="USE801" s="111"/>
      <c r="USF801" s="111"/>
      <c r="USG801" s="111"/>
      <c r="USH801" s="111"/>
      <c r="USI801" s="111"/>
      <c r="USJ801" s="111"/>
      <c r="USK801" s="111"/>
      <c r="USL801" s="111"/>
      <c r="USM801" s="111"/>
      <c r="USN801" s="111"/>
      <c r="USO801" s="111"/>
      <c r="USP801" s="111"/>
      <c r="USQ801" s="111"/>
      <c r="USR801" s="111"/>
      <c r="USS801" s="111"/>
      <c r="UST801" s="111"/>
      <c r="USU801" s="111"/>
      <c r="USV801" s="111"/>
      <c r="USW801" s="111"/>
      <c r="USX801" s="111"/>
      <c r="USY801" s="111"/>
      <c r="USZ801" s="111"/>
      <c r="UTA801" s="111"/>
      <c r="UTB801" s="111"/>
      <c r="UTC801" s="111"/>
      <c r="UTD801" s="111"/>
      <c r="UTE801" s="111"/>
      <c r="UTF801" s="111"/>
      <c r="UTG801" s="111"/>
      <c r="UTH801" s="111"/>
      <c r="UTI801" s="111"/>
      <c r="UTJ801" s="111"/>
      <c r="UTK801" s="111"/>
      <c r="UTL801" s="111"/>
      <c r="UTM801" s="111"/>
      <c r="UTN801" s="111"/>
      <c r="UTO801" s="111"/>
      <c r="UTP801" s="111"/>
      <c r="UTQ801" s="111"/>
      <c r="UTR801" s="111"/>
      <c r="UTS801" s="111"/>
      <c r="UTT801" s="111"/>
      <c r="UTU801" s="111"/>
      <c r="UTV801" s="111"/>
      <c r="UTW801" s="111"/>
      <c r="UTX801" s="111"/>
      <c r="UTY801" s="111"/>
      <c r="UTZ801" s="111"/>
      <c r="UUA801" s="111"/>
      <c r="UUB801" s="111"/>
      <c r="UUC801" s="111"/>
      <c r="UUD801" s="111"/>
      <c r="UUE801" s="111"/>
      <c r="UUF801" s="111"/>
      <c r="UUG801" s="111"/>
      <c r="UUH801" s="111"/>
      <c r="UUI801" s="111"/>
      <c r="UUJ801" s="111"/>
      <c r="UUK801" s="111"/>
      <c r="UUL801" s="111"/>
      <c r="UUM801" s="111"/>
      <c r="UUN801" s="111"/>
      <c r="UUO801" s="111"/>
      <c r="UUP801" s="111"/>
      <c r="UUQ801" s="111"/>
      <c r="UUR801" s="111"/>
      <c r="UUS801" s="111"/>
      <c r="UUT801" s="111"/>
      <c r="UUU801" s="111"/>
      <c r="UUV801" s="111"/>
      <c r="UUW801" s="111"/>
      <c r="UUX801" s="111"/>
      <c r="UUY801" s="111"/>
      <c r="UUZ801" s="111"/>
      <c r="UVA801" s="111"/>
      <c r="UVB801" s="111"/>
      <c r="UVC801" s="111"/>
      <c r="UVD801" s="111"/>
      <c r="UVE801" s="111"/>
      <c r="UVF801" s="111"/>
      <c r="UVG801" s="111"/>
      <c r="UVH801" s="111"/>
      <c r="UVI801" s="111"/>
      <c r="UVJ801" s="111"/>
      <c r="UVK801" s="111"/>
      <c r="UVL801" s="111"/>
      <c r="UVM801" s="111"/>
      <c r="UVN801" s="111"/>
      <c r="UVO801" s="111"/>
      <c r="UVP801" s="111"/>
      <c r="UVQ801" s="111"/>
      <c r="UVR801" s="111"/>
      <c r="UVS801" s="111"/>
      <c r="UVT801" s="111"/>
      <c r="UVU801" s="111"/>
      <c r="UVV801" s="111"/>
      <c r="UVW801" s="111"/>
      <c r="UVX801" s="111"/>
      <c r="UVY801" s="111"/>
      <c r="UVZ801" s="111"/>
      <c r="UWA801" s="111"/>
      <c r="UWB801" s="111"/>
      <c r="UWC801" s="111"/>
      <c r="UWD801" s="111"/>
      <c r="UWE801" s="111"/>
      <c r="UWF801" s="111"/>
      <c r="UWG801" s="111"/>
      <c r="UWH801" s="111"/>
      <c r="UWI801" s="111"/>
      <c r="UWJ801" s="111"/>
      <c r="UWK801" s="111"/>
      <c r="UWL801" s="111"/>
      <c r="UWM801" s="111"/>
      <c r="UWN801" s="111"/>
      <c r="UWO801" s="111"/>
      <c r="UWP801" s="111"/>
      <c r="UWQ801" s="111"/>
      <c r="UWR801" s="111"/>
      <c r="UWS801" s="111"/>
      <c r="UWT801" s="111"/>
      <c r="UWU801" s="111"/>
      <c r="UWV801" s="111"/>
      <c r="UWW801" s="111"/>
      <c r="UWX801" s="111"/>
      <c r="UWY801" s="111"/>
      <c r="UWZ801" s="111"/>
      <c r="UXA801" s="111"/>
      <c r="UXB801" s="111"/>
      <c r="UXC801" s="111"/>
      <c r="UXD801" s="111"/>
      <c r="UXE801" s="111"/>
      <c r="UXF801" s="111"/>
      <c r="UXG801" s="111"/>
      <c r="UXH801" s="111"/>
      <c r="UXI801" s="111"/>
      <c r="UXJ801" s="111"/>
      <c r="UXK801" s="111"/>
      <c r="UXL801" s="111"/>
      <c r="UXM801" s="111"/>
      <c r="UXN801" s="111"/>
      <c r="UXO801" s="111"/>
      <c r="UXP801" s="111"/>
      <c r="UXQ801" s="111"/>
      <c r="UXR801" s="111"/>
      <c r="UXS801" s="111"/>
      <c r="UXT801" s="111"/>
      <c r="UXU801" s="111"/>
      <c r="UXV801" s="111"/>
      <c r="UXW801" s="111"/>
      <c r="UXX801" s="111"/>
      <c r="UXY801" s="111"/>
      <c r="UXZ801" s="111"/>
      <c r="UYA801" s="111"/>
      <c r="UYB801" s="111"/>
      <c r="UYC801" s="111"/>
      <c r="UYD801" s="111"/>
      <c r="UYE801" s="111"/>
      <c r="UYF801" s="111"/>
      <c r="UYG801" s="111"/>
      <c r="UYH801" s="111"/>
      <c r="UYI801" s="111"/>
      <c r="UYJ801" s="111"/>
      <c r="UYK801" s="111"/>
      <c r="UYL801" s="111"/>
      <c r="UYM801" s="111"/>
      <c r="UYN801" s="111"/>
      <c r="UYO801" s="111"/>
      <c r="UYP801" s="111"/>
      <c r="UYQ801" s="111"/>
      <c r="UYR801" s="111"/>
      <c r="UYS801" s="111"/>
      <c r="UYT801" s="111"/>
      <c r="UYU801" s="111"/>
      <c r="UYV801" s="111"/>
      <c r="UYW801" s="111"/>
      <c r="UYX801" s="111"/>
      <c r="UYY801" s="111"/>
      <c r="UYZ801" s="111"/>
      <c r="UZA801" s="111"/>
      <c r="UZB801" s="111"/>
      <c r="UZC801" s="111"/>
      <c r="UZD801" s="111"/>
      <c r="UZE801" s="111"/>
      <c r="UZF801" s="111"/>
      <c r="UZG801" s="111"/>
      <c r="UZH801" s="111"/>
      <c r="UZI801" s="111"/>
      <c r="UZJ801" s="111"/>
      <c r="UZK801" s="111"/>
      <c r="UZL801" s="111"/>
      <c r="UZM801" s="111"/>
      <c r="UZN801" s="111"/>
      <c r="UZO801" s="111"/>
      <c r="UZP801" s="111"/>
      <c r="UZQ801" s="111"/>
      <c r="UZR801" s="111"/>
      <c r="UZS801" s="111"/>
      <c r="UZT801" s="111"/>
      <c r="UZU801" s="111"/>
      <c r="UZV801" s="111"/>
      <c r="UZW801" s="111"/>
      <c r="UZX801" s="111"/>
      <c r="UZY801" s="111"/>
      <c r="UZZ801" s="111"/>
      <c r="VAA801" s="111"/>
      <c r="VAB801" s="111"/>
      <c r="VAC801" s="111"/>
      <c r="VAD801" s="111"/>
      <c r="VAE801" s="111"/>
      <c r="VAF801" s="111"/>
      <c r="VAG801" s="111"/>
      <c r="VAH801" s="111"/>
      <c r="VAI801" s="111"/>
      <c r="VAJ801" s="111"/>
      <c r="VAK801" s="111"/>
      <c r="VAL801" s="111"/>
      <c r="VAM801" s="111"/>
      <c r="VAN801" s="111"/>
      <c r="VAO801" s="111"/>
      <c r="VAP801" s="111"/>
      <c r="VAQ801" s="111"/>
      <c r="VAR801" s="111"/>
      <c r="VAS801" s="111"/>
      <c r="VAT801" s="111"/>
      <c r="VAU801" s="111"/>
      <c r="VAV801" s="111"/>
      <c r="VAW801" s="111"/>
      <c r="VAX801" s="111"/>
      <c r="VAY801" s="111"/>
      <c r="VAZ801" s="111"/>
      <c r="VBA801" s="111"/>
      <c r="VBB801" s="111"/>
      <c r="VBC801" s="111"/>
      <c r="VBD801" s="111"/>
      <c r="VBE801" s="111"/>
      <c r="VBF801" s="111"/>
      <c r="VBG801" s="111"/>
      <c r="VBH801" s="111"/>
      <c r="VBI801" s="111"/>
      <c r="VBJ801" s="111"/>
      <c r="VBK801" s="111"/>
      <c r="VBL801" s="111"/>
      <c r="VBM801" s="111"/>
      <c r="VBN801" s="111"/>
      <c r="VBO801" s="111"/>
      <c r="VBP801" s="111"/>
      <c r="VBQ801" s="111"/>
      <c r="VBR801" s="111"/>
      <c r="VBS801" s="111"/>
      <c r="VBT801" s="111"/>
      <c r="VBU801" s="111"/>
      <c r="VBV801" s="111"/>
      <c r="VBW801" s="111"/>
      <c r="VBX801" s="111"/>
      <c r="VBY801" s="111"/>
      <c r="VBZ801" s="111"/>
      <c r="VCA801" s="111"/>
      <c r="VCB801" s="111"/>
      <c r="VCC801" s="111"/>
      <c r="VCD801" s="111"/>
      <c r="VCE801" s="111"/>
      <c r="VCF801" s="111"/>
      <c r="VCG801" s="111"/>
      <c r="VCH801" s="111"/>
      <c r="VCI801" s="111"/>
      <c r="VCJ801" s="111"/>
      <c r="VCK801" s="111"/>
      <c r="VCL801" s="111"/>
      <c r="VCM801" s="111"/>
      <c r="VCN801" s="111"/>
      <c r="VCO801" s="111"/>
      <c r="VCP801" s="111"/>
      <c r="VCQ801" s="111"/>
      <c r="VCR801" s="111"/>
      <c r="VCS801" s="111"/>
      <c r="VCT801" s="111"/>
      <c r="VCU801" s="111"/>
      <c r="VCV801" s="111"/>
      <c r="VCW801" s="111"/>
      <c r="VCX801" s="111"/>
      <c r="VCY801" s="111"/>
      <c r="VCZ801" s="111"/>
      <c r="VDA801" s="111"/>
      <c r="VDB801" s="111"/>
      <c r="VDC801" s="111"/>
      <c r="VDD801" s="111"/>
      <c r="VDE801" s="111"/>
      <c r="VDF801" s="111"/>
      <c r="VDG801" s="111"/>
      <c r="VDH801" s="111"/>
      <c r="VDI801" s="111"/>
      <c r="VDJ801" s="111"/>
      <c r="VDK801" s="111"/>
      <c r="VDL801" s="111"/>
      <c r="VDM801" s="111"/>
      <c r="VDN801" s="111"/>
      <c r="VDO801" s="111"/>
      <c r="VDP801" s="111"/>
      <c r="VDQ801" s="111"/>
      <c r="VDR801" s="111"/>
      <c r="VDS801" s="111"/>
      <c r="VDT801" s="111"/>
      <c r="VDU801" s="111"/>
      <c r="VDV801" s="111"/>
      <c r="VDW801" s="111"/>
      <c r="VDX801" s="111"/>
      <c r="VDY801" s="111"/>
      <c r="VDZ801" s="111"/>
      <c r="VEA801" s="111"/>
      <c r="VEB801" s="111"/>
      <c r="VEC801" s="111"/>
      <c r="VED801" s="111"/>
      <c r="VEE801" s="111"/>
      <c r="VEF801" s="111"/>
      <c r="VEG801" s="111"/>
      <c r="VEH801" s="111"/>
      <c r="VEI801" s="111"/>
      <c r="VEJ801" s="111"/>
      <c r="VEK801" s="111"/>
      <c r="VEL801" s="111"/>
      <c r="VEM801" s="111"/>
      <c r="VEN801" s="111"/>
      <c r="VEO801" s="111"/>
      <c r="VEP801" s="111"/>
      <c r="VEQ801" s="111"/>
      <c r="VER801" s="111"/>
      <c r="VES801" s="111"/>
      <c r="VET801" s="111"/>
      <c r="VEU801" s="111"/>
      <c r="VEV801" s="111"/>
      <c r="VEW801" s="111"/>
      <c r="VEX801" s="111"/>
      <c r="VEY801" s="111"/>
      <c r="VEZ801" s="111"/>
      <c r="VFA801" s="111"/>
      <c r="VFB801" s="111"/>
      <c r="VFC801" s="111"/>
      <c r="VFD801" s="111"/>
      <c r="VFE801" s="111"/>
      <c r="VFF801" s="111"/>
      <c r="VFG801" s="111"/>
      <c r="VFH801" s="111"/>
      <c r="VFI801" s="111"/>
      <c r="VFJ801" s="111"/>
      <c r="VFK801" s="111"/>
      <c r="VFL801" s="111"/>
      <c r="VFM801" s="111"/>
      <c r="VFN801" s="111"/>
      <c r="VFO801" s="111"/>
      <c r="VFP801" s="111"/>
      <c r="VFQ801" s="111"/>
      <c r="VFR801" s="111"/>
      <c r="VFS801" s="111"/>
      <c r="VFT801" s="111"/>
      <c r="VFU801" s="111"/>
      <c r="VFV801" s="111"/>
      <c r="VFW801" s="111"/>
      <c r="VFX801" s="111"/>
      <c r="VFY801" s="111"/>
      <c r="VFZ801" s="111"/>
      <c r="VGA801" s="111"/>
      <c r="VGB801" s="111"/>
      <c r="VGC801" s="111"/>
      <c r="VGD801" s="111"/>
      <c r="VGE801" s="111"/>
      <c r="VGF801" s="111"/>
      <c r="VGG801" s="111"/>
      <c r="VGH801" s="111"/>
      <c r="VGI801" s="111"/>
      <c r="VGJ801" s="111"/>
      <c r="VGK801" s="111"/>
      <c r="VGL801" s="111"/>
      <c r="VGM801" s="111"/>
      <c r="VGN801" s="111"/>
      <c r="VGO801" s="111"/>
      <c r="VGP801" s="111"/>
      <c r="VGQ801" s="111"/>
      <c r="VGR801" s="111"/>
      <c r="VGS801" s="111"/>
      <c r="VGT801" s="111"/>
      <c r="VGU801" s="111"/>
      <c r="VGV801" s="111"/>
      <c r="VGW801" s="111"/>
      <c r="VGX801" s="111"/>
      <c r="VGY801" s="111"/>
      <c r="VGZ801" s="111"/>
      <c r="VHA801" s="111"/>
      <c r="VHB801" s="111"/>
      <c r="VHC801" s="111"/>
      <c r="VHD801" s="111"/>
      <c r="VHE801" s="111"/>
      <c r="VHF801" s="111"/>
      <c r="VHG801" s="111"/>
      <c r="VHH801" s="111"/>
      <c r="VHI801" s="111"/>
      <c r="VHJ801" s="111"/>
      <c r="VHK801" s="111"/>
      <c r="VHL801" s="111"/>
      <c r="VHM801" s="111"/>
      <c r="VHN801" s="111"/>
      <c r="VHO801" s="111"/>
      <c r="VHP801" s="111"/>
      <c r="VHQ801" s="111"/>
      <c r="VHR801" s="111"/>
      <c r="VHS801" s="111"/>
      <c r="VHT801" s="111"/>
      <c r="VHU801" s="111"/>
      <c r="VHV801" s="111"/>
      <c r="VHW801" s="111"/>
      <c r="VHX801" s="111"/>
      <c r="VHY801" s="111"/>
      <c r="VHZ801" s="111"/>
      <c r="VIA801" s="111"/>
      <c r="VIB801" s="111"/>
      <c r="VIC801" s="111"/>
      <c r="VID801" s="111"/>
      <c r="VIE801" s="111"/>
      <c r="VIF801" s="111"/>
      <c r="VIG801" s="111"/>
      <c r="VIH801" s="111"/>
      <c r="VII801" s="111"/>
      <c r="VIJ801" s="111"/>
      <c r="VIK801" s="111"/>
      <c r="VIL801" s="111"/>
      <c r="VIM801" s="111"/>
      <c r="VIN801" s="111"/>
      <c r="VIO801" s="111"/>
      <c r="VIP801" s="111"/>
      <c r="VIQ801" s="111"/>
      <c r="VIR801" s="111"/>
      <c r="VIS801" s="111"/>
      <c r="VIT801" s="111"/>
      <c r="VIU801" s="111"/>
      <c r="VIV801" s="111"/>
      <c r="VIW801" s="111"/>
      <c r="VIX801" s="111"/>
      <c r="VIY801" s="111"/>
      <c r="VIZ801" s="111"/>
      <c r="VJA801" s="111"/>
      <c r="VJB801" s="111"/>
      <c r="VJC801" s="111"/>
      <c r="VJD801" s="111"/>
      <c r="VJE801" s="111"/>
      <c r="VJF801" s="111"/>
      <c r="VJG801" s="111"/>
      <c r="VJH801" s="111"/>
      <c r="VJI801" s="111"/>
      <c r="VJJ801" s="111"/>
      <c r="VJK801" s="111"/>
      <c r="VJL801" s="111"/>
      <c r="VJM801" s="111"/>
      <c r="VJN801" s="111"/>
      <c r="VJO801" s="111"/>
      <c r="VJP801" s="111"/>
      <c r="VJQ801" s="111"/>
      <c r="VJR801" s="111"/>
      <c r="VJS801" s="111"/>
      <c r="VJT801" s="111"/>
      <c r="VJU801" s="111"/>
      <c r="VJV801" s="111"/>
      <c r="VJW801" s="111"/>
      <c r="VJX801" s="111"/>
      <c r="VJY801" s="111"/>
      <c r="VJZ801" s="111"/>
      <c r="VKA801" s="111"/>
      <c r="VKB801" s="111"/>
      <c r="VKC801" s="111"/>
      <c r="VKD801" s="111"/>
      <c r="VKE801" s="111"/>
      <c r="VKF801" s="111"/>
      <c r="VKG801" s="111"/>
      <c r="VKH801" s="111"/>
      <c r="VKI801" s="111"/>
      <c r="VKJ801" s="111"/>
      <c r="VKK801" s="111"/>
      <c r="VKL801" s="111"/>
      <c r="VKM801" s="111"/>
      <c r="VKN801" s="111"/>
      <c r="VKO801" s="111"/>
      <c r="VKP801" s="111"/>
      <c r="VKQ801" s="111"/>
      <c r="VKR801" s="111"/>
      <c r="VKS801" s="111"/>
      <c r="VKT801" s="111"/>
      <c r="VKU801" s="111"/>
      <c r="VKV801" s="111"/>
      <c r="VKW801" s="111"/>
      <c r="VKX801" s="111"/>
      <c r="VKY801" s="111"/>
      <c r="VKZ801" s="111"/>
      <c r="VLA801" s="111"/>
      <c r="VLB801" s="111"/>
      <c r="VLC801" s="111"/>
      <c r="VLD801" s="111"/>
      <c r="VLE801" s="111"/>
      <c r="VLF801" s="111"/>
      <c r="VLG801" s="111"/>
      <c r="VLH801" s="111"/>
      <c r="VLI801" s="111"/>
      <c r="VLJ801" s="111"/>
      <c r="VLK801" s="111"/>
      <c r="VLL801" s="111"/>
      <c r="VLM801" s="111"/>
      <c r="VLN801" s="111"/>
      <c r="VLO801" s="111"/>
      <c r="VLP801" s="111"/>
      <c r="VLQ801" s="111"/>
      <c r="VLR801" s="111"/>
      <c r="VLS801" s="111"/>
      <c r="VLT801" s="111"/>
      <c r="VLU801" s="111"/>
      <c r="VLV801" s="111"/>
      <c r="VLW801" s="111"/>
      <c r="VLX801" s="111"/>
      <c r="VLY801" s="111"/>
      <c r="VLZ801" s="111"/>
      <c r="VMA801" s="111"/>
      <c r="VMB801" s="111"/>
      <c r="VMC801" s="111"/>
      <c r="VMD801" s="111"/>
      <c r="VME801" s="111"/>
      <c r="VMF801" s="111"/>
      <c r="VMG801" s="111"/>
      <c r="VMH801" s="111"/>
      <c r="VMI801" s="111"/>
      <c r="VMJ801" s="111"/>
      <c r="VMK801" s="111"/>
      <c r="VML801" s="111"/>
      <c r="VMM801" s="111"/>
      <c r="VMN801" s="111"/>
      <c r="VMO801" s="111"/>
      <c r="VMP801" s="111"/>
      <c r="VMQ801" s="111"/>
      <c r="VMR801" s="111"/>
      <c r="VMS801" s="111"/>
      <c r="VMT801" s="111"/>
      <c r="VMU801" s="111"/>
      <c r="VMV801" s="111"/>
      <c r="VMW801" s="111"/>
      <c r="VMX801" s="111"/>
      <c r="VMY801" s="111"/>
      <c r="VMZ801" s="111"/>
      <c r="VNA801" s="111"/>
      <c r="VNB801" s="111"/>
      <c r="VNC801" s="111"/>
      <c r="VND801" s="111"/>
      <c r="VNE801" s="111"/>
      <c r="VNF801" s="111"/>
      <c r="VNG801" s="111"/>
      <c r="VNH801" s="111"/>
      <c r="VNI801" s="111"/>
      <c r="VNJ801" s="111"/>
      <c r="VNK801" s="111"/>
      <c r="VNL801" s="111"/>
      <c r="VNM801" s="111"/>
      <c r="VNN801" s="111"/>
      <c r="VNO801" s="111"/>
      <c r="VNP801" s="111"/>
      <c r="VNQ801" s="111"/>
      <c r="VNR801" s="111"/>
      <c r="VNS801" s="111"/>
      <c r="VNT801" s="111"/>
      <c r="VNU801" s="111"/>
      <c r="VNV801" s="111"/>
      <c r="VNW801" s="111"/>
      <c r="VNX801" s="111"/>
      <c r="VNY801" s="111"/>
      <c r="VNZ801" s="111"/>
      <c r="VOA801" s="111"/>
      <c r="VOB801" s="111"/>
      <c r="VOC801" s="111"/>
      <c r="VOD801" s="111"/>
      <c r="VOE801" s="111"/>
      <c r="VOF801" s="111"/>
      <c r="VOG801" s="111"/>
      <c r="VOH801" s="111"/>
      <c r="VOI801" s="111"/>
      <c r="VOJ801" s="111"/>
      <c r="VOK801" s="111"/>
      <c r="VOL801" s="111"/>
      <c r="VOM801" s="111"/>
      <c r="VON801" s="111"/>
      <c r="VOO801" s="111"/>
      <c r="VOP801" s="111"/>
      <c r="VOQ801" s="111"/>
      <c r="VOR801" s="111"/>
      <c r="VOS801" s="111"/>
      <c r="VOT801" s="111"/>
      <c r="VOU801" s="111"/>
      <c r="VOV801" s="111"/>
      <c r="VOW801" s="111"/>
      <c r="VOX801" s="111"/>
      <c r="VOY801" s="111"/>
      <c r="VOZ801" s="111"/>
      <c r="VPA801" s="111"/>
      <c r="VPB801" s="111"/>
      <c r="VPC801" s="111"/>
      <c r="VPD801" s="111"/>
      <c r="VPE801" s="111"/>
      <c r="VPF801" s="111"/>
      <c r="VPG801" s="111"/>
      <c r="VPH801" s="111"/>
      <c r="VPI801" s="111"/>
      <c r="VPJ801" s="111"/>
      <c r="VPK801" s="111"/>
      <c r="VPL801" s="111"/>
      <c r="VPM801" s="111"/>
      <c r="VPN801" s="111"/>
      <c r="VPO801" s="111"/>
      <c r="VPP801" s="111"/>
      <c r="VPQ801" s="111"/>
      <c r="VPR801" s="111"/>
      <c r="VPS801" s="111"/>
      <c r="VPT801" s="111"/>
      <c r="VPU801" s="111"/>
      <c r="VPV801" s="111"/>
      <c r="VPW801" s="111"/>
      <c r="VPX801" s="111"/>
      <c r="VPY801" s="111"/>
      <c r="VPZ801" s="111"/>
      <c r="VQA801" s="111"/>
      <c r="VQB801" s="111"/>
      <c r="VQC801" s="111"/>
      <c r="VQD801" s="111"/>
      <c r="VQE801" s="111"/>
      <c r="VQF801" s="111"/>
      <c r="VQG801" s="111"/>
      <c r="VQH801" s="111"/>
      <c r="VQI801" s="111"/>
      <c r="VQJ801" s="111"/>
      <c r="VQK801" s="111"/>
      <c r="VQL801" s="111"/>
      <c r="VQM801" s="111"/>
      <c r="VQN801" s="111"/>
      <c r="VQO801" s="111"/>
      <c r="VQP801" s="111"/>
      <c r="VQQ801" s="111"/>
      <c r="VQR801" s="111"/>
      <c r="VQS801" s="111"/>
      <c r="VQT801" s="111"/>
      <c r="VQU801" s="111"/>
      <c r="VQV801" s="111"/>
      <c r="VQW801" s="111"/>
      <c r="VQX801" s="111"/>
      <c r="VQY801" s="111"/>
      <c r="VQZ801" s="111"/>
      <c r="VRA801" s="111"/>
      <c r="VRB801" s="111"/>
      <c r="VRC801" s="111"/>
      <c r="VRD801" s="111"/>
      <c r="VRE801" s="111"/>
      <c r="VRF801" s="111"/>
      <c r="VRG801" s="111"/>
      <c r="VRH801" s="111"/>
      <c r="VRI801" s="111"/>
      <c r="VRJ801" s="111"/>
      <c r="VRK801" s="111"/>
      <c r="VRL801" s="111"/>
      <c r="VRM801" s="111"/>
      <c r="VRN801" s="111"/>
      <c r="VRO801" s="111"/>
      <c r="VRP801" s="111"/>
      <c r="VRQ801" s="111"/>
      <c r="VRR801" s="111"/>
      <c r="VRS801" s="111"/>
      <c r="VRT801" s="111"/>
      <c r="VRU801" s="111"/>
      <c r="VRV801" s="111"/>
      <c r="VRW801" s="111"/>
      <c r="VRX801" s="111"/>
      <c r="VRY801" s="111"/>
      <c r="VRZ801" s="111"/>
      <c r="VSA801" s="111"/>
      <c r="VSB801" s="111"/>
      <c r="VSC801" s="111"/>
      <c r="VSD801" s="111"/>
      <c r="VSE801" s="111"/>
      <c r="VSF801" s="111"/>
      <c r="VSG801" s="111"/>
      <c r="VSH801" s="111"/>
      <c r="VSI801" s="111"/>
      <c r="VSJ801" s="111"/>
      <c r="VSK801" s="111"/>
      <c r="VSL801" s="111"/>
      <c r="VSM801" s="111"/>
      <c r="VSN801" s="111"/>
      <c r="VSO801" s="111"/>
      <c r="VSP801" s="111"/>
      <c r="VSQ801" s="111"/>
      <c r="VSR801" s="111"/>
      <c r="VSS801" s="111"/>
      <c r="VST801" s="111"/>
      <c r="VSU801" s="111"/>
      <c r="VSV801" s="111"/>
      <c r="VSW801" s="111"/>
      <c r="VSX801" s="111"/>
      <c r="VSY801" s="111"/>
      <c r="VSZ801" s="111"/>
      <c r="VTA801" s="111"/>
      <c r="VTB801" s="111"/>
      <c r="VTC801" s="111"/>
      <c r="VTD801" s="111"/>
      <c r="VTE801" s="111"/>
      <c r="VTF801" s="111"/>
      <c r="VTG801" s="111"/>
      <c r="VTH801" s="111"/>
      <c r="VTI801" s="111"/>
      <c r="VTJ801" s="111"/>
      <c r="VTK801" s="111"/>
      <c r="VTL801" s="111"/>
      <c r="VTM801" s="111"/>
      <c r="VTN801" s="111"/>
      <c r="VTO801" s="111"/>
      <c r="VTP801" s="111"/>
      <c r="VTQ801" s="111"/>
      <c r="VTR801" s="111"/>
      <c r="VTS801" s="111"/>
      <c r="VTT801" s="111"/>
      <c r="VTU801" s="111"/>
      <c r="VTV801" s="111"/>
      <c r="VTW801" s="111"/>
      <c r="VTX801" s="111"/>
      <c r="VTY801" s="111"/>
      <c r="VTZ801" s="111"/>
      <c r="VUA801" s="111"/>
      <c r="VUB801" s="111"/>
      <c r="VUC801" s="111"/>
      <c r="VUD801" s="111"/>
      <c r="VUE801" s="111"/>
      <c r="VUF801" s="111"/>
      <c r="VUG801" s="111"/>
      <c r="VUH801" s="111"/>
      <c r="VUI801" s="111"/>
      <c r="VUJ801" s="111"/>
      <c r="VUK801" s="111"/>
      <c r="VUL801" s="111"/>
      <c r="VUM801" s="111"/>
      <c r="VUN801" s="111"/>
      <c r="VUO801" s="111"/>
      <c r="VUP801" s="111"/>
      <c r="VUQ801" s="111"/>
      <c r="VUR801" s="111"/>
      <c r="VUS801" s="111"/>
      <c r="VUT801" s="111"/>
      <c r="VUU801" s="111"/>
      <c r="VUV801" s="111"/>
      <c r="VUW801" s="111"/>
      <c r="VUX801" s="111"/>
      <c r="VUY801" s="111"/>
      <c r="VUZ801" s="111"/>
      <c r="VVA801" s="111"/>
      <c r="VVB801" s="111"/>
      <c r="VVC801" s="111"/>
      <c r="VVD801" s="111"/>
      <c r="VVE801" s="111"/>
      <c r="VVF801" s="111"/>
      <c r="VVG801" s="111"/>
      <c r="VVH801" s="111"/>
      <c r="VVI801" s="111"/>
      <c r="VVJ801" s="111"/>
      <c r="VVK801" s="111"/>
      <c r="VVL801" s="111"/>
      <c r="VVM801" s="111"/>
      <c r="VVN801" s="111"/>
      <c r="VVO801" s="111"/>
      <c r="VVP801" s="111"/>
      <c r="VVQ801" s="111"/>
      <c r="VVR801" s="111"/>
      <c r="VVS801" s="111"/>
      <c r="VVT801" s="111"/>
      <c r="VVU801" s="111"/>
      <c r="VVV801" s="111"/>
      <c r="VVW801" s="111"/>
      <c r="VVX801" s="111"/>
      <c r="VVY801" s="111"/>
      <c r="VVZ801" s="111"/>
      <c r="VWA801" s="111"/>
      <c r="VWB801" s="111"/>
      <c r="VWC801" s="111"/>
      <c r="VWD801" s="111"/>
      <c r="VWE801" s="111"/>
      <c r="VWF801" s="111"/>
      <c r="VWG801" s="111"/>
      <c r="VWH801" s="111"/>
      <c r="VWI801" s="111"/>
      <c r="VWJ801" s="111"/>
      <c r="VWK801" s="111"/>
      <c r="VWL801" s="111"/>
      <c r="VWM801" s="111"/>
      <c r="VWN801" s="111"/>
      <c r="VWO801" s="111"/>
      <c r="VWP801" s="111"/>
      <c r="VWQ801" s="111"/>
      <c r="VWR801" s="111"/>
      <c r="VWS801" s="111"/>
      <c r="VWT801" s="111"/>
      <c r="VWU801" s="111"/>
      <c r="VWV801" s="111"/>
      <c r="VWW801" s="111"/>
      <c r="VWX801" s="111"/>
      <c r="VWY801" s="111"/>
      <c r="VWZ801" s="111"/>
      <c r="VXA801" s="111"/>
      <c r="VXB801" s="111"/>
      <c r="VXC801" s="111"/>
      <c r="VXD801" s="111"/>
      <c r="VXE801" s="111"/>
      <c r="VXF801" s="111"/>
      <c r="VXG801" s="111"/>
      <c r="VXH801" s="111"/>
      <c r="VXI801" s="111"/>
      <c r="VXJ801" s="111"/>
      <c r="VXK801" s="111"/>
      <c r="VXL801" s="111"/>
      <c r="VXM801" s="111"/>
      <c r="VXN801" s="111"/>
      <c r="VXO801" s="111"/>
      <c r="VXP801" s="111"/>
      <c r="VXQ801" s="111"/>
      <c r="VXR801" s="111"/>
      <c r="VXS801" s="111"/>
      <c r="VXT801" s="111"/>
      <c r="VXU801" s="111"/>
      <c r="VXV801" s="111"/>
      <c r="VXW801" s="111"/>
      <c r="VXX801" s="111"/>
      <c r="VXY801" s="111"/>
      <c r="VXZ801" s="111"/>
      <c r="VYA801" s="111"/>
      <c r="VYB801" s="111"/>
      <c r="VYC801" s="111"/>
      <c r="VYD801" s="111"/>
      <c r="VYE801" s="111"/>
      <c r="VYF801" s="111"/>
      <c r="VYG801" s="111"/>
      <c r="VYH801" s="111"/>
      <c r="VYI801" s="111"/>
      <c r="VYJ801" s="111"/>
      <c r="VYK801" s="111"/>
      <c r="VYL801" s="111"/>
      <c r="VYM801" s="111"/>
      <c r="VYN801" s="111"/>
      <c r="VYO801" s="111"/>
      <c r="VYP801" s="111"/>
      <c r="VYQ801" s="111"/>
      <c r="VYR801" s="111"/>
      <c r="VYS801" s="111"/>
      <c r="VYT801" s="111"/>
      <c r="VYU801" s="111"/>
      <c r="VYV801" s="111"/>
      <c r="VYW801" s="111"/>
      <c r="VYX801" s="111"/>
      <c r="VYY801" s="111"/>
      <c r="VYZ801" s="111"/>
      <c r="VZA801" s="111"/>
      <c r="VZB801" s="111"/>
      <c r="VZC801" s="111"/>
      <c r="VZD801" s="111"/>
      <c r="VZE801" s="111"/>
      <c r="VZF801" s="111"/>
      <c r="VZG801" s="111"/>
      <c r="VZH801" s="111"/>
      <c r="VZI801" s="111"/>
      <c r="VZJ801" s="111"/>
      <c r="VZK801" s="111"/>
      <c r="VZL801" s="111"/>
      <c r="VZM801" s="111"/>
      <c r="VZN801" s="111"/>
      <c r="VZO801" s="111"/>
      <c r="VZP801" s="111"/>
      <c r="VZQ801" s="111"/>
      <c r="VZR801" s="111"/>
      <c r="VZS801" s="111"/>
      <c r="VZT801" s="111"/>
      <c r="VZU801" s="111"/>
      <c r="VZV801" s="111"/>
      <c r="VZW801" s="111"/>
      <c r="VZX801" s="111"/>
      <c r="VZY801" s="111"/>
      <c r="VZZ801" s="111"/>
      <c r="WAA801" s="111"/>
      <c r="WAB801" s="111"/>
      <c r="WAC801" s="111"/>
      <c r="WAD801" s="111"/>
      <c r="WAE801" s="111"/>
      <c r="WAF801" s="111"/>
      <c r="WAG801" s="111"/>
      <c r="WAH801" s="111"/>
      <c r="WAI801" s="111"/>
      <c r="WAJ801" s="111"/>
      <c r="WAK801" s="111"/>
      <c r="WAL801" s="111"/>
      <c r="WAM801" s="111"/>
      <c r="WAN801" s="111"/>
      <c r="WAO801" s="111"/>
      <c r="WAP801" s="111"/>
      <c r="WAQ801" s="111"/>
      <c r="WAR801" s="111"/>
      <c r="WAS801" s="111"/>
      <c r="WAT801" s="111"/>
      <c r="WAU801" s="111"/>
      <c r="WAV801" s="111"/>
      <c r="WAW801" s="111"/>
      <c r="WAX801" s="111"/>
      <c r="WAY801" s="111"/>
      <c r="WAZ801" s="111"/>
      <c r="WBA801" s="111"/>
      <c r="WBB801" s="111"/>
      <c r="WBC801" s="111"/>
      <c r="WBD801" s="111"/>
      <c r="WBE801" s="111"/>
      <c r="WBF801" s="111"/>
      <c r="WBG801" s="111"/>
      <c r="WBH801" s="111"/>
      <c r="WBI801" s="111"/>
      <c r="WBJ801" s="111"/>
      <c r="WBK801" s="111"/>
      <c r="WBL801" s="111"/>
      <c r="WBM801" s="111"/>
      <c r="WBN801" s="111"/>
      <c r="WBO801" s="111"/>
      <c r="WBP801" s="111"/>
      <c r="WBQ801" s="111"/>
      <c r="WBR801" s="111"/>
      <c r="WBS801" s="111"/>
      <c r="WBT801" s="111"/>
      <c r="WBU801" s="111"/>
      <c r="WBV801" s="111"/>
      <c r="WBW801" s="111"/>
      <c r="WBX801" s="111"/>
      <c r="WBY801" s="111"/>
      <c r="WBZ801" s="111"/>
      <c r="WCA801" s="111"/>
      <c r="WCB801" s="111"/>
      <c r="WCC801" s="111"/>
      <c r="WCD801" s="111"/>
      <c r="WCE801" s="111"/>
      <c r="WCF801" s="111"/>
      <c r="WCG801" s="111"/>
      <c r="WCH801" s="111"/>
      <c r="WCI801" s="111"/>
      <c r="WCJ801" s="111"/>
      <c r="WCK801" s="111"/>
      <c r="WCL801" s="111"/>
      <c r="WCM801" s="111"/>
      <c r="WCN801" s="111"/>
      <c r="WCO801" s="111"/>
      <c r="WCP801" s="111"/>
      <c r="WCQ801" s="111"/>
      <c r="WCR801" s="111"/>
      <c r="WCS801" s="111"/>
      <c r="WCT801" s="111"/>
      <c r="WCU801" s="111"/>
      <c r="WCV801" s="111"/>
      <c r="WCW801" s="111"/>
      <c r="WCX801" s="111"/>
      <c r="WCY801" s="111"/>
      <c r="WCZ801" s="111"/>
      <c r="WDA801" s="111"/>
      <c r="WDB801" s="111"/>
      <c r="WDC801" s="111"/>
      <c r="WDD801" s="111"/>
      <c r="WDE801" s="111"/>
      <c r="WDF801" s="111"/>
      <c r="WDG801" s="111"/>
      <c r="WDH801" s="111"/>
      <c r="WDI801" s="111"/>
      <c r="WDJ801" s="111"/>
      <c r="WDK801" s="111"/>
      <c r="WDL801" s="111"/>
      <c r="WDM801" s="111"/>
      <c r="WDN801" s="111"/>
      <c r="WDO801" s="111"/>
      <c r="WDP801" s="111"/>
      <c r="WDQ801" s="111"/>
      <c r="WDR801" s="111"/>
      <c r="WDS801" s="111"/>
      <c r="WDT801" s="111"/>
      <c r="WDU801" s="111"/>
      <c r="WDV801" s="111"/>
      <c r="WDW801" s="111"/>
      <c r="WDX801" s="111"/>
      <c r="WDY801" s="111"/>
      <c r="WDZ801" s="111"/>
      <c r="WEA801" s="111"/>
      <c r="WEB801" s="111"/>
      <c r="WEC801" s="111"/>
      <c r="WED801" s="111"/>
      <c r="WEE801" s="111"/>
      <c r="WEF801" s="111"/>
      <c r="WEG801" s="111"/>
      <c r="WEH801" s="111"/>
      <c r="WEI801" s="111"/>
      <c r="WEJ801" s="111"/>
      <c r="WEK801" s="111"/>
      <c r="WEL801" s="111"/>
      <c r="WEM801" s="111"/>
      <c r="WEN801" s="111"/>
      <c r="WEO801" s="111"/>
      <c r="WEP801" s="111"/>
      <c r="WEQ801" s="111"/>
      <c r="WER801" s="111"/>
      <c r="WES801" s="111"/>
      <c r="WET801" s="111"/>
      <c r="WEU801" s="111"/>
      <c r="WEV801" s="111"/>
      <c r="WEW801" s="111"/>
      <c r="WEX801" s="111"/>
      <c r="WEY801" s="111"/>
      <c r="WEZ801" s="111"/>
      <c r="WFA801" s="111"/>
      <c r="WFB801" s="111"/>
      <c r="WFC801" s="111"/>
      <c r="WFD801" s="111"/>
      <c r="WFE801" s="111"/>
      <c r="WFF801" s="111"/>
      <c r="WFG801" s="111"/>
      <c r="WFH801" s="111"/>
      <c r="WFI801" s="111"/>
      <c r="WFJ801" s="111"/>
      <c r="WFK801" s="111"/>
      <c r="WFL801" s="111"/>
      <c r="WFM801" s="111"/>
      <c r="WFN801" s="111"/>
      <c r="WFO801" s="111"/>
      <c r="WFP801" s="111"/>
      <c r="WFQ801" s="111"/>
      <c r="WFR801" s="111"/>
      <c r="WFS801" s="111"/>
      <c r="WFT801" s="111"/>
      <c r="WFU801" s="111"/>
      <c r="WFV801" s="111"/>
      <c r="WFW801" s="111"/>
      <c r="WFX801" s="111"/>
      <c r="WFY801" s="111"/>
      <c r="WFZ801" s="111"/>
      <c r="WGA801" s="111"/>
      <c r="WGB801" s="111"/>
      <c r="WGC801" s="111"/>
      <c r="WGD801" s="111"/>
      <c r="WGE801" s="111"/>
      <c r="WGF801" s="111"/>
      <c r="WGG801" s="111"/>
      <c r="WGH801" s="111"/>
      <c r="WGI801" s="111"/>
      <c r="WGJ801" s="111"/>
      <c r="WGK801" s="111"/>
      <c r="WGL801" s="111"/>
      <c r="WGM801" s="111"/>
      <c r="WGN801" s="111"/>
      <c r="WGO801" s="111"/>
      <c r="WGP801" s="111"/>
      <c r="WGQ801" s="111"/>
      <c r="WGR801" s="111"/>
      <c r="WGS801" s="111"/>
      <c r="WGT801" s="111"/>
      <c r="WGU801" s="111"/>
      <c r="WGV801" s="111"/>
      <c r="WGW801" s="111"/>
      <c r="WGX801" s="111"/>
      <c r="WGY801" s="111"/>
      <c r="WGZ801" s="111"/>
      <c r="WHA801" s="111"/>
      <c r="WHB801" s="111"/>
      <c r="WHC801" s="111"/>
      <c r="WHD801" s="111"/>
      <c r="WHE801" s="111"/>
      <c r="WHF801" s="111"/>
      <c r="WHG801" s="111"/>
      <c r="WHH801" s="111"/>
      <c r="WHI801" s="111"/>
      <c r="WHJ801" s="111"/>
      <c r="WHK801" s="111"/>
      <c r="WHL801" s="111"/>
      <c r="WHM801" s="111"/>
      <c r="WHN801" s="111"/>
      <c r="WHO801" s="111"/>
      <c r="WHP801" s="111"/>
      <c r="WHQ801" s="111"/>
      <c r="WHR801" s="111"/>
      <c r="WHS801" s="111"/>
      <c r="WHT801" s="111"/>
      <c r="WHU801" s="111"/>
      <c r="WHV801" s="111"/>
      <c r="WHW801" s="111"/>
      <c r="WHX801" s="111"/>
      <c r="WHY801" s="111"/>
      <c r="WHZ801" s="111"/>
      <c r="WIA801" s="111"/>
      <c r="WIB801" s="111"/>
      <c r="WIC801" s="111"/>
      <c r="WID801" s="111"/>
      <c r="WIE801" s="111"/>
      <c r="WIF801" s="111"/>
      <c r="WIG801" s="111"/>
      <c r="WIH801" s="111"/>
      <c r="WII801" s="111"/>
      <c r="WIJ801" s="111"/>
      <c r="WIK801" s="111"/>
      <c r="WIL801" s="111"/>
      <c r="WIM801" s="111"/>
      <c r="WIN801" s="111"/>
      <c r="WIO801" s="111"/>
      <c r="WIP801" s="111"/>
      <c r="WIQ801" s="111"/>
      <c r="WIR801" s="111"/>
      <c r="WIS801" s="111"/>
      <c r="WIT801" s="111"/>
      <c r="WIU801" s="111"/>
      <c r="WIV801" s="111"/>
      <c r="WIW801" s="111"/>
      <c r="WIX801" s="111"/>
      <c r="WIY801" s="111"/>
      <c r="WIZ801" s="111"/>
      <c r="WJA801" s="111"/>
      <c r="WJB801" s="111"/>
      <c r="WJC801" s="111"/>
      <c r="WJD801" s="111"/>
      <c r="WJE801" s="111"/>
      <c r="WJF801" s="111"/>
      <c r="WJG801" s="111"/>
      <c r="WJH801" s="111"/>
      <c r="WJI801" s="111"/>
      <c r="WJJ801" s="111"/>
      <c r="WJK801" s="111"/>
      <c r="WJL801" s="111"/>
      <c r="WJM801" s="111"/>
      <c r="WJN801" s="111"/>
      <c r="WJO801" s="111"/>
      <c r="WJP801" s="111"/>
      <c r="WJQ801" s="111"/>
      <c r="WJR801" s="111"/>
      <c r="WJS801" s="111"/>
      <c r="WJT801" s="111"/>
      <c r="WJU801" s="111"/>
      <c r="WJV801" s="111"/>
      <c r="WJW801" s="111"/>
      <c r="WJX801" s="111"/>
      <c r="WJY801" s="111"/>
      <c r="WJZ801" s="111"/>
      <c r="WKA801" s="111"/>
      <c r="WKB801" s="111"/>
      <c r="WKC801" s="111"/>
      <c r="WKD801" s="111"/>
      <c r="WKE801" s="111"/>
      <c r="WKF801" s="111"/>
      <c r="WKG801" s="111"/>
      <c r="WKH801" s="111"/>
      <c r="WKI801" s="111"/>
      <c r="WKJ801" s="111"/>
      <c r="WKK801" s="111"/>
      <c r="WKL801" s="111"/>
      <c r="WKM801" s="111"/>
      <c r="WKN801" s="111"/>
      <c r="WKO801" s="111"/>
      <c r="WKP801" s="111"/>
      <c r="WKQ801" s="111"/>
      <c r="WKR801" s="111"/>
      <c r="WKS801" s="111"/>
      <c r="WKT801" s="111"/>
      <c r="WKU801" s="111"/>
      <c r="WKV801" s="111"/>
      <c r="WKW801" s="111"/>
      <c r="WKX801" s="111"/>
      <c r="WKY801" s="111"/>
      <c r="WKZ801" s="111"/>
      <c r="WLA801" s="111"/>
      <c r="WLB801" s="111"/>
      <c r="WLC801" s="111"/>
      <c r="WLD801" s="111"/>
      <c r="WLE801" s="111"/>
      <c r="WLF801" s="111"/>
      <c r="WLG801" s="111"/>
      <c r="WLH801" s="111"/>
      <c r="WLI801" s="111"/>
      <c r="WLJ801" s="111"/>
      <c r="WLK801" s="111"/>
      <c r="WLL801" s="111"/>
      <c r="WLM801" s="111"/>
      <c r="WLN801" s="111"/>
      <c r="WLO801" s="111"/>
      <c r="WLP801" s="111"/>
      <c r="WLQ801" s="111"/>
      <c r="WLR801" s="111"/>
      <c r="WLS801" s="111"/>
      <c r="WLT801" s="111"/>
      <c r="WLU801" s="111"/>
      <c r="WLV801" s="111"/>
      <c r="WLW801" s="111"/>
      <c r="WLX801" s="111"/>
      <c r="WLY801" s="111"/>
      <c r="WLZ801" s="111"/>
      <c r="WMA801" s="111"/>
      <c r="WMB801" s="111"/>
      <c r="WMC801" s="111"/>
      <c r="WMD801" s="111"/>
      <c r="WME801" s="111"/>
      <c r="WMF801" s="111"/>
      <c r="WMG801" s="111"/>
      <c r="WMH801" s="111"/>
      <c r="WMI801" s="111"/>
      <c r="WMJ801" s="111"/>
      <c r="WMK801" s="111"/>
      <c r="WML801" s="111"/>
      <c r="WMM801" s="111"/>
      <c r="WMN801" s="111"/>
      <c r="WMO801" s="111"/>
      <c r="WMP801" s="111"/>
      <c r="WMQ801" s="111"/>
      <c r="WMR801" s="111"/>
      <c r="WMS801" s="111"/>
      <c r="WMT801" s="111"/>
      <c r="WMU801" s="111"/>
      <c r="WMV801" s="111"/>
      <c r="WMW801" s="111"/>
      <c r="WMX801" s="111"/>
      <c r="WMY801" s="111"/>
      <c r="WMZ801" s="111"/>
      <c r="WNA801" s="111"/>
      <c r="WNB801" s="111"/>
      <c r="WNC801" s="111"/>
      <c r="WND801" s="111"/>
      <c r="WNE801" s="111"/>
      <c r="WNF801" s="111"/>
      <c r="WNG801" s="111"/>
      <c r="WNH801" s="111"/>
      <c r="WNI801" s="111"/>
      <c r="WNJ801" s="111"/>
      <c r="WNK801" s="111"/>
      <c r="WNL801" s="111"/>
      <c r="WNM801" s="111"/>
      <c r="WNN801" s="111"/>
      <c r="WNO801" s="111"/>
      <c r="WNP801" s="111"/>
      <c r="WNQ801" s="111"/>
      <c r="WNR801" s="111"/>
      <c r="WNS801" s="111"/>
      <c r="WNT801" s="111"/>
      <c r="WNU801" s="111"/>
      <c r="WNV801" s="111"/>
      <c r="WNW801" s="111"/>
      <c r="WNX801" s="111"/>
      <c r="WNY801" s="111"/>
      <c r="WNZ801" s="111"/>
      <c r="WOA801" s="111"/>
      <c r="WOB801" s="111"/>
      <c r="WOC801" s="111"/>
      <c r="WOD801" s="111"/>
      <c r="WOE801" s="111"/>
      <c r="WOF801" s="111"/>
      <c r="WOG801" s="111"/>
      <c r="WOH801" s="111"/>
      <c r="WOI801" s="111"/>
      <c r="WOJ801" s="111"/>
      <c r="WOK801" s="111"/>
      <c r="WOL801" s="111"/>
      <c r="WOM801" s="111"/>
      <c r="WON801" s="111"/>
      <c r="WOO801" s="111"/>
      <c r="WOP801" s="111"/>
      <c r="WOQ801" s="111"/>
      <c r="WOR801" s="111"/>
      <c r="WOS801" s="111"/>
      <c r="WOT801" s="111"/>
      <c r="WOU801" s="111"/>
      <c r="WOV801" s="111"/>
      <c r="WOW801" s="111"/>
      <c r="WOX801" s="111"/>
      <c r="WOY801" s="111"/>
      <c r="WOZ801" s="111"/>
      <c r="WPA801" s="111"/>
      <c r="WPB801" s="111"/>
      <c r="WPC801" s="111"/>
      <c r="WPD801" s="111"/>
      <c r="WPE801" s="111"/>
      <c r="WPF801" s="111"/>
      <c r="WPG801" s="111"/>
      <c r="WPH801" s="111"/>
      <c r="WPI801" s="111"/>
      <c r="WPJ801" s="111"/>
      <c r="WPK801" s="111"/>
      <c r="WPL801" s="111"/>
      <c r="WPM801" s="111"/>
      <c r="WPN801" s="111"/>
      <c r="WPO801" s="111"/>
      <c r="WPP801" s="111"/>
      <c r="WPQ801" s="111"/>
      <c r="WPR801" s="111"/>
      <c r="WPS801" s="111"/>
      <c r="WPT801" s="111"/>
      <c r="WPU801" s="111"/>
      <c r="WPV801" s="111"/>
      <c r="WPW801" s="111"/>
      <c r="WPX801" s="111"/>
      <c r="WPY801" s="111"/>
      <c r="WPZ801" s="111"/>
      <c r="WQA801" s="111"/>
      <c r="WQB801" s="111"/>
      <c r="WQC801" s="111"/>
      <c r="WQD801" s="111"/>
      <c r="WQE801" s="111"/>
      <c r="WQF801" s="111"/>
      <c r="WQG801" s="111"/>
      <c r="WQH801" s="111"/>
      <c r="WQI801" s="111"/>
      <c r="WQJ801" s="111"/>
      <c r="WQK801" s="111"/>
      <c r="WQL801" s="111"/>
      <c r="WQM801" s="111"/>
      <c r="WQN801" s="111"/>
      <c r="WQO801" s="111"/>
      <c r="WQP801" s="111"/>
      <c r="WQQ801" s="111"/>
      <c r="WQR801" s="111"/>
      <c r="WQS801" s="111"/>
      <c r="WQT801" s="111"/>
      <c r="WQU801" s="111"/>
      <c r="WQV801" s="111"/>
      <c r="WQW801" s="111"/>
      <c r="WQX801" s="111"/>
      <c r="WQY801" s="111"/>
      <c r="WQZ801" s="111"/>
      <c r="WRA801" s="111"/>
      <c r="WRB801" s="111"/>
      <c r="WRC801" s="111"/>
      <c r="WRD801" s="111"/>
      <c r="WRE801" s="111"/>
      <c r="WRF801" s="111"/>
      <c r="WRG801" s="111"/>
      <c r="WRH801" s="111"/>
      <c r="WRI801" s="111"/>
      <c r="WRJ801" s="111"/>
      <c r="WRK801" s="111"/>
      <c r="WRL801" s="111"/>
      <c r="WRM801" s="111"/>
      <c r="WRN801" s="111"/>
      <c r="WRO801" s="111"/>
      <c r="WRP801" s="111"/>
      <c r="WRQ801" s="111"/>
      <c r="WRR801" s="111"/>
      <c r="WRS801" s="111"/>
      <c r="WRT801" s="111"/>
      <c r="WRU801" s="111"/>
      <c r="WRV801" s="111"/>
      <c r="WRW801" s="111"/>
      <c r="WRX801" s="111"/>
      <c r="WRY801" s="111"/>
      <c r="WRZ801" s="111"/>
      <c r="WSA801" s="111"/>
      <c r="WSB801" s="111"/>
      <c r="WSC801" s="111"/>
      <c r="WSD801" s="111"/>
      <c r="WSE801" s="111"/>
      <c r="WSF801" s="111"/>
      <c r="WSG801" s="111"/>
      <c r="WSH801" s="111"/>
      <c r="WSI801" s="111"/>
      <c r="WSJ801" s="111"/>
      <c r="WSK801" s="111"/>
      <c r="WSL801" s="111"/>
      <c r="WSM801" s="111"/>
      <c r="WSN801" s="111"/>
      <c r="WSO801" s="111"/>
      <c r="WSP801" s="111"/>
      <c r="WSQ801" s="111"/>
      <c r="WSR801" s="111"/>
      <c r="WSS801" s="111"/>
      <c r="WST801" s="111"/>
      <c r="WSU801" s="111"/>
      <c r="WSV801" s="111"/>
      <c r="WSW801" s="111"/>
      <c r="WSX801" s="111"/>
      <c r="WSY801" s="111"/>
      <c r="WSZ801" s="111"/>
      <c r="WTA801" s="111"/>
      <c r="WTB801" s="111"/>
      <c r="WTC801" s="111"/>
      <c r="WTD801" s="111"/>
      <c r="WTE801" s="111"/>
      <c r="WTF801" s="111"/>
      <c r="WTG801" s="111"/>
      <c r="WTH801" s="111"/>
      <c r="WTI801" s="111"/>
      <c r="WTJ801" s="111"/>
      <c r="WTK801" s="111"/>
      <c r="WTL801" s="111"/>
      <c r="WTM801" s="111"/>
      <c r="WTN801" s="111"/>
      <c r="WTO801" s="111"/>
      <c r="WTP801" s="111"/>
      <c r="WTQ801" s="111"/>
      <c r="WTR801" s="111"/>
      <c r="WTS801" s="111"/>
      <c r="WTT801" s="111"/>
      <c r="WTU801" s="111"/>
      <c r="WTV801" s="111"/>
      <c r="WTW801" s="111"/>
      <c r="WTX801" s="111"/>
      <c r="WTY801" s="111"/>
      <c r="WTZ801" s="111"/>
      <c r="WUA801" s="111"/>
      <c r="WUB801" s="111"/>
      <c r="WUC801" s="111"/>
      <c r="WUD801" s="111"/>
      <c r="WUE801" s="111"/>
      <c r="WUF801" s="111"/>
      <c r="WUG801" s="111"/>
      <c r="WUH801" s="111"/>
      <c r="WUI801" s="111"/>
      <c r="WUJ801" s="111"/>
      <c r="WUK801" s="111"/>
      <c r="WUL801" s="111"/>
      <c r="WUM801" s="111"/>
      <c r="WUN801" s="111"/>
      <c r="WUO801" s="111"/>
      <c r="WUP801" s="111"/>
      <c r="WUQ801" s="111"/>
      <c r="WUR801" s="111"/>
      <c r="WUS801" s="111"/>
      <c r="WUT801" s="111"/>
      <c r="WUU801" s="111"/>
      <c r="WUV801" s="111"/>
      <c r="WUW801" s="111"/>
      <c r="WUX801" s="111"/>
      <c r="WUY801" s="111"/>
      <c r="WUZ801" s="111"/>
      <c r="WVA801" s="111"/>
      <c r="WVB801" s="111"/>
      <c r="WVC801" s="111"/>
      <c r="WVD801" s="111"/>
      <c r="WVE801" s="111"/>
      <c r="WVF801" s="111"/>
      <c r="WVG801" s="111"/>
      <c r="WVH801" s="111"/>
      <c r="WVI801" s="111"/>
      <c r="WVJ801" s="111"/>
      <c r="WVK801" s="111"/>
      <c r="WVL801" s="111"/>
      <c r="WVM801" s="111"/>
      <c r="WVN801" s="111"/>
      <c r="WVO801" s="111"/>
      <c r="WVP801" s="111"/>
      <c r="WVQ801" s="111"/>
      <c r="WVR801" s="111"/>
      <c r="WVS801" s="111"/>
      <c r="WVT801" s="111"/>
      <c r="WVU801" s="111"/>
      <c r="WVV801" s="111"/>
      <c r="WVW801" s="111"/>
      <c r="WVX801" s="111"/>
      <c r="WVY801" s="111"/>
      <c r="WVZ801" s="111"/>
      <c r="WWA801" s="111"/>
      <c r="WWB801" s="111"/>
      <c r="WWC801" s="111"/>
      <c r="WWD801" s="111"/>
      <c r="WWE801" s="111"/>
      <c r="WWF801" s="111"/>
      <c r="WWG801" s="111"/>
      <c r="WWH801" s="111"/>
      <c r="WWI801" s="111"/>
      <c r="WWJ801" s="111"/>
      <c r="WWK801" s="111"/>
      <c r="WWL801" s="111"/>
      <c r="WWM801" s="111"/>
      <c r="WWN801" s="111"/>
      <c r="WWO801" s="111"/>
      <c r="WWP801" s="111"/>
      <c r="WWQ801" s="111"/>
      <c r="WWR801" s="111"/>
      <c r="WWS801" s="111"/>
      <c r="WWT801" s="111"/>
      <c r="WWU801" s="111"/>
      <c r="WWV801" s="111"/>
      <c r="WWW801" s="111"/>
      <c r="WWX801" s="111"/>
      <c r="WWY801" s="111"/>
      <c r="WWZ801" s="111"/>
      <c r="WXA801" s="111"/>
      <c r="WXB801" s="111"/>
      <c r="WXC801" s="111"/>
      <c r="WXD801" s="111"/>
      <c r="WXE801" s="111"/>
      <c r="WXF801" s="111"/>
      <c r="WXG801" s="111"/>
      <c r="WXH801" s="111"/>
      <c r="WXI801" s="111"/>
      <c r="WXJ801" s="111"/>
      <c r="WXK801" s="111"/>
      <c r="WXL801" s="111"/>
      <c r="WXM801" s="111"/>
      <c r="WXN801" s="111"/>
      <c r="WXO801" s="111"/>
      <c r="WXP801" s="111"/>
      <c r="WXQ801" s="111"/>
      <c r="WXR801" s="111"/>
      <c r="WXS801" s="111"/>
      <c r="WXT801" s="111"/>
      <c r="WXU801" s="111"/>
      <c r="WXV801" s="111"/>
      <c r="WXW801" s="111"/>
      <c r="WXX801" s="111"/>
      <c r="WXY801" s="111"/>
      <c r="WXZ801" s="111"/>
      <c r="WYA801" s="111"/>
      <c r="WYB801" s="111"/>
      <c r="WYC801" s="111"/>
      <c r="WYD801" s="111"/>
      <c r="WYE801" s="111"/>
      <c r="WYF801" s="111"/>
      <c r="WYG801" s="111"/>
      <c r="WYH801" s="111"/>
      <c r="WYI801" s="111"/>
      <c r="WYJ801" s="111"/>
      <c r="WYK801" s="111"/>
      <c r="WYL801" s="111"/>
      <c r="WYM801" s="111"/>
      <c r="WYN801" s="111"/>
      <c r="WYO801" s="111"/>
      <c r="WYP801" s="111"/>
      <c r="WYQ801" s="111"/>
      <c r="WYR801" s="111"/>
      <c r="WYS801" s="111"/>
      <c r="WYT801" s="111"/>
      <c r="WYU801" s="111"/>
      <c r="WYV801" s="111"/>
      <c r="WYW801" s="111"/>
      <c r="WYX801" s="111"/>
      <c r="WYY801" s="111"/>
      <c r="WYZ801" s="111"/>
      <c r="WZA801" s="111"/>
      <c r="WZB801" s="111"/>
      <c r="WZC801" s="111"/>
      <c r="WZD801" s="111"/>
      <c r="WZE801" s="111"/>
      <c r="WZF801" s="111"/>
      <c r="WZG801" s="111"/>
      <c r="WZH801" s="111"/>
      <c r="WZI801" s="111"/>
      <c r="WZJ801" s="111"/>
      <c r="WZK801" s="111"/>
      <c r="WZL801" s="111"/>
      <c r="WZM801" s="111"/>
      <c r="WZN801" s="111"/>
      <c r="WZO801" s="111"/>
      <c r="WZP801" s="111"/>
      <c r="WZQ801" s="111"/>
      <c r="WZR801" s="111"/>
      <c r="WZS801" s="111"/>
      <c r="WZT801" s="111"/>
      <c r="WZU801" s="111"/>
      <c r="WZV801" s="111"/>
      <c r="WZW801" s="111"/>
      <c r="WZX801" s="111"/>
      <c r="WZY801" s="111"/>
      <c r="WZZ801" s="111"/>
      <c r="XAA801" s="111"/>
      <c r="XAB801" s="111"/>
      <c r="XAC801" s="111"/>
      <c r="XAD801" s="111"/>
      <c r="XAE801" s="111"/>
      <c r="XAF801" s="111"/>
      <c r="XAG801" s="111"/>
      <c r="XAH801" s="111"/>
      <c r="XAI801" s="111"/>
      <c r="XAJ801" s="111"/>
      <c r="XAK801" s="111"/>
      <c r="XAL801" s="111"/>
      <c r="XAM801" s="111"/>
      <c r="XAN801" s="111"/>
      <c r="XAO801" s="111"/>
      <c r="XAP801" s="111"/>
      <c r="XAQ801" s="111"/>
      <c r="XAR801" s="111"/>
      <c r="XAS801" s="111"/>
      <c r="XAT801" s="111"/>
      <c r="XAU801" s="111"/>
      <c r="XAV801" s="111"/>
      <c r="XAW801" s="111"/>
      <c r="XAX801" s="111"/>
      <c r="XAY801" s="111"/>
      <c r="XAZ801" s="111"/>
      <c r="XBA801" s="111"/>
      <c r="XBB801" s="111"/>
      <c r="XBC801" s="111"/>
      <c r="XBD801" s="111"/>
      <c r="XBE801" s="111"/>
      <c r="XBF801" s="111"/>
      <c r="XBG801" s="111"/>
      <c r="XBH801" s="111"/>
      <c r="XBI801" s="111"/>
      <c r="XBJ801" s="111"/>
      <c r="XBK801" s="111"/>
      <c r="XBL801" s="111"/>
      <c r="XBM801" s="111"/>
      <c r="XBN801" s="111"/>
      <c r="XBO801" s="111"/>
      <c r="XBP801" s="111"/>
      <c r="XBQ801" s="111"/>
      <c r="XBR801" s="111"/>
      <c r="XBS801" s="111"/>
      <c r="XBT801" s="111"/>
      <c r="XBU801" s="111"/>
      <c r="XBV801" s="111"/>
      <c r="XBW801" s="111"/>
      <c r="XBX801" s="111"/>
      <c r="XBY801" s="111"/>
      <c r="XBZ801" s="111"/>
      <c r="XCA801" s="111"/>
      <c r="XCB801" s="111"/>
      <c r="XCC801" s="111"/>
      <c r="XCD801" s="111"/>
      <c r="XCE801" s="111"/>
      <c r="XCF801" s="111"/>
      <c r="XCG801" s="111"/>
      <c r="XCH801" s="111"/>
      <c r="XCI801" s="111"/>
      <c r="XCJ801" s="111"/>
      <c r="XCK801" s="111"/>
      <c r="XCL801" s="111"/>
      <c r="XCM801" s="111"/>
      <c r="XCN801" s="111"/>
      <c r="XCO801" s="111"/>
      <c r="XCP801" s="111"/>
      <c r="XCQ801" s="111"/>
      <c r="XCR801" s="111"/>
      <c r="XCS801" s="111"/>
      <c r="XCT801" s="111"/>
      <c r="XCU801" s="111"/>
      <c r="XCV801" s="111"/>
      <c r="XCW801" s="111"/>
      <c r="XCX801" s="111"/>
      <c r="XCY801" s="111"/>
      <c r="XCZ801" s="111"/>
      <c r="XDA801" s="111"/>
      <c r="XDB801" s="111"/>
      <c r="XDC801" s="111"/>
      <c r="XDD801" s="111"/>
      <c r="XDE801" s="111"/>
      <c r="XDF801" s="111"/>
      <c r="XDG801" s="111"/>
      <c r="XDH801" s="111"/>
      <c r="XDI801" s="111"/>
      <c r="XDJ801" s="111"/>
      <c r="XDK801" s="111"/>
      <c r="XDL801" s="111"/>
      <c r="XDM801" s="111"/>
      <c r="XDN801" s="111"/>
      <c r="XDO801" s="111"/>
      <c r="XDP801" s="111"/>
      <c r="XDQ801" s="111"/>
      <c r="XDR801" s="111"/>
      <c r="XDS801" s="111"/>
      <c r="XDT801" s="111"/>
      <c r="XDU801" s="111"/>
      <c r="XDV801" s="111"/>
      <c r="XDW801" s="111"/>
      <c r="XDX801" s="111"/>
      <c r="XDY801" s="111"/>
      <c r="XDZ801" s="111"/>
      <c r="XEA801" s="111"/>
      <c r="XEB801" s="111"/>
      <c r="XEC801" s="111"/>
      <c r="XED801" s="111"/>
      <c r="XEE801" s="111"/>
      <c r="XEF801" s="111"/>
      <c r="XEG801" s="111"/>
      <c r="XEH801" s="111"/>
      <c r="XEI801" s="111"/>
      <c r="XEJ801" s="111"/>
      <c r="XEK801" s="111"/>
      <c r="XEL801" s="111"/>
      <c r="XEM801" s="111"/>
      <c r="XEN801" s="111"/>
      <c r="XEO801" s="111"/>
      <c r="XEP801" s="111"/>
      <c r="XEQ801" s="111"/>
      <c r="XER801" s="111"/>
      <c r="XES801" s="111"/>
      <c r="XET801" s="111"/>
      <c r="XEU801" s="111"/>
      <c r="XEV801" s="111"/>
      <c r="XEW801" s="111"/>
      <c r="XEX801" s="111"/>
      <c r="XEY801" s="111"/>
      <c r="XEZ801" s="111"/>
      <c r="XFA801" s="111"/>
      <c r="XFB801" s="111"/>
      <c r="XFC801" s="111"/>
    </row>
    <row r="802" spans="1:1638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row>
    <row r="803" spans="1:16383">
      <c r="A803" s="3"/>
      <c r="B803" s="2" t="s">
        <v>224</v>
      </c>
      <c r="C803" s="2"/>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row>
    <row r="804" spans="1:16383">
      <c r="A804" s="3"/>
      <c r="B804" s="3" t="s">
        <v>228</v>
      </c>
      <c r="C804" s="3"/>
      <c r="D804" s="112"/>
      <c r="E804" s="113">
        <f t="shared" ref="E804:AJ804" si="0">1+E13</f>
        <v>1.0908300738809213</v>
      </c>
      <c r="F804" s="113">
        <f t="shared" si="0"/>
        <v>1.0362549800796814</v>
      </c>
      <c r="G804" s="113">
        <f t="shared" si="0"/>
        <v>1.0353710111495578</v>
      </c>
      <c r="H804" s="113">
        <f t="shared" si="0"/>
        <v>1.0631266245822504</v>
      </c>
      <c r="I804" s="113">
        <f t="shared" si="0"/>
        <v>1.0911631156129933</v>
      </c>
      <c r="J804" s="113">
        <f t="shared" si="0"/>
        <v>1.0963508322663253</v>
      </c>
      <c r="K804" s="113">
        <f t="shared" si="0"/>
        <v>1</v>
      </c>
      <c r="L804" s="113">
        <f t="shared" si="0"/>
        <v>1</v>
      </c>
      <c r="M804" s="113">
        <f t="shared" si="0"/>
        <v>1.04</v>
      </c>
      <c r="N804" s="113">
        <f t="shared" si="0"/>
        <v>1.0190903986524424</v>
      </c>
      <c r="O804" s="113">
        <f t="shared" si="0"/>
        <v>1.0190082644628098</v>
      </c>
      <c r="P804" s="113">
        <f t="shared" si="0"/>
        <v>1.064882400648824</v>
      </c>
      <c r="Q804" s="113">
        <f t="shared" si="0"/>
        <v>1.0172632647880173</v>
      </c>
      <c r="R804" s="113">
        <f t="shared" si="0"/>
        <v>1.0084851509857751</v>
      </c>
      <c r="S804" s="113">
        <f t="shared" si="0"/>
        <v>1.0254887404107893</v>
      </c>
      <c r="T804" s="113">
        <f t="shared" si="0"/>
        <v>1.0166505791505793</v>
      </c>
      <c r="U804" s="113">
        <f t="shared" si="0"/>
        <v>1.0192262046047946</v>
      </c>
      <c r="V804" s="113">
        <f t="shared" si="0"/>
        <v>1.0381928272007452</v>
      </c>
      <c r="W804" s="113">
        <f t="shared" si="0"/>
        <v>1.0189999999999999</v>
      </c>
      <c r="X804" s="113">
        <f t="shared" si="0"/>
        <v>1.0840000000000001</v>
      </c>
      <c r="Y804" s="113">
        <f t="shared" si="0"/>
        <v>1.0429999999999999</v>
      </c>
      <c r="Z804" s="113">
        <f t="shared" si="0"/>
        <v>1.0580000000000001</v>
      </c>
      <c r="AA804" s="113">
        <f t="shared" si="0"/>
        <v>1.0389999999999999</v>
      </c>
      <c r="AB804" s="113">
        <f t="shared" si="0"/>
        <v>1.0329999999999999</v>
      </c>
      <c r="AC804" s="113">
        <f t="shared" si="0"/>
        <v>1.069</v>
      </c>
      <c r="AD804" s="113">
        <f t="shared" si="0"/>
        <v>1.054</v>
      </c>
      <c r="AE804" s="113">
        <f t="shared" si="0"/>
        <v>1.0760000000000001</v>
      </c>
      <c r="AF804" s="113">
        <f t="shared" si="0"/>
        <v>1.0740000000000001</v>
      </c>
      <c r="AG804" s="113">
        <f t="shared" si="0"/>
        <v>1.081</v>
      </c>
      <c r="AH804" s="113">
        <f t="shared" si="0"/>
        <v>1.0980000000000001</v>
      </c>
      <c r="AI804" s="113">
        <f t="shared" si="0"/>
        <v>1.107</v>
      </c>
      <c r="AJ804" s="113">
        <f t="shared" si="0"/>
        <v>1.083</v>
      </c>
      <c r="AK804" s="113">
        <f t="shared" ref="AK804:BP804" si="1">1+AK13</f>
        <v>1.0680000000000001</v>
      </c>
      <c r="AL804" s="113">
        <f t="shared" si="1"/>
        <v>1.042</v>
      </c>
      <c r="AM804" s="113">
        <f t="shared" si="1"/>
        <v>1.038</v>
      </c>
      <c r="AN804" s="113">
        <f t="shared" si="1"/>
        <v>1.071</v>
      </c>
      <c r="AO804" s="113">
        <f t="shared" si="1"/>
        <v>1.0640000000000001</v>
      </c>
      <c r="AP804" s="113">
        <f t="shared" si="1"/>
        <v>1.0589999999999999</v>
      </c>
      <c r="AQ804" s="113">
        <f t="shared" si="1"/>
        <v>1.026</v>
      </c>
      <c r="AR804" s="113">
        <f t="shared" si="1"/>
        <v>1.028</v>
      </c>
      <c r="AS804" s="113">
        <f t="shared" si="1"/>
        <v>1.0229999999999999</v>
      </c>
      <c r="AT804" s="113">
        <f t="shared" si="1"/>
        <v>0.995</v>
      </c>
      <c r="AU804" s="113">
        <f t="shared" si="1"/>
        <v>1.002</v>
      </c>
      <c r="AV804" s="113">
        <f t="shared" si="1"/>
        <v>1.0089999999999999</v>
      </c>
      <c r="AW804" s="113">
        <f t="shared" si="1"/>
        <v>1.0109999999999999</v>
      </c>
      <c r="AX804" s="113">
        <f t="shared" si="1"/>
        <v>1.024</v>
      </c>
      <c r="AY804" s="113">
        <f t="shared" si="1"/>
        <v>1.046</v>
      </c>
      <c r="AZ804" s="113">
        <f t="shared" si="1"/>
        <v>1.0349999999999999</v>
      </c>
      <c r="BA804" s="113">
        <f t="shared" si="1"/>
        <v>1.02</v>
      </c>
      <c r="BB804" s="113">
        <f t="shared" si="1"/>
        <v>1.026</v>
      </c>
      <c r="BC804" s="113">
        <f t="shared" si="1"/>
        <v>1.0149999999999999</v>
      </c>
      <c r="BD804" s="113">
        <f t="shared" si="1"/>
        <v>1.0189999999999999</v>
      </c>
      <c r="BE804" s="113">
        <f t="shared" si="1"/>
        <v>1.026</v>
      </c>
      <c r="BF804" s="113">
        <f t="shared" si="1"/>
        <v>1.0169999999999999</v>
      </c>
      <c r="BG804" s="113">
        <f t="shared" si="1"/>
        <v>1.026</v>
      </c>
      <c r="BH804" s="113">
        <f t="shared" si="1"/>
        <v>1.0249999999999999</v>
      </c>
      <c r="BI804" s="113">
        <f t="shared" si="1"/>
        <v>1.0469999999999999</v>
      </c>
      <c r="BJ804" s="113">
        <f t="shared" si="1"/>
        <v>1.0329999999999999</v>
      </c>
      <c r="BK804" s="113">
        <f t="shared" si="1"/>
        <v>1.0209999999999999</v>
      </c>
      <c r="BL804" s="113">
        <f t="shared" si="1"/>
        <v>1.0109999999999999</v>
      </c>
      <c r="BM804" s="113">
        <f t="shared" si="1"/>
        <v>1.018</v>
      </c>
      <c r="BN804" s="113">
        <f t="shared" si="1"/>
        <v>1.014</v>
      </c>
      <c r="BO804" s="113">
        <f t="shared" si="1"/>
        <v>1.0109999999999999</v>
      </c>
      <c r="BP804" s="113">
        <f t="shared" si="1"/>
        <v>1.032</v>
      </c>
      <c r="BQ804" s="113">
        <f t="shared" ref="BQ804:CG804" si="2">1+BQ13</f>
        <v>1.0029999999999999</v>
      </c>
      <c r="BR804" s="113">
        <f t="shared" si="2"/>
        <v>1.0149999999999999</v>
      </c>
      <c r="BS804" s="113">
        <f t="shared" si="2"/>
        <v>1.026</v>
      </c>
      <c r="BT804" s="113">
        <f t="shared" si="2"/>
        <v>1.0229999999999999</v>
      </c>
      <c r="BU804" s="113">
        <f t="shared" si="2"/>
        <v>1.028</v>
      </c>
      <c r="BV804" s="113">
        <f t="shared" si="2"/>
        <v>1.01</v>
      </c>
      <c r="BW804" s="113">
        <f t="shared" si="2"/>
        <v>1.008</v>
      </c>
      <c r="BX804" s="113">
        <f t="shared" si="2"/>
        <v>1.002</v>
      </c>
      <c r="BY804" s="113">
        <f t="shared" si="2"/>
        <v>1.014</v>
      </c>
      <c r="BZ804" s="113">
        <f t="shared" si="2"/>
        <v>1.012</v>
      </c>
      <c r="CA804" s="113">
        <f t="shared" si="2"/>
        <v>1.026</v>
      </c>
      <c r="CB804" s="113">
        <f t="shared" si="2"/>
        <v>1.016</v>
      </c>
      <c r="CC804" s="113">
        <f t="shared" si="2"/>
        <v>1.018</v>
      </c>
      <c r="CD804" s="113">
        <f t="shared" si="2"/>
        <v>1.0620000000000001</v>
      </c>
      <c r="CE804" s="113">
        <f t="shared" si="2"/>
        <v>1.08</v>
      </c>
      <c r="CF804" s="113">
        <f t="shared" si="2"/>
        <v>1.028</v>
      </c>
      <c r="CG804" s="113">
        <f t="shared" si="2"/>
        <v>1.038</v>
      </c>
    </row>
    <row r="805" spans="1:1638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row>
    <row r="806" spans="1:16383">
      <c r="A806" s="3"/>
      <c r="B806" s="2" t="s">
        <v>971</v>
      </c>
      <c r="C806" s="2"/>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row>
    <row r="807" spans="1:16383">
      <c r="A807" s="3"/>
      <c r="B807" s="114">
        <v>1946</v>
      </c>
      <c r="C807" s="114"/>
      <c r="D807" s="3"/>
      <c r="E807" s="115">
        <v>1</v>
      </c>
      <c r="F807" s="116">
        <f>E807*F$804</f>
        <v>1.0362549800796814</v>
      </c>
      <c r="G807" s="116">
        <f>F807*G$804</f>
        <v>1.0729083665338646</v>
      </c>
      <c r="H807" s="116">
        <f t="shared" ref="H807:W822" si="3">G807*H$804</f>
        <v>1.1406374501992034</v>
      </c>
      <c r="I807" s="116">
        <f t="shared" si="3"/>
        <v>1.2446215139442232</v>
      </c>
      <c r="J807" s="116">
        <f t="shared" si="3"/>
        <v>1.3645418326693228</v>
      </c>
      <c r="K807" s="116">
        <f t="shared" si="3"/>
        <v>1.3645418326693228</v>
      </c>
      <c r="L807" s="116">
        <f t="shared" si="3"/>
        <v>1.3645418326693228</v>
      </c>
      <c r="M807" s="116">
        <f t="shared" si="3"/>
        <v>1.4191235059760958</v>
      </c>
      <c r="N807" s="116">
        <f t="shared" si="3"/>
        <v>1.4462151394422313</v>
      </c>
      <c r="O807" s="116">
        <f t="shared" si="3"/>
        <v>1.4737051792828686</v>
      </c>
      <c r="P807" s="116">
        <f t="shared" si="3"/>
        <v>1.5693227091633466</v>
      </c>
      <c r="Q807" s="116">
        <f t="shared" si="3"/>
        <v>1.5964143426294821</v>
      </c>
      <c r="R807" s="116">
        <f t="shared" si="3"/>
        <v>1.6099601593625501</v>
      </c>
      <c r="S807" s="116">
        <f t="shared" si="3"/>
        <v>1.6509960159362551</v>
      </c>
      <c r="T807" s="116">
        <f t="shared" si="3"/>
        <v>1.6784860557768928</v>
      </c>
      <c r="U807" s="116">
        <f t="shared" si="3"/>
        <v>1.7107569721115541</v>
      </c>
      <c r="V807" s="116">
        <f t="shared" si="3"/>
        <v>1.7760956175298808</v>
      </c>
      <c r="W807" s="116">
        <f t="shared" si="3"/>
        <v>1.8098414342629483</v>
      </c>
      <c r="X807" s="116">
        <f t="shared" ref="X807:AM822" si="4">W807*X$804</f>
        <v>1.9618681147410362</v>
      </c>
      <c r="Y807" s="116">
        <f t="shared" si="4"/>
        <v>2.0462284436749005</v>
      </c>
      <c r="Z807" s="116">
        <f t="shared" si="4"/>
        <v>2.164909693408045</v>
      </c>
      <c r="AA807" s="116">
        <f t="shared" si="4"/>
        <v>2.2493411714509586</v>
      </c>
      <c r="AB807" s="116">
        <f t="shared" si="4"/>
        <v>2.3235694301088401</v>
      </c>
      <c r="AC807" s="116">
        <f t="shared" si="4"/>
        <v>2.4838957207863501</v>
      </c>
      <c r="AD807" s="116">
        <f t="shared" si="4"/>
        <v>2.6180260897088132</v>
      </c>
      <c r="AE807" s="116">
        <f t="shared" si="4"/>
        <v>2.8169960725266834</v>
      </c>
      <c r="AF807" s="116">
        <f>AE807*AF$804</f>
        <v>3.025453781893658</v>
      </c>
      <c r="AG807" s="116">
        <f t="shared" si="4"/>
        <v>3.2705155382270443</v>
      </c>
      <c r="AH807" s="116">
        <f t="shared" si="4"/>
        <v>3.5910260609732951</v>
      </c>
      <c r="AI807" s="116">
        <f t="shared" si="4"/>
        <v>3.9752658494974376</v>
      </c>
      <c r="AJ807" s="116">
        <f t="shared" si="4"/>
        <v>4.3052129150057246</v>
      </c>
      <c r="AK807" s="116">
        <f t="shared" si="4"/>
        <v>4.5979673932261145</v>
      </c>
      <c r="AL807" s="116">
        <f t="shared" si="4"/>
        <v>4.7910820237416116</v>
      </c>
      <c r="AM807" s="116">
        <f t="shared" si="4"/>
        <v>4.9731431406437929</v>
      </c>
      <c r="AN807" s="116">
        <f t="shared" ref="AN807:BC822" si="5">AM807*AN$804</f>
        <v>5.3262363036295017</v>
      </c>
      <c r="AO807" s="116">
        <f t="shared" si="5"/>
        <v>5.6671154270617903</v>
      </c>
      <c r="AP807" s="116">
        <f t="shared" si="5"/>
        <v>6.0014752372584352</v>
      </c>
      <c r="AQ807" s="116">
        <f t="shared" si="5"/>
        <v>6.1575135934271543</v>
      </c>
      <c r="AR807" s="116">
        <f t="shared" si="5"/>
        <v>6.3299239740431146</v>
      </c>
      <c r="AS807" s="116">
        <f t="shared" si="5"/>
        <v>6.4755122254461055</v>
      </c>
      <c r="AT807" s="116">
        <f t="shared" si="5"/>
        <v>6.4431346643188752</v>
      </c>
      <c r="AU807" s="116">
        <f t="shared" si="5"/>
        <v>6.4560209336475127</v>
      </c>
      <c r="AV807" s="116">
        <f t="shared" si="5"/>
        <v>6.5141251220503396</v>
      </c>
      <c r="AW807" s="116">
        <f t="shared" si="5"/>
        <v>6.5857804983928929</v>
      </c>
      <c r="AX807" s="116">
        <f t="shared" si="5"/>
        <v>6.7438392303543226</v>
      </c>
      <c r="AY807" s="116">
        <f t="shared" si="5"/>
        <v>7.0540558349506215</v>
      </c>
      <c r="AZ807" s="116">
        <f t="shared" si="5"/>
        <v>7.3009477891738923</v>
      </c>
      <c r="BA807" s="116">
        <f t="shared" si="5"/>
        <v>7.4469667449573702</v>
      </c>
      <c r="BB807" s="116">
        <f t="shared" si="5"/>
        <v>7.6405878803262617</v>
      </c>
      <c r="BC807" s="116">
        <f t="shared" si="5"/>
        <v>7.7551966985311545</v>
      </c>
      <c r="BD807" s="116">
        <f t="shared" ref="BD807:BS822" si="6">BC807*BD$804</f>
        <v>7.9025454358032459</v>
      </c>
      <c r="BE807" s="116">
        <f t="shared" si="6"/>
        <v>8.1080116171341299</v>
      </c>
      <c r="BF807" s="116">
        <f t="shared" si="6"/>
        <v>8.2458478146254102</v>
      </c>
      <c r="BG807" s="116">
        <f t="shared" si="6"/>
        <v>8.4602398578056714</v>
      </c>
      <c r="BH807" s="116">
        <f t="shared" si="6"/>
        <v>8.6717458542508119</v>
      </c>
      <c r="BI807" s="116">
        <f t="shared" si="6"/>
        <v>9.0793179094005989</v>
      </c>
      <c r="BJ807" s="116">
        <f t="shared" si="6"/>
        <v>9.3789354004108176</v>
      </c>
      <c r="BK807" s="116">
        <f t="shared" si="6"/>
        <v>9.5758930438194447</v>
      </c>
      <c r="BL807" s="116">
        <f t="shared" si="6"/>
        <v>9.6812278673014571</v>
      </c>
      <c r="BM807" s="116">
        <f t="shared" si="6"/>
        <v>9.8554899689128828</v>
      </c>
      <c r="BN807" s="116">
        <f t="shared" si="6"/>
        <v>9.9934668284776631</v>
      </c>
      <c r="BO807" s="116">
        <f t="shared" si="6"/>
        <v>10.103394963590917</v>
      </c>
      <c r="BP807" s="116">
        <f t="shared" si="6"/>
        <v>10.426703602425826</v>
      </c>
      <c r="BQ807" s="116">
        <f t="shared" si="6"/>
        <v>10.457983713233103</v>
      </c>
      <c r="BR807" s="116">
        <f t="shared" si="6"/>
        <v>10.614853468931599</v>
      </c>
      <c r="BS807" s="116">
        <f t="shared" si="6"/>
        <v>10.890839659123822</v>
      </c>
      <c r="BT807" s="116">
        <f t="shared" ref="BT807:CG822" si="7">BS807*BT$804</f>
        <v>11.141328971283668</v>
      </c>
      <c r="BU807" s="116">
        <f t="shared" si="7"/>
        <v>11.45328618247961</v>
      </c>
      <c r="BV807" s="116">
        <f t="shared" si="7"/>
        <v>11.567819044304407</v>
      </c>
      <c r="BW807" s="116">
        <f t="shared" si="7"/>
        <v>11.660361596658843</v>
      </c>
      <c r="BX807" s="116">
        <f t="shared" si="7"/>
        <v>11.683682319852162</v>
      </c>
      <c r="BY807" s="116">
        <f t="shared" si="7"/>
        <v>11.847253872330093</v>
      </c>
      <c r="BZ807" s="116">
        <f t="shared" si="7"/>
        <v>11.989420918798054</v>
      </c>
      <c r="CA807" s="116">
        <f t="shared" si="7"/>
        <v>12.301145862686804</v>
      </c>
      <c r="CB807" s="116">
        <f t="shared" si="7"/>
        <v>12.497964196489793</v>
      </c>
      <c r="CC807" s="116">
        <f t="shared" si="7"/>
        <v>12.72292755202661</v>
      </c>
      <c r="CD807" s="116">
        <f t="shared" si="7"/>
        <v>13.51174906025226</v>
      </c>
      <c r="CE807" s="116">
        <f t="shared" si="7"/>
        <v>14.592688985072442</v>
      </c>
      <c r="CF807" s="116">
        <f t="shared" si="7"/>
        <v>15.00128427665447</v>
      </c>
      <c r="CG807" s="116">
        <f t="shared" si="7"/>
        <v>15.57133307916734</v>
      </c>
    </row>
    <row r="808" spans="1:16383">
      <c r="A808" s="3"/>
      <c r="B808" s="114">
        <v>1947</v>
      </c>
      <c r="C808" s="114"/>
      <c r="D808" s="3"/>
      <c r="E808" s="117"/>
      <c r="F808" s="115">
        <v>1</v>
      </c>
      <c r="G808" s="116">
        <f>F808*G$804</f>
        <v>1.0353710111495578</v>
      </c>
      <c r="H808" s="116">
        <f t="shared" si="3"/>
        <v>1.1007304882737408</v>
      </c>
      <c r="I808" s="116">
        <f t="shared" si="3"/>
        <v>1.2010765090349864</v>
      </c>
      <c r="J808" s="116">
        <f t="shared" si="3"/>
        <v>1.3168012302960399</v>
      </c>
      <c r="K808" s="116">
        <f t="shared" si="3"/>
        <v>1.3168012302960399</v>
      </c>
      <c r="L808" s="116">
        <f t="shared" si="3"/>
        <v>1.3168012302960399</v>
      </c>
      <c r="M808" s="116">
        <f t="shared" si="3"/>
        <v>1.3694732795078814</v>
      </c>
      <c r="N808" s="116">
        <f t="shared" si="3"/>
        <v>1.3956170703575546</v>
      </c>
      <c r="O808" s="116">
        <f t="shared" si="3"/>
        <v>1.4221453287197228</v>
      </c>
      <c r="P808" s="116">
        <f t="shared" si="3"/>
        <v>1.5144175317185693</v>
      </c>
      <c r="Q808" s="116">
        <f t="shared" si="3"/>
        <v>1.5405613225682426</v>
      </c>
      <c r="R808" s="116">
        <f t="shared" si="3"/>
        <v>1.5536332179930794</v>
      </c>
      <c r="S808" s="116">
        <f t="shared" si="3"/>
        <v>1.5932333717800842</v>
      </c>
      <c r="T808" s="116">
        <f t="shared" si="3"/>
        <v>1.6197616301422528</v>
      </c>
      <c r="U808" s="116">
        <f t="shared" si="3"/>
        <v>1.6509034986543634</v>
      </c>
      <c r="V808" s="116">
        <f t="shared" si="3"/>
        <v>1.7139561707035753</v>
      </c>
      <c r="W808" s="116">
        <f t="shared" si="3"/>
        <v>1.7465213379469431</v>
      </c>
      <c r="X808" s="116">
        <f t="shared" si="4"/>
        <v>1.8932291303344864</v>
      </c>
      <c r="Y808" s="116">
        <f t="shared" si="4"/>
        <v>1.9746379829388692</v>
      </c>
      <c r="Z808" s="116">
        <f t="shared" si="4"/>
        <v>2.0891669859493236</v>
      </c>
      <c r="AA808" s="116">
        <f t="shared" si="4"/>
        <v>2.1706444984013471</v>
      </c>
      <c r="AB808" s="116">
        <f t="shared" si="4"/>
        <v>2.2422757668485915</v>
      </c>
      <c r="AC808" s="116">
        <f t="shared" si="4"/>
        <v>2.396992794761144</v>
      </c>
      <c r="AD808" s="116">
        <f t="shared" si="4"/>
        <v>2.5264304056782461</v>
      </c>
      <c r="AE808" s="116">
        <f t="shared" si="4"/>
        <v>2.718439116509793</v>
      </c>
      <c r="AF808" s="116">
        <f t="shared" si="4"/>
        <v>2.9196036111315178</v>
      </c>
      <c r="AG808" s="116">
        <f t="shared" si="4"/>
        <v>3.1560915036331707</v>
      </c>
      <c r="AH808" s="116">
        <f t="shared" si="4"/>
        <v>3.4653884709892218</v>
      </c>
      <c r="AI808" s="116">
        <f t="shared" si="4"/>
        <v>3.8361850373850683</v>
      </c>
      <c r="AJ808" s="116">
        <f t="shared" si="4"/>
        <v>4.1545883954880285</v>
      </c>
      <c r="AK808" s="116">
        <f t="shared" si="4"/>
        <v>4.4371004063812149</v>
      </c>
      <c r="AL808" s="116">
        <f t="shared" si="4"/>
        <v>4.6234586234492259</v>
      </c>
      <c r="AM808" s="116">
        <f t="shared" si="4"/>
        <v>4.7991500511402965</v>
      </c>
      <c r="AN808" s="116">
        <f t="shared" si="5"/>
        <v>5.1398897047712575</v>
      </c>
      <c r="AO808" s="116">
        <f t="shared" si="5"/>
        <v>5.4688426458766184</v>
      </c>
      <c r="AP808" s="116">
        <f t="shared" si="5"/>
        <v>5.7915043619833382</v>
      </c>
      <c r="AQ808" s="116">
        <f t="shared" si="5"/>
        <v>5.942083475394905</v>
      </c>
      <c r="AR808" s="116">
        <f t="shared" si="5"/>
        <v>6.1084618127059622</v>
      </c>
      <c r="AS808" s="116">
        <f t="shared" si="5"/>
        <v>6.2489564343981989</v>
      </c>
      <c r="AT808" s="116">
        <f t="shared" si="5"/>
        <v>6.2177116522262077</v>
      </c>
      <c r="AU808" s="116">
        <f t="shared" si="5"/>
        <v>6.2301470755306605</v>
      </c>
      <c r="AV808" s="116">
        <f t="shared" si="5"/>
        <v>6.2862183992104361</v>
      </c>
      <c r="AW808" s="116">
        <f t="shared" si="5"/>
        <v>6.3553668016017504</v>
      </c>
      <c r="AX808" s="116">
        <f t="shared" si="5"/>
        <v>6.5078956048401926</v>
      </c>
      <c r="AY808" s="116">
        <f t="shared" si="5"/>
        <v>6.807258802662842</v>
      </c>
      <c r="AZ808" s="116">
        <f t="shared" si="5"/>
        <v>7.0455128607560411</v>
      </c>
      <c r="BA808" s="116">
        <f t="shared" si="5"/>
        <v>7.1864231179711622</v>
      </c>
      <c r="BB808" s="116">
        <f t="shared" si="5"/>
        <v>7.3732701190384127</v>
      </c>
      <c r="BC808" s="116">
        <f t="shared" si="5"/>
        <v>7.4838691708239882</v>
      </c>
      <c r="BD808" s="116">
        <f t="shared" si="6"/>
        <v>7.6260626850696429</v>
      </c>
      <c r="BE808" s="116">
        <f t="shared" si="6"/>
        <v>7.8243403148814537</v>
      </c>
      <c r="BF808" s="116">
        <f t="shared" si="6"/>
        <v>7.9573541002344372</v>
      </c>
      <c r="BG808" s="116">
        <f t="shared" si="6"/>
        <v>8.1642453068405327</v>
      </c>
      <c r="BH808" s="116">
        <f t="shared" si="6"/>
        <v>8.3683514395115459</v>
      </c>
      <c r="BI808" s="116">
        <f t="shared" si="6"/>
        <v>8.7616639571685884</v>
      </c>
      <c r="BJ808" s="116">
        <f t="shared" si="6"/>
        <v>9.0507988677551516</v>
      </c>
      <c r="BK808" s="116">
        <f t="shared" si="6"/>
        <v>9.2408656439780081</v>
      </c>
      <c r="BL808" s="116">
        <f t="shared" si="6"/>
        <v>9.3425151660617658</v>
      </c>
      <c r="BM808" s="116">
        <f t="shared" si="6"/>
        <v>9.5106804390508781</v>
      </c>
      <c r="BN808" s="116">
        <f t="shared" si="6"/>
        <v>9.6438299651975914</v>
      </c>
      <c r="BO808" s="116">
        <f t="shared" si="6"/>
        <v>9.7499120948147642</v>
      </c>
      <c r="BP808" s="116">
        <f t="shared" si="6"/>
        <v>10.061909281848838</v>
      </c>
      <c r="BQ808" s="116">
        <f t="shared" si="6"/>
        <v>10.092095009694383</v>
      </c>
      <c r="BR808" s="116">
        <f t="shared" si="6"/>
        <v>10.243476434839797</v>
      </c>
      <c r="BS808" s="116">
        <f t="shared" si="6"/>
        <v>10.509806822145633</v>
      </c>
      <c r="BT808" s="116">
        <f t="shared" si="7"/>
        <v>10.75153237905498</v>
      </c>
      <c r="BU808" s="116">
        <f t="shared" si="7"/>
        <v>11.052575285668521</v>
      </c>
      <c r="BV808" s="116">
        <f t="shared" si="7"/>
        <v>11.163101038525205</v>
      </c>
      <c r="BW808" s="116">
        <f t="shared" si="7"/>
        <v>11.252405846833406</v>
      </c>
      <c r="BX808" s="116">
        <f t="shared" si="7"/>
        <v>11.274910658527073</v>
      </c>
      <c r="BY808" s="116">
        <f t="shared" si="7"/>
        <v>11.432759407746452</v>
      </c>
      <c r="BZ808" s="116">
        <f t="shared" si="7"/>
        <v>11.56995252063941</v>
      </c>
      <c r="CA808" s="116">
        <f t="shared" si="7"/>
        <v>11.870771286176035</v>
      </c>
      <c r="CB808" s="116">
        <f t="shared" si="7"/>
        <v>12.060703626754853</v>
      </c>
      <c r="CC808" s="116">
        <f t="shared" si="7"/>
        <v>12.27779629203644</v>
      </c>
      <c r="CD808" s="116">
        <f t="shared" si="7"/>
        <v>13.039019662142699</v>
      </c>
      <c r="CE808" s="116">
        <f t="shared" si="7"/>
        <v>14.082141235114117</v>
      </c>
      <c r="CF808" s="116">
        <f t="shared" si="7"/>
        <v>14.476441189697312</v>
      </c>
      <c r="CG808" s="116">
        <f t="shared" si="7"/>
        <v>15.02654595490581</v>
      </c>
    </row>
    <row r="809" spans="1:16383">
      <c r="A809" s="3"/>
      <c r="B809" s="114">
        <v>1948</v>
      </c>
      <c r="C809" s="114"/>
      <c r="D809" s="3"/>
      <c r="E809" s="117"/>
      <c r="F809" s="117"/>
      <c r="G809" s="115">
        <v>1</v>
      </c>
      <c r="H809" s="116">
        <f t="shared" si="3"/>
        <v>1.0631266245822504</v>
      </c>
      <c r="I809" s="116">
        <f t="shared" si="3"/>
        <v>1.1600445599702933</v>
      </c>
      <c r="J809" s="116">
        <f t="shared" si="3"/>
        <v>1.2718158187894542</v>
      </c>
      <c r="K809" s="116">
        <f t="shared" si="3"/>
        <v>1.2718158187894542</v>
      </c>
      <c r="L809" s="116">
        <f t="shared" si="3"/>
        <v>1.2718158187894542</v>
      </c>
      <c r="M809" s="116">
        <f t="shared" si="3"/>
        <v>1.3226884515410324</v>
      </c>
      <c r="N809" s="116">
        <f t="shared" si="3"/>
        <v>1.3479391013739326</v>
      </c>
      <c r="O809" s="116">
        <f t="shared" si="3"/>
        <v>1.3735610842926105</v>
      </c>
      <c r="P809" s="116">
        <f t="shared" si="3"/>
        <v>1.4626810248793167</v>
      </c>
      <c r="Q809" s="116">
        <f t="shared" si="3"/>
        <v>1.4879316747122169</v>
      </c>
      <c r="R809" s="116">
        <f t="shared" si="3"/>
        <v>1.5005569996286672</v>
      </c>
      <c r="S809" s="116">
        <f t="shared" si="3"/>
        <v>1.5388043074637952</v>
      </c>
      <c r="T809" s="116">
        <f t="shared" si="3"/>
        <v>1.5644262903824735</v>
      </c>
      <c r="U809" s="116">
        <f t="shared" si="3"/>
        <v>1.5945042703304868</v>
      </c>
      <c r="V809" s="116">
        <f t="shared" si="3"/>
        <v>1.6554028963980694</v>
      </c>
      <c r="W809" s="116">
        <f t="shared" si="3"/>
        <v>1.6868555514296326</v>
      </c>
      <c r="X809" s="116">
        <f t="shared" si="4"/>
        <v>1.828551417749722</v>
      </c>
      <c r="Y809" s="116">
        <f t="shared" si="4"/>
        <v>1.9071791287129598</v>
      </c>
      <c r="Z809" s="116">
        <f t="shared" si="4"/>
        <v>2.0177955181783114</v>
      </c>
      <c r="AA809" s="116">
        <f t="shared" si="4"/>
        <v>2.0964895433872655</v>
      </c>
      <c r="AB809" s="116">
        <f t="shared" si="4"/>
        <v>2.1656736983190452</v>
      </c>
      <c r="AC809" s="116">
        <f t="shared" si="4"/>
        <v>2.3151051835030594</v>
      </c>
      <c r="AD809" s="116">
        <f t="shared" si="4"/>
        <v>2.4401208634122247</v>
      </c>
      <c r="AE809" s="116">
        <f t="shared" si="4"/>
        <v>2.6255700490315541</v>
      </c>
      <c r="AF809" s="116">
        <f t="shared" si="4"/>
        <v>2.8198622326598892</v>
      </c>
      <c r="AG809" s="116">
        <f t="shared" si="4"/>
        <v>3.0482710735053402</v>
      </c>
      <c r="AH809" s="116">
        <f t="shared" si="4"/>
        <v>3.3470016387088637</v>
      </c>
      <c r="AI809" s="116">
        <f t="shared" si="4"/>
        <v>3.7051308140507122</v>
      </c>
      <c r="AJ809" s="116">
        <f t="shared" si="4"/>
        <v>4.012656671616921</v>
      </c>
      <c r="AK809" s="116">
        <f t="shared" si="4"/>
        <v>4.2855173252868717</v>
      </c>
      <c r="AL809" s="116">
        <f t="shared" si="4"/>
        <v>4.4655090529489208</v>
      </c>
      <c r="AM809" s="116">
        <f t="shared" si="4"/>
        <v>4.6351983969609796</v>
      </c>
      <c r="AN809" s="116">
        <f t="shared" si="5"/>
        <v>4.9642974831452085</v>
      </c>
      <c r="AO809" s="116">
        <f t="shared" si="5"/>
        <v>5.282012522066502</v>
      </c>
      <c r="AP809" s="116">
        <f t="shared" si="5"/>
        <v>5.593651260868425</v>
      </c>
      <c r="AQ809" s="116">
        <f t="shared" si="5"/>
        <v>5.739086193651004</v>
      </c>
      <c r="AR809" s="116">
        <f t="shared" si="5"/>
        <v>5.8997806070732324</v>
      </c>
      <c r="AS809" s="116">
        <f t="shared" si="5"/>
        <v>6.0354755610359163</v>
      </c>
      <c r="AT809" s="116">
        <f t="shared" si="5"/>
        <v>6.0052981832307371</v>
      </c>
      <c r="AU809" s="116">
        <f t="shared" si="5"/>
        <v>6.0173087795971982</v>
      </c>
      <c r="AV809" s="116">
        <f t="shared" si="5"/>
        <v>6.071464558613572</v>
      </c>
      <c r="AW809" s="116">
        <f t="shared" si="5"/>
        <v>6.1382506687583209</v>
      </c>
      <c r="AX809" s="116">
        <f t="shared" si="5"/>
        <v>6.2855686848085206</v>
      </c>
      <c r="AY809" s="116">
        <f t="shared" si="5"/>
        <v>6.5747048443097125</v>
      </c>
      <c r="AZ809" s="116">
        <f t="shared" si="5"/>
        <v>6.8048195138605516</v>
      </c>
      <c r="BA809" s="116">
        <f t="shared" si="5"/>
        <v>6.9409159041377624</v>
      </c>
      <c r="BB809" s="116">
        <f t="shared" si="5"/>
        <v>7.1213797176453442</v>
      </c>
      <c r="BC809" s="116">
        <f t="shared" si="5"/>
        <v>7.2282004134100237</v>
      </c>
      <c r="BD809" s="116">
        <f t="shared" si="6"/>
        <v>7.3655362212648132</v>
      </c>
      <c r="BE809" s="116">
        <f t="shared" si="6"/>
        <v>7.5570401630176987</v>
      </c>
      <c r="BF809" s="116">
        <f t="shared" si="6"/>
        <v>7.6855098457889985</v>
      </c>
      <c r="BG809" s="116">
        <f t="shared" si="6"/>
        <v>7.885333101779513</v>
      </c>
      <c r="BH809" s="116">
        <f t="shared" si="6"/>
        <v>8.0824664293240005</v>
      </c>
      <c r="BI809" s="116">
        <f t="shared" si="6"/>
        <v>8.4623423515022278</v>
      </c>
      <c r="BJ809" s="116">
        <f t="shared" si="6"/>
        <v>8.7415996491018007</v>
      </c>
      <c r="BK809" s="116">
        <f t="shared" si="6"/>
        <v>8.9251732417329368</v>
      </c>
      <c r="BL809" s="116">
        <f t="shared" si="6"/>
        <v>9.0233501473919979</v>
      </c>
      <c r="BM809" s="116">
        <f t="shared" si="6"/>
        <v>9.1857704500450534</v>
      </c>
      <c r="BN809" s="116">
        <f t="shared" si="6"/>
        <v>9.3143712363456839</v>
      </c>
      <c r="BO809" s="116">
        <f t="shared" si="6"/>
        <v>9.4168293199454851</v>
      </c>
      <c r="BP809" s="116">
        <f t="shared" si="6"/>
        <v>9.7181678581837403</v>
      </c>
      <c r="BQ809" s="116">
        <f t="shared" si="6"/>
        <v>9.7473223617582896</v>
      </c>
      <c r="BR809" s="116">
        <f t="shared" si="6"/>
        <v>9.8935321971846637</v>
      </c>
      <c r="BS809" s="116">
        <f t="shared" si="6"/>
        <v>10.150764034311464</v>
      </c>
      <c r="BT809" s="116">
        <f t="shared" si="7"/>
        <v>10.384231607100627</v>
      </c>
      <c r="BU809" s="116">
        <f t="shared" si="7"/>
        <v>10.674990092099446</v>
      </c>
      <c r="BV809" s="116">
        <f t="shared" si="7"/>
        <v>10.781739993020441</v>
      </c>
      <c r="BW809" s="116">
        <f t="shared" si="7"/>
        <v>10.867993912964604</v>
      </c>
      <c r="BX809" s="116">
        <f t="shared" si="7"/>
        <v>10.889729900790533</v>
      </c>
      <c r="BY809" s="116">
        <f t="shared" si="7"/>
        <v>11.042186119401601</v>
      </c>
      <c r="BZ809" s="116">
        <f t="shared" si="7"/>
        <v>11.17469235283442</v>
      </c>
      <c r="CA809" s="116">
        <f t="shared" si="7"/>
        <v>11.465234354008114</v>
      </c>
      <c r="CB809" s="116">
        <f t="shared" si="7"/>
        <v>11.648678103672244</v>
      </c>
      <c r="CC809" s="116">
        <f t="shared" si="7"/>
        <v>11.858354309538345</v>
      </c>
      <c r="CD809" s="116">
        <f t="shared" si="7"/>
        <v>12.593572276729724</v>
      </c>
      <c r="CE809" s="116">
        <f t="shared" si="7"/>
        <v>13.601058058868102</v>
      </c>
      <c r="CF809" s="116">
        <f t="shared" si="7"/>
        <v>13.981887684516408</v>
      </c>
      <c r="CG809" s="116">
        <f t="shared" si="7"/>
        <v>14.513199416528032</v>
      </c>
    </row>
    <row r="810" spans="1:16383">
      <c r="A810" s="3"/>
      <c r="B810" s="114">
        <v>1949</v>
      </c>
      <c r="C810" s="114"/>
      <c r="D810" s="3"/>
      <c r="E810" s="117"/>
      <c r="F810" s="117"/>
      <c r="G810" s="117"/>
      <c r="H810" s="115">
        <v>1</v>
      </c>
      <c r="I810" s="116">
        <f t="shared" si="3"/>
        <v>1.0911631156129933</v>
      </c>
      <c r="J810" s="116">
        <f t="shared" si="3"/>
        <v>1.1962975899406219</v>
      </c>
      <c r="K810" s="116">
        <f t="shared" si="3"/>
        <v>1.1962975899406219</v>
      </c>
      <c r="L810" s="116">
        <f t="shared" si="3"/>
        <v>1.1962975899406219</v>
      </c>
      <c r="M810" s="116">
        <f t="shared" si="3"/>
        <v>1.2441494935382467</v>
      </c>
      <c r="N810" s="116">
        <f t="shared" si="3"/>
        <v>1.267900803353126</v>
      </c>
      <c r="O810" s="116">
        <f t="shared" si="3"/>
        <v>1.2920013971358713</v>
      </c>
      <c r="P810" s="116">
        <f t="shared" si="3"/>
        <v>1.3758295494236812</v>
      </c>
      <c r="Q810" s="116">
        <f t="shared" si="3"/>
        <v>1.3995808592385608</v>
      </c>
      <c r="R810" s="116">
        <f t="shared" si="3"/>
        <v>1.4114565141460007</v>
      </c>
      <c r="S810" s="116">
        <f t="shared" si="3"/>
        <v>1.4474327628361856</v>
      </c>
      <c r="T810" s="116">
        <f t="shared" si="3"/>
        <v>1.4715333566189313</v>
      </c>
      <c r="U810" s="116">
        <f t="shared" si="3"/>
        <v>1.499825358016067</v>
      </c>
      <c r="V810" s="116">
        <f t="shared" si="3"/>
        <v>1.5571079287460705</v>
      </c>
      <c r="W810" s="116">
        <f t="shared" si="3"/>
        <v>1.5866929793922457</v>
      </c>
      <c r="X810" s="116">
        <f t="shared" si="4"/>
        <v>1.7199751896611946</v>
      </c>
      <c r="Y810" s="116">
        <f t="shared" si="4"/>
        <v>1.7939341228166259</v>
      </c>
      <c r="Z810" s="116">
        <f t="shared" si="4"/>
        <v>1.8979823019399904</v>
      </c>
      <c r="AA810" s="116">
        <f t="shared" si="4"/>
        <v>1.9720036117156499</v>
      </c>
      <c r="AB810" s="116">
        <f t="shared" si="4"/>
        <v>2.0370797309022661</v>
      </c>
      <c r="AC810" s="116">
        <f t="shared" si="4"/>
        <v>2.1776382323345223</v>
      </c>
      <c r="AD810" s="116">
        <f t="shared" si="4"/>
        <v>2.2952306968805867</v>
      </c>
      <c r="AE810" s="116">
        <f t="shared" si="4"/>
        <v>2.4696682298435113</v>
      </c>
      <c r="AF810" s="116">
        <f t="shared" si="4"/>
        <v>2.6524236788519313</v>
      </c>
      <c r="AG810" s="116">
        <f t="shared" si="4"/>
        <v>2.8672699968389375</v>
      </c>
      <c r="AH810" s="116">
        <f t="shared" si="4"/>
        <v>3.1482624565291535</v>
      </c>
      <c r="AI810" s="116">
        <f t="shared" si="4"/>
        <v>3.4851265393777728</v>
      </c>
      <c r="AJ810" s="116">
        <f t="shared" si="4"/>
        <v>3.7743920421461277</v>
      </c>
      <c r="AK810" s="116">
        <f t="shared" si="4"/>
        <v>4.0310507010120649</v>
      </c>
      <c r="AL810" s="116">
        <f t="shared" si="4"/>
        <v>4.2003548304545717</v>
      </c>
      <c r="AM810" s="116">
        <f t="shared" si="4"/>
        <v>4.3599683140118453</v>
      </c>
      <c r="AN810" s="116">
        <f t="shared" si="5"/>
        <v>4.6695260643066865</v>
      </c>
      <c r="AO810" s="116">
        <f t="shared" si="5"/>
        <v>4.9683757324223148</v>
      </c>
      <c r="AP810" s="116">
        <f t="shared" si="5"/>
        <v>5.2615099006352315</v>
      </c>
      <c r="AQ810" s="116">
        <f t="shared" si="5"/>
        <v>5.3983091580517479</v>
      </c>
      <c r="AR810" s="116">
        <f t="shared" si="5"/>
        <v>5.5494618144771968</v>
      </c>
      <c r="AS810" s="116">
        <f t="shared" si="5"/>
        <v>5.6770994362101721</v>
      </c>
      <c r="AT810" s="116">
        <f t="shared" si="5"/>
        <v>5.648713939029121</v>
      </c>
      <c r="AU810" s="116">
        <f t="shared" si="5"/>
        <v>5.6600113669071792</v>
      </c>
      <c r="AV810" s="116">
        <f t="shared" si="5"/>
        <v>5.710951469209343</v>
      </c>
      <c r="AW810" s="116">
        <f t="shared" si="5"/>
        <v>5.7737719353706449</v>
      </c>
      <c r="AX810" s="116">
        <f t="shared" si="5"/>
        <v>5.9123424618195406</v>
      </c>
      <c r="AY810" s="116">
        <f t="shared" si="5"/>
        <v>6.1843102150632401</v>
      </c>
      <c r="AZ810" s="116">
        <f t="shared" si="5"/>
        <v>6.4007610725904529</v>
      </c>
      <c r="BA810" s="116">
        <f t="shared" si="5"/>
        <v>6.5287762940422622</v>
      </c>
      <c r="BB810" s="116">
        <f t="shared" si="5"/>
        <v>6.6985244776873616</v>
      </c>
      <c r="BC810" s="116">
        <f t="shared" si="5"/>
        <v>6.7990023448526715</v>
      </c>
      <c r="BD810" s="116">
        <f t="shared" si="6"/>
        <v>6.9281833894048717</v>
      </c>
      <c r="BE810" s="116">
        <f t="shared" si="6"/>
        <v>7.1083161575293987</v>
      </c>
      <c r="BF810" s="116">
        <f t="shared" si="6"/>
        <v>7.229157532207398</v>
      </c>
      <c r="BG810" s="116">
        <f t="shared" si="6"/>
        <v>7.4171156280447903</v>
      </c>
      <c r="BH810" s="116">
        <f t="shared" si="6"/>
        <v>7.6025435187459092</v>
      </c>
      <c r="BI810" s="116">
        <f t="shared" si="6"/>
        <v>7.9598630641269663</v>
      </c>
      <c r="BJ810" s="116">
        <f t="shared" si="6"/>
        <v>8.2225385452431556</v>
      </c>
      <c r="BK810" s="116">
        <f t="shared" si="6"/>
        <v>8.3952118546932617</v>
      </c>
      <c r="BL810" s="116">
        <f t="shared" si="6"/>
        <v>8.4875591850948862</v>
      </c>
      <c r="BM810" s="116">
        <f t="shared" si="6"/>
        <v>8.6403352504265936</v>
      </c>
      <c r="BN810" s="116">
        <f t="shared" si="6"/>
        <v>8.7612999439325652</v>
      </c>
      <c r="BO810" s="116">
        <f t="shared" si="6"/>
        <v>8.857674243315822</v>
      </c>
      <c r="BP810" s="116">
        <f t="shared" si="6"/>
        <v>9.1411198191019292</v>
      </c>
      <c r="BQ810" s="116">
        <f t="shared" si="6"/>
        <v>9.1685431785592346</v>
      </c>
      <c r="BR810" s="116">
        <f t="shared" si="6"/>
        <v>9.3060713262376229</v>
      </c>
      <c r="BS810" s="116">
        <f t="shared" si="6"/>
        <v>9.5480291807198014</v>
      </c>
      <c r="BT810" s="116">
        <f t="shared" si="7"/>
        <v>9.7676338518763561</v>
      </c>
      <c r="BU810" s="116">
        <f t="shared" si="7"/>
        <v>10.041127599728894</v>
      </c>
      <c r="BV810" s="116">
        <f t="shared" si="7"/>
        <v>10.141538875726182</v>
      </c>
      <c r="BW810" s="116">
        <f t="shared" si="7"/>
        <v>10.222671186731992</v>
      </c>
      <c r="BX810" s="116">
        <f t="shared" si="7"/>
        <v>10.243116529105455</v>
      </c>
      <c r="BY810" s="116">
        <f t="shared" si="7"/>
        <v>10.386520160512932</v>
      </c>
      <c r="BZ810" s="116">
        <f t="shared" si="7"/>
        <v>10.511158402439087</v>
      </c>
      <c r="CA810" s="116">
        <f t="shared" si="7"/>
        <v>10.784448520902503</v>
      </c>
      <c r="CB810" s="116">
        <f t="shared" si="7"/>
        <v>10.956999697236943</v>
      </c>
      <c r="CC810" s="116">
        <f t="shared" si="7"/>
        <v>11.154225691787209</v>
      </c>
      <c r="CD810" s="116">
        <f t="shared" si="7"/>
        <v>11.845787684678017</v>
      </c>
      <c r="CE810" s="116">
        <f t="shared" si="7"/>
        <v>12.79345069945226</v>
      </c>
      <c r="CF810" s="116">
        <f t="shared" si="7"/>
        <v>13.151667319036923</v>
      </c>
      <c r="CG810" s="116">
        <f t="shared" si="7"/>
        <v>13.651430677160326</v>
      </c>
    </row>
    <row r="811" spans="1:16383">
      <c r="A811" s="3"/>
      <c r="B811" s="114">
        <v>1950</v>
      </c>
      <c r="C811" s="114"/>
      <c r="D811" s="3"/>
      <c r="E811" s="117"/>
      <c r="F811" s="117"/>
      <c r="G811" s="117"/>
      <c r="H811" s="117"/>
      <c r="I811" s="115">
        <v>1</v>
      </c>
      <c r="J811" s="116">
        <f>I811*J$804</f>
        <v>1.0963508322663253</v>
      </c>
      <c r="K811" s="116">
        <f t="shared" si="3"/>
        <v>1.0963508322663253</v>
      </c>
      <c r="L811" s="116">
        <f t="shared" si="3"/>
        <v>1.0963508322663253</v>
      </c>
      <c r="M811" s="116">
        <f t="shared" si="3"/>
        <v>1.1402048655569783</v>
      </c>
      <c r="N811" s="116">
        <f t="shared" si="3"/>
        <v>1.1619718309859155</v>
      </c>
      <c r="O811" s="116">
        <f t="shared" si="3"/>
        <v>1.184058898847631</v>
      </c>
      <c r="P811" s="116">
        <f t="shared" si="3"/>
        <v>1.2608834827144684</v>
      </c>
      <c r="Q811" s="116">
        <f t="shared" si="3"/>
        <v>1.2826504481434058</v>
      </c>
      <c r="R811" s="116">
        <f t="shared" si="3"/>
        <v>1.2935339308578746</v>
      </c>
      <c r="S811" s="116">
        <f t="shared" si="3"/>
        <v>1.3265044814340587</v>
      </c>
      <c r="T811" s="116">
        <f t="shared" si="3"/>
        <v>1.3485915492957747</v>
      </c>
      <c r="U811" s="116">
        <f t="shared" si="3"/>
        <v>1.3745198463508324</v>
      </c>
      <c r="V811" s="116">
        <f t="shared" si="3"/>
        <v>1.4270166453265045</v>
      </c>
      <c r="W811" s="116">
        <f t="shared" si="3"/>
        <v>1.4541299615877079</v>
      </c>
      <c r="X811" s="116">
        <f t="shared" si="4"/>
        <v>1.5762768783610754</v>
      </c>
      <c r="Y811" s="116">
        <f t="shared" si="4"/>
        <v>1.6440567841306015</v>
      </c>
      <c r="Z811" s="116">
        <f t="shared" si="4"/>
        <v>1.7394120776101765</v>
      </c>
      <c r="AA811" s="116">
        <f t="shared" si="4"/>
        <v>1.8072491486369733</v>
      </c>
      <c r="AB811" s="116">
        <f t="shared" si="4"/>
        <v>1.8668883705419932</v>
      </c>
      <c r="AC811" s="116">
        <f t="shared" si="4"/>
        <v>1.9957036681093907</v>
      </c>
      <c r="AD811" s="116">
        <f t="shared" si="4"/>
        <v>2.1034716661872981</v>
      </c>
      <c r="AE811" s="116">
        <f t="shared" si="4"/>
        <v>2.263335512817533</v>
      </c>
      <c r="AF811" s="116">
        <f t="shared" si="4"/>
        <v>2.4308223407660305</v>
      </c>
      <c r="AG811" s="116">
        <f t="shared" si="4"/>
        <v>2.6277189503680791</v>
      </c>
      <c r="AH811" s="116">
        <f t="shared" si="4"/>
        <v>2.8852354075041511</v>
      </c>
      <c r="AI811" s="116">
        <f t="shared" si="4"/>
        <v>3.1939555961070951</v>
      </c>
      <c r="AJ811" s="116">
        <f t="shared" si="4"/>
        <v>3.4590539105839837</v>
      </c>
      <c r="AK811" s="116">
        <f t="shared" si="4"/>
        <v>3.6942695765036948</v>
      </c>
      <c r="AL811" s="116">
        <f t="shared" si="4"/>
        <v>3.8494288987168503</v>
      </c>
      <c r="AM811" s="116">
        <f t="shared" si="4"/>
        <v>3.9957071968680906</v>
      </c>
      <c r="AN811" s="116">
        <f t="shared" si="5"/>
        <v>4.2794024078457245</v>
      </c>
      <c r="AO811" s="116">
        <f t="shared" si="5"/>
        <v>4.5532841619478512</v>
      </c>
      <c r="AP811" s="116">
        <f t="shared" si="5"/>
        <v>4.8219279275027738</v>
      </c>
      <c r="AQ811" s="116">
        <f t="shared" si="5"/>
        <v>4.9472980536178461</v>
      </c>
      <c r="AR811" s="116">
        <f t="shared" si="5"/>
        <v>5.085822399119146</v>
      </c>
      <c r="AS811" s="116">
        <f t="shared" si="5"/>
        <v>5.2027963142988858</v>
      </c>
      <c r="AT811" s="116">
        <f t="shared" si="5"/>
        <v>5.1767823327273916</v>
      </c>
      <c r="AU811" s="116">
        <f t="shared" si="5"/>
        <v>5.1871358973928468</v>
      </c>
      <c r="AV811" s="116">
        <f t="shared" si="5"/>
        <v>5.2338201204693817</v>
      </c>
      <c r="AW811" s="116">
        <f t="shared" si="5"/>
        <v>5.2913921417945442</v>
      </c>
      <c r="AX811" s="116">
        <f t="shared" si="5"/>
        <v>5.4183855531976137</v>
      </c>
      <c r="AY811" s="116">
        <f t="shared" si="5"/>
        <v>5.6676312886447038</v>
      </c>
      <c r="AZ811" s="116">
        <f t="shared" si="5"/>
        <v>5.865998383747268</v>
      </c>
      <c r="BA811" s="116">
        <f t="shared" si="5"/>
        <v>5.9833183514222137</v>
      </c>
      <c r="BB811" s="116">
        <f t="shared" si="5"/>
        <v>6.1388846285591914</v>
      </c>
      <c r="BC811" s="116">
        <f t="shared" si="5"/>
        <v>6.2309678979875782</v>
      </c>
      <c r="BD811" s="116">
        <f t="shared" si="6"/>
        <v>6.3493562880493419</v>
      </c>
      <c r="BE811" s="116">
        <f t="shared" si="6"/>
        <v>6.5144395515386249</v>
      </c>
      <c r="BF811" s="116">
        <f t="shared" si="6"/>
        <v>6.6251850239147805</v>
      </c>
      <c r="BG811" s="116">
        <f t="shared" si="6"/>
        <v>6.797439834536565</v>
      </c>
      <c r="BH811" s="116">
        <f t="shared" si="6"/>
        <v>6.9673758303999787</v>
      </c>
      <c r="BI811" s="116">
        <f t="shared" si="6"/>
        <v>7.2948424944287771</v>
      </c>
      <c r="BJ811" s="116">
        <f t="shared" si="6"/>
        <v>7.5355722967449266</v>
      </c>
      <c r="BK811" s="116">
        <f t="shared" si="6"/>
        <v>7.6938193149765697</v>
      </c>
      <c r="BL811" s="116">
        <f t="shared" si="6"/>
        <v>7.778451327441311</v>
      </c>
      <c r="BM811" s="116">
        <f t="shared" si="6"/>
        <v>7.9184634513352545</v>
      </c>
      <c r="BN811" s="116">
        <f t="shared" si="6"/>
        <v>8.0293219396539488</v>
      </c>
      <c r="BO811" s="116">
        <f t="shared" si="6"/>
        <v>8.1176444809901422</v>
      </c>
      <c r="BP811" s="116">
        <f t="shared" si="6"/>
        <v>8.3774091043818277</v>
      </c>
      <c r="BQ811" s="116">
        <f t="shared" si="6"/>
        <v>8.4025413316949731</v>
      </c>
      <c r="BR811" s="116">
        <f t="shared" si="6"/>
        <v>8.5285794516703977</v>
      </c>
      <c r="BS811" s="116">
        <f t="shared" si="6"/>
        <v>8.7503225174138279</v>
      </c>
      <c r="BT811" s="116">
        <f t="shared" si="7"/>
        <v>8.9515799353143457</v>
      </c>
      <c r="BU811" s="116">
        <f t="shared" si="7"/>
        <v>9.2022241735031471</v>
      </c>
      <c r="BV811" s="116">
        <f t="shared" si="7"/>
        <v>9.2942464152381792</v>
      </c>
      <c r="BW811" s="116">
        <f t="shared" si="7"/>
        <v>9.3686003865600842</v>
      </c>
      <c r="BX811" s="116">
        <f t="shared" si="7"/>
        <v>9.3873375873332048</v>
      </c>
      <c r="BY811" s="116">
        <f t="shared" si="7"/>
        <v>9.5187603135558696</v>
      </c>
      <c r="BZ811" s="116">
        <f t="shared" si="7"/>
        <v>9.6329854373185402</v>
      </c>
      <c r="CA811" s="116">
        <f t="shared" si="7"/>
        <v>9.8834430586888224</v>
      </c>
      <c r="CB811" s="116">
        <f t="shared" si="7"/>
        <v>10.041578147627844</v>
      </c>
      <c r="CC811" s="116">
        <f t="shared" si="7"/>
        <v>10.222326554285145</v>
      </c>
      <c r="CD811" s="116">
        <f t="shared" si="7"/>
        <v>10.856110800650825</v>
      </c>
      <c r="CE811" s="116">
        <f t="shared" si="7"/>
        <v>11.724599664702891</v>
      </c>
      <c r="CF811" s="116">
        <f t="shared" si="7"/>
        <v>12.052888455314573</v>
      </c>
      <c r="CG811" s="116">
        <f t="shared" si="7"/>
        <v>12.510898216616527</v>
      </c>
    </row>
    <row r="812" spans="1:16383">
      <c r="A812" s="3"/>
      <c r="B812" s="114">
        <v>1951</v>
      </c>
      <c r="C812" s="114"/>
      <c r="D812" s="3"/>
      <c r="E812" s="117"/>
      <c r="F812" s="117"/>
      <c r="G812" s="117"/>
      <c r="H812" s="117"/>
      <c r="I812" s="117"/>
      <c r="J812" s="115">
        <v>1</v>
      </c>
      <c r="K812" s="116">
        <f t="shared" si="3"/>
        <v>1</v>
      </c>
      <c r="L812" s="116">
        <f t="shared" si="3"/>
        <v>1</v>
      </c>
      <c r="M812" s="116">
        <f t="shared" si="3"/>
        <v>1.04</v>
      </c>
      <c r="N812" s="116">
        <f t="shared" si="3"/>
        <v>1.0598540145985402</v>
      </c>
      <c r="O812" s="116">
        <f t="shared" si="3"/>
        <v>1.0799999999999998</v>
      </c>
      <c r="P812" s="116">
        <f t="shared" si="3"/>
        <v>1.1500729927007298</v>
      </c>
      <c r="Q812" s="116">
        <f t="shared" si="3"/>
        <v>1.16992700729927</v>
      </c>
      <c r="R812" s="116">
        <f t="shared" si="3"/>
        <v>1.1798540145985403</v>
      </c>
      <c r="S812" s="116">
        <f t="shared" si="3"/>
        <v>1.2099270072992701</v>
      </c>
      <c r="T812" s="116">
        <f t="shared" si="3"/>
        <v>1.2300729927007301</v>
      </c>
      <c r="U812" s="116">
        <f t="shared" si="3"/>
        <v>1.2537226277372264</v>
      </c>
      <c r="V812" s="116">
        <f t="shared" si="3"/>
        <v>1.3016058394160586</v>
      </c>
      <c r="W812" s="116">
        <f t="shared" si="3"/>
        <v>1.3263363503649634</v>
      </c>
      <c r="X812" s="116">
        <f t="shared" si="4"/>
        <v>1.4377486037956204</v>
      </c>
      <c r="Y812" s="116">
        <f t="shared" si="4"/>
        <v>1.499571793758832</v>
      </c>
      <c r="Z812" s="116">
        <f t="shared" si="4"/>
        <v>1.5865469577968443</v>
      </c>
      <c r="AA812" s="116">
        <f t="shared" si="4"/>
        <v>1.648422289150921</v>
      </c>
      <c r="AB812" s="116">
        <f t="shared" si="4"/>
        <v>1.7028202246929014</v>
      </c>
      <c r="AC812" s="116">
        <f t="shared" si="4"/>
        <v>1.8203148201967114</v>
      </c>
      <c r="AD812" s="116">
        <f t="shared" si="4"/>
        <v>1.9186118204873339</v>
      </c>
      <c r="AE812" s="116">
        <f t="shared" si="4"/>
        <v>2.0644263188443714</v>
      </c>
      <c r="AF812" s="116">
        <f t="shared" si="4"/>
        <v>2.2171938664388549</v>
      </c>
      <c r="AG812" s="116">
        <f t="shared" si="4"/>
        <v>2.396786569620402</v>
      </c>
      <c r="AH812" s="116">
        <f t="shared" si="4"/>
        <v>2.6316716534432016</v>
      </c>
      <c r="AI812" s="116">
        <f t="shared" si="4"/>
        <v>2.9132605203616242</v>
      </c>
      <c r="AJ812" s="116">
        <f t="shared" si="4"/>
        <v>3.1550611435516389</v>
      </c>
      <c r="AK812" s="116">
        <f t="shared" si="4"/>
        <v>3.3696053013131504</v>
      </c>
      <c r="AL812" s="116">
        <f t="shared" si="4"/>
        <v>3.5111287239683029</v>
      </c>
      <c r="AM812" s="116">
        <f t="shared" si="4"/>
        <v>3.6445516154790987</v>
      </c>
      <c r="AN812" s="116">
        <f t="shared" si="5"/>
        <v>3.9033147801781145</v>
      </c>
      <c r="AO812" s="116">
        <f t="shared" si="5"/>
        <v>4.1531269261095138</v>
      </c>
      <c r="AP812" s="116">
        <f t="shared" si="5"/>
        <v>4.3981614147499748</v>
      </c>
      <c r="AQ812" s="116">
        <f t="shared" si="5"/>
        <v>4.5125136115334739</v>
      </c>
      <c r="AR812" s="116">
        <f t="shared" si="5"/>
        <v>4.638863992656411</v>
      </c>
      <c r="AS812" s="116">
        <f t="shared" si="5"/>
        <v>4.745557864487508</v>
      </c>
      <c r="AT812" s="116">
        <f t="shared" si="5"/>
        <v>4.7218300751650704</v>
      </c>
      <c r="AU812" s="116">
        <f t="shared" si="5"/>
        <v>4.7312737353154004</v>
      </c>
      <c r="AV812" s="116">
        <f t="shared" si="5"/>
        <v>4.773855198933239</v>
      </c>
      <c r="AW812" s="116">
        <f t="shared" si="5"/>
        <v>4.8263676061215044</v>
      </c>
      <c r="AX812" s="116">
        <f t="shared" si="5"/>
        <v>4.9422004286684205</v>
      </c>
      <c r="AY812" s="116">
        <f t="shared" si="5"/>
        <v>5.1695416483871677</v>
      </c>
      <c r="AZ812" s="116">
        <f t="shared" si="5"/>
        <v>5.3504756060807184</v>
      </c>
      <c r="BA812" s="116">
        <f t="shared" si="5"/>
        <v>5.4574851182023325</v>
      </c>
      <c r="BB812" s="116">
        <f t="shared" si="5"/>
        <v>5.5993797312755929</v>
      </c>
      <c r="BC812" s="116">
        <f t="shared" si="5"/>
        <v>5.6833704272447259</v>
      </c>
      <c r="BD812" s="116">
        <f t="shared" si="6"/>
        <v>5.7913544653623754</v>
      </c>
      <c r="BE812" s="116">
        <f t="shared" si="6"/>
        <v>5.9419296814617972</v>
      </c>
      <c r="BF812" s="116">
        <f t="shared" si="6"/>
        <v>6.0429424860466474</v>
      </c>
      <c r="BG812" s="116">
        <f t="shared" si="6"/>
        <v>6.2000589906838606</v>
      </c>
      <c r="BH812" s="116">
        <f t="shared" si="6"/>
        <v>6.3550604654509568</v>
      </c>
      <c r="BI812" s="116">
        <f t="shared" si="6"/>
        <v>6.6537483073271515</v>
      </c>
      <c r="BJ812" s="116">
        <f t="shared" si="6"/>
        <v>6.8733220014689467</v>
      </c>
      <c r="BK812" s="116">
        <f t="shared" si="6"/>
        <v>7.0176617634997935</v>
      </c>
      <c r="BL812" s="116">
        <f t="shared" si="6"/>
        <v>7.0948560428982903</v>
      </c>
      <c r="BM812" s="116">
        <f t="shared" si="6"/>
        <v>7.2225634516704593</v>
      </c>
      <c r="BN812" s="116">
        <f t="shared" si="6"/>
        <v>7.3236793399938458</v>
      </c>
      <c r="BO812" s="116">
        <f t="shared" si="6"/>
        <v>7.4042398127337776</v>
      </c>
      <c r="BP812" s="116">
        <f t="shared" si="6"/>
        <v>7.6411754867412585</v>
      </c>
      <c r="BQ812" s="116">
        <f t="shared" si="6"/>
        <v>7.664099013201481</v>
      </c>
      <c r="BR812" s="116">
        <f t="shared" si="6"/>
        <v>7.7790604983995024</v>
      </c>
      <c r="BS812" s="116">
        <f t="shared" si="6"/>
        <v>7.9813160713578899</v>
      </c>
      <c r="BT812" s="116">
        <f t="shared" si="7"/>
        <v>8.1648863409991215</v>
      </c>
      <c r="BU812" s="116">
        <f t="shared" si="7"/>
        <v>8.3935031585470963</v>
      </c>
      <c r="BV812" s="116">
        <f t="shared" si="7"/>
        <v>8.4774381901325668</v>
      </c>
      <c r="BW812" s="116">
        <f t="shared" si="7"/>
        <v>8.5452576956536266</v>
      </c>
      <c r="BX812" s="116">
        <f t="shared" si="7"/>
        <v>8.5623482110449345</v>
      </c>
      <c r="BY812" s="116">
        <f t="shared" si="7"/>
        <v>8.6822210859995632</v>
      </c>
      <c r="BZ812" s="116">
        <f t="shared" si="7"/>
        <v>8.7864077390315583</v>
      </c>
      <c r="CA812" s="116">
        <f t="shared" si="7"/>
        <v>9.0148543402463783</v>
      </c>
      <c r="CB812" s="116">
        <f t="shared" si="7"/>
        <v>9.1590920096903208</v>
      </c>
      <c r="CC812" s="116">
        <f t="shared" si="7"/>
        <v>9.3239556658647462</v>
      </c>
      <c r="CD812" s="116">
        <f t="shared" si="7"/>
        <v>9.9020409171483603</v>
      </c>
      <c r="CE812" s="116">
        <f t="shared" si="7"/>
        <v>10.69420419052023</v>
      </c>
      <c r="CF812" s="116">
        <f t="shared" si="7"/>
        <v>10.993641907854796</v>
      </c>
      <c r="CG812" s="116">
        <f t="shared" si="7"/>
        <v>11.411400300353279</v>
      </c>
    </row>
    <row r="813" spans="1:16383">
      <c r="A813" s="3"/>
      <c r="B813" s="114">
        <v>1952</v>
      </c>
      <c r="C813" s="114"/>
      <c r="D813" s="3"/>
      <c r="E813" s="117"/>
      <c r="F813" s="117"/>
      <c r="G813" s="117"/>
      <c r="H813" s="117"/>
      <c r="I813" s="117"/>
      <c r="J813" s="117"/>
      <c r="K813" s="115">
        <v>1</v>
      </c>
      <c r="L813" s="116">
        <f t="shared" si="3"/>
        <v>1</v>
      </c>
      <c r="M813" s="116">
        <f t="shared" si="3"/>
        <v>1.04</v>
      </c>
      <c r="N813" s="116">
        <f t="shared" si="3"/>
        <v>1.0598540145985402</v>
      </c>
      <c r="O813" s="116">
        <f t="shared" si="3"/>
        <v>1.0799999999999998</v>
      </c>
      <c r="P813" s="116">
        <f t="shared" si="3"/>
        <v>1.1500729927007298</v>
      </c>
      <c r="Q813" s="116">
        <f t="shared" si="3"/>
        <v>1.16992700729927</v>
      </c>
      <c r="R813" s="116">
        <f t="shared" si="3"/>
        <v>1.1798540145985403</v>
      </c>
      <c r="S813" s="116">
        <f t="shared" si="3"/>
        <v>1.2099270072992701</v>
      </c>
      <c r="T813" s="116">
        <f t="shared" si="3"/>
        <v>1.2300729927007301</v>
      </c>
      <c r="U813" s="116">
        <f t="shared" si="3"/>
        <v>1.2537226277372264</v>
      </c>
      <c r="V813" s="116">
        <f t="shared" si="3"/>
        <v>1.3016058394160586</v>
      </c>
      <c r="W813" s="116">
        <f t="shared" si="3"/>
        <v>1.3263363503649634</v>
      </c>
      <c r="X813" s="116">
        <f t="shared" si="4"/>
        <v>1.4377486037956204</v>
      </c>
      <c r="Y813" s="116">
        <f t="shared" si="4"/>
        <v>1.499571793758832</v>
      </c>
      <c r="Z813" s="116">
        <f t="shared" si="4"/>
        <v>1.5865469577968443</v>
      </c>
      <c r="AA813" s="116">
        <f t="shared" si="4"/>
        <v>1.648422289150921</v>
      </c>
      <c r="AB813" s="116">
        <f t="shared" si="4"/>
        <v>1.7028202246929014</v>
      </c>
      <c r="AC813" s="116">
        <f t="shared" si="4"/>
        <v>1.8203148201967114</v>
      </c>
      <c r="AD813" s="116">
        <f t="shared" si="4"/>
        <v>1.9186118204873339</v>
      </c>
      <c r="AE813" s="116">
        <f t="shared" si="4"/>
        <v>2.0644263188443714</v>
      </c>
      <c r="AF813" s="116">
        <f t="shared" si="4"/>
        <v>2.2171938664388549</v>
      </c>
      <c r="AG813" s="116">
        <f t="shared" si="4"/>
        <v>2.396786569620402</v>
      </c>
      <c r="AH813" s="116">
        <f t="shared" si="4"/>
        <v>2.6316716534432016</v>
      </c>
      <c r="AI813" s="116">
        <f t="shared" si="4"/>
        <v>2.9132605203616242</v>
      </c>
      <c r="AJ813" s="116">
        <f t="shared" si="4"/>
        <v>3.1550611435516389</v>
      </c>
      <c r="AK813" s="116">
        <f t="shared" si="4"/>
        <v>3.3696053013131504</v>
      </c>
      <c r="AL813" s="116">
        <f t="shared" si="4"/>
        <v>3.5111287239683029</v>
      </c>
      <c r="AM813" s="116">
        <f t="shared" si="4"/>
        <v>3.6445516154790987</v>
      </c>
      <c r="AN813" s="116">
        <f t="shared" si="5"/>
        <v>3.9033147801781145</v>
      </c>
      <c r="AO813" s="116">
        <f t="shared" si="5"/>
        <v>4.1531269261095138</v>
      </c>
      <c r="AP813" s="116">
        <f t="shared" si="5"/>
        <v>4.3981614147499748</v>
      </c>
      <c r="AQ813" s="116">
        <f t="shared" si="5"/>
        <v>4.5125136115334739</v>
      </c>
      <c r="AR813" s="116">
        <f t="shared" si="5"/>
        <v>4.638863992656411</v>
      </c>
      <c r="AS813" s="116">
        <f t="shared" si="5"/>
        <v>4.745557864487508</v>
      </c>
      <c r="AT813" s="116">
        <f t="shared" si="5"/>
        <v>4.7218300751650704</v>
      </c>
      <c r="AU813" s="116">
        <f t="shared" si="5"/>
        <v>4.7312737353154004</v>
      </c>
      <c r="AV813" s="116">
        <f t="shared" si="5"/>
        <v>4.773855198933239</v>
      </c>
      <c r="AW813" s="116">
        <f t="shared" si="5"/>
        <v>4.8263676061215044</v>
      </c>
      <c r="AX813" s="116">
        <f t="shared" si="5"/>
        <v>4.9422004286684205</v>
      </c>
      <c r="AY813" s="116">
        <f t="shared" si="5"/>
        <v>5.1695416483871677</v>
      </c>
      <c r="AZ813" s="116">
        <f t="shared" si="5"/>
        <v>5.3504756060807184</v>
      </c>
      <c r="BA813" s="116">
        <f t="shared" si="5"/>
        <v>5.4574851182023325</v>
      </c>
      <c r="BB813" s="116">
        <f t="shared" si="5"/>
        <v>5.5993797312755929</v>
      </c>
      <c r="BC813" s="116">
        <f t="shared" si="5"/>
        <v>5.6833704272447259</v>
      </c>
      <c r="BD813" s="116">
        <f t="shared" si="6"/>
        <v>5.7913544653623754</v>
      </c>
      <c r="BE813" s="116">
        <f t="shared" si="6"/>
        <v>5.9419296814617972</v>
      </c>
      <c r="BF813" s="116">
        <f t="shared" si="6"/>
        <v>6.0429424860466474</v>
      </c>
      <c r="BG813" s="116">
        <f t="shared" si="6"/>
        <v>6.2000589906838606</v>
      </c>
      <c r="BH813" s="116">
        <f t="shared" si="6"/>
        <v>6.3550604654509568</v>
      </c>
      <c r="BI813" s="116">
        <f t="shared" si="6"/>
        <v>6.6537483073271515</v>
      </c>
      <c r="BJ813" s="116">
        <f t="shared" si="6"/>
        <v>6.8733220014689467</v>
      </c>
      <c r="BK813" s="116">
        <f t="shared" si="6"/>
        <v>7.0176617634997935</v>
      </c>
      <c r="BL813" s="116">
        <f t="shared" si="6"/>
        <v>7.0948560428982903</v>
      </c>
      <c r="BM813" s="116">
        <f t="shared" si="6"/>
        <v>7.2225634516704593</v>
      </c>
      <c r="BN813" s="116">
        <f t="shared" si="6"/>
        <v>7.3236793399938458</v>
      </c>
      <c r="BO813" s="116">
        <f t="shared" si="6"/>
        <v>7.4042398127337776</v>
      </c>
      <c r="BP813" s="116">
        <f t="shared" si="6"/>
        <v>7.6411754867412585</v>
      </c>
      <c r="BQ813" s="116">
        <f t="shared" si="6"/>
        <v>7.664099013201481</v>
      </c>
      <c r="BR813" s="116">
        <f t="shared" si="6"/>
        <v>7.7790604983995024</v>
      </c>
      <c r="BS813" s="116">
        <f t="shared" si="6"/>
        <v>7.9813160713578899</v>
      </c>
      <c r="BT813" s="116">
        <f t="shared" si="7"/>
        <v>8.1648863409991215</v>
      </c>
      <c r="BU813" s="116">
        <f t="shared" si="7"/>
        <v>8.3935031585470963</v>
      </c>
      <c r="BV813" s="116">
        <f t="shared" si="7"/>
        <v>8.4774381901325668</v>
      </c>
      <c r="BW813" s="116">
        <f t="shared" si="7"/>
        <v>8.5452576956536266</v>
      </c>
      <c r="BX813" s="116">
        <f t="shared" si="7"/>
        <v>8.5623482110449345</v>
      </c>
      <c r="BY813" s="116">
        <f t="shared" si="7"/>
        <v>8.6822210859995632</v>
      </c>
      <c r="BZ813" s="116">
        <f t="shared" si="7"/>
        <v>8.7864077390315583</v>
      </c>
      <c r="CA813" s="116">
        <f t="shared" si="7"/>
        <v>9.0148543402463783</v>
      </c>
      <c r="CB813" s="116">
        <f t="shared" si="7"/>
        <v>9.1590920096903208</v>
      </c>
      <c r="CC813" s="116">
        <f t="shared" si="7"/>
        <v>9.3239556658647462</v>
      </c>
      <c r="CD813" s="116">
        <f t="shared" si="7"/>
        <v>9.9020409171483603</v>
      </c>
      <c r="CE813" s="116">
        <f t="shared" si="7"/>
        <v>10.69420419052023</v>
      </c>
      <c r="CF813" s="116">
        <f t="shared" si="7"/>
        <v>10.993641907854796</v>
      </c>
      <c r="CG813" s="116">
        <f t="shared" si="7"/>
        <v>11.411400300353279</v>
      </c>
    </row>
    <row r="814" spans="1:16383">
      <c r="A814" s="3"/>
      <c r="B814" s="114">
        <v>1953</v>
      </c>
      <c r="C814" s="114"/>
      <c r="D814" s="3"/>
      <c r="E814" s="117"/>
      <c r="F814" s="117"/>
      <c r="G814" s="117"/>
      <c r="H814" s="117"/>
      <c r="I814" s="117"/>
      <c r="J814" s="117"/>
      <c r="K814" s="117"/>
      <c r="L814" s="115">
        <v>1</v>
      </c>
      <c r="M814" s="116">
        <f t="shared" si="3"/>
        <v>1.04</v>
      </c>
      <c r="N814" s="116">
        <f t="shared" si="3"/>
        <v>1.0598540145985402</v>
      </c>
      <c r="O814" s="116">
        <f t="shared" si="3"/>
        <v>1.0799999999999998</v>
      </c>
      <c r="P814" s="116">
        <f t="shared" si="3"/>
        <v>1.1500729927007298</v>
      </c>
      <c r="Q814" s="116">
        <f t="shared" si="3"/>
        <v>1.16992700729927</v>
      </c>
      <c r="R814" s="116">
        <f t="shared" si="3"/>
        <v>1.1798540145985403</v>
      </c>
      <c r="S814" s="116">
        <f t="shared" si="3"/>
        <v>1.2099270072992701</v>
      </c>
      <c r="T814" s="116">
        <f t="shared" si="3"/>
        <v>1.2300729927007301</v>
      </c>
      <c r="U814" s="116">
        <f t="shared" si="3"/>
        <v>1.2537226277372264</v>
      </c>
      <c r="V814" s="116">
        <f t="shared" si="3"/>
        <v>1.3016058394160586</v>
      </c>
      <c r="W814" s="116">
        <f t="shared" si="3"/>
        <v>1.3263363503649634</v>
      </c>
      <c r="X814" s="116">
        <f t="shared" si="4"/>
        <v>1.4377486037956204</v>
      </c>
      <c r="Y814" s="116">
        <f t="shared" si="4"/>
        <v>1.499571793758832</v>
      </c>
      <c r="Z814" s="116">
        <f t="shared" si="4"/>
        <v>1.5865469577968443</v>
      </c>
      <c r="AA814" s="116">
        <f t="shared" si="4"/>
        <v>1.648422289150921</v>
      </c>
      <c r="AB814" s="116">
        <f t="shared" si="4"/>
        <v>1.7028202246929014</v>
      </c>
      <c r="AC814" s="116">
        <f t="shared" si="4"/>
        <v>1.8203148201967114</v>
      </c>
      <c r="AD814" s="116">
        <f t="shared" si="4"/>
        <v>1.9186118204873339</v>
      </c>
      <c r="AE814" s="116">
        <f t="shared" si="4"/>
        <v>2.0644263188443714</v>
      </c>
      <c r="AF814" s="116">
        <f t="shared" si="4"/>
        <v>2.2171938664388549</v>
      </c>
      <c r="AG814" s="116">
        <f t="shared" si="4"/>
        <v>2.396786569620402</v>
      </c>
      <c r="AH814" s="116">
        <f t="shared" si="4"/>
        <v>2.6316716534432016</v>
      </c>
      <c r="AI814" s="116">
        <f t="shared" si="4"/>
        <v>2.9132605203616242</v>
      </c>
      <c r="AJ814" s="116">
        <f t="shared" si="4"/>
        <v>3.1550611435516389</v>
      </c>
      <c r="AK814" s="116">
        <f t="shared" si="4"/>
        <v>3.3696053013131504</v>
      </c>
      <c r="AL814" s="116">
        <f t="shared" si="4"/>
        <v>3.5111287239683029</v>
      </c>
      <c r="AM814" s="116">
        <f t="shared" si="4"/>
        <v>3.6445516154790987</v>
      </c>
      <c r="AN814" s="116">
        <f t="shared" si="5"/>
        <v>3.9033147801781145</v>
      </c>
      <c r="AO814" s="116">
        <f t="shared" si="5"/>
        <v>4.1531269261095138</v>
      </c>
      <c r="AP814" s="116">
        <f t="shared" si="5"/>
        <v>4.3981614147499748</v>
      </c>
      <c r="AQ814" s="116">
        <f t="shared" si="5"/>
        <v>4.5125136115334739</v>
      </c>
      <c r="AR814" s="116">
        <f t="shared" si="5"/>
        <v>4.638863992656411</v>
      </c>
      <c r="AS814" s="116">
        <f t="shared" si="5"/>
        <v>4.745557864487508</v>
      </c>
      <c r="AT814" s="116">
        <f t="shared" si="5"/>
        <v>4.7218300751650704</v>
      </c>
      <c r="AU814" s="116">
        <f t="shared" si="5"/>
        <v>4.7312737353154004</v>
      </c>
      <c r="AV814" s="116">
        <f t="shared" si="5"/>
        <v>4.773855198933239</v>
      </c>
      <c r="AW814" s="116">
        <f t="shared" si="5"/>
        <v>4.8263676061215044</v>
      </c>
      <c r="AX814" s="116">
        <f t="shared" si="5"/>
        <v>4.9422004286684205</v>
      </c>
      <c r="AY814" s="116">
        <f t="shared" si="5"/>
        <v>5.1695416483871677</v>
      </c>
      <c r="AZ814" s="116">
        <f t="shared" si="5"/>
        <v>5.3504756060807184</v>
      </c>
      <c r="BA814" s="116">
        <f t="shared" si="5"/>
        <v>5.4574851182023325</v>
      </c>
      <c r="BB814" s="116">
        <f t="shared" si="5"/>
        <v>5.5993797312755929</v>
      </c>
      <c r="BC814" s="116">
        <f t="shared" si="5"/>
        <v>5.6833704272447259</v>
      </c>
      <c r="BD814" s="116">
        <f t="shared" si="6"/>
        <v>5.7913544653623754</v>
      </c>
      <c r="BE814" s="116">
        <f t="shared" si="6"/>
        <v>5.9419296814617972</v>
      </c>
      <c r="BF814" s="116">
        <f t="shared" si="6"/>
        <v>6.0429424860466474</v>
      </c>
      <c r="BG814" s="116">
        <f t="shared" si="6"/>
        <v>6.2000589906838606</v>
      </c>
      <c r="BH814" s="116">
        <f t="shared" si="6"/>
        <v>6.3550604654509568</v>
      </c>
      <c r="BI814" s="116">
        <f t="shared" si="6"/>
        <v>6.6537483073271515</v>
      </c>
      <c r="BJ814" s="116">
        <f t="shared" si="6"/>
        <v>6.8733220014689467</v>
      </c>
      <c r="BK814" s="116">
        <f t="shared" si="6"/>
        <v>7.0176617634997935</v>
      </c>
      <c r="BL814" s="116">
        <f t="shared" si="6"/>
        <v>7.0948560428982903</v>
      </c>
      <c r="BM814" s="116">
        <f t="shared" si="6"/>
        <v>7.2225634516704593</v>
      </c>
      <c r="BN814" s="116">
        <f t="shared" si="6"/>
        <v>7.3236793399938458</v>
      </c>
      <c r="BO814" s="116">
        <f t="shared" si="6"/>
        <v>7.4042398127337776</v>
      </c>
      <c r="BP814" s="116">
        <f t="shared" si="6"/>
        <v>7.6411754867412585</v>
      </c>
      <c r="BQ814" s="116">
        <f t="shared" si="6"/>
        <v>7.664099013201481</v>
      </c>
      <c r="BR814" s="116">
        <f t="shared" si="6"/>
        <v>7.7790604983995024</v>
      </c>
      <c r="BS814" s="116">
        <f t="shared" si="6"/>
        <v>7.9813160713578899</v>
      </c>
      <c r="BT814" s="116">
        <f t="shared" si="7"/>
        <v>8.1648863409991215</v>
      </c>
      <c r="BU814" s="116">
        <f t="shared" si="7"/>
        <v>8.3935031585470963</v>
      </c>
      <c r="BV814" s="116">
        <f t="shared" si="7"/>
        <v>8.4774381901325668</v>
      </c>
      <c r="BW814" s="116">
        <f t="shared" si="7"/>
        <v>8.5452576956536266</v>
      </c>
      <c r="BX814" s="116">
        <f t="shared" si="7"/>
        <v>8.5623482110449345</v>
      </c>
      <c r="BY814" s="116">
        <f t="shared" si="7"/>
        <v>8.6822210859995632</v>
      </c>
      <c r="BZ814" s="116">
        <f t="shared" si="7"/>
        <v>8.7864077390315583</v>
      </c>
      <c r="CA814" s="116">
        <f t="shared" si="7"/>
        <v>9.0148543402463783</v>
      </c>
      <c r="CB814" s="116">
        <f t="shared" si="7"/>
        <v>9.1590920096903208</v>
      </c>
      <c r="CC814" s="116">
        <f t="shared" si="7"/>
        <v>9.3239556658647462</v>
      </c>
      <c r="CD814" s="116">
        <f t="shared" si="7"/>
        <v>9.9020409171483603</v>
      </c>
      <c r="CE814" s="116">
        <f t="shared" si="7"/>
        <v>10.69420419052023</v>
      </c>
      <c r="CF814" s="116">
        <f t="shared" si="7"/>
        <v>10.993641907854796</v>
      </c>
      <c r="CG814" s="116">
        <f t="shared" si="7"/>
        <v>11.411400300353279</v>
      </c>
    </row>
    <row r="815" spans="1:16383">
      <c r="A815" s="3"/>
      <c r="B815" s="114">
        <v>1954</v>
      </c>
      <c r="C815" s="114"/>
      <c r="D815" s="3"/>
      <c r="E815" s="117"/>
      <c r="F815" s="117"/>
      <c r="G815" s="117"/>
      <c r="H815" s="117"/>
      <c r="I815" s="117"/>
      <c r="J815" s="117"/>
      <c r="K815" s="117"/>
      <c r="L815" s="117"/>
      <c r="M815" s="115">
        <v>1</v>
      </c>
      <c r="N815" s="116">
        <f t="shared" si="3"/>
        <v>1.0190903986524424</v>
      </c>
      <c r="O815" s="116">
        <f t="shared" si="3"/>
        <v>1.0384615384615383</v>
      </c>
      <c r="P815" s="116">
        <f t="shared" si="3"/>
        <v>1.105839416058394</v>
      </c>
      <c r="Q815" s="116">
        <f t="shared" si="3"/>
        <v>1.1249298147108364</v>
      </c>
      <c r="R815" s="116">
        <f t="shared" si="3"/>
        <v>1.1344750140370579</v>
      </c>
      <c r="S815" s="116">
        <f t="shared" si="3"/>
        <v>1.163391353172375</v>
      </c>
      <c r="T815" s="116">
        <f t="shared" si="3"/>
        <v>1.1827624929814711</v>
      </c>
      <c r="U815" s="116">
        <f t="shared" si="3"/>
        <v>1.2055025266704098</v>
      </c>
      <c r="V815" s="116">
        <f t="shared" si="3"/>
        <v>1.2515440763615946</v>
      </c>
      <c r="W815" s="116">
        <f t="shared" si="3"/>
        <v>1.2753234138124647</v>
      </c>
      <c r="X815" s="116">
        <f t="shared" si="4"/>
        <v>1.3824505805727119</v>
      </c>
      <c r="Y815" s="116">
        <f t="shared" si="4"/>
        <v>1.4418959555373383</v>
      </c>
      <c r="Z815" s="116">
        <f t="shared" si="4"/>
        <v>1.5255259209585039</v>
      </c>
      <c r="AA815" s="116">
        <f t="shared" si="4"/>
        <v>1.5850214318758855</v>
      </c>
      <c r="AB815" s="116">
        <f t="shared" si="4"/>
        <v>1.6373271391277897</v>
      </c>
      <c r="AC815" s="116">
        <f t="shared" si="4"/>
        <v>1.7503027117276071</v>
      </c>
      <c r="AD815" s="116">
        <f t="shared" si="4"/>
        <v>1.8448190581608979</v>
      </c>
      <c r="AE815" s="116">
        <f t="shared" si="4"/>
        <v>1.9850253065811263</v>
      </c>
      <c r="AF815" s="116">
        <f t="shared" si="4"/>
        <v>2.1319171792681297</v>
      </c>
      <c r="AG815" s="116">
        <f t="shared" si="4"/>
        <v>2.3046024707888479</v>
      </c>
      <c r="AH815" s="116">
        <f t="shared" si="4"/>
        <v>2.5304535129261554</v>
      </c>
      <c r="AI815" s="116">
        <f t="shared" si="4"/>
        <v>2.8012120388092541</v>
      </c>
      <c r="AJ815" s="116">
        <f t="shared" si="4"/>
        <v>3.0337126380304222</v>
      </c>
      <c r="AK815" s="116">
        <f t="shared" si="4"/>
        <v>3.2400050974164913</v>
      </c>
      <c r="AL815" s="116">
        <f t="shared" si="4"/>
        <v>3.3760853115079841</v>
      </c>
      <c r="AM815" s="116">
        <f t="shared" si="4"/>
        <v>3.5043765533452875</v>
      </c>
      <c r="AN815" s="116">
        <f t="shared" si="5"/>
        <v>3.7531872886328026</v>
      </c>
      <c r="AO815" s="116">
        <f t="shared" si="5"/>
        <v>3.993391275105302</v>
      </c>
      <c r="AP815" s="116">
        <f t="shared" si="5"/>
        <v>4.2290013603365146</v>
      </c>
      <c r="AQ815" s="116">
        <f t="shared" si="5"/>
        <v>4.3389553957052645</v>
      </c>
      <c r="AR815" s="116">
        <f t="shared" si="5"/>
        <v>4.4604461467850118</v>
      </c>
      <c r="AS815" s="116">
        <f t="shared" si="5"/>
        <v>4.563036408161067</v>
      </c>
      <c r="AT815" s="116">
        <f t="shared" si="5"/>
        <v>4.5402212261202619</v>
      </c>
      <c r="AU815" s="116">
        <f t="shared" si="5"/>
        <v>4.5493016685725021</v>
      </c>
      <c r="AV815" s="116">
        <f t="shared" si="5"/>
        <v>4.5902453835896537</v>
      </c>
      <c r="AW815" s="116">
        <f t="shared" si="5"/>
        <v>4.6407380828091398</v>
      </c>
      <c r="AX815" s="116">
        <f t="shared" si="5"/>
        <v>4.7521157967965593</v>
      </c>
      <c r="AY815" s="116">
        <f t="shared" si="5"/>
        <v>4.970713123449201</v>
      </c>
      <c r="AZ815" s="116">
        <f t="shared" si="5"/>
        <v>5.1446880827699228</v>
      </c>
      <c r="BA815" s="116">
        <f t="shared" si="5"/>
        <v>5.2475818444253211</v>
      </c>
      <c r="BB815" s="116">
        <f t="shared" si="5"/>
        <v>5.38401897238038</v>
      </c>
      <c r="BC815" s="116">
        <f t="shared" si="5"/>
        <v>5.4647792569660849</v>
      </c>
      <c r="BD815" s="116">
        <f t="shared" si="6"/>
        <v>5.5686100628484398</v>
      </c>
      <c r="BE815" s="116">
        <f t="shared" si="6"/>
        <v>5.7133939244824994</v>
      </c>
      <c r="BF815" s="116">
        <f t="shared" si="6"/>
        <v>5.810521621198701</v>
      </c>
      <c r="BG815" s="116">
        <f t="shared" si="6"/>
        <v>5.9615951833498677</v>
      </c>
      <c r="BH815" s="116">
        <f t="shared" si="6"/>
        <v>6.1106350629336141</v>
      </c>
      <c r="BI815" s="116">
        <f t="shared" si="6"/>
        <v>6.3978349108914934</v>
      </c>
      <c r="BJ815" s="116">
        <f t="shared" si="6"/>
        <v>6.6089634629509124</v>
      </c>
      <c r="BK815" s="116">
        <f t="shared" si="6"/>
        <v>6.7477516956728811</v>
      </c>
      <c r="BL815" s="116">
        <f t="shared" si="6"/>
        <v>6.8219769643252821</v>
      </c>
      <c r="BM815" s="116">
        <f t="shared" si="6"/>
        <v>6.9447725496831376</v>
      </c>
      <c r="BN815" s="116">
        <f t="shared" si="6"/>
        <v>7.0419993653787012</v>
      </c>
      <c r="BO815" s="116">
        <f t="shared" si="6"/>
        <v>7.1194613583978663</v>
      </c>
      <c r="BP815" s="116">
        <f t="shared" si="6"/>
        <v>7.3472841218665979</v>
      </c>
      <c r="BQ815" s="116">
        <f t="shared" si="6"/>
        <v>7.369325974232197</v>
      </c>
      <c r="BR815" s="116">
        <f t="shared" si="6"/>
        <v>7.4798658638456796</v>
      </c>
      <c r="BS815" s="116">
        <f t="shared" si="6"/>
        <v>7.6743423763056677</v>
      </c>
      <c r="BT815" s="116">
        <f t="shared" si="7"/>
        <v>7.8508522509606973</v>
      </c>
      <c r="BU815" s="116">
        <f t="shared" si="7"/>
        <v>8.0706761139875969</v>
      </c>
      <c r="BV815" s="116">
        <f t="shared" si="7"/>
        <v>8.1513828751274726</v>
      </c>
      <c r="BW815" s="116">
        <f t="shared" si="7"/>
        <v>8.2165939381284918</v>
      </c>
      <c r="BX815" s="116">
        <f t="shared" si="7"/>
        <v>8.2330271260047496</v>
      </c>
      <c r="BY815" s="116">
        <f t="shared" si="7"/>
        <v>8.3482895057688165</v>
      </c>
      <c r="BZ815" s="116">
        <f t="shared" si="7"/>
        <v>8.4484689798380419</v>
      </c>
      <c r="CA815" s="116">
        <f t="shared" si="7"/>
        <v>8.6681291733138313</v>
      </c>
      <c r="CB815" s="116">
        <f t="shared" si="7"/>
        <v>8.8068192400868526</v>
      </c>
      <c r="CC815" s="116">
        <f t="shared" si="7"/>
        <v>8.9653419864084167</v>
      </c>
      <c r="CD815" s="116">
        <f t="shared" si="7"/>
        <v>9.5211931895657393</v>
      </c>
      <c r="CE815" s="116">
        <f t="shared" si="7"/>
        <v>10.282888644730999</v>
      </c>
      <c r="CF815" s="116">
        <f t="shared" si="7"/>
        <v>10.570809526783467</v>
      </c>
      <c r="CG815" s="116">
        <f t="shared" si="7"/>
        <v>10.972500288801239</v>
      </c>
    </row>
    <row r="816" spans="1:16383">
      <c r="A816" s="3"/>
      <c r="B816" s="114">
        <v>1955</v>
      </c>
      <c r="C816" s="114"/>
      <c r="D816" s="3"/>
      <c r="E816" s="117"/>
      <c r="F816" s="117"/>
      <c r="G816" s="117"/>
      <c r="H816" s="117"/>
      <c r="I816" s="117"/>
      <c r="J816" s="117"/>
      <c r="K816" s="117"/>
      <c r="L816" s="117"/>
      <c r="M816" s="117"/>
      <c r="N816" s="115">
        <v>1</v>
      </c>
      <c r="O816" s="116">
        <f>N816*O$804</f>
        <v>1.0190082644628098</v>
      </c>
      <c r="P816" s="116">
        <f>O816*P$804</f>
        <v>1.0851239669421486</v>
      </c>
      <c r="Q816" s="116">
        <f t="shared" si="3"/>
        <v>1.1038567493112947</v>
      </c>
      <c r="R816" s="116">
        <f t="shared" si="3"/>
        <v>1.1132231404958679</v>
      </c>
      <c r="S816" s="116">
        <f t="shared" si="3"/>
        <v>1.1415977961432506</v>
      </c>
      <c r="T816" s="116">
        <f t="shared" si="3"/>
        <v>1.1606060606060606</v>
      </c>
      <c r="U816" s="116">
        <f t="shared" si="3"/>
        <v>1.1829201101928375</v>
      </c>
      <c r="V816" s="116">
        <f t="shared" si="3"/>
        <v>1.228099173553719</v>
      </c>
      <c r="W816" s="116">
        <f t="shared" si="3"/>
        <v>1.2514330578512396</v>
      </c>
      <c r="X816" s="116">
        <f t="shared" si="4"/>
        <v>1.3565534347107437</v>
      </c>
      <c r="Y816" s="116">
        <f t="shared" si="4"/>
        <v>1.4148852324033057</v>
      </c>
      <c r="Z816" s="116">
        <f t="shared" si="4"/>
        <v>1.4969485758826975</v>
      </c>
      <c r="AA816" s="116">
        <f t="shared" si="4"/>
        <v>1.5553295703421226</v>
      </c>
      <c r="AB816" s="116">
        <f t="shared" si="4"/>
        <v>1.6066554461634126</v>
      </c>
      <c r="AC816" s="116">
        <f t="shared" si="4"/>
        <v>1.717514671948688</v>
      </c>
      <c r="AD816" s="116">
        <f t="shared" si="4"/>
        <v>1.8102604642339173</v>
      </c>
      <c r="AE816" s="116">
        <f t="shared" si="4"/>
        <v>1.9478402595156952</v>
      </c>
      <c r="AF816" s="116">
        <f t="shared" si="4"/>
        <v>2.0919804387198568</v>
      </c>
      <c r="AG816" s="116">
        <f t="shared" si="4"/>
        <v>2.2614308542561652</v>
      </c>
      <c r="AH816" s="116">
        <f t="shared" si="4"/>
        <v>2.4830510779732697</v>
      </c>
      <c r="AI816" s="116">
        <f t="shared" si="4"/>
        <v>2.7487375433164094</v>
      </c>
      <c r="AJ816" s="116">
        <f t="shared" si="4"/>
        <v>2.9768827594116711</v>
      </c>
      <c r="AK816" s="116">
        <f t="shared" si="4"/>
        <v>3.1793107870516648</v>
      </c>
      <c r="AL816" s="116">
        <f t="shared" si="4"/>
        <v>3.312841840107835</v>
      </c>
      <c r="AM816" s="116">
        <f t="shared" si="4"/>
        <v>3.4387298300319329</v>
      </c>
      <c r="AN816" s="116">
        <f t="shared" si="5"/>
        <v>3.6828796479641999</v>
      </c>
      <c r="AO816" s="116">
        <f t="shared" si="5"/>
        <v>3.9185839454339089</v>
      </c>
      <c r="AP816" s="116">
        <f t="shared" si="5"/>
        <v>4.1497803982145092</v>
      </c>
      <c r="AQ816" s="116">
        <f t="shared" si="5"/>
        <v>4.2576746885680867</v>
      </c>
      <c r="AR816" s="116">
        <f t="shared" si="5"/>
        <v>4.376889579847993</v>
      </c>
      <c r="AS816" s="116">
        <f t="shared" si="5"/>
        <v>4.4775580401844968</v>
      </c>
      <c r="AT816" s="116">
        <f t="shared" si="5"/>
        <v>4.4551702499835741</v>
      </c>
      <c r="AU816" s="116">
        <f t="shared" si="5"/>
        <v>4.4640805904835412</v>
      </c>
      <c r="AV816" s="116">
        <f t="shared" si="5"/>
        <v>4.5042573157978927</v>
      </c>
      <c r="AW816" s="116">
        <f t="shared" si="5"/>
        <v>4.553804146271669</v>
      </c>
      <c r="AX816" s="116">
        <f t="shared" si="5"/>
        <v>4.6630954457821892</v>
      </c>
      <c r="AY816" s="116">
        <f t="shared" si="5"/>
        <v>4.87759783628817</v>
      </c>
      <c r="AZ816" s="116">
        <f t="shared" si="5"/>
        <v>5.0483137605582558</v>
      </c>
      <c r="BA816" s="116">
        <f t="shared" si="5"/>
        <v>5.1492800357694213</v>
      </c>
      <c r="BB816" s="116">
        <f t="shared" si="5"/>
        <v>5.2831613166994265</v>
      </c>
      <c r="BC816" s="116">
        <f t="shared" si="5"/>
        <v>5.3624087364499173</v>
      </c>
      <c r="BD816" s="116">
        <f t="shared" si="6"/>
        <v>5.4642945024424652</v>
      </c>
      <c r="BE816" s="116">
        <f t="shared" si="6"/>
        <v>5.6063661595059697</v>
      </c>
      <c r="BF816" s="116">
        <f t="shared" si="6"/>
        <v>5.7016743842175703</v>
      </c>
      <c r="BG816" s="116">
        <f t="shared" si="6"/>
        <v>5.8499179182072272</v>
      </c>
      <c r="BH816" s="116">
        <f t="shared" si="6"/>
        <v>5.9961658661624071</v>
      </c>
      <c r="BI816" s="116">
        <f t="shared" si="6"/>
        <v>6.27798566187204</v>
      </c>
      <c r="BJ816" s="116">
        <f t="shared" si="6"/>
        <v>6.4851591887138165</v>
      </c>
      <c r="BK816" s="116">
        <f t="shared" si="6"/>
        <v>6.6213475316768058</v>
      </c>
      <c r="BL816" s="116">
        <f t="shared" si="6"/>
        <v>6.6941823545252497</v>
      </c>
      <c r="BM816" s="116">
        <f t="shared" si="6"/>
        <v>6.8146776369067039</v>
      </c>
      <c r="BN816" s="116">
        <f t="shared" si="6"/>
        <v>6.910083123823398</v>
      </c>
      <c r="BO816" s="116">
        <f t="shared" si="6"/>
        <v>6.9860940381854544</v>
      </c>
      <c r="BP816" s="116">
        <f t="shared" si="6"/>
        <v>7.2096490474073889</v>
      </c>
      <c r="BQ816" s="116">
        <f t="shared" si="6"/>
        <v>7.2312779945496102</v>
      </c>
      <c r="BR816" s="116">
        <f t="shared" si="6"/>
        <v>7.3397471644678536</v>
      </c>
      <c r="BS816" s="116">
        <f t="shared" si="6"/>
        <v>7.5305805907440178</v>
      </c>
      <c r="BT816" s="116">
        <f t="shared" si="7"/>
        <v>7.7037839443311293</v>
      </c>
      <c r="BU816" s="116">
        <f t="shared" si="7"/>
        <v>7.9194898947724015</v>
      </c>
      <c r="BV816" s="116">
        <f t="shared" si="7"/>
        <v>7.998684793720126</v>
      </c>
      <c r="BW816" s="116">
        <f t="shared" si="7"/>
        <v>8.0626742720698878</v>
      </c>
      <c r="BX816" s="116">
        <f t="shared" si="7"/>
        <v>8.0787996206140278</v>
      </c>
      <c r="BY816" s="116">
        <f t="shared" si="7"/>
        <v>8.1919028153026243</v>
      </c>
      <c r="BZ816" s="116">
        <f t="shared" si="7"/>
        <v>8.2902056490862552</v>
      </c>
      <c r="CA816" s="116">
        <f t="shared" si="7"/>
        <v>8.5057509959624973</v>
      </c>
      <c r="CB816" s="116">
        <f t="shared" si="7"/>
        <v>8.6418430118978975</v>
      </c>
      <c r="CC816" s="116">
        <f t="shared" si="7"/>
        <v>8.79739618611206</v>
      </c>
      <c r="CD816" s="116">
        <f t="shared" si="7"/>
        <v>9.3428347496510078</v>
      </c>
      <c r="CE816" s="116">
        <f t="shared" si="7"/>
        <v>10.090261529623088</v>
      </c>
      <c r="CF816" s="116">
        <f t="shared" si="7"/>
        <v>10.372788852452535</v>
      </c>
      <c r="CG816" s="116">
        <f t="shared" si="7"/>
        <v>10.766954828845732</v>
      </c>
    </row>
    <row r="817" spans="1:85">
      <c r="A817" s="3"/>
      <c r="B817" s="114">
        <v>1956</v>
      </c>
      <c r="C817" s="114"/>
      <c r="D817" s="3"/>
      <c r="E817" s="117"/>
      <c r="F817" s="117"/>
      <c r="G817" s="117"/>
      <c r="H817" s="117"/>
      <c r="I817" s="117"/>
      <c r="J817" s="117"/>
      <c r="K817" s="117"/>
      <c r="L817" s="117"/>
      <c r="M817" s="117"/>
      <c r="N817" s="117"/>
      <c r="O817" s="115">
        <v>1</v>
      </c>
      <c r="P817" s="116">
        <f t="shared" si="3"/>
        <v>1.064882400648824</v>
      </c>
      <c r="Q817" s="116">
        <f t="shared" si="3"/>
        <v>1.0832657474993241</v>
      </c>
      <c r="R817" s="116">
        <f t="shared" si="3"/>
        <v>1.0924574209245743</v>
      </c>
      <c r="S817" s="116">
        <f t="shared" si="3"/>
        <v>1.1203027845363611</v>
      </c>
      <c r="T817" s="116">
        <f t="shared" si="3"/>
        <v>1.1389564747228982</v>
      </c>
      <c r="U817" s="116">
        <f t="shared" si="3"/>
        <v>1.1608542849418761</v>
      </c>
      <c r="V817" s="116">
        <f t="shared" si="3"/>
        <v>1.2051905920519059</v>
      </c>
      <c r="W817" s="116">
        <f t="shared" si="3"/>
        <v>1.228089213300892</v>
      </c>
      <c r="X817" s="116">
        <f t="shared" si="4"/>
        <v>1.3312487072181671</v>
      </c>
      <c r="Y817" s="116">
        <f t="shared" si="4"/>
        <v>1.3884924016285483</v>
      </c>
      <c r="Z817" s="116">
        <f t="shared" si="4"/>
        <v>1.4690249609230042</v>
      </c>
      <c r="AA817" s="116">
        <f t="shared" si="4"/>
        <v>1.5263169343990013</v>
      </c>
      <c r="AB817" s="116">
        <f t="shared" si="4"/>
        <v>1.5766853932341682</v>
      </c>
      <c r="AC817" s="116">
        <f t="shared" si="4"/>
        <v>1.6854766853673258</v>
      </c>
      <c r="AD817" s="116">
        <f t="shared" si="4"/>
        <v>1.7764924263771615</v>
      </c>
      <c r="AE817" s="116">
        <f t="shared" si="4"/>
        <v>1.9115058507818259</v>
      </c>
      <c r="AF817" s="116">
        <f t="shared" si="4"/>
        <v>2.0529572837396812</v>
      </c>
      <c r="AG817" s="116">
        <f t="shared" si="4"/>
        <v>2.2192468237225955</v>
      </c>
      <c r="AH817" s="116">
        <f t="shared" si="4"/>
        <v>2.43673301244741</v>
      </c>
      <c r="AI817" s="116">
        <f t="shared" si="4"/>
        <v>2.6974634447792827</v>
      </c>
      <c r="AJ817" s="116">
        <f t="shared" si="4"/>
        <v>2.9213529106959633</v>
      </c>
      <c r="AK817" s="116">
        <f t="shared" si="4"/>
        <v>3.1200049086232888</v>
      </c>
      <c r="AL817" s="116">
        <f t="shared" si="4"/>
        <v>3.2510451147854669</v>
      </c>
      <c r="AM817" s="116">
        <f t="shared" si="4"/>
        <v>3.3745848291473148</v>
      </c>
      <c r="AN817" s="116">
        <f t="shared" si="5"/>
        <v>3.6141803520167741</v>
      </c>
      <c r="AO817" s="116">
        <f t="shared" si="5"/>
        <v>3.8454878945458479</v>
      </c>
      <c r="AP817" s="116">
        <f t="shared" si="5"/>
        <v>4.0723716803240526</v>
      </c>
      <c r="AQ817" s="116">
        <f t="shared" si="5"/>
        <v>4.1782533440124778</v>
      </c>
      <c r="AR817" s="116">
        <f t="shared" si="5"/>
        <v>4.2952444376448273</v>
      </c>
      <c r="AS817" s="116">
        <f t="shared" si="5"/>
        <v>4.3940350597106583</v>
      </c>
      <c r="AT817" s="116">
        <f t="shared" si="5"/>
        <v>4.3720648844121053</v>
      </c>
      <c r="AU817" s="116">
        <f t="shared" si="5"/>
        <v>4.3808090141809295</v>
      </c>
      <c r="AV817" s="116">
        <f t="shared" si="5"/>
        <v>4.4202362953085572</v>
      </c>
      <c r="AW817" s="116">
        <f t="shared" si="5"/>
        <v>4.4688588945569512</v>
      </c>
      <c r="AX817" s="116">
        <f t="shared" si="5"/>
        <v>4.5761115080263179</v>
      </c>
      <c r="AY817" s="116">
        <f t="shared" si="5"/>
        <v>4.7866126373955291</v>
      </c>
      <c r="AZ817" s="116">
        <f t="shared" si="5"/>
        <v>4.9541440797043723</v>
      </c>
      <c r="BA817" s="116">
        <f t="shared" si="5"/>
        <v>5.0532269612984599</v>
      </c>
      <c r="BB817" s="116">
        <f t="shared" si="5"/>
        <v>5.18461086229222</v>
      </c>
      <c r="BC817" s="116">
        <f t="shared" si="5"/>
        <v>5.2623800252266024</v>
      </c>
      <c r="BD817" s="116">
        <f t="shared" si="6"/>
        <v>5.3623652457059077</v>
      </c>
      <c r="BE817" s="116">
        <f t="shared" si="6"/>
        <v>5.5017867420942617</v>
      </c>
      <c r="BF817" s="116">
        <f t="shared" si="6"/>
        <v>5.5953171167098636</v>
      </c>
      <c r="BG817" s="116">
        <f t="shared" si="6"/>
        <v>5.7407953617443201</v>
      </c>
      <c r="BH817" s="116">
        <f t="shared" si="6"/>
        <v>5.8843152457879278</v>
      </c>
      <c r="BI817" s="116">
        <f t="shared" si="6"/>
        <v>6.1608780623399602</v>
      </c>
      <c r="BJ817" s="116">
        <f t="shared" si="6"/>
        <v>6.3641870383971781</v>
      </c>
      <c r="BK817" s="116">
        <f t="shared" si="6"/>
        <v>6.4978349662035182</v>
      </c>
      <c r="BL817" s="116">
        <f t="shared" si="6"/>
        <v>6.5693111508317559</v>
      </c>
      <c r="BM817" s="116">
        <f t="shared" si="6"/>
        <v>6.6875587515467272</v>
      </c>
      <c r="BN817" s="116">
        <f t="shared" si="6"/>
        <v>6.7811845740683818</v>
      </c>
      <c r="BO817" s="116">
        <f t="shared" si="6"/>
        <v>6.8557776043831335</v>
      </c>
      <c r="BP817" s="116">
        <f t="shared" si="6"/>
        <v>7.0751624877233938</v>
      </c>
      <c r="BQ817" s="116">
        <f t="shared" si="6"/>
        <v>7.0963879751865635</v>
      </c>
      <c r="BR817" s="116">
        <f t="shared" si="6"/>
        <v>7.202833794814361</v>
      </c>
      <c r="BS817" s="116">
        <f t="shared" si="6"/>
        <v>7.3901074734795342</v>
      </c>
      <c r="BT817" s="116">
        <f t="shared" si="7"/>
        <v>7.5600799453695631</v>
      </c>
      <c r="BU817" s="116">
        <f t="shared" si="7"/>
        <v>7.7717621838399111</v>
      </c>
      <c r="BV817" s="116">
        <f t="shared" si="7"/>
        <v>7.8494798056783104</v>
      </c>
      <c r="BW817" s="116">
        <f t="shared" si="7"/>
        <v>7.9122756441237367</v>
      </c>
      <c r="BX817" s="116">
        <f t="shared" si="7"/>
        <v>7.9281001954119841</v>
      </c>
      <c r="BY817" s="116">
        <f t="shared" si="7"/>
        <v>8.0390935981477512</v>
      </c>
      <c r="BZ817" s="116">
        <f t="shared" si="7"/>
        <v>8.1355627213255239</v>
      </c>
      <c r="CA817" s="116">
        <f t="shared" si="7"/>
        <v>8.3470873520799884</v>
      </c>
      <c r="CB817" s="116">
        <f t="shared" si="7"/>
        <v>8.4806407497132685</v>
      </c>
      <c r="CC817" s="116">
        <f t="shared" si="7"/>
        <v>8.6332922832081067</v>
      </c>
      <c r="CD817" s="116">
        <f t="shared" si="7"/>
        <v>9.1685564047670098</v>
      </c>
      <c r="CE817" s="116">
        <f t="shared" si="7"/>
        <v>9.902040917148371</v>
      </c>
      <c r="CF817" s="116">
        <f t="shared" si="7"/>
        <v>10.179298062828526</v>
      </c>
      <c r="CG817" s="116">
        <f t="shared" si="7"/>
        <v>10.56611138921601</v>
      </c>
    </row>
    <row r="818" spans="1:85">
      <c r="A818" s="3"/>
      <c r="B818" s="114">
        <v>1957</v>
      </c>
      <c r="C818" s="114"/>
      <c r="D818" s="3"/>
      <c r="E818" s="117"/>
      <c r="F818" s="117"/>
      <c r="G818" s="117"/>
      <c r="H818" s="117"/>
      <c r="I818" s="117"/>
      <c r="J818" s="117"/>
      <c r="K818" s="117"/>
      <c r="L818" s="117"/>
      <c r="M818" s="117"/>
      <c r="N818" s="117"/>
      <c r="O818" s="117"/>
      <c r="P818" s="115">
        <v>1</v>
      </c>
      <c r="Q818" s="116">
        <f t="shared" si="3"/>
        <v>1.0172632647880173</v>
      </c>
      <c r="R818" s="116">
        <f t="shared" si="3"/>
        <v>1.0258948971820261</v>
      </c>
      <c r="S818" s="116">
        <f t="shared" si="3"/>
        <v>1.0520436659050521</v>
      </c>
      <c r="T818" s="116">
        <f t="shared" si="3"/>
        <v>1.0695608022340697</v>
      </c>
      <c r="U818" s="116">
        <f t="shared" si="3"/>
        <v>1.0901243970550902</v>
      </c>
      <c r="V818" s="116">
        <f t="shared" si="3"/>
        <v>1.131759329779132</v>
      </c>
      <c r="W818" s="116">
        <f t="shared" si="3"/>
        <v>1.1532627570449354</v>
      </c>
      <c r="X818" s="116">
        <f t="shared" si="4"/>
        <v>1.2501368286367101</v>
      </c>
      <c r="Y818" s="116">
        <f t="shared" si="4"/>
        <v>1.3038927122680886</v>
      </c>
      <c r="Z818" s="116">
        <f t="shared" si="4"/>
        <v>1.3795184895796377</v>
      </c>
      <c r="AA818" s="116">
        <f t="shared" si="4"/>
        <v>1.4333197106732436</v>
      </c>
      <c r="AB818" s="116">
        <f t="shared" si="4"/>
        <v>1.4806192611254605</v>
      </c>
      <c r="AC818" s="116">
        <f t="shared" si="4"/>
        <v>1.5827819901431173</v>
      </c>
      <c r="AD818" s="116">
        <f t="shared" si="4"/>
        <v>1.6682522176108456</v>
      </c>
      <c r="AE818" s="116">
        <f t="shared" si="4"/>
        <v>1.7950393861492699</v>
      </c>
      <c r="AF818" s="116">
        <f t="shared" si="4"/>
        <v>1.9278723007243161</v>
      </c>
      <c r="AG818" s="116">
        <f t="shared" si="4"/>
        <v>2.0840299570829859</v>
      </c>
      <c r="AH818" s="116">
        <f t="shared" si="4"/>
        <v>2.2882648928771188</v>
      </c>
      <c r="AI818" s="116">
        <f t="shared" si="4"/>
        <v>2.5331092364149703</v>
      </c>
      <c r="AJ818" s="116">
        <f t="shared" si="4"/>
        <v>2.7433573030374125</v>
      </c>
      <c r="AK818" s="116">
        <f t="shared" si="4"/>
        <v>2.9299055996439569</v>
      </c>
      <c r="AL818" s="116">
        <f t="shared" si="4"/>
        <v>3.0529616348290034</v>
      </c>
      <c r="AM818" s="116">
        <f t="shared" si="4"/>
        <v>3.1689741769525055</v>
      </c>
      <c r="AN818" s="116">
        <f t="shared" si="5"/>
        <v>3.3939713435161334</v>
      </c>
      <c r="AO818" s="116">
        <f t="shared" si="5"/>
        <v>3.611185509501166</v>
      </c>
      <c r="AP818" s="116">
        <f t="shared" si="5"/>
        <v>3.8242454545617348</v>
      </c>
      <c r="AQ818" s="116">
        <f t="shared" si="5"/>
        <v>3.9236758363803399</v>
      </c>
      <c r="AR818" s="116">
        <f t="shared" si="5"/>
        <v>4.0335387597989891</v>
      </c>
      <c r="AS818" s="116">
        <f t="shared" si="5"/>
        <v>4.1263101512743656</v>
      </c>
      <c r="AT818" s="116">
        <f t="shared" si="5"/>
        <v>4.1056786005179937</v>
      </c>
      <c r="AU818" s="116">
        <f t="shared" si="5"/>
        <v>4.1138899577190298</v>
      </c>
      <c r="AV818" s="116">
        <f t="shared" si="5"/>
        <v>4.1509149673385002</v>
      </c>
      <c r="AW818" s="116">
        <f t="shared" si="5"/>
        <v>4.196575031979223</v>
      </c>
      <c r="AX818" s="116">
        <f t="shared" si="5"/>
        <v>4.2972928327467246</v>
      </c>
      <c r="AY818" s="116">
        <f t="shared" si="5"/>
        <v>4.4949683030530743</v>
      </c>
      <c r="AZ818" s="116">
        <f t="shared" si="5"/>
        <v>4.6522921936599317</v>
      </c>
      <c r="BA818" s="116">
        <f t="shared" si="5"/>
        <v>4.7453380375331307</v>
      </c>
      <c r="BB818" s="116">
        <f t="shared" si="5"/>
        <v>4.868716826508992</v>
      </c>
      <c r="BC818" s="116">
        <f t="shared" si="5"/>
        <v>4.9417475789066261</v>
      </c>
      <c r="BD818" s="116">
        <f t="shared" si="6"/>
        <v>5.0356407829058512</v>
      </c>
      <c r="BE818" s="116">
        <f t="shared" si="6"/>
        <v>5.1665674432614033</v>
      </c>
      <c r="BF818" s="116">
        <f t="shared" si="6"/>
        <v>5.2543990897968467</v>
      </c>
      <c r="BG818" s="116">
        <f t="shared" si="6"/>
        <v>5.3910134661315645</v>
      </c>
      <c r="BH818" s="116">
        <f t="shared" si="6"/>
        <v>5.5257888027848532</v>
      </c>
      <c r="BI818" s="116">
        <f t="shared" si="6"/>
        <v>5.7855008765157407</v>
      </c>
      <c r="BJ818" s="116">
        <f t="shared" si="6"/>
        <v>5.9764224054407595</v>
      </c>
      <c r="BK818" s="116">
        <f t="shared" si="6"/>
        <v>6.1019272759550152</v>
      </c>
      <c r="BL818" s="116">
        <f t="shared" si="6"/>
        <v>6.16904847599052</v>
      </c>
      <c r="BM818" s="116">
        <f t="shared" si="6"/>
        <v>6.2800913485583498</v>
      </c>
      <c r="BN818" s="116">
        <f t="shared" si="6"/>
        <v>6.3680126274381665</v>
      </c>
      <c r="BO818" s="116">
        <f t="shared" si="6"/>
        <v>6.4380607663399854</v>
      </c>
      <c r="BP818" s="116">
        <f t="shared" si="6"/>
        <v>6.6440787108628649</v>
      </c>
      <c r="BQ818" s="116">
        <f t="shared" si="6"/>
        <v>6.6640109469954529</v>
      </c>
      <c r="BR818" s="116">
        <f t="shared" si="6"/>
        <v>6.7639711112003837</v>
      </c>
      <c r="BS818" s="116">
        <f t="shared" si="6"/>
        <v>6.9398343600915942</v>
      </c>
      <c r="BT818" s="116">
        <f t="shared" si="7"/>
        <v>7.0994505503737004</v>
      </c>
      <c r="BU818" s="116">
        <f t="shared" si="7"/>
        <v>7.2982351657841642</v>
      </c>
      <c r="BV818" s="116">
        <f t="shared" si="7"/>
        <v>7.3712175174420063</v>
      </c>
      <c r="BW818" s="116">
        <f t="shared" si="7"/>
        <v>7.430187257581542</v>
      </c>
      <c r="BX818" s="116">
        <f t="shared" si="7"/>
        <v>7.4450476320967054</v>
      </c>
      <c r="BY818" s="116">
        <f t="shared" si="7"/>
        <v>7.5492782989460592</v>
      </c>
      <c r="BZ818" s="116">
        <f t="shared" si="7"/>
        <v>7.6398696385334119</v>
      </c>
      <c r="CA818" s="116">
        <f t="shared" si="7"/>
        <v>7.838506249135281</v>
      </c>
      <c r="CB818" s="116">
        <f t="shared" si="7"/>
        <v>7.9639223491214457</v>
      </c>
      <c r="CC818" s="116">
        <f t="shared" si="7"/>
        <v>8.1072729514056316</v>
      </c>
      <c r="CD818" s="116">
        <f t="shared" si="7"/>
        <v>8.6099238743927806</v>
      </c>
      <c r="CE818" s="116">
        <f t="shared" si="7"/>
        <v>9.2987177843442037</v>
      </c>
      <c r="CF818" s="116">
        <f t="shared" si="7"/>
        <v>9.5590818823058417</v>
      </c>
      <c r="CG818" s="116">
        <f t="shared" si="7"/>
        <v>9.9223269938334635</v>
      </c>
    </row>
    <row r="819" spans="1:85">
      <c r="A819" s="3"/>
      <c r="B819" s="114">
        <v>1958</v>
      </c>
      <c r="C819" s="114"/>
      <c r="D819" s="3"/>
      <c r="E819" s="117"/>
      <c r="F819" s="117"/>
      <c r="G819" s="117"/>
      <c r="H819" s="117"/>
      <c r="I819" s="117"/>
      <c r="J819" s="117"/>
      <c r="K819" s="117"/>
      <c r="L819" s="117"/>
      <c r="M819" s="117"/>
      <c r="N819" s="117"/>
      <c r="O819" s="117"/>
      <c r="P819" s="117"/>
      <c r="Q819" s="115">
        <v>1</v>
      </c>
      <c r="R819" s="116">
        <f t="shared" si="3"/>
        <v>1.0084851509857751</v>
      </c>
      <c r="S819" s="116">
        <f t="shared" si="3"/>
        <v>1.0341901672073872</v>
      </c>
      <c r="T819" s="116">
        <f t="shared" si="3"/>
        <v>1.0514100324432247</v>
      </c>
      <c r="U819" s="116">
        <f t="shared" si="3"/>
        <v>1.0716246568505119</v>
      </c>
      <c r="V819" s="116">
        <f t="shared" si="3"/>
        <v>1.1125530321936614</v>
      </c>
      <c r="W819" s="116">
        <f t="shared" si="3"/>
        <v>1.1336915398053409</v>
      </c>
      <c r="X819" s="116">
        <f t="shared" si="4"/>
        <v>1.2289216291489895</v>
      </c>
      <c r="Y819" s="116">
        <f t="shared" si="4"/>
        <v>1.281765259202396</v>
      </c>
      <c r="Z819" s="116">
        <f t="shared" si="4"/>
        <v>1.3561076442361351</v>
      </c>
      <c r="AA819" s="116">
        <f t="shared" si="4"/>
        <v>1.4089958423613442</v>
      </c>
      <c r="AB819" s="116">
        <f t="shared" si="4"/>
        <v>1.4554927051592685</v>
      </c>
      <c r="AC819" s="116">
        <f t="shared" si="4"/>
        <v>1.555921701815258</v>
      </c>
      <c r="AD819" s="116">
        <f t="shared" si="4"/>
        <v>1.639941473713282</v>
      </c>
      <c r="AE819" s="116">
        <f t="shared" si="4"/>
        <v>1.7645770257154916</v>
      </c>
      <c r="AF819" s="116">
        <f t="shared" si="4"/>
        <v>1.8951557256184381</v>
      </c>
      <c r="AG819" s="116">
        <f t="shared" si="4"/>
        <v>2.0486633393935314</v>
      </c>
      <c r="AH819" s="116">
        <f t="shared" si="4"/>
        <v>2.2494323466540975</v>
      </c>
      <c r="AI819" s="116">
        <f t="shared" si="4"/>
        <v>2.4901216077460857</v>
      </c>
      <c r="AJ819" s="116">
        <f t="shared" si="4"/>
        <v>2.6968017011890106</v>
      </c>
      <c r="AK819" s="116">
        <f t="shared" si="4"/>
        <v>2.8801842168698637</v>
      </c>
      <c r="AL819" s="116">
        <f t="shared" si="4"/>
        <v>3.0011519539783982</v>
      </c>
      <c r="AM819" s="116">
        <f t="shared" si="4"/>
        <v>3.1151957282295775</v>
      </c>
      <c r="AN819" s="116">
        <f t="shared" si="5"/>
        <v>3.3363746249338773</v>
      </c>
      <c r="AO819" s="116">
        <f t="shared" si="5"/>
        <v>3.5499026009296455</v>
      </c>
      <c r="AP819" s="116">
        <f t="shared" si="5"/>
        <v>3.7593468543844946</v>
      </c>
      <c r="AQ819" s="116">
        <f t="shared" si="5"/>
        <v>3.8570898725984915</v>
      </c>
      <c r="AR819" s="116">
        <f t="shared" si="5"/>
        <v>3.9650883890312492</v>
      </c>
      <c r="AS819" s="116">
        <f t="shared" si="5"/>
        <v>4.0562854219789672</v>
      </c>
      <c r="AT819" s="116">
        <f t="shared" si="5"/>
        <v>4.0360039948690725</v>
      </c>
      <c r="AU819" s="116">
        <f t="shared" si="5"/>
        <v>4.0440760028588105</v>
      </c>
      <c r="AV819" s="116">
        <f t="shared" si="5"/>
        <v>4.0804726868845398</v>
      </c>
      <c r="AW819" s="116">
        <f t="shared" si="5"/>
        <v>4.1253578864402689</v>
      </c>
      <c r="AX819" s="116">
        <f t="shared" si="5"/>
        <v>4.2243664757148354</v>
      </c>
      <c r="AY819" s="116">
        <f t="shared" si="5"/>
        <v>4.4186873335977177</v>
      </c>
      <c r="AZ819" s="116">
        <f t="shared" si="5"/>
        <v>4.5733413902736375</v>
      </c>
      <c r="BA819" s="116">
        <f t="shared" si="5"/>
        <v>4.6648082180791102</v>
      </c>
      <c r="BB819" s="116">
        <f t="shared" si="5"/>
        <v>4.7860932317491676</v>
      </c>
      <c r="BC819" s="116">
        <f t="shared" si="5"/>
        <v>4.8578846302254046</v>
      </c>
      <c r="BD819" s="116">
        <f t="shared" si="6"/>
        <v>4.9501844381996865</v>
      </c>
      <c r="BE819" s="116">
        <f t="shared" si="6"/>
        <v>5.0788892335928786</v>
      </c>
      <c r="BF819" s="116">
        <f t="shared" si="6"/>
        <v>5.1652303505639567</v>
      </c>
      <c r="BG819" s="116">
        <f t="shared" si="6"/>
        <v>5.2995263396786196</v>
      </c>
      <c r="BH819" s="116">
        <f t="shared" si="6"/>
        <v>5.4320144981705845</v>
      </c>
      <c r="BI819" s="116">
        <f t="shared" si="6"/>
        <v>5.6873191795846019</v>
      </c>
      <c r="BJ819" s="116">
        <f t="shared" si="6"/>
        <v>5.875000712510893</v>
      </c>
      <c r="BK819" s="116">
        <f t="shared" si="6"/>
        <v>5.9983757274736211</v>
      </c>
      <c r="BL819" s="116">
        <f t="shared" si="6"/>
        <v>6.0643578604758304</v>
      </c>
      <c r="BM819" s="116">
        <f t="shared" si="6"/>
        <v>6.173516301964395</v>
      </c>
      <c r="BN819" s="116">
        <f t="shared" si="6"/>
        <v>6.2599455301918967</v>
      </c>
      <c r="BO819" s="116">
        <f t="shared" si="6"/>
        <v>6.3288049310240071</v>
      </c>
      <c r="BP819" s="116">
        <f t="shared" si="6"/>
        <v>6.5313266888167751</v>
      </c>
      <c r="BQ819" s="116">
        <f t="shared" si="6"/>
        <v>6.5509206688832249</v>
      </c>
      <c r="BR819" s="116">
        <f t="shared" si="6"/>
        <v>6.6491844789164727</v>
      </c>
      <c r="BS819" s="116">
        <f t="shared" si="6"/>
        <v>6.8220632753683015</v>
      </c>
      <c r="BT819" s="116">
        <f t="shared" si="7"/>
        <v>6.9789707307017714</v>
      </c>
      <c r="BU819" s="116">
        <f t="shared" si="7"/>
        <v>7.1743819111614213</v>
      </c>
      <c r="BV819" s="116">
        <f t="shared" si="7"/>
        <v>7.246125730273036</v>
      </c>
      <c r="BW819" s="116">
        <f t="shared" si="7"/>
        <v>7.3040947361152204</v>
      </c>
      <c r="BX819" s="116">
        <f t="shared" si="7"/>
        <v>7.3187029255874512</v>
      </c>
      <c r="BY819" s="116">
        <f t="shared" si="7"/>
        <v>7.4211647665456759</v>
      </c>
      <c r="BZ819" s="116">
        <f t="shared" si="7"/>
        <v>7.5102187437442245</v>
      </c>
      <c r="CA819" s="116">
        <f t="shared" si="7"/>
        <v>7.7054844310815742</v>
      </c>
      <c r="CB819" s="116">
        <f t="shared" si="7"/>
        <v>7.8287721819788798</v>
      </c>
      <c r="CC819" s="116">
        <f t="shared" si="7"/>
        <v>7.9696900812545</v>
      </c>
      <c r="CD819" s="116">
        <f t="shared" si="7"/>
        <v>8.4638108662922793</v>
      </c>
      <c r="CE819" s="116">
        <f t="shared" si="7"/>
        <v>9.1409157355956623</v>
      </c>
      <c r="CF819" s="116">
        <f t="shared" si="7"/>
        <v>9.3968613761923407</v>
      </c>
      <c r="CG819" s="116">
        <f t="shared" si="7"/>
        <v>9.7539421084876494</v>
      </c>
    </row>
    <row r="820" spans="1:85">
      <c r="A820" s="3"/>
      <c r="B820" s="114">
        <v>1959</v>
      </c>
      <c r="C820" s="114"/>
      <c r="D820" s="3"/>
      <c r="E820" s="117"/>
      <c r="F820" s="117"/>
      <c r="G820" s="117"/>
      <c r="H820" s="117"/>
      <c r="I820" s="117"/>
      <c r="J820" s="117"/>
      <c r="K820" s="117"/>
      <c r="L820" s="117"/>
      <c r="M820" s="117"/>
      <c r="N820" s="117"/>
      <c r="O820" s="117"/>
      <c r="P820" s="117"/>
      <c r="Q820" s="117"/>
      <c r="R820" s="115">
        <v>1</v>
      </c>
      <c r="S820" s="116">
        <f t="shared" si="3"/>
        <v>1.0254887404107893</v>
      </c>
      <c r="T820" s="116">
        <f t="shared" si="3"/>
        <v>1.0425637218510271</v>
      </c>
      <c r="U820" s="116">
        <f t="shared" si="3"/>
        <v>1.062608265280871</v>
      </c>
      <c r="V820" s="116">
        <f t="shared" si="3"/>
        <v>1.1031922791388271</v>
      </c>
      <c r="W820" s="116">
        <f t="shared" si="3"/>
        <v>1.1241529324424648</v>
      </c>
      <c r="X820" s="116">
        <f t="shared" si="4"/>
        <v>1.2185817787676321</v>
      </c>
      <c r="Y820" s="116">
        <f t="shared" si="4"/>
        <v>1.2709807952546401</v>
      </c>
      <c r="Z820" s="116">
        <f t="shared" si="4"/>
        <v>1.3446976813794094</v>
      </c>
      <c r="AA820" s="116">
        <f t="shared" si="4"/>
        <v>1.3971408909532061</v>
      </c>
      <c r="AB820" s="116">
        <f t="shared" si="4"/>
        <v>1.4432465403546619</v>
      </c>
      <c r="AC820" s="116">
        <f t="shared" si="4"/>
        <v>1.5428305516391336</v>
      </c>
      <c r="AD820" s="116">
        <f t="shared" si="4"/>
        <v>1.626143401427647</v>
      </c>
      <c r="AE820" s="116">
        <f t="shared" si="4"/>
        <v>1.7497302999361484</v>
      </c>
      <c r="AF820" s="116">
        <f t="shared" si="4"/>
        <v>1.8792103421314235</v>
      </c>
      <c r="AG820" s="116">
        <f t="shared" si="4"/>
        <v>2.0314263798440688</v>
      </c>
      <c r="AH820" s="116">
        <f t="shared" si="4"/>
        <v>2.2305061650687876</v>
      </c>
      <c r="AI820" s="116">
        <f t="shared" si="4"/>
        <v>2.4691703247311478</v>
      </c>
      <c r="AJ820" s="116">
        <f t="shared" si="4"/>
        <v>2.6741114616838328</v>
      </c>
      <c r="AK820" s="116">
        <f t="shared" si="4"/>
        <v>2.8559510410783338</v>
      </c>
      <c r="AL820" s="116">
        <f t="shared" si="4"/>
        <v>2.9759009848036237</v>
      </c>
      <c r="AM820" s="116">
        <f t="shared" si="4"/>
        <v>3.0889852222261616</v>
      </c>
      <c r="AN820" s="116">
        <f t="shared" si="5"/>
        <v>3.3083031730042189</v>
      </c>
      <c r="AO820" s="116">
        <f t="shared" si="5"/>
        <v>3.5200345760764891</v>
      </c>
      <c r="AP820" s="116">
        <f t="shared" si="5"/>
        <v>3.7277166160650017</v>
      </c>
      <c r="AQ820" s="116">
        <f t="shared" si="5"/>
        <v>3.8246372480826918</v>
      </c>
      <c r="AR820" s="116">
        <f t="shared" si="5"/>
        <v>3.9317270910290074</v>
      </c>
      <c r="AS820" s="116">
        <f t="shared" si="5"/>
        <v>4.022156814122674</v>
      </c>
      <c r="AT820" s="116">
        <f t="shared" si="5"/>
        <v>4.0020460300520604</v>
      </c>
      <c r="AU820" s="116">
        <f t="shared" si="5"/>
        <v>4.0100501221121645</v>
      </c>
      <c r="AV820" s="116">
        <f t="shared" si="5"/>
        <v>4.0461405732111739</v>
      </c>
      <c r="AW820" s="116">
        <f t="shared" si="5"/>
        <v>4.0906481195164961</v>
      </c>
      <c r="AX820" s="116">
        <f t="shared" si="5"/>
        <v>4.1888236743848921</v>
      </c>
      <c r="AY820" s="116">
        <f t="shared" si="5"/>
        <v>4.3815095634065973</v>
      </c>
      <c r="AZ820" s="116">
        <f t="shared" si="5"/>
        <v>4.5348623981258278</v>
      </c>
      <c r="BA820" s="116">
        <f t="shared" si="5"/>
        <v>4.6255596460883446</v>
      </c>
      <c r="BB820" s="116">
        <f t="shared" si="5"/>
        <v>4.7458241968866419</v>
      </c>
      <c r="BC820" s="116">
        <f t="shared" si="5"/>
        <v>4.8170115598399414</v>
      </c>
      <c r="BD820" s="116">
        <f t="shared" si="6"/>
        <v>4.9085347794769003</v>
      </c>
      <c r="BE820" s="116">
        <f t="shared" si="6"/>
        <v>5.0361566837432994</v>
      </c>
      <c r="BF820" s="116">
        <f t="shared" si="6"/>
        <v>5.1217713473669351</v>
      </c>
      <c r="BG820" s="116">
        <f t="shared" si="6"/>
        <v>5.2549374023984754</v>
      </c>
      <c r="BH820" s="116">
        <f t="shared" si="6"/>
        <v>5.3863108374584368</v>
      </c>
      <c r="BI820" s="116">
        <f t="shared" si="6"/>
        <v>5.6394674468189825</v>
      </c>
      <c r="BJ820" s="116">
        <f t="shared" si="6"/>
        <v>5.8255698725640084</v>
      </c>
      <c r="BK820" s="116">
        <f t="shared" si="6"/>
        <v>5.9479068398878523</v>
      </c>
      <c r="BL820" s="116">
        <f t="shared" si="6"/>
        <v>6.013333815126618</v>
      </c>
      <c r="BM820" s="116">
        <f t="shared" si="6"/>
        <v>6.1215738237988973</v>
      </c>
      <c r="BN820" s="116">
        <f t="shared" si="6"/>
        <v>6.2072758573320819</v>
      </c>
      <c r="BO820" s="116">
        <f t="shared" si="6"/>
        <v>6.2755558917627345</v>
      </c>
      <c r="BP820" s="116">
        <f t="shared" si="6"/>
        <v>6.4763736802991421</v>
      </c>
      <c r="BQ820" s="116">
        <f t="shared" si="6"/>
        <v>6.4958028013400391</v>
      </c>
      <c r="BR820" s="116">
        <f t="shared" si="6"/>
        <v>6.5932398433601387</v>
      </c>
      <c r="BS820" s="116">
        <f t="shared" si="6"/>
        <v>6.7646640792875026</v>
      </c>
      <c r="BT820" s="116">
        <f t="shared" si="7"/>
        <v>6.9202513531111149</v>
      </c>
      <c r="BU820" s="116">
        <f t="shared" si="7"/>
        <v>7.1140183909982264</v>
      </c>
      <c r="BV820" s="116">
        <f t="shared" si="7"/>
        <v>7.1851585749082085</v>
      </c>
      <c r="BW820" s="116">
        <f t="shared" si="7"/>
        <v>7.2426398435074741</v>
      </c>
      <c r="BX820" s="116">
        <f t="shared" si="7"/>
        <v>7.2571251231944887</v>
      </c>
      <c r="BY820" s="116">
        <f t="shared" si="7"/>
        <v>7.3587248749192113</v>
      </c>
      <c r="BZ820" s="116">
        <f t="shared" si="7"/>
        <v>7.4470295734182423</v>
      </c>
      <c r="CA820" s="116">
        <f t="shared" si="7"/>
        <v>7.6406523423271171</v>
      </c>
      <c r="CB820" s="116">
        <f t="shared" si="7"/>
        <v>7.7629027798043513</v>
      </c>
      <c r="CC820" s="116">
        <f t="shared" si="7"/>
        <v>7.9026350298408294</v>
      </c>
      <c r="CD820" s="116">
        <f t="shared" si="7"/>
        <v>8.3925984016909609</v>
      </c>
      <c r="CE820" s="116">
        <f t="shared" si="7"/>
        <v>9.064006273826239</v>
      </c>
      <c r="CF820" s="116">
        <f t="shared" si="7"/>
        <v>9.3177984494933739</v>
      </c>
      <c r="CG820" s="116">
        <f t="shared" si="7"/>
        <v>9.6718747905741225</v>
      </c>
    </row>
    <row r="821" spans="1:85">
      <c r="A821" s="3"/>
      <c r="B821" s="114">
        <v>1960</v>
      </c>
      <c r="C821" s="114"/>
      <c r="D821" s="3"/>
      <c r="E821" s="117"/>
      <c r="F821" s="117"/>
      <c r="G821" s="117"/>
      <c r="H821" s="117"/>
      <c r="I821" s="117"/>
      <c r="J821" s="117"/>
      <c r="K821" s="117"/>
      <c r="L821" s="117"/>
      <c r="M821" s="117"/>
      <c r="N821" s="117"/>
      <c r="O821" s="117"/>
      <c r="P821" s="117"/>
      <c r="Q821" s="117"/>
      <c r="R821" s="117"/>
      <c r="S821" s="115">
        <v>1</v>
      </c>
      <c r="T821" s="116">
        <f t="shared" si="3"/>
        <v>1.0166505791505793</v>
      </c>
      <c r="U821" s="116">
        <f t="shared" si="3"/>
        <v>1.0361969111969114</v>
      </c>
      <c r="V821" s="116">
        <f t="shared" si="3"/>
        <v>1.075772200772201</v>
      </c>
      <c r="W821" s="116">
        <f t="shared" si="3"/>
        <v>1.0962118725868728</v>
      </c>
      <c r="X821" s="116">
        <f t="shared" si="4"/>
        <v>1.1882936698841702</v>
      </c>
      <c r="Y821" s="116">
        <f t="shared" si="4"/>
        <v>1.2393902976891895</v>
      </c>
      <c r="Z821" s="116">
        <f t="shared" si="4"/>
        <v>1.3112749349551627</v>
      </c>
      <c r="AA821" s="116">
        <f t="shared" si="4"/>
        <v>1.3624146574184139</v>
      </c>
      <c r="AB821" s="116">
        <f t="shared" si="4"/>
        <v>1.4073743411132216</v>
      </c>
      <c r="AC821" s="116">
        <f t="shared" si="4"/>
        <v>1.5044831706500339</v>
      </c>
      <c r="AD821" s="116">
        <f t="shared" si="4"/>
        <v>1.5857252618651358</v>
      </c>
      <c r="AE821" s="116">
        <f t="shared" si="4"/>
        <v>1.7062403817668863</v>
      </c>
      <c r="AF821" s="116">
        <f t="shared" si="4"/>
        <v>1.832502170017636</v>
      </c>
      <c r="AG821" s="116">
        <f t="shared" si="4"/>
        <v>1.9809348457890645</v>
      </c>
      <c r="AH821" s="116">
        <f t="shared" si="4"/>
        <v>2.1750664606763932</v>
      </c>
      <c r="AI821" s="116">
        <f t="shared" si="4"/>
        <v>2.4077985719687671</v>
      </c>
      <c r="AJ821" s="116">
        <f t="shared" si="4"/>
        <v>2.6076458534421749</v>
      </c>
      <c r="AK821" s="116">
        <f t="shared" si="4"/>
        <v>2.784965771476243</v>
      </c>
      <c r="AL821" s="116">
        <f t="shared" si="4"/>
        <v>2.9019343338782453</v>
      </c>
      <c r="AM821" s="116">
        <f t="shared" si="4"/>
        <v>3.0122078385656188</v>
      </c>
      <c r="AN821" s="116">
        <f t="shared" si="5"/>
        <v>3.2260745951037775</v>
      </c>
      <c r="AO821" s="116">
        <f t="shared" si="5"/>
        <v>3.4325433691904195</v>
      </c>
      <c r="AP821" s="116">
        <f t="shared" si="5"/>
        <v>3.6350634279726539</v>
      </c>
      <c r="AQ821" s="116">
        <f t="shared" si="5"/>
        <v>3.729575077099943</v>
      </c>
      <c r="AR821" s="116">
        <f t="shared" si="5"/>
        <v>3.8340031792587412</v>
      </c>
      <c r="AS821" s="116">
        <f t="shared" si="5"/>
        <v>3.9221852523816918</v>
      </c>
      <c r="AT821" s="116">
        <f t="shared" si="5"/>
        <v>3.9025743261197832</v>
      </c>
      <c r="AU821" s="116">
        <f t="shared" si="5"/>
        <v>3.9103794747720229</v>
      </c>
      <c r="AV821" s="116">
        <f t="shared" si="5"/>
        <v>3.9455728900449705</v>
      </c>
      <c r="AW821" s="116">
        <f t="shared" si="5"/>
        <v>3.9889741918354646</v>
      </c>
      <c r="AX821" s="116">
        <f t="shared" si="5"/>
        <v>4.0847095724395155</v>
      </c>
      <c r="AY821" s="116">
        <f t="shared" si="5"/>
        <v>4.2726062127717332</v>
      </c>
      <c r="AZ821" s="116">
        <f t="shared" si="5"/>
        <v>4.422147430218744</v>
      </c>
      <c r="BA821" s="116">
        <f t="shared" si="5"/>
        <v>4.5105903788231192</v>
      </c>
      <c r="BB821" s="116">
        <f t="shared" si="5"/>
        <v>4.6278657286725204</v>
      </c>
      <c r="BC821" s="116">
        <f t="shared" si="5"/>
        <v>4.6972837146026079</v>
      </c>
      <c r="BD821" s="116">
        <f t="shared" si="6"/>
        <v>4.7865321051800569</v>
      </c>
      <c r="BE821" s="116">
        <f t="shared" si="6"/>
        <v>4.9109819399147385</v>
      </c>
      <c r="BF821" s="116">
        <f t="shared" si="6"/>
        <v>4.9944686328932884</v>
      </c>
      <c r="BG821" s="116">
        <f t="shared" si="6"/>
        <v>5.1243248173485139</v>
      </c>
      <c r="BH821" s="116">
        <f t="shared" si="6"/>
        <v>5.2524329377822259</v>
      </c>
      <c r="BI821" s="116">
        <f t="shared" si="6"/>
        <v>5.49929728585799</v>
      </c>
      <c r="BJ821" s="116">
        <f t="shared" si="6"/>
        <v>5.6807740962913034</v>
      </c>
      <c r="BK821" s="116">
        <f t="shared" si="6"/>
        <v>5.8000703523134201</v>
      </c>
      <c r="BL821" s="116">
        <f t="shared" si="6"/>
        <v>5.863871126188867</v>
      </c>
      <c r="BM821" s="116">
        <f t="shared" si="6"/>
        <v>5.969420806460267</v>
      </c>
      <c r="BN821" s="116">
        <f t="shared" si="6"/>
        <v>6.0529926977507111</v>
      </c>
      <c r="BO821" s="116">
        <f t="shared" si="6"/>
        <v>6.1195756174259683</v>
      </c>
      <c r="BP821" s="116">
        <f t="shared" si="6"/>
        <v>6.3154020371835999</v>
      </c>
      <c r="BQ821" s="116">
        <f t="shared" si="6"/>
        <v>6.3343482432951497</v>
      </c>
      <c r="BR821" s="116">
        <f t="shared" si="6"/>
        <v>6.4293634669445767</v>
      </c>
      <c r="BS821" s="116">
        <f t="shared" si="6"/>
        <v>6.5965269170851357</v>
      </c>
      <c r="BT821" s="116">
        <f t="shared" si="7"/>
        <v>6.7482470361780935</v>
      </c>
      <c r="BU821" s="116">
        <f t="shared" si="7"/>
        <v>6.9371979531910801</v>
      </c>
      <c r="BV821" s="116">
        <f t="shared" si="7"/>
        <v>7.0065699327229911</v>
      </c>
      <c r="BW821" s="116">
        <f t="shared" si="7"/>
        <v>7.0626224921847749</v>
      </c>
      <c r="BX821" s="116">
        <f t="shared" si="7"/>
        <v>7.0767477371691445</v>
      </c>
      <c r="BY821" s="116">
        <f t="shared" si="7"/>
        <v>7.1758222054895127</v>
      </c>
      <c r="BZ821" s="116">
        <f t="shared" si="7"/>
        <v>7.2619320719553873</v>
      </c>
      <c r="CA821" s="116">
        <f t="shared" si="7"/>
        <v>7.4507423058262274</v>
      </c>
      <c r="CB821" s="116">
        <f t="shared" si="7"/>
        <v>7.5699541827194468</v>
      </c>
      <c r="CC821" s="116">
        <f t="shared" si="7"/>
        <v>7.7062133580083971</v>
      </c>
      <c r="CD821" s="116">
        <f t="shared" si="7"/>
        <v>8.1839985862049183</v>
      </c>
      <c r="CE821" s="116">
        <f t="shared" si="7"/>
        <v>8.8387184731013129</v>
      </c>
      <c r="CF821" s="116">
        <f t="shared" si="7"/>
        <v>9.0862025903481491</v>
      </c>
      <c r="CG821" s="116">
        <f t="shared" si="7"/>
        <v>9.4314782887813795</v>
      </c>
    </row>
    <row r="822" spans="1:85">
      <c r="A822" s="3"/>
      <c r="B822" s="114">
        <v>1961</v>
      </c>
      <c r="C822" s="114"/>
      <c r="D822" s="3"/>
      <c r="E822" s="117"/>
      <c r="F822" s="117"/>
      <c r="G822" s="117"/>
      <c r="H822" s="117"/>
      <c r="I822" s="117"/>
      <c r="J822" s="117"/>
      <c r="K822" s="117"/>
      <c r="L822" s="117"/>
      <c r="M822" s="117"/>
      <c r="N822" s="117"/>
      <c r="O822" s="117"/>
      <c r="P822" s="117"/>
      <c r="Q822" s="117"/>
      <c r="R822" s="117"/>
      <c r="S822" s="117"/>
      <c r="T822" s="115">
        <v>1</v>
      </c>
      <c r="U822" s="116">
        <f t="shared" si="3"/>
        <v>1.0192262046047946</v>
      </c>
      <c r="V822" s="116">
        <f t="shared" si="3"/>
        <v>1.058153334915737</v>
      </c>
      <c r="W822" s="116">
        <f t="shared" si="3"/>
        <v>1.0782582482791359</v>
      </c>
      <c r="X822" s="116">
        <f t="shared" si="4"/>
        <v>1.1688319411345833</v>
      </c>
      <c r="Y822" s="116">
        <f t="shared" si="4"/>
        <v>1.2190917146033704</v>
      </c>
      <c r="Z822" s="116">
        <f t="shared" si="4"/>
        <v>1.289799034050366</v>
      </c>
      <c r="AA822" s="116">
        <f t="shared" si="4"/>
        <v>1.3401011963783303</v>
      </c>
      <c r="AB822" s="116">
        <f t="shared" si="4"/>
        <v>1.384324535858815</v>
      </c>
      <c r="AC822" s="116">
        <f t="shared" si="4"/>
        <v>1.4798429288330732</v>
      </c>
      <c r="AD822" s="116">
        <f t="shared" si="4"/>
        <v>1.5597544469900593</v>
      </c>
      <c r="AE822" s="116">
        <f t="shared" si="4"/>
        <v>1.6782957849613038</v>
      </c>
      <c r="AF822" s="116">
        <f t="shared" si="4"/>
        <v>1.8024896730484403</v>
      </c>
      <c r="AG822" s="116">
        <f t="shared" si="4"/>
        <v>1.948491336565364</v>
      </c>
      <c r="AH822" s="116">
        <f t="shared" si="4"/>
        <v>2.1394434875487698</v>
      </c>
      <c r="AI822" s="116">
        <f t="shared" si="4"/>
        <v>2.3683639407164883</v>
      </c>
      <c r="AJ822" s="116">
        <f t="shared" si="4"/>
        <v>2.5649381477959565</v>
      </c>
      <c r="AK822" s="116">
        <f t="shared" si="4"/>
        <v>2.7393539418460819</v>
      </c>
      <c r="AL822" s="116">
        <f t="shared" si="4"/>
        <v>2.8544068074036173</v>
      </c>
      <c r="AM822" s="116">
        <f t="shared" si="4"/>
        <v>2.9628742660849547</v>
      </c>
      <c r="AN822" s="116">
        <f t="shared" si="5"/>
        <v>3.1732383389769865</v>
      </c>
      <c r="AO822" s="116">
        <f t="shared" si="5"/>
        <v>3.3763255926715137</v>
      </c>
      <c r="AP822" s="116">
        <f t="shared" si="5"/>
        <v>3.5755288026391328</v>
      </c>
      <c r="AQ822" s="116">
        <f t="shared" si="5"/>
        <v>3.6684925515077502</v>
      </c>
      <c r="AR822" s="116">
        <f t="shared" si="5"/>
        <v>3.7712103429499675</v>
      </c>
      <c r="AS822" s="116">
        <f t="shared" si="5"/>
        <v>3.8579481808378162</v>
      </c>
      <c r="AT822" s="116">
        <f t="shared" si="5"/>
        <v>3.838658439933627</v>
      </c>
      <c r="AU822" s="116">
        <f t="shared" si="5"/>
        <v>3.8463357568134944</v>
      </c>
      <c r="AV822" s="116">
        <f t="shared" si="5"/>
        <v>3.8809527786248155</v>
      </c>
      <c r="AW822" s="116">
        <f t="shared" si="5"/>
        <v>3.9236432591896881</v>
      </c>
      <c r="AX822" s="116">
        <f t="shared" si="5"/>
        <v>4.0178106974102406</v>
      </c>
      <c r="AY822" s="116">
        <f t="shared" si="5"/>
        <v>4.2026299894911121</v>
      </c>
      <c r="AZ822" s="116">
        <f t="shared" si="5"/>
        <v>4.3497220391233009</v>
      </c>
      <c r="BA822" s="116">
        <f t="shared" si="5"/>
        <v>4.4367164799057672</v>
      </c>
      <c r="BB822" s="116">
        <f t="shared" si="5"/>
        <v>4.5520711083833172</v>
      </c>
      <c r="BC822" s="116">
        <f t="shared" ref="BC822:BQ822" si="8">BB822*BC$804</f>
        <v>4.6203521750090664</v>
      </c>
      <c r="BD822" s="116">
        <f t="shared" si="8"/>
        <v>4.7081388663342381</v>
      </c>
      <c r="BE822" s="116">
        <f t="shared" si="8"/>
        <v>4.830550476858928</v>
      </c>
      <c r="BF822" s="116">
        <f t="shared" si="8"/>
        <v>4.9126698349655289</v>
      </c>
      <c r="BG822" s="116">
        <f t="shared" si="8"/>
        <v>5.0403992506746329</v>
      </c>
      <c r="BH822" s="116">
        <f t="shared" si="8"/>
        <v>5.1664092319414987</v>
      </c>
      <c r="BI822" s="116">
        <f t="shared" si="8"/>
        <v>5.4092304658427484</v>
      </c>
      <c r="BJ822" s="116">
        <f t="shared" si="8"/>
        <v>5.5877350712155582</v>
      </c>
      <c r="BK822" s="116">
        <f t="shared" si="8"/>
        <v>5.705077507711084</v>
      </c>
      <c r="BL822" s="116">
        <f t="shared" si="8"/>
        <v>5.7678333602959055</v>
      </c>
      <c r="BM822" s="116">
        <f t="shared" si="8"/>
        <v>5.8716543607812319</v>
      </c>
      <c r="BN822" s="116">
        <f t="shared" si="8"/>
        <v>5.9538575218321697</v>
      </c>
      <c r="BO822" s="116">
        <f t="shared" si="8"/>
        <v>6.0193499545723226</v>
      </c>
      <c r="BP822" s="116">
        <f t="shared" si="8"/>
        <v>6.2119691531186367</v>
      </c>
      <c r="BQ822" s="116">
        <f t="shared" si="8"/>
        <v>6.2306050605779921</v>
      </c>
      <c r="BR822" s="116">
        <f t="shared" si="6"/>
        <v>6.324064136486661</v>
      </c>
      <c r="BS822" s="116">
        <f t="shared" si="6"/>
        <v>6.4884898040353143</v>
      </c>
      <c r="BT822" s="116">
        <f t="shared" si="7"/>
        <v>6.637725069528126</v>
      </c>
      <c r="BU822" s="116">
        <f t="shared" si="7"/>
        <v>6.8235813714749138</v>
      </c>
      <c r="BV822" s="116">
        <f t="shared" si="7"/>
        <v>6.8918171851896632</v>
      </c>
      <c r="BW822" s="116">
        <f t="shared" si="7"/>
        <v>6.946951722671181</v>
      </c>
      <c r="BX822" s="116">
        <f t="shared" si="7"/>
        <v>6.960845626116523</v>
      </c>
      <c r="BY822" s="116">
        <f t="shared" si="7"/>
        <v>7.0582974648821546</v>
      </c>
      <c r="BZ822" s="116">
        <f t="shared" si="7"/>
        <v>7.1429970344607403</v>
      </c>
      <c r="CA822" s="116">
        <f t="shared" si="7"/>
        <v>7.3287149573567199</v>
      </c>
      <c r="CB822" s="116">
        <f t="shared" si="7"/>
        <v>7.4459743966744272</v>
      </c>
      <c r="CC822" s="116">
        <f t="shared" si="7"/>
        <v>7.5800019358145674</v>
      </c>
      <c r="CD822" s="116">
        <f t="shared" si="7"/>
        <v>8.0499620558350706</v>
      </c>
      <c r="CE822" s="116">
        <f t="shared" si="7"/>
        <v>8.6939590203018771</v>
      </c>
      <c r="CF822" s="116">
        <f t="shared" si="7"/>
        <v>8.9373898728703303</v>
      </c>
      <c r="CG822" s="116">
        <f t="shared" si="7"/>
        <v>9.2770106880394039</v>
      </c>
    </row>
    <row r="823" spans="1:85">
      <c r="A823" s="3"/>
      <c r="B823" s="114">
        <v>1962</v>
      </c>
      <c r="C823" s="114"/>
      <c r="D823" s="3"/>
      <c r="E823" s="117"/>
      <c r="F823" s="117"/>
      <c r="G823" s="117"/>
      <c r="H823" s="117"/>
      <c r="I823" s="117"/>
      <c r="J823" s="117"/>
      <c r="K823" s="117"/>
      <c r="L823" s="117"/>
      <c r="M823" s="117"/>
      <c r="N823" s="117"/>
      <c r="O823" s="117"/>
      <c r="P823" s="117"/>
      <c r="Q823" s="117"/>
      <c r="R823" s="117"/>
      <c r="S823" s="117"/>
      <c r="T823" s="117"/>
      <c r="U823" s="115">
        <v>1</v>
      </c>
      <c r="V823" s="116">
        <f t="shared" ref="V823:AK838" si="9">U823*V$804</f>
        <v>1.0381928272007452</v>
      </c>
      <c r="W823" s="116">
        <f t="shared" si="9"/>
        <v>1.0579184909175594</v>
      </c>
      <c r="X823" s="116">
        <f t="shared" si="9"/>
        <v>1.1467836441546344</v>
      </c>
      <c r="Y823" s="116">
        <f t="shared" si="9"/>
        <v>1.1960953408532835</v>
      </c>
      <c r="Z823" s="116">
        <f t="shared" si="9"/>
        <v>1.2654688706227739</v>
      </c>
      <c r="AA823" s="116">
        <f t="shared" si="9"/>
        <v>1.3148221565770619</v>
      </c>
      <c r="AB823" s="116">
        <f t="shared" si="9"/>
        <v>1.3582112877441048</v>
      </c>
      <c r="AC823" s="116">
        <f t="shared" si="9"/>
        <v>1.4519278665984481</v>
      </c>
      <c r="AD823" s="116">
        <f t="shared" si="9"/>
        <v>1.5303319713947643</v>
      </c>
      <c r="AE823" s="116">
        <f t="shared" si="9"/>
        <v>1.6466372012207664</v>
      </c>
      <c r="AF823" s="116">
        <f t="shared" si="9"/>
        <v>1.7684883541111032</v>
      </c>
      <c r="AG823" s="116">
        <f t="shared" si="9"/>
        <v>1.9117359107941025</v>
      </c>
      <c r="AH823" s="116">
        <f t="shared" si="9"/>
        <v>2.0990860300519247</v>
      </c>
      <c r="AI823" s="116">
        <f t="shared" si="9"/>
        <v>2.3236882352674808</v>
      </c>
      <c r="AJ823" s="116">
        <f t="shared" si="9"/>
        <v>2.5165543587946817</v>
      </c>
      <c r="AK823" s="116">
        <f t="shared" si="9"/>
        <v>2.68768005519272</v>
      </c>
      <c r="AL823" s="116">
        <f t="shared" ref="AL823:BA838" si="10">AK823*AL$804</f>
        <v>2.8005626175108143</v>
      </c>
      <c r="AM823" s="116">
        <f t="shared" si="10"/>
        <v>2.9069839969762254</v>
      </c>
      <c r="AN823" s="116">
        <f t="shared" si="10"/>
        <v>3.1133798607615373</v>
      </c>
      <c r="AO823" s="116">
        <f t="shared" si="10"/>
        <v>3.3126361718502757</v>
      </c>
      <c r="AP823" s="116">
        <f t="shared" si="10"/>
        <v>3.5080817059894418</v>
      </c>
      <c r="AQ823" s="116">
        <f t="shared" si="10"/>
        <v>3.5992918303451673</v>
      </c>
      <c r="AR823" s="116">
        <f t="shared" si="10"/>
        <v>3.7000720015948323</v>
      </c>
      <c r="AS823" s="116">
        <f t="shared" si="10"/>
        <v>3.7851736576315131</v>
      </c>
      <c r="AT823" s="116">
        <f t="shared" si="10"/>
        <v>3.7662477893433555</v>
      </c>
      <c r="AU823" s="116">
        <f t="shared" si="10"/>
        <v>3.7737802849220423</v>
      </c>
      <c r="AV823" s="116">
        <f t="shared" si="10"/>
        <v>3.8077443074863404</v>
      </c>
      <c r="AW823" s="116">
        <f t="shared" si="10"/>
        <v>3.8496294948686898</v>
      </c>
      <c r="AX823" s="116">
        <f t="shared" si="10"/>
        <v>3.9420206027455382</v>
      </c>
      <c r="AY823" s="116">
        <f t="shared" si="10"/>
        <v>4.1233535504718333</v>
      </c>
      <c r="AZ823" s="116">
        <f t="shared" si="10"/>
        <v>4.2676709247383471</v>
      </c>
      <c r="BA823" s="116">
        <f t="shared" si="10"/>
        <v>4.3530243432331144</v>
      </c>
      <c r="BB823" s="116">
        <f t="shared" ref="BB823:BQ838" si="11">BA823*BB$804</f>
        <v>4.4662029761571755</v>
      </c>
      <c r="BC823" s="116">
        <f t="shared" si="11"/>
        <v>4.533196020799533</v>
      </c>
      <c r="BD823" s="116">
        <f t="shared" si="11"/>
        <v>4.6193267451947237</v>
      </c>
      <c r="BE823" s="116">
        <f t="shared" si="11"/>
        <v>4.7394292405697866</v>
      </c>
      <c r="BF823" s="116">
        <f t="shared" si="11"/>
        <v>4.8199995376594726</v>
      </c>
      <c r="BG823" s="116">
        <f t="shared" si="11"/>
        <v>4.9453195256386193</v>
      </c>
      <c r="BH823" s="116">
        <f t="shared" si="11"/>
        <v>5.0689525137795846</v>
      </c>
      <c r="BI823" s="116">
        <f t="shared" si="11"/>
        <v>5.3071932819272245</v>
      </c>
      <c r="BJ823" s="116">
        <f t="shared" si="11"/>
        <v>5.4823306602308222</v>
      </c>
      <c r="BK823" s="116">
        <f t="shared" si="11"/>
        <v>5.5974596040956692</v>
      </c>
      <c r="BL823" s="116">
        <f t="shared" si="11"/>
        <v>5.6590316597407213</v>
      </c>
      <c r="BM823" s="116">
        <f t="shared" si="11"/>
        <v>5.7608942296160546</v>
      </c>
      <c r="BN823" s="116">
        <f t="shared" si="11"/>
        <v>5.8415467488306794</v>
      </c>
      <c r="BO823" s="116">
        <f t="shared" si="11"/>
        <v>5.9058037630678166</v>
      </c>
      <c r="BP823" s="116">
        <f t="shared" si="11"/>
        <v>6.0947894834859868</v>
      </c>
      <c r="BQ823" s="116">
        <f t="shared" si="11"/>
        <v>6.113073851936444</v>
      </c>
      <c r="BR823" s="116">
        <f t="shared" ref="BR823:CG838" si="12">BQ823*BR$804</f>
        <v>6.2047699597154899</v>
      </c>
      <c r="BS823" s="116">
        <f t="shared" si="12"/>
        <v>6.3660939786680926</v>
      </c>
      <c r="BT823" s="116">
        <f t="shared" si="12"/>
        <v>6.5125141401774584</v>
      </c>
      <c r="BU823" s="116">
        <f t="shared" si="12"/>
        <v>6.6948645361024273</v>
      </c>
      <c r="BV823" s="116">
        <f t="shared" si="12"/>
        <v>6.7618131814634514</v>
      </c>
      <c r="BW823" s="116">
        <f t="shared" si="12"/>
        <v>6.8159076869151587</v>
      </c>
      <c r="BX823" s="116">
        <f t="shared" si="12"/>
        <v>6.8295395022889887</v>
      </c>
      <c r="BY823" s="116">
        <f t="shared" si="12"/>
        <v>6.9251530553210348</v>
      </c>
      <c r="BZ823" s="116">
        <f t="shared" si="12"/>
        <v>7.0082548919848868</v>
      </c>
      <c r="CA823" s="116">
        <f t="shared" si="12"/>
        <v>7.190469519176494</v>
      </c>
      <c r="CB823" s="116">
        <f t="shared" si="12"/>
        <v>7.3055170314833182</v>
      </c>
      <c r="CC823" s="116">
        <f t="shared" si="12"/>
        <v>7.437016338050018</v>
      </c>
      <c r="CD823" s="116">
        <f t="shared" si="12"/>
        <v>7.8981113510091197</v>
      </c>
      <c r="CE823" s="116">
        <f t="shared" si="12"/>
        <v>8.5299602590898491</v>
      </c>
      <c r="CF823" s="116">
        <f t="shared" si="12"/>
        <v>8.7687991463443655</v>
      </c>
      <c r="CG823" s="116">
        <f t="shared" si="12"/>
        <v>9.102013513905451</v>
      </c>
    </row>
    <row r="824" spans="1:85">
      <c r="A824" s="3"/>
      <c r="B824" s="114">
        <v>1963</v>
      </c>
      <c r="C824" s="114"/>
      <c r="D824" s="3"/>
      <c r="E824" s="117"/>
      <c r="F824" s="117"/>
      <c r="G824" s="117"/>
      <c r="H824" s="117"/>
      <c r="I824" s="117"/>
      <c r="J824" s="117"/>
      <c r="K824" s="117"/>
      <c r="L824" s="117"/>
      <c r="M824" s="117"/>
      <c r="N824" s="117"/>
      <c r="O824" s="117"/>
      <c r="P824" s="117"/>
      <c r="Q824" s="117"/>
      <c r="R824" s="117"/>
      <c r="S824" s="117"/>
      <c r="T824" s="117"/>
      <c r="U824" s="117"/>
      <c r="V824" s="115">
        <v>1</v>
      </c>
      <c r="W824" s="116">
        <f t="shared" si="9"/>
        <v>1.0189999999999999</v>
      </c>
      <c r="X824" s="116">
        <f t="shared" si="9"/>
        <v>1.1045959999999999</v>
      </c>
      <c r="Y824" s="116">
        <f t="shared" si="9"/>
        <v>1.1520936279999998</v>
      </c>
      <c r="Z824" s="116">
        <f t="shared" si="9"/>
        <v>1.2189150584239998</v>
      </c>
      <c r="AA824" s="116">
        <f t="shared" si="9"/>
        <v>1.2664527457025356</v>
      </c>
      <c r="AB824" s="116">
        <f t="shared" si="9"/>
        <v>1.3082456863107192</v>
      </c>
      <c r="AC824" s="116">
        <f t="shared" si="9"/>
        <v>1.3985146386661589</v>
      </c>
      <c r="AD824" s="116">
        <f t="shared" si="9"/>
        <v>1.4740344291541316</v>
      </c>
      <c r="AE824" s="116">
        <f t="shared" si="9"/>
        <v>1.5860610457698456</v>
      </c>
      <c r="AF824" s="116">
        <f t="shared" si="9"/>
        <v>1.7034295631568144</v>
      </c>
      <c r="AG824" s="116">
        <f t="shared" si="9"/>
        <v>1.8414073577725163</v>
      </c>
      <c r="AH824" s="116">
        <f t="shared" si="9"/>
        <v>2.0218652788342228</v>
      </c>
      <c r="AI824" s="116">
        <f t="shared" si="9"/>
        <v>2.2382048636694845</v>
      </c>
      <c r="AJ824" s="116">
        <f t="shared" si="9"/>
        <v>2.4239758673540517</v>
      </c>
      <c r="AK824" s="116">
        <f t="shared" si="9"/>
        <v>2.5888062263341274</v>
      </c>
      <c r="AL824" s="116">
        <f t="shared" si="10"/>
        <v>2.6975360878401609</v>
      </c>
      <c r="AM824" s="116">
        <f t="shared" si="10"/>
        <v>2.800042459178087</v>
      </c>
      <c r="AN824" s="116">
        <f t="shared" si="10"/>
        <v>2.9988454737797312</v>
      </c>
      <c r="AO824" s="116">
        <f t="shared" si="10"/>
        <v>3.190771584101634</v>
      </c>
      <c r="AP824" s="116">
        <f t="shared" si="10"/>
        <v>3.3790271075636302</v>
      </c>
      <c r="AQ824" s="116">
        <f t="shared" si="10"/>
        <v>3.4668818123602847</v>
      </c>
      <c r="AR824" s="116">
        <f t="shared" si="10"/>
        <v>3.5639545031063729</v>
      </c>
      <c r="AS824" s="116">
        <f t="shared" si="10"/>
        <v>3.6459254566778192</v>
      </c>
      <c r="AT824" s="116">
        <f t="shared" si="10"/>
        <v>3.6276958293944301</v>
      </c>
      <c r="AU824" s="116">
        <f t="shared" si="10"/>
        <v>3.6349512210532189</v>
      </c>
      <c r="AV824" s="116">
        <f t="shared" si="10"/>
        <v>3.6676657820426977</v>
      </c>
      <c r="AW824" s="116">
        <f t="shared" si="10"/>
        <v>3.7080101056451671</v>
      </c>
      <c r="AX824" s="116">
        <f t="shared" si="10"/>
        <v>3.797002348180651</v>
      </c>
      <c r="AY824" s="116">
        <f t="shared" si="10"/>
        <v>3.9716644561969612</v>
      </c>
      <c r="AZ824" s="116">
        <f t="shared" si="10"/>
        <v>4.1106727121638542</v>
      </c>
      <c r="BA824" s="116">
        <f t="shared" si="10"/>
        <v>4.1928861664071313</v>
      </c>
      <c r="BB824" s="116">
        <f t="shared" si="11"/>
        <v>4.3019012067337172</v>
      </c>
      <c r="BC824" s="116">
        <f t="shared" si="11"/>
        <v>4.3664297248347221</v>
      </c>
      <c r="BD824" s="116">
        <f t="shared" si="11"/>
        <v>4.4493918896065816</v>
      </c>
      <c r="BE824" s="116">
        <f t="shared" si="11"/>
        <v>4.5650760787363529</v>
      </c>
      <c r="BF824" s="116">
        <f t="shared" si="11"/>
        <v>4.6426823720748702</v>
      </c>
      <c r="BG824" s="116">
        <f t="shared" si="11"/>
        <v>4.7633921137488171</v>
      </c>
      <c r="BH824" s="116">
        <f t="shared" si="11"/>
        <v>4.8824769165925375</v>
      </c>
      <c r="BI824" s="116">
        <f t="shared" si="11"/>
        <v>5.1119533316723862</v>
      </c>
      <c r="BJ824" s="116">
        <f t="shared" si="11"/>
        <v>5.2806477916175742</v>
      </c>
      <c r="BK824" s="116">
        <f t="shared" si="11"/>
        <v>5.3915413952415427</v>
      </c>
      <c r="BL824" s="116">
        <f t="shared" si="11"/>
        <v>5.4508483505891991</v>
      </c>
      <c r="BM824" s="116">
        <f t="shared" si="11"/>
        <v>5.548963620899805</v>
      </c>
      <c r="BN824" s="116">
        <f t="shared" si="11"/>
        <v>5.6266491115924024</v>
      </c>
      <c r="BO824" s="116">
        <f t="shared" si="11"/>
        <v>5.6885422518199187</v>
      </c>
      <c r="BP824" s="116">
        <f t="shared" si="11"/>
        <v>5.870575603878156</v>
      </c>
      <c r="BQ824" s="116">
        <f t="shared" si="11"/>
        <v>5.8881873306897896</v>
      </c>
      <c r="BR824" s="116">
        <f t="shared" si="12"/>
        <v>5.9765101406501362</v>
      </c>
      <c r="BS824" s="116">
        <f t="shared" si="12"/>
        <v>6.1318994043070401</v>
      </c>
      <c r="BT824" s="116">
        <f t="shared" si="12"/>
        <v>6.2729330906061014</v>
      </c>
      <c r="BU824" s="116">
        <f t="shared" si="12"/>
        <v>6.4485752171430724</v>
      </c>
      <c r="BV824" s="116">
        <f t="shared" si="12"/>
        <v>6.5130609693145027</v>
      </c>
      <c r="BW824" s="116">
        <f t="shared" si="12"/>
        <v>6.5651654570690186</v>
      </c>
      <c r="BX824" s="116">
        <f t="shared" si="12"/>
        <v>6.5782957879831567</v>
      </c>
      <c r="BY824" s="116">
        <f t="shared" si="12"/>
        <v>6.6703919290149214</v>
      </c>
      <c r="BZ824" s="116">
        <f t="shared" si="12"/>
        <v>6.7504366321631002</v>
      </c>
      <c r="CA824" s="116">
        <f t="shared" si="12"/>
        <v>6.9259479845993406</v>
      </c>
      <c r="CB824" s="116">
        <f t="shared" si="12"/>
        <v>7.0367631523529299</v>
      </c>
      <c r="CC824" s="116">
        <f t="shared" si="12"/>
        <v>7.1634248890952827</v>
      </c>
      <c r="CD824" s="116">
        <f t="shared" si="12"/>
        <v>7.6075572322191904</v>
      </c>
      <c r="CE824" s="116">
        <f t="shared" si="12"/>
        <v>8.2161618107967254</v>
      </c>
      <c r="CF824" s="116">
        <f t="shared" si="12"/>
        <v>8.4462143414990347</v>
      </c>
      <c r="CG824" s="116">
        <f t="shared" si="12"/>
        <v>8.7671704864759992</v>
      </c>
    </row>
    <row r="825" spans="1:85">
      <c r="A825" s="3"/>
      <c r="B825" s="114">
        <v>1964</v>
      </c>
      <c r="C825" s="114"/>
      <c r="D825" s="3"/>
      <c r="E825" s="117"/>
      <c r="F825" s="117"/>
      <c r="G825" s="117"/>
      <c r="H825" s="117"/>
      <c r="I825" s="117"/>
      <c r="J825" s="117"/>
      <c r="K825" s="117"/>
      <c r="L825" s="117"/>
      <c r="M825" s="117"/>
      <c r="N825" s="117"/>
      <c r="O825" s="117"/>
      <c r="P825" s="117"/>
      <c r="Q825" s="117"/>
      <c r="R825" s="117"/>
      <c r="S825" s="117"/>
      <c r="T825" s="117"/>
      <c r="U825" s="117"/>
      <c r="V825" s="117"/>
      <c r="W825" s="115">
        <v>1</v>
      </c>
      <c r="X825" s="116">
        <f t="shared" si="9"/>
        <v>1.0840000000000001</v>
      </c>
      <c r="Y825" s="116">
        <f t="shared" si="9"/>
        <v>1.130612</v>
      </c>
      <c r="Z825" s="116">
        <f t="shared" si="9"/>
        <v>1.1961874960000001</v>
      </c>
      <c r="AA825" s="116">
        <f t="shared" si="9"/>
        <v>1.2428388083440001</v>
      </c>
      <c r="AB825" s="116">
        <f t="shared" si="9"/>
        <v>1.2838524890193519</v>
      </c>
      <c r="AC825" s="116">
        <f t="shared" si="9"/>
        <v>1.3724383107616871</v>
      </c>
      <c r="AD825" s="116">
        <f t="shared" si="9"/>
        <v>1.4465499795428183</v>
      </c>
      <c r="AE825" s="116">
        <f t="shared" si="9"/>
        <v>1.5564877779880726</v>
      </c>
      <c r="AF825" s="116">
        <f t="shared" si="9"/>
        <v>1.6716678735591901</v>
      </c>
      <c r="AG825" s="116">
        <f t="shared" si="9"/>
        <v>1.8070729713174845</v>
      </c>
      <c r="AH825" s="116">
        <f t="shared" si="9"/>
        <v>1.9841661225065981</v>
      </c>
      <c r="AI825" s="116">
        <f t="shared" si="9"/>
        <v>2.1964718976148041</v>
      </c>
      <c r="AJ825" s="116">
        <f t="shared" si="9"/>
        <v>2.3787790651168326</v>
      </c>
      <c r="AK825" s="116">
        <f t="shared" si="9"/>
        <v>2.5405360415447773</v>
      </c>
      <c r="AL825" s="116">
        <f t="shared" si="10"/>
        <v>2.647238555289658</v>
      </c>
      <c r="AM825" s="116">
        <f t="shared" si="10"/>
        <v>2.747833620390665</v>
      </c>
      <c r="AN825" s="116">
        <f t="shared" si="10"/>
        <v>2.9429298074384023</v>
      </c>
      <c r="AO825" s="116">
        <f t="shared" si="10"/>
        <v>3.1312773151144602</v>
      </c>
      <c r="AP825" s="116">
        <f t="shared" si="10"/>
        <v>3.3160226767062131</v>
      </c>
      <c r="AQ825" s="116">
        <f t="shared" si="10"/>
        <v>3.4022392663005747</v>
      </c>
      <c r="AR825" s="116">
        <f t="shared" si="10"/>
        <v>3.497501965756991</v>
      </c>
      <c r="AS825" s="116">
        <f t="shared" si="10"/>
        <v>3.5779445109694015</v>
      </c>
      <c r="AT825" s="116">
        <f t="shared" si="10"/>
        <v>3.5600547884145546</v>
      </c>
      <c r="AU825" s="116">
        <f t="shared" si="10"/>
        <v>3.5671748979913835</v>
      </c>
      <c r="AV825" s="116">
        <f t="shared" si="10"/>
        <v>3.5992794720733055</v>
      </c>
      <c r="AW825" s="116">
        <f t="shared" si="10"/>
        <v>3.6388715462661114</v>
      </c>
      <c r="AX825" s="116">
        <f t="shared" si="10"/>
        <v>3.7262044633764981</v>
      </c>
      <c r="AY825" s="116">
        <f t="shared" si="10"/>
        <v>3.8976098686918172</v>
      </c>
      <c r="AZ825" s="116">
        <f t="shared" si="10"/>
        <v>4.0340262140960306</v>
      </c>
      <c r="BA825" s="116">
        <f t="shared" si="10"/>
        <v>4.1147067383779516</v>
      </c>
      <c r="BB825" s="116">
        <f t="shared" si="11"/>
        <v>4.2216891135757786</v>
      </c>
      <c r="BC825" s="116">
        <f t="shared" si="11"/>
        <v>4.285014450279415</v>
      </c>
      <c r="BD825" s="116">
        <f t="shared" si="11"/>
        <v>4.366429724834723</v>
      </c>
      <c r="BE825" s="116">
        <f t="shared" si="11"/>
        <v>4.4799568976804256</v>
      </c>
      <c r="BF825" s="116">
        <f t="shared" si="11"/>
        <v>4.5561161649409927</v>
      </c>
      <c r="BG825" s="116">
        <f t="shared" si="11"/>
        <v>4.6745751852294584</v>
      </c>
      <c r="BH825" s="116">
        <f t="shared" si="11"/>
        <v>4.7914395648601946</v>
      </c>
      <c r="BI825" s="116">
        <f t="shared" si="11"/>
        <v>5.0166372244086235</v>
      </c>
      <c r="BJ825" s="116">
        <f t="shared" si="11"/>
        <v>5.1821862528141081</v>
      </c>
      <c r="BK825" s="116">
        <f t="shared" si="11"/>
        <v>5.2910121641232042</v>
      </c>
      <c r="BL825" s="116">
        <f t="shared" si="11"/>
        <v>5.3492132979285589</v>
      </c>
      <c r="BM825" s="116">
        <f t="shared" si="11"/>
        <v>5.4454991372912733</v>
      </c>
      <c r="BN825" s="116">
        <f t="shared" si="11"/>
        <v>5.5217361252133514</v>
      </c>
      <c r="BO825" s="116">
        <f t="shared" si="11"/>
        <v>5.5824752225906975</v>
      </c>
      <c r="BP825" s="116">
        <f t="shared" si="11"/>
        <v>5.7611144297135999</v>
      </c>
      <c r="BQ825" s="116">
        <f t="shared" si="11"/>
        <v>5.77839777300274</v>
      </c>
      <c r="BR825" s="116">
        <f t="shared" si="12"/>
        <v>5.865073739597781</v>
      </c>
      <c r="BS825" s="116">
        <f t="shared" si="12"/>
        <v>6.0175656568273235</v>
      </c>
      <c r="BT825" s="116">
        <f t="shared" si="12"/>
        <v>6.1559696669343511</v>
      </c>
      <c r="BU825" s="116">
        <f t="shared" si="12"/>
        <v>6.3283368176085135</v>
      </c>
      <c r="BV825" s="116">
        <f t="shared" si="12"/>
        <v>6.3916201857845989</v>
      </c>
      <c r="BW825" s="116">
        <f t="shared" si="12"/>
        <v>6.4427531472708761</v>
      </c>
      <c r="BX825" s="116">
        <f t="shared" si="12"/>
        <v>6.4556386535654182</v>
      </c>
      <c r="BY825" s="116">
        <f t="shared" si="12"/>
        <v>6.5460175947153338</v>
      </c>
      <c r="BZ825" s="116">
        <f t="shared" si="12"/>
        <v>6.6245698058519178</v>
      </c>
      <c r="CA825" s="116">
        <f t="shared" si="12"/>
        <v>6.7968086208040681</v>
      </c>
      <c r="CB825" s="116">
        <f t="shared" si="12"/>
        <v>6.9055575587369331</v>
      </c>
      <c r="CC825" s="116">
        <f t="shared" si="12"/>
        <v>7.0298575947941977</v>
      </c>
      <c r="CD825" s="116">
        <f t="shared" si="12"/>
        <v>7.4657087656714385</v>
      </c>
      <c r="CE825" s="116">
        <f t="shared" si="12"/>
        <v>8.0629654669251547</v>
      </c>
      <c r="CF825" s="116">
        <f t="shared" si="12"/>
        <v>8.2887284999990598</v>
      </c>
      <c r="CG825" s="116">
        <f t="shared" si="12"/>
        <v>8.6037001829990238</v>
      </c>
    </row>
    <row r="826" spans="1:85">
      <c r="A826" s="3"/>
      <c r="B826" s="114">
        <v>1965</v>
      </c>
      <c r="C826" s="114"/>
      <c r="D826" s="3"/>
      <c r="E826" s="117"/>
      <c r="F826" s="117"/>
      <c r="G826" s="117"/>
      <c r="H826" s="117"/>
      <c r="I826" s="117"/>
      <c r="J826" s="117"/>
      <c r="K826" s="117"/>
      <c r="L826" s="117"/>
      <c r="M826" s="117"/>
      <c r="N826" s="117"/>
      <c r="O826" s="117"/>
      <c r="P826" s="117"/>
      <c r="Q826" s="117"/>
      <c r="R826" s="117"/>
      <c r="S826" s="117"/>
      <c r="T826" s="117"/>
      <c r="U826" s="117"/>
      <c r="V826" s="117"/>
      <c r="W826" s="117"/>
      <c r="X826" s="115">
        <v>1</v>
      </c>
      <c r="Y826" s="116">
        <f t="shared" si="9"/>
        <v>1.0429999999999999</v>
      </c>
      <c r="Z826" s="116">
        <f t="shared" si="9"/>
        <v>1.103494</v>
      </c>
      <c r="AA826" s="116">
        <f t="shared" si="9"/>
        <v>1.1465302659999999</v>
      </c>
      <c r="AB826" s="116">
        <f t="shared" si="9"/>
        <v>1.1843657647779997</v>
      </c>
      <c r="AC826" s="116">
        <f t="shared" si="9"/>
        <v>1.2660870025476816</v>
      </c>
      <c r="AD826" s="116">
        <f t="shared" si="9"/>
        <v>1.3344557006852564</v>
      </c>
      <c r="AE826" s="116">
        <f t="shared" si="9"/>
        <v>1.4358743339373361</v>
      </c>
      <c r="AF826" s="116">
        <f t="shared" si="9"/>
        <v>1.5421290346486991</v>
      </c>
      <c r="AG826" s="116">
        <f t="shared" si="9"/>
        <v>1.6670414864552436</v>
      </c>
      <c r="AH826" s="116">
        <f t="shared" si="9"/>
        <v>1.8304115521278577</v>
      </c>
      <c r="AI826" s="116">
        <f t="shared" si="9"/>
        <v>2.0262655882055385</v>
      </c>
      <c r="AJ826" s="116">
        <f t="shared" si="9"/>
        <v>2.1944456320265981</v>
      </c>
      <c r="AK826" s="116">
        <f t="shared" si="9"/>
        <v>2.3436679350044067</v>
      </c>
      <c r="AL826" s="116">
        <f t="shared" si="10"/>
        <v>2.442101988274592</v>
      </c>
      <c r="AM826" s="116">
        <f t="shared" si="10"/>
        <v>2.5349018638290266</v>
      </c>
      <c r="AN826" s="116">
        <f t="shared" si="10"/>
        <v>2.7148798961608875</v>
      </c>
      <c r="AO826" s="116">
        <f t="shared" si="10"/>
        <v>2.8886322095151846</v>
      </c>
      <c r="AP826" s="116">
        <f t="shared" si="10"/>
        <v>3.0590615098765803</v>
      </c>
      <c r="AQ826" s="116">
        <f t="shared" si="10"/>
        <v>3.1385971091333715</v>
      </c>
      <c r="AR826" s="116">
        <f t="shared" si="10"/>
        <v>3.2264778281891062</v>
      </c>
      <c r="AS826" s="116">
        <f t="shared" si="10"/>
        <v>3.3006868182374554</v>
      </c>
      <c r="AT826" s="116">
        <f t="shared" si="10"/>
        <v>3.2841833841462682</v>
      </c>
      <c r="AU826" s="116">
        <f t="shared" si="10"/>
        <v>3.290751750914561</v>
      </c>
      <c r="AV826" s="116">
        <f t="shared" si="10"/>
        <v>3.3203685166727919</v>
      </c>
      <c r="AW826" s="116">
        <f t="shared" si="10"/>
        <v>3.3568925703561923</v>
      </c>
      <c r="AX826" s="116">
        <f t="shared" si="10"/>
        <v>3.4374579920447408</v>
      </c>
      <c r="AY826" s="116">
        <f t="shared" si="10"/>
        <v>3.5955810596787989</v>
      </c>
      <c r="AZ826" s="116">
        <f t="shared" si="10"/>
        <v>3.7214263967675567</v>
      </c>
      <c r="BA826" s="116">
        <f t="shared" si="10"/>
        <v>3.7958549247029079</v>
      </c>
      <c r="BB826" s="116">
        <f t="shared" si="11"/>
        <v>3.8945471527451834</v>
      </c>
      <c r="BC826" s="116">
        <f t="shared" si="11"/>
        <v>3.9529653600363606</v>
      </c>
      <c r="BD826" s="116">
        <f t="shared" si="11"/>
        <v>4.0280717018770513</v>
      </c>
      <c r="BE826" s="116">
        <f t="shared" si="11"/>
        <v>4.1328015661258544</v>
      </c>
      <c r="BF826" s="116">
        <f t="shared" si="11"/>
        <v>4.2030591927499934</v>
      </c>
      <c r="BG826" s="116">
        <f t="shared" si="11"/>
        <v>4.3123387317614936</v>
      </c>
      <c r="BH826" s="116">
        <f t="shared" si="11"/>
        <v>4.4201472000555304</v>
      </c>
      <c r="BI826" s="116">
        <f t="shared" si="11"/>
        <v>4.6278941184581397</v>
      </c>
      <c r="BJ826" s="116">
        <f t="shared" si="11"/>
        <v>4.7806146243672583</v>
      </c>
      <c r="BK826" s="116">
        <f t="shared" si="11"/>
        <v>4.8810075314789705</v>
      </c>
      <c r="BL826" s="116">
        <f t="shared" si="11"/>
        <v>4.9346986143252387</v>
      </c>
      <c r="BM826" s="116">
        <f t="shared" si="11"/>
        <v>5.0235231893830932</v>
      </c>
      <c r="BN826" s="116">
        <f t="shared" si="11"/>
        <v>5.0938525140344568</v>
      </c>
      <c r="BO826" s="116">
        <f t="shared" si="11"/>
        <v>5.1498848916888349</v>
      </c>
      <c r="BP826" s="116">
        <f t="shared" si="11"/>
        <v>5.3146812082228774</v>
      </c>
      <c r="BQ826" s="116">
        <f t="shared" si="11"/>
        <v>5.330625251847545</v>
      </c>
      <c r="BR826" s="116">
        <f t="shared" si="12"/>
        <v>5.4105846306252579</v>
      </c>
      <c r="BS826" s="116">
        <f t="shared" si="12"/>
        <v>5.5512598310215147</v>
      </c>
      <c r="BT826" s="116">
        <f t="shared" si="12"/>
        <v>5.6789388071350091</v>
      </c>
      <c r="BU826" s="116">
        <f t="shared" si="12"/>
        <v>5.8379490937347898</v>
      </c>
      <c r="BV826" s="116">
        <f t="shared" si="12"/>
        <v>5.8963285846721378</v>
      </c>
      <c r="BW826" s="116">
        <f t="shared" si="12"/>
        <v>5.943499213349515</v>
      </c>
      <c r="BX826" s="116">
        <f t="shared" si="12"/>
        <v>5.9553862117762142</v>
      </c>
      <c r="BY826" s="116">
        <f t="shared" si="12"/>
        <v>6.0387616187410815</v>
      </c>
      <c r="BZ826" s="116">
        <f t="shared" si="12"/>
        <v>6.1112267581659747</v>
      </c>
      <c r="CA826" s="116">
        <f t="shared" si="12"/>
        <v>6.2701186538782903</v>
      </c>
      <c r="CB826" s="116">
        <f t="shared" si="12"/>
        <v>6.3704405523403427</v>
      </c>
      <c r="CC826" s="116">
        <f t="shared" si="12"/>
        <v>6.4851084822824694</v>
      </c>
      <c r="CD826" s="116">
        <f t="shared" si="12"/>
        <v>6.8871852081839826</v>
      </c>
      <c r="CE826" s="116">
        <f t="shared" si="12"/>
        <v>7.4381600248387016</v>
      </c>
      <c r="CF826" s="116">
        <f t="shared" si="12"/>
        <v>7.6464285055341854</v>
      </c>
      <c r="CG826" s="116">
        <f t="shared" si="12"/>
        <v>7.9369927887444849</v>
      </c>
    </row>
    <row r="827" spans="1:85">
      <c r="A827" s="3"/>
      <c r="B827" s="114">
        <v>1966</v>
      </c>
      <c r="C827" s="114"/>
      <c r="D827" s="3"/>
      <c r="E827" s="117"/>
      <c r="F827" s="117"/>
      <c r="G827" s="117"/>
      <c r="H827" s="117"/>
      <c r="I827" s="117"/>
      <c r="J827" s="117"/>
      <c r="K827" s="117"/>
      <c r="L827" s="117"/>
      <c r="M827" s="117"/>
      <c r="N827" s="117"/>
      <c r="O827" s="117"/>
      <c r="P827" s="117"/>
      <c r="Q827" s="117"/>
      <c r="R827" s="117"/>
      <c r="S827" s="117"/>
      <c r="T827" s="117"/>
      <c r="U827" s="117"/>
      <c r="V827" s="117"/>
      <c r="W827" s="117"/>
      <c r="X827" s="117"/>
      <c r="Y827" s="115">
        <v>1</v>
      </c>
      <c r="Z827" s="116">
        <f t="shared" si="9"/>
        <v>1.0580000000000001</v>
      </c>
      <c r="AA827" s="116">
        <f t="shared" si="9"/>
        <v>1.099262</v>
      </c>
      <c r="AB827" s="116">
        <f t="shared" si="9"/>
        <v>1.135537646</v>
      </c>
      <c r="AC827" s="116">
        <f t="shared" si="9"/>
        <v>1.2138897435739999</v>
      </c>
      <c r="AD827" s="116">
        <f t="shared" si="9"/>
        <v>1.279439789726996</v>
      </c>
      <c r="AE827" s="116">
        <f t="shared" si="9"/>
        <v>1.3766772137462477</v>
      </c>
      <c r="AF827" s="116">
        <f t="shared" si="9"/>
        <v>1.4785513275634701</v>
      </c>
      <c r="AG827" s="116">
        <f t="shared" si="9"/>
        <v>1.598313985096111</v>
      </c>
      <c r="AH827" s="116">
        <f t="shared" si="9"/>
        <v>1.7549487556355301</v>
      </c>
      <c r="AI827" s="116">
        <f t="shared" si="9"/>
        <v>1.9427282724885317</v>
      </c>
      <c r="AJ827" s="116">
        <f t="shared" si="9"/>
        <v>2.1039747191050799</v>
      </c>
      <c r="AK827" s="116">
        <f t="shared" si="9"/>
        <v>2.2470450000042255</v>
      </c>
      <c r="AL827" s="116">
        <f t="shared" si="10"/>
        <v>2.3414208900044029</v>
      </c>
      <c r="AM827" s="116">
        <f t="shared" si="10"/>
        <v>2.4303948838245701</v>
      </c>
      <c r="AN827" s="116">
        <f t="shared" si="10"/>
        <v>2.6029529205761146</v>
      </c>
      <c r="AO827" s="116">
        <f t="shared" si="10"/>
        <v>2.7695419074929859</v>
      </c>
      <c r="AP827" s="116">
        <f t="shared" si="10"/>
        <v>2.9329448800350719</v>
      </c>
      <c r="AQ827" s="116">
        <f t="shared" si="10"/>
        <v>3.0092014469159838</v>
      </c>
      <c r="AR827" s="116">
        <f t="shared" si="10"/>
        <v>3.0934590874296313</v>
      </c>
      <c r="AS827" s="116">
        <f t="shared" si="10"/>
        <v>3.1646086464405125</v>
      </c>
      <c r="AT827" s="116">
        <f t="shared" si="10"/>
        <v>3.1487856032083101</v>
      </c>
      <c r="AU827" s="116">
        <f t="shared" si="10"/>
        <v>3.155083174414727</v>
      </c>
      <c r="AV827" s="116">
        <f t="shared" si="10"/>
        <v>3.1834789229844591</v>
      </c>
      <c r="AW827" s="116">
        <f t="shared" si="10"/>
        <v>3.2184971911372879</v>
      </c>
      <c r="AX827" s="116">
        <f t="shared" si="10"/>
        <v>3.2957411237245831</v>
      </c>
      <c r="AY827" s="116">
        <f t="shared" si="10"/>
        <v>3.4473452154159139</v>
      </c>
      <c r="AZ827" s="116">
        <f t="shared" si="10"/>
        <v>3.5680022979554704</v>
      </c>
      <c r="BA827" s="116">
        <f t="shared" si="10"/>
        <v>3.6393623439145797</v>
      </c>
      <c r="BB827" s="116">
        <f t="shared" si="11"/>
        <v>3.7339857648563588</v>
      </c>
      <c r="BC827" s="116">
        <f t="shared" si="11"/>
        <v>3.7899955513292038</v>
      </c>
      <c r="BD827" s="116">
        <f t="shared" si="11"/>
        <v>3.8620054668044586</v>
      </c>
      <c r="BE827" s="116">
        <f t="shared" si="11"/>
        <v>3.9624176089413745</v>
      </c>
      <c r="BF827" s="116">
        <f t="shared" si="11"/>
        <v>4.0297787082933771</v>
      </c>
      <c r="BG827" s="116">
        <f t="shared" si="11"/>
        <v>4.1345529547090054</v>
      </c>
      <c r="BH827" s="116">
        <f t="shared" si="11"/>
        <v>4.2379167785767304</v>
      </c>
      <c r="BI827" s="116">
        <f t="shared" si="11"/>
        <v>4.4370988671698361</v>
      </c>
      <c r="BJ827" s="116">
        <f t="shared" si="11"/>
        <v>4.5835231297864407</v>
      </c>
      <c r="BK827" s="116">
        <f t="shared" si="11"/>
        <v>4.6797771155119552</v>
      </c>
      <c r="BL827" s="116">
        <f t="shared" si="11"/>
        <v>4.7312546637825861</v>
      </c>
      <c r="BM827" s="116">
        <f t="shared" si="11"/>
        <v>4.8164172477306728</v>
      </c>
      <c r="BN827" s="116">
        <f t="shared" si="11"/>
        <v>4.8838470891989019</v>
      </c>
      <c r="BO827" s="116">
        <f t="shared" si="11"/>
        <v>4.9375694071800895</v>
      </c>
      <c r="BP827" s="116">
        <f t="shared" si="11"/>
        <v>5.0955716282098527</v>
      </c>
      <c r="BQ827" s="116">
        <f t="shared" si="11"/>
        <v>5.1108583430944821</v>
      </c>
      <c r="BR827" s="116">
        <f t="shared" si="12"/>
        <v>5.1875212182408985</v>
      </c>
      <c r="BS827" s="116">
        <f t="shared" si="12"/>
        <v>5.3223967699151622</v>
      </c>
      <c r="BT827" s="116">
        <f t="shared" si="12"/>
        <v>5.4448118956232108</v>
      </c>
      <c r="BU827" s="116">
        <f t="shared" si="12"/>
        <v>5.5972666287006607</v>
      </c>
      <c r="BV827" s="116">
        <f t="shared" si="12"/>
        <v>5.6532392949876673</v>
      </c>
      <c r="BW827" s="116">
        <f t="shared" si="12"/>
        <v>5.6984652093475683</v>
      </c>
      <c r="BX827" s="116">
        <f t="shared" si="12"/>
        <v>5.7098621397662637</v>
      </c>
      <c r="BY827" s="116">
        <f t="shared" si="12"/>
        <v>5.7898002097229915</v>
      </c>
      <c r="BZ827" s="116">
        <f t="shared" si="12"/>
        <v>5.8592778122396671</v>
      </c>
      <c r="CA827" s="116">
        <f t="shared" si="12"/>
        <v>6.0116190353578984</v>
      </c>
      <c r="CB827" s="116">
        <f t="shared" si="12"/>
        <v>6.1078049399236249</v>
      </c>
      <c r="CC827" s="116">
        <f t="shared" si="12"/>
        <v>6.2177454288422505</v>
      </c>
      <c r="CD827" s="116">
        <f t="shared" si="12"/>
        <v>6.6032456454304702</v>
      </c>
      <c r="CE827" s="116">
        <f t="shared" si="12"/>
        <v>7.1315052970649084</v>
      </c>
      <c r="CF827" s="116">
        <f t="shared" si="12"/>
        <v>7.3311874453827262</v>
      </c>
      <c r="CG827" s="116">
        <f t="shared" si="12"/>
        <v>7.6097725683072701</v>
      </c>
    </row>
    <row r="828" spans="1:85">
      <c r="A828" s="3"/>
      <c r="B828" s="114">
        <v>1967</v>
      </c>
      <c r="C828" s="114"/>
      <c r="D828" s="3"/>
      <c r="E828" s="117"/>
      <c r="F828" s="117"/>
      <c r="G828" s="117"/>
      <c r="H828" s="117"/>
      <c r="I828" s="117"/>
      <c r="J828" s="117"/>
      <c r="K828" s="117"/>
      <c r="L828" s="117"/>
      <c r="M828" s="117"/>
      <c r="N828" s="117"/>
      <c r="O828" s="117"/>
      <c r="P828" s="117"/>
      <c r="Q828" s="117"/>
      <c r="R828" s="117"/>
      <c r="S828" s="117"/>
      <c r="T828" s="117"/>
      <c r="U828" s="117"/>
      <c r="V828" s="117"/>
      <c r="W828" s="117"/>
      <c r="X828" s="117"/>
      <c r="Y828" s="117"/>
      <c r="Z828" s="115">
        <v>1</v>
      </c>
      <c r="AA828" s="116">
        <f t="shared" si="9"/>
        <v>1.0389999999999999</v>
      </c>
      <c r="AB828" s="116">
        <f t="shared" si="9"/>
        <v>1.0732869999999999</v>
      </c>
      <c r="AC828" s="116">
        <f t="shared" si="9"/>
        <v>1.1473438029999998</v>
      </c>
      <c r="AD828" s="116">
        <f t="shared" si="9"/>
        <v>1.2093003683619998</v>
      </c>
      <c r="AE828" s="116">
        <f t="shared" si="9"/>
        <v>1.3012071963575118</v>
      </c>
      <c r="AF828" s="116">
        <f t="shared" si="9"/>
        <v>1.3974965288879677</v>
      </c>
      <c r="AG828" s="116">
        <f t="shared" si="9"/>
        <v>1.510693747727893</v>
      </c>
      <c r="AH828" s="116">
        <f t="shared" si="9"/>
        <v>1.6587417350052267</v>
      </c>
      <c r="AI828" s="116">
        <f t="shared" si="9"/>
        <v>1.836227100650786</v>
      </c>
      <c r="AJ828" s="116">
        <f t="shared" si="9"/>
        <v>1.9886339500048011</v>
      </c>
      <c r="AK828" s="116">
        <f t="shared" si="9"/>
        <v>2.1238610586051276</v>
      </c>
      <c r="AL828" s="116">
        <f t="shared" si="10"/>
        <v>2.213063223066543</v>
      </c>
      <c r="AM828" s="116">
        <f t="shared" si="10"/>
        <v>2.2971596255430717</v>
      </c>
      <c r="AN828" s="116">
        <f t="shared" si="10"/>
        <v>2.4602579589566296</v>
      </c>
      <c r="AO828" s="116">
        <f t="shared" si="10"/>
        <v>2.6177144683298539</v>
      </c>
      <c r="AP828" s="116">
        <f t="shared" si="10"/>
        <v>2.7721596219613152</v>
      </c>
      <c r="AQ828" s="116">
        <f t="shared" si="10"/>
        <v>2.8442357721323095</v>
      </c>
      <c r="AR828" s="116">
        <f t="shared" si="10"/>
        <v>2.9238743737520143</v>
      </c>
      <c r="AS828" s="116">
        <f t="shared" si="10"/>
        <v>2.9911234843483103</v>
      </c>
      <c r="AT828" s="116">
        <f t="shared" si="10"/>
        <v>2.9761678669265685</v>
      </c>
      <c r="AU828" s="116">
        <f t="shared" si="10"/>
        <v>2.9821202026604219</v>
      </c>
      <c r="AV828" s="116">
        <f t="shared" si="10"/>
        <v>3.0089592844843653</v>
      </c>
      <c r="AW828" s="116">
        <f t="shared" si="10"/>
        <v>3.0420578366136932</v>
      </c>
      <c r="AX828" s="116">
        <f t="shared" si="10"/>
        <v>3.1150672246924218</v>
      </c>
      <c r="AY828" s="116">
        <f t="shared" si="10"/>
        <v>3.2583603170282736</v>
      </c>
      <c r="AZ828" s="116">
        <f t="shared" si="10"/>
        <v>3.3724029281242629</v>
      </c>
      <c r="BA828" s="116">
        <f t="shared" si="10"/>
        <v>3.4398509866867482</v>
      </c>
      <c r="BB828" s="116">
        <f t="shared" si="11"/>
        <v>3.5292871123406035</v>
      </c>
      <c r="BC828" s="116">
        <f t="shared" si="11"/>
        <v>3.5822264190257123</v>
      </c>
      <c r="BD828" s="116">
        <f t="shared" si="11"/>
        <v>3.6502887209872004</v>
      </c>
      <c r="BE828" s="116">
        <f t="shared" si="11"/>
        <v>3.7451962277328676</v>
      </c>
      <c r="BF828" s="116">
        <f t="shared" si="11"/>
        <v>3.8088645636043261</v>
      </c>
      <c r="BG828" s="116">
        <f t="shared" si="11"/>
        <v>3.9078950422580387</v>
      </c>
      <c r="BH828" s="116">
        <f t="shared" si="11"/>
        <v>4.0055924183144898</v>
      </c>
      <c r="BI828" s="116">
        <f t="shared" si="11"/>
        <v>4.1938552619752709</v>
      </c>
      <c r="BJ828" s="116">
        <f t="shared" si="11"/>
        <v>4.3322524856204545</v>
      </c>
      <c r="BK828" s="116">
        <f t="shared" si="11"/>
        <v>4.4232297878184834</v>
      </c>
      <c r="BL828" s="116">
        <f t="shared" si="11"/>
        <v>4.471885315484486</v>
      </c>
      <c r="BM828" s="116">
        <f t="shared" si="11"/>
        <v>4.5523792511632069</v>
      </c>
      <c r="BN828" s="116">
        <f t="shared" si="11"/>
        <v>4.6161125606794915</v>
      </c>
      <c r="BO828" s="116">
        <f t="shared" si="11"/>
        <v>4.6668897988469658</v>
      </c>
      <c r="BP828" s="116">
        <f t="shared" si="11"/>
        <v>4.8162302724100687</v>
      </c>
      <c r="BQ828" s="116">
        <f t="shared" si="11"/>
        <v>4.8306789632272986</v>
      </c>
      <c r="BR828" s="116">
        <f t="shared" si="12"/>
        <v>4.9031391476757076</v>
      </c>
      <c r="BS828" s="116">
        <f t="shared" si="12"/>
        <v>5.0306207655152759</v>
      </c>
      <c r="BT828" s="116">
        <f t="shared" si="12"/>
        <v>5.1463250431221272</v>
      </c>
      <c r="BU828" s="116">
        <f t="shared" si="12"/>
        <v>5.2904221443295469</v>
      </c>
      <c r="BV828" s="116">
        <f t="shared" si="12"/>
        <v>5.3433263657728425</v>
      </c>
      <c r="BW828" s="116">
        <f t="shared" si="12"/>
        <v>5.3860729766990252</v>
      </c>
      <c r="BX828" s="116">
        <f t="shared" si="12"/>
        <v>5.3968451226524232</v>
      </c>
      <c r="BY828" s="116">
        <f t="shared" si="12"/>
        <v>5.4724009543695571</v>
      </c>
      <c r="BZ828" s="116">
        <f t="shared" si="12"/>
        <v>5.5380697658219917</v>
      </c>
      <c r="CA828" s="116">
        <f t="shared" si="12"/>
        <v>5.6820595797333633</v>
      </c>
      <c r="CB828" s="116">
        <f t="shared" si="12"/>
        <v>5.7729725330090975</v>
      </c>
      <c r="CC828" s="116">
        <f t="shared" si="12"/>
        <v>5.8768860386032618</v>
      </c>
      <c r="CD828" s="116">
        <f t="shared" si="12"/>
        <v>6.2412529729966639</v>
      </c>
      <c r="CE828" s="116">
        <f t="shared" si="12"/>
        <v>6.7405532108363975</v>
      </c>
      <c r="CF828" s="116">
        <f t="shared" si="12"/>
        <v>6.929288700739817</v>
      </c>
      <c r="CG828" s="116">
        <f t="shared" si="12"/>
        <v>7.1926016713679299</v>
      </c>
    </row>
    <row r="829" spans="1:85">
      <c r="A829" s="3"/>
      <c r="B829" s="114">
        <v>1968</v>
      </c>
      <c r="C829" s="114"/>
      <c r="D829" s="3"/>
      <c r="E829" s="117"/>
      <c r="F829" s="117"/>
      <c r="G829" s="117"/>
      <c r="H829" s="117"/>
      <c r="I829" s="117"/>
      <c r="J829" s="117"/>
      <c r="K829" s="117"/>
      <c r="L829" s="117"/>
      <c r="M829" s="117"/>
      <c r="N829" s="117"/>
      <c r="O829" s="117"/>
      <c r="P829" s="117"/>
      <c r="Q829" s="117"/>
      <c r="R829" s="117"/>
      <c r="S829" s="117"/>
      <c r="T829" s="117"/>
      <c r="U829" s="117"/>
      <c r="V829" s="117"/>
      <c r="W829" s="117"/>
      <c r="X829" s="117"/>
      <c r="Y829" s="117"/>
      <c r="Z829" s="117"/>
      <c r="AA829" s="115">
        <v>1</v>
      </c>
      <c r="AB829" s="116">
        <f t="shared" si="9"/>
        <v>1.0329999999999999</v>
      </c>
      <c r="AC829" s="116">
        <f t="shared" si="9"/>
        <v>1.104277</v>
      </c>
      <c r="AD829" s="116">
        <f t="shared" si="9"/>
        <v>1.163907958</v>
      </c>
      <c r="AE829" s="116">
        <f t="shared" si="9"/>
        <v>1.252364962808</v>
      </c>
      <c r="AF829" s="116">
        <f t="shared" si="9"/>
        <v>1.345039970055792</v>
      </c>
      <c r="AG829" s="116">
        <f t="shared" si="9"/>
        <v>1.453988207630311</v>
      </c>
      <c r="AH829" s="116">
        <f t="shared" si="9"/>
        <v>1.5964790519780816</v>
      </c>
      <c r="AI829" s="116">
        <f t="shared" si="9"/>
        <v>1.7673023105397363</v>
      </c>
      <c r="AJ829" s="116">
        <f t="shared" si="9"/>
        <v>1.9139884023145344</v>
      </c>
      <c r="AK829" s="116">
        <f t="shared" si="9"/>
        <v>2.044139613671923</v>
      </c>
      <c r="AL829" s="116">
        <f t="shared" si="10"/>
        <v>2.1299934774461438</v>
      </c>
      <c r="AM829" s="116">
        <f t="shared" si="10"/>
        <v>2.2109332295890973</v>
      </c>
      <c r="AN829" s="116">
        <f t="shared" si="10"/>
        <v>2.3679094888899233</v>
      </c>
      <c r="AO829" s="116">
        <f t="shared" si="10"/>
        <v>2.5194556961788783</v>
      </c>
      <c r="AP829" s="116">
        <f t="shared" si="10"/>
        <v>2.668103582253432</v>
      </c>
      <c r="AQ829" s="116">
        <f t="shared" si="10"/>
        <v>2.7374742753920214</v>
      </c>
      <c r="AR829" s="116">
        <f t="shared" si="10"/>
        <v>2.8141235551029982</v>
      </c>
      <c r="AS829" s="116">
        <f t="shared" si="10"/>
        <v>2.8788483968703669</v>
      </c>
      <c r="AT829" s="116">
        <f t="shared" si="10"/>
        <v>2.864454154886015</v>
      </c>
      <c r="AU829" s="116">
        <f t="shared" si="10"/>
        <v>2.8701830631957872</v>
      </c>
      <c r="AV829" s="116">
        <f t="shared" si="10"/>
        <v>2.8960147107645491</v>
      </c>
      <c r="AW829" s="116">
        <f t="shared" si="10"/>
        <v>2.9278708725829588</v>
      </c>
      <c r="AX829" s="116">
        <f t="shared" si="10"/>
        <v>2.99813977352495</v>
      </c>
      <c r="AY829" s="116">
        <f t="shared" si="10"/>
        <v>3.1360542031070979</v>
      </c>
      <c r="AZ829" s="116">
        <f t="shared" si="10"/>
        <v>3.2458161002158463</v>
      </c>
      <c r="BA829" s="116">
        <f t="shared" si="10"/>
        <v>3.3107324222201635</v>
      </c>
      <c r="BB829" s="116">
        <f t="shared" si="11"/>
        <v>3.3968114651978878</v>
      </c>
      <c r="BC829" s="116">
        <f t="shared" si="11"/>
        <v>3.4477636371758558</v>
      </c>
      <c r="BD829" s="116">
        <f t="shared" si="11"/>
        <v>3.5132711462821966</v>
      </c>
      <c r="BE829" s="116">
        <f t="shared" si="11"/>
        <v>3.6046161960855336</v>
      </c>
      <c r="BF829" s="116">
        <f t="shared" si="11"/>
        <v>3.6658946714189873</v>
      </c>
      <c r="BG829" s="116">
        <f t="shared" si="11"/>
        <v>3.7612079328758812</v>
      </c>
      <c r="BH829" s="116">
        <f t="shared" si="11"/>
        <v>3.8552381311977779</v>
      </c>
      <c r="BI829" s="116">
        <f t="shared" si="11"/>
        <v>4.0364343233640732</v>
      </c>
      <c r="BJ829" s="116">
        <f t="shared" si="11"/>
        <v>4.1696366560350873</v>
      </c>
      <c r="BK829" s="116">
        <f t="shared" si="11"/>
        <v>4.2571990258118237</v>
      </c>
      <c r="BL829" s="116">
        <f t="shared" si="11"/>
        <v>4.3040282150957534</v>
      </c>
      <c r="BM829" s="116">
        <f t="shared" si="11"/>
        <v>4.3815007229674769</v>
      </c>
      <c r="BN829" s="116">
        <f t="shared" si="11"/>
        <v>4.442841733089022</v>
      </c>
      <c r="BO829" s="116">
        <f t="shared" si="11"/>
        <v>4.4917129921530004</v>
      </c>
      <c r="BP829" s="116">
        <f t="shared" si="11"/>
        <v>4.6354478079018966</v>
      </c>
      <c r="BQ829" s="116">
        <f t="shared" si="11"/>
        <v>4.6493541513256016</v>
      </c>
      <c r="BR829" s="116">
        <f t="shared" si="12"/>
        <v>4.7190944635954848</v>
      </c>
      <c r="BS829" s="116">
        <f t="shared" si="12"/>
        <v>4.8417909196489672</v>
      </c>
      <c r="BT829" s="116">
        <f t="shared" si="12"/>
        <v>4.9531521108008931</v>
      </c>
      <c r="BU829" s="116">
        <f t="shared" si="12"/>
        <v>5.0918403699033181</v>
      </c>
      <c r="BV829" s="116">
        <f t="shared" si="12"/>
        <v>5.1427587736023517</v>
      </c>
      <c r="BW829" s="116">
        <f t="shared" si="12"/>
        <v>5.1839008437911707</v>
      </c>
      <c r="BX829" s="116">
        <f t="shared" si="12"/>
        <v>5.1942686454787532</v>
      </c>
      <c r="BY829" s="116">
        <f t="shared" si="12"/>
        <v>5.2669884065154555</v>
      </c>
      <c r="BZ829" s="116">
        <f t="shared" si="12"/>
        <v>5.3301922673936408</v>
      </c>
      <c r="CA829" s="116">
        <f t="shared" si="12"/>
        <v>5.4687772663458754</v>
      </c>
      <c r="CB829" s="116">
        <f t="shared" si="12"/>
        <v>5.5562777026074093</v>
      </c>
      <c r="CC829" s="116">
        <f t="shared" si="12"/>
        <v>5.6562907012543429</v>
      </c>
      <c r="CD829" s="116">
        <f t="shared" si="12"/>
        <v>6.0069807247321121</v>
      </c>
      <c r="CE829" s="116">
        <f t="shared" si="12"/>
        <v>6.4875391827106812</v>
      </c>
      <c r="CF829" s="116">
        <f t="shared" si="12"/>
        <v>6.6691902798265801</v>
      </c>
      <c r="CG829" s="116">
        <f t="shared" si="12"/>
        <v>6.9226195104599899</v>
      </c>
    </row>
    <row r="830" spans="1:85">
      <c r="A830" s="3"/>
      <c r="B830" s="114">
        <v>1969</v>
      </c>
      <c r="C830" s="114"/>
      <c r="D830" s="3"/>
      <c r="E830" s="117"/>
      <c r="F830" s="117"/>
      <c r="G830" s="117"/>
      <c r="H830" s="117"/>
      <c r="I830" s="117"/>
      <c r="J830" s="117"/>
      <c r="K830" s="117"/>
      <c r="L830" s="117"/>
      <c r="M830" s="117"/>
      <c r="N830" s="117"/>
      <c r="O830" s="117"/>
      <c r="P830" s="117"/>
      <c r="Q830" s="117"/>
      <c r="R830" s="117"/>
      <c r="S830" s="117"/>
      <c r="T830" s="117"/>
      <c r="U830" s="117"/>
      <c r="V830" s="117"/>
      <c r="W830" s="117"/>
      <c r="X830" s="117"/>
      <c r="Y830" s="117"/>
      <c r="Z830" s="117"/>
      <c r="AA830" s="117"/>
      <c r="AB830" s="115">
        <v>1</v>
      </c>
      <c r="AC830" s="116">
        <f t="shared" si="9"/>
        <v>1.069</v>
      </c>
      <c r="AD830" s="116">
        <f t="shared" si="9"/>
        <v>1.1267259999999999</v>
      </c>
      <c r="AE830" s="116">
        <f t="shared" si="9"/>
        <v>1.212357176</v>
      </c>
      <c r="AF830" s="116">
        <f t="shared" si="9"/>
        <v>1.3020716070240002</v>
      </c>
      <c r="AG830" s="116">
        <f t="shared" si="9"/>
        <v>1.4075394071929441</v>
      </c>
      <c r="AH830" s="116">
        <f t="shared" si="9"/>
        <v>1.5454782690978528</v>
      </c>
      <c r="AI830" s="116">
        <f t="shared" si="9"/>
        <v>1.7108444438913231</v>
      </c>
      <c r="AJ830" s="116">
        <f t="shared" si="9"/>
        <v>1.8528445327343028</v>
      </c>
      <c r="AK830" s="116">
        <f t="shared" si="9"/>
        <v>1.9788379609602356</v>
      </c>
      <c r="AL830" s="116">
        <f t="shared" si="10"/>
        <v>2.0619491553205656</v>
      </c>
      <c r="AM830" s="116">
        <f t="shared" si="10"/>
        <v>2.1403032232227472</v>
      </c>
      <c r="AN830" s="116">
        <f t="shared" si="10"/>
        <v>2.2922647520715622</v>
      </c>
      <c r="AO830" s="116">
        <f t="shared" si="10"/>
        <v>2.4389696962041425</v>
      </c>
      <c r="AP830" s="116">
        <f t="shared" si="10"/>
        <v>2.5828689082801866</v>
      </c>
      <c r="AQ830" s="116">
        <f t="shared" si="10"/>
        <v>2.6500234998954713</v>
      </c>
      <c r="AR830" s="116">
        <f t="shared" si="10"/>
        <v>2.7242241578925444</v>
      </c>
      <c r="AS830" s="116">
        <f t="shared" si="10"/>
        <v>2.7868813135240726</v>
      </c>
      <c r="AT830" s="116">
        <f t="shared" si="10"/>
        <v>2.7729469069564523</v>
      </c>
      <c r="AU830" s="116">
        <f t="shared" si="10"/>
        <v>2.7784928007703651</v>
      </c>
      <c r="AV830" s="116">
        <f t="shared" si="10"/>
        <v>2.8034992359772981</v>
      </c>
      <c r="AW830" s="116">
        <f t="shared" si="10"/>
        <v>2.8343377275730481</v>
      </c>
      <c r="AX830" s="116">
        <f t="shared" si="10"/>
        <v>2.9023618330348016</v>
      </c>
      <c r="AY830" s="116">
        <f t="shared" si="10"/>
        <v>3.0358704773544027</v>
      </c>
      <c r="AZ830" s="116">
        <f t="shared" si="10"/>
        <v>3.1421259440618066</v>
      </c>
      <c r="BA830" s="116">
        <f t="shared" si="10"/>
        <v>3.2049684629430426</v>
      </c>
      <c r="BB830" s="116">
        <f t="shared" si="11"/>
        <v>3.2882976429795616</v>
      </c>
      <c r="BC830" s="116">
        <f t="shared" si="11"/>
        <v>3.3376221076242549</v>
      </c>
      <c r="BD830" s="116">
        <f t="shared" si="11"/>
        <v>3.4010369276691153</v>
      </c>
      <c r="BE830" s="116">
        <f t="shared" si="11"/>
        <v>3.4894638877885122</v>
      </c>
      <c r="BF830" s="116">
        <f t="shared" si="11"/>
        <v>3.5487847738809166</v>
      </c>
      <c r="BG830" s="116">
        <f t="shared" si="11"/>
        <v>3.6410531780018207</v>
      </c>
      <c r="BH830" s="116">
        <f t="shared" si="11"/>
        <v>3.732079507451866</v>
      </c>
      <c r="BI830" s="116">
        <f t="shared" si="11"/>
        <v>3.9074872443021036</v>
      </c>
      <c r="BJ830" s="116">
        <f t="shared" si="11"/>
        <v>4.0364343233640723</v>
      </c>
      <c r="BK830" s="116">
        <f t="shared" si="11"/>
        <v>4.1211994441547173</v>
      </c>
      <c r="BL830" s="116">
        <f t="shared" si="11"/>
        <v>4.1665326380404188</v>
      </c>
      <c r="BM830" s="116">
        <f t="shared" si="11"/>
        <v>4.2415302255251461</v>
      </c>
      <c r="BN830" s="116">
        <f t="shared" si="11"/>
        <v>4.3009116486824981</v>
      </c>
      <c r="BO830" s="116">
        <f t="shared" si="11"/>
        <v>4.3482216768180049</v>
      </c>
      <c r="BP830" s="116">
        <f t="shared" si="11"/>
        <v>4.487364770476181</v>
      </c>
      <c r="BQ830" s="116">
        <f t="shared" si="11"/>
        <v>4.5008268647876086</v>
      </c>
      <c r="BR830" s="116">
        <f t="shared" si="12"/>
        <v>4.5683392677594226</v>
      </c>
      <c r="BS830" s="116">
        <f t="shared" si="12"/>
        <v>4.6871160887211678</v>
      </c>
      <c r="BT830" s="116">
        <f t="shared" si="12"/>
        <v>4.794919758761754</v>
      </c>
      <c r="BU830" s="116">
        <f t="shared" si="12"/>
        <v>4.9291775120070831</v>
      </c>
      <c r="BV830" s="116">
        <f t="shared" si="12"/>
        <v>4.9784692871271536</v>
      </c>
      <c r="BW830" s="116">
        <f t="shared" si="12"/>
        <v>5.0182970414241712</v>
      </c>
      <c r="BX830" s="116">
        <f t="shared" si="12"/>
        <v>5.0283336355070194</v>
      </c>
      <c r="BY830" s="116">
        <f t="shared" si="12"/>
        <v>5.0987303064041178</v>
      </c>
      <c r="BZ830" s="116">
        <f t="shared" si="12"/>
        <v>5.1599150700809675</v>
      </c>
      <c r="CA830" s="116">
        <f t="shared" si="12"/>
        <v>5.2940728619030724</v>
      </c>
      <c r="CB830" s="116">
        <f t="shared" si="12"/>
        <v>5.3787780276935218</v>
      </c>
      <c r="CC830" s="116">
        <f t="shared" si="12"/>
        <v>5.475596032192005</v>
      </c>
      <c r="CD830" s="116">
        <f t="shared" si="12"/>
        <v>5.8150829861879094</v>
      </c>
      <c r="CE830" s="116">
        <f t="shared" si="12"/>
        <v>6.2802896250829425</v>
      </c>
      <c r="CF830" s="116">
        <f t="shared" si="12"/>
        <v>6.4561377345852655</v>
      </c>
      <c r="CG830" s="116">
        <f t="shared" si="12"/>
        <v>6.701470968499506</v>
      </c>
    </row>
    <row r="831" spans="1:85">
      <c r="A831" s="3"/>
      <c r="B831" s="114">
        <v>1970</v>
      </c>
      <c r="C831" s="114"/>
      <c r="D831" s="3"/>
      <c r="E831" s="117"/>
      <c r="F831" s="117"/>
      <c r="G831" s="117"/>
      <c r="H831" s="117"/>
      <c r="I831" s="117"/>
      <c r="J831" s="117"/>
      <c r="K831" s="117"/>
      <c r="L831" s="117"/>
      <c r="M831" s="117"/>
      <c r="N831" s="117"/>
      <c r="O831" s="117"/>
      <c r="P831" s="117"/>
      <c r="Q831" s="117"/>
      <c r="R831" s="117"/>
      <c r="S831" s="117"/>
      <c r="T831" s="117"/>
      <c r="U831" s="117"/>
      <c r="V831" s="117"/>
      <c r="W831" s="117"/>
      <c r="X831" s="117"/>
      <c r="Y831" s="117"/>
      <c r="Z831" s="117"/>
      <c r="AA831" s="117"/>
      <c r="AB831" s="117"/>
      <c r="AC831" s="115">
        <v>1</v>
      </c>
      <c r="AD831" s="116">
        <f t="shared" si="9"/>
        <v>1.054</v>
      </c>
      <c r="AE831" s="116">
        <f t="shared" si="9"/>
        <v>1.1341040000000002</v>
      </c>
      <c r="AF831" s="116">
        <f t="shared" si="9"/>
        <v>1.2180276960000003</v>
      </c>
      <c r="AG831" s="116">
        <f t="shared" si="9"/>
        <v>1.3166879393760003</v>
      </c>
      <c r="AH831" s="116">
        <f t="shared" si="9"/>
        <v>1.4457233574348485</v>
      </c>
      <c r="AI831" s="116">
        <f t="shared" si="9"/>
        <v>1.6004157566803772</v>
      </c>
      <c r="AJ831" s="116">
        <f t="shared" si="9"/>
        <v>1.7332502644848484</v>
      </c>
      <c r="AK831" s="116">
        <f t="shared" si="9"/>
        <v>1.8511112824698182</v>
      </c>
      <c r="AL831" s="116">
        <f t="shared" si="10"/>
        <v>1.9288579563335506</v>
      </c>
      <c r="AM831" s="116">
        <f t="shared" si="10"/>
        <v>2.0021545586742255</v>
      </c>
      <c r="AN831" s="116">
        <f t="shared" si="10"/>
        <v>2.1443075323400955</v>
      </c>
      <c r="AO831" s="116">
        <f t="shared" si="10"/>
        <v>2.281543214409862</v>
      </c>
      <c r="AP831" s="116">
        <f t="shared" si="10"/>
        <v>2.4161542640600437</v>
      </c>
      <c r="AQ831" s="116">
        <f t="shared" si="10"/>
        <v>2.478974274925605</v>
      </c>
      <c r="AR831" s="116">
        <f t="shared" si="10"/>
        <v>2.5483855546235219</v>
      </c>
      <c r="AS831" s="116">
        <f t="shared" si="10"/>
        <v>2.6069984223798626</v>
      </c>
      <c r="AT831" s="116">
        <f t="shared" si="10"/>
        <v>2.5939634302679631</v>
      </c>
      <c r="AU831" s="116">
        <f t="shared" si="10"/>
        <v>2.5991513571284992</v>
      </c>
      <c r="AV831" s="116">
        <f t="shared" si="10"/>
        <v>2.6225437193426555</v>
      </c>
      <c r="AW831" s="116">
        <f t="shared" si="10"/>
        <v>2.6513917002554246</v>
      </c>
      <c r="AX831" s="116">
        <f t="shared" si="10"/>
        <v>2.7150251010615549</v>
      </c>
      <c r="AY831" s="116">
        <f t="shared" si="10"/>
        <v>2.8399162557103867</v>
      </c>
      <c r="AZ831" s="116">
        <f t="shared" si="10"/>
        <v>2.9393133246602501</v>
      </c>
      <c r="BA831" s="116">
        <f t="shared" si="10"/>
        <v>2.9980995911534549</v>
      </c>
      <c r="BB831" s="116">
        <f t="shared" si="11"/>
        <v>3.076050180523445</v>
      </c>
      <c r="BC831" s="116">
        <f t="shared" si="11"/>
        <v>3.1221909332312965</v>
      </c>
      <c r="BD831" s="116">
        <f t="shared" si="11"/>
        <v>3.1815125609626906</v>
      </c>
      <c r="BE831" s="116">
        <f t="shared" si="11"/>
        <v>3.2642318875477208</v>
      </c>
      <c r="BF831" s="116">
        <f t="shared" si="11"/>
        <v>3.3197238296360316</v>
      </c>
      <c r="BG831" s="116">
        <f t="shared" si="11"/>
        <v>3.4060366492065683</v>
      </c>
      <c r="BH831" s="116">
        <f t="shared" si="11"/>
        <v>3.4911875654367321</v>
      </c>
      <c r="BI831" s="116">
        <f t="shared" si="11"/>
        <v>3.6552733810122584</v>
      </c>
      <c r="BJ831" s="116">
        <f t="shared" si="11"/>
        <v>3.7758974025856626</v>
      </c>
      <c r="BK831" s="116">
        <f t="shared" si="11"/>
        <v>3.855191248039961</v>
      </c>
      <c r="BL831" s="116">
        <f t="shared" si="11"/>
        <v>3.8975983517684001</v>
      </c>
      <c r="BM831" s="116">
        <f t="shared" si="11"/>
        <v>3.9677551221002312</v>
      </c>
      <c r="BN831" s="116">
        <f t="shared" si="11"/>
        <v>4.023303693809634</v>
      </c>
      <c r="BO831" s="116">
        <f t="shared" si="11"/>
        <v>4.0675600344415397</v>
      </c>
      <c r="BP831" s="116">
        <f t="shared" si="11"/>
        <v>4.1977219555436687</v>
      </c>
      <c r="BQ831" s="116">
        <f t="shared" si="11"/>
        <v>4.2103151214102992</v>
      </c>
      <c r="BR831" s="116">
        <f t="shared" si="12"/>
        <v>4.2734698482314535</v>
      </c>
      <c r="BS831" s="116">
        <f t="shared" si="12"/>
        <v>4.3845800642854718</v>
      </c>
      <c r="BT831" s="116">
        <f t="shared" si="12"/>
        <v>4.4854254057640368</v>
      </c>
      <c r="BU831" s="116">
        <f t="shared" si="12"/>
        <v>4.6110173171254303</v>
      </c>
      <c r="BV831" s="116">
        <f t="shared" si="12"/>
        <v>4.657127490296685</v>
      </c>
      <c r="BW831" s="116">
        <f t="shared" si="12"/>
        <v>4.6943845102190584</v>
      </c>
      <c r="BX831" s="116">
        <f t="shared" si="12"/>
        <v>4.7037732792394964</v>
      </c>
      <c r="BY831" s="116">
        <f t="shared" si="12"/>
        <v>4.7696261051488493</v>
      </c>
      <c r="BZ831" s="116">
        <f t="shared" si="12"/>
        <v>4.8268616184106357</v>
      </c>
      <c r="CA831" s="116">
        <f t="shared" si="12"/>
        <v>4.9523600204893121</v>
      </c>
      <c r="CB831" s="116">
        <f t="shared" si="12"/>
        <v>5.0315977808171413</v>
      </c>
      <c r="CC831" s="116">
        <f t="shared" si="12"/>
        <v>5.1221665408718495</v>
      </c>
      <c r="CD831" s="116">
        <f t="shared" si="12"/>
        <v>5.4397408664059048</v>
      </c>
      <c r="CE831" s="116">
        <f t="shared" si="12"/>
        <v>5.8749201357183773</v>
      </c>
      <c r="CF831" s="116">
        <f t="shared" si="12"/>
        <v>6.039417899518492</v>
      </c>
      <c r="CG831" s="116">
        <f t="shared" si="12"/>
        <v>6.2689157797001949</v>
      </c>
    </row>
    <row r="832" spans="1:85">
      <c r="A832" s="3"/>
      <c r="B832" s="114">
        <v>1971</v>
      </c>
      <c r="C832" s="114"/>
      <c r="D832" s="3"/>
      <c r="E832" s="117"/>
      <c r="F832" s="117"/>
      <c r="G832" s="117"/>
      <c r="H832" s="117"/>
      <c r="I832" s="117"/>
      <c r="J832" s="117"/>
      <c r="K832" s="117"/>
      <c r="L832" s="117"/>
      <c r="M832" s="117"/>
      <c r="N832" s="117"/>
      <c r="O832" s="117"/>
      <c r="P832" s="117"/>
      <c r="Q832" s="117"/>
      <c r="R832" s="117"/>
      <c r="S832" s="117"/>
      <c r="T832" s="117"/>
      <c r="U832" s="117"/>
      <c r="V832" s="117"/>
      <c r="W832" s="117"/>
      <c r="X832" s="117"/>
      <c r="Y832" s="117"/>
      <c r="Z832" s="117"/>
      <c r="AA832" s="117"/>
      <c r="AB832" s="117"/>
      <c r="AC832" s="117"/>
      <c r="AD832" s="115">
        <v>1</v>
      </c>
      <c r="AE832" s="116">
        <f t="shared" si="9"/>
        <v>1.0760000000000001</v>
      </c>
      <c r="AF832" s="116">
        <f t="shared" si="9"/>
        <v>1.1556240000000002</v>
      </c>
      <c r="AG832" s="116">
        <f t="shared" si="9"/>
        <v>1.2492295440000001</v>
      </c>
      <c r="AH832" s="116">
        <f t="shared" si="9"/>
        <v>1.3716540393120003</v>
      </c>
      <c r="AI832" s="116">
        <f t="shared" si="9"/>
        <v>1.5184210215183842</v>
      </c>
      <c r="AJ832" s="116">
        <f t="shared" si="9"/>
        <v>1.6444499663044101</v>
      </c>
      <c r="AK832" s="116">
        <f t="shared" si="9"/>
        <v>1.75627256401311</v>
      </c>
      <c r="AL832" s="116">
        <f t="shared" si="10"/>
        <v>1.8300360117016607</v>
      </c>
      <c r="AM832" s="116">
        <f t="shared" si="10"/>
        <v>1.8995773801463238</v>
      </c>
      <c r="AN832" s="116">
        <f t="shared" si="10"/>
        <v>2.0344473741367128</v>
      </c>
      <c r="AO832" s="116">
        <f t="shared" si="10"/>
        <v>2.1646520060814627</v>
      </c>
      <c r="AP832" s="116">
        <f t="shared" si="10"/>
        <v>2.2923664744402688</v>
      </c>
      <c r="AQ832" s="116">
        <f t="shared" si="10"/>
        <v>2.3519680027757159</v>
      </c>
      <c r="AR832" s="116">
        <f t="shared" si="10"/>
        <v>2.4178231068534362</v>
      </c>
      <c r="AS832" s="116">
        <f t="shared" si="10"/>
        <v>2.473433038311065</v>
      </c>
      <c r="AT832" s="116">
        <f t="shared" si="10"/>
        <v>2.4610658731195096</v>
      </c>
      <c r="AU832" s="116">
        <f t="shared" si="10"/>
        <v>2.4659880048657485</v>
      </c>
      <c r="AV832" s="116">
        <f t="shared" si="10"/>
        <v>2.4881818969095399</v>
      </c>
      <c r="AW832" s="116">
        <f t="shared" si="10"/>
        <v>2.5155518977755444</v>
      </c>
      <c r="AX832" s="116">
        <f t="shared" si="10"/>
        <v>2.5759251433221575</v>
      </c>
      <c r="AY832" s="116">
        <f t="shared" si="10"/>
        <v>2.6944176999149767</v>
      </c>
      <c r="AZ832" s="116">
        <f t="shared" si="10"/>
        <v>2.7887223194120008</v>
      </c>
      <c r="BA832" s="116">
        <f t="shared" si="10"/>
        <v>2.8444967658002409</v>
      </c>
      <c r="BB832" s="116">
        <f t="shared" si="11"/>
        <v>2.9184536817110471</v>
      </c>
      <c r="BC832" s="116">
        <f t="shared" si="11"/>
        <v>2.9622304869367126</v>
      </c>
      <c r="BD832" s="116">
        <f t="shared" si="11"/>
        <v>3.0185128661885101</v>
      </c>
      <c r="BE832" s="116">
        <f t="shared" si="11"/>
        <v>3.0969942007094113</v>
      </c>
      <c r="BF832" s="116">
        <f t="shared" si="11"/>
        <v>3.149643102121471</v>
      </c>
      <c r="BG832" s="116">
        <f t="shared" si="11"/>
        <v>3.2315338227766293</v>
      </c>
      <c r="BH832" s="116">
        <f t="shared" si="11"/>
        <v>3.3123221683460446</v>
      </c>
      <c r="BI832" s="116">
        <f t="shared" si="11"/>
        <v>3.4680013102583085</v>
      </c>
      <c r="BJ832" s="116">
        <f t="shared" si="11"/>
        <v>3.5824453534968326</v>
      </c>
      <c r="BK832" s="116">
        <f t="shared" si="11"/>
        <v>3.6576767059202657</v>
      </c>
      <c r="BL832" s="116">
        <f t="shared" si="11"/>
        <v>3.6979111496853885</v>
      </c>
      <c r="BM832" s="116">
        <f t="shared" si="11"/>
        <v>3.7644735503797255</v>
      </c>
      <c r="BN832" s="116">
        <f t="shared" si="11"/>
        <v>3.8171761800850419</v>
      </c>
      <c r="BO832" s="116">
        <f t="shared" si="11"/>
        <v>3.859165118065977</v>
      </c>
      <c r="BP832" s="116">
        <f t="shared" si="11"/>
        <v>3.9826584018440885</v>
      </c>
      <c r="BQ832" s="116">
        <f t="shared" si="11"/>
        <v>3.9946063770496205</v>
      </c>
      <c r="BR832" s="116">
        <f t="shared" si="12"/>
        <v>4.0545254727053646</v>
      </c>
      <c r="BS832" s="116">
        <f t="shared" si="12"/>
        <v>4.1599431349957046</v>
      </c>
      <c r="BT832" s="116">
        <f t="shared" si="12"/>
        <v>4.2556218271006054</v>
      </c>
      <c r="BU832" s="116">
        <f t="shared" si="12"/>
        <v>4.3747792382594222</v>
      </c>
      <c r="BV832" s="116">
        <f t="shared" si="12"/>
        <v>4.4185270306420161</v>
      </c>
      <c r="BW832" s="116">
        <f t="shared" si="12"/>
        <v>4.4538752468871525</v>
      </c>
      <c r="BX832" s="116">
        <f t="shared" si="12"/>
        <v>4.462782997380927</v>
      </c>
      <c r="BY832" s="116">
        <f t="shared" si="12"/>
        <v>4.5252619593442605</v>
      </c>
      <c r="BZ832" s="116">
        <f t="shared" si="12"/>
        <v>4.5795651028563915</v>
      </c>
      <c r="CA832" s="116">
        <f t="shared" si="12"/>
        <v>4.6986337955306574</v>
      </c>
      <c r="CB832" s="116">
        <f t="shared" si="12"/>
        <v>4.7738119362591478</v>
      </c>
      <c r="CC832" s="116">
        <f t="shared" si="12"/>
        <v>4.8597405511118126</v>
      </c>
      <c r="CD832" s="116">
        <f t="shared" si="12"/>
        <v>5.161044465280745</v>
      </c>
      <c r="CE832" s="116">
        <f t="shared" si="12"/>
        <v>5.5739280225032051</v>
      </c>
      <c r="CF832" s="116">
        <f t="shared" si="12"/>
        <v>5.729998007133295</v>
      </c>
      <c r="CG832" s="116">
        <f t="shared" si="12"/>
        <v>5.9477379314043608</v>
      </c>
    </row>
    <row r="833" spans="1:85">
      <c r="A833" s="3"/>
      <c r="B833" s="114">
        <v>1972</v>
      </c>
      <c r="C833" s="114"/>
      <c r="D833" s="3"/>
      <c r="E833" s="117"/>
      <c r="F833" s="117"/>
      <c r="G833" s="117"/>
      <c r="H833" s="117"/>
      <c r="I833" s="117"/>
      <c r="J833" s="117"/>
      <c r="K833" s="117"/>
      <c r="L833" s="117"/>
      <c r="M833" s="117"/>
      <c r="N833" s="117"/>
      <c r="O833" s="117"/>
      <c r="P833" s="117"/>
      <c r="Q833" s="117"/>
      <c r="R833" s="117"/>
      <c r="S833" s="117"/>
      <c r="T833" s="117"/>
      <c r="U833" s="117"/>
      <c r="V833" s="117"/>
      <c r="W833" s="117"/>
      <c r="X833" s="117"/>
      <c r="Y833" s="117"/>
      <c r="Z833" s="117"/>
      <c r="AA833" s="117"/>
      <c r="AB833" s="117"/>
      <c r="AC833" s="117"/>
      <c r="AD833" s="117"/>
      <c r="AE833" s="115">
        <v>1</v>
      </c>
      <c r="AF833" s="116">
        <f t="shared" si="9"/>
        <v>1.0740000000000001</v>
      </c>
      <c r="AG833" s="116">
        <f t="shared" si="9"/>
        <v>1.1609940000000001</v>
      </c>
      <c r="AH833" s="116">
        <f t="shared" si="9"/>
        <v>1.2747714120000002</v>
      </c>
      <c r="AI833" s="116">
        <f t="shared" si="9"/>
        <v>1.4111719530840001</v>
      </c>
      <c r="AJ833" s="116">
        <f t="shared" si="9"/>
        <v>1.5282992251899721</v>
      </c>
      <c r="AK833" s="116">
        <f t="shared" si="9"/>
        <v>1.6322235725028902</v>
      </c>
      <c r="AL833" s="116">
        <f t="shared" si="10"/>
        <v>1.7007769625480116</v>
      </c>
      <c r="AM833" s="116">
        <f t="shared" si="10"/>
        <v>1.7654064871248361</v>
      </c>
      <c r="AN833" s="116">
        <f t="shared" si="10"/>
        <v>1.8907503477106993</v>
      </c>
      <c r="AO833" s="116">
        <f t="shared" si="10"/>
        <v>2.0117583699641841</v>
      </c>
      <c r="AP833" s="116">
        <f t="shared" si="10"/>
        <v>2.1304521137920709</v>
      </c>
      <c r="AQ833" s="116">
        <f t="shared" si="10"/>
        <v>2.1858438687506649</v>
      </c>
      <c r="AR833" s="116">
        <f t="shared" si="10"/>
        <v>2.2470474970756835</v>
      </c>
      <c r="AS833" s="116">
        <f t="shared" si="10"/>
        <v>2.2987295895084241</v>
      </c>
      <c r="AT833" s="116">
        <f t="shared" si="10"/>
        <v>2.2872359415608821</v>
      </c>
      <c r="AU833" s="116">
        <f t="shared" si="10"/>
        <v>2.2918104134440038</v>
      </c>
      <c r="AV833" s="116">
        <f t="shared" si="10"/>
        <v>2.3124367071649998</v>
      </c>
      <c r="AW833" s="116">
        <f t="shared" si="10"/>
        <v>2.3378735109438145</v>
      </c>
      <c r="AX833" s="116">
        <f t="shared" si="10"/>
        <v>2.393982475206466</v>
      </c>
      <c r="AY833" s="116">
        <f t="shared" si="10"/>
        <v>2.5041056690659635</v>
      </c>
      <c r="AZ833" s="116">
        <f t="shared" si="10"/>
        <v>2.5917493674832719</v>
      </c>
      <c r="BA833" s="116">
        <f t="shared" si="10"/>
        <v>2.6435843548329374</v>
      </c>
      <c r="BB833" s="116">
        <f t="shared" si="11"/>
        <v>2.7123175480585937</v>
      </c>
      <c r="BC833" s="116">
        <f t="shared" si="11"/>
        <v>2.7530023112794724</v>
      </c>
      <c r="BD833" s="116">
        <f t="shared" si="11"/>
        <v>2.8053093551937822</v>
      </c>
      <c r="BE833" s="116">
        <f t="shared" si="11"/>
        <v>2.8782473984288206</v>
      </c>
      <c r="BF833" s="116">
        <f t="shared" si="11"/>
        <v>2.9271776042021105</v>
      </c>
      <c r="BG833" s="116">
        <f t="shared" si="11"/>
        <v>3.0032842219113656</v>
      </c>
      <c r="BH833" s="116">
        <f t="shared" si="11"/>
        <v>3.0783663274591495</v>
      </c>
      <c r="BI833" s="116">
        <f t="shared" si="11"/>
        <v>3.2230495448497294</v>
      </c>
      <c r="BJ833" s="116">
        <f t="shared" si="11"/>
        <v>3.3294101798297704</v>
      </c>
      <c r="BK833" s="116">
        <f t="shared" si="11"/>
        <v>3.3993277936061954</v>
      </c>
      <c r="BL833" s="116">
        <f t="shared" si="11"/>
        <v>3.4367203993358633</v>
      </c>
      <c r="BM833" s="116">
        <f t="shared" si="11"/>
        <v>3.4985813665239087</v>
      </c>
      <c r="BN833" s="116">
        <f t="shared" si="11"/>
        <v>3.5475615056552434</v>
      </c>
      <c r="BO833" s="116">
        <f t="shared" si="11"/>
        <v>3.5865846822174507</v>
      </c>
      <c r="BP833" s="116">
        <f t="shared" si="11"/>
        <v>3.7013553920484092</v>
      </c>
      <c r="BQ833" s="116">
        <f t="shared" si="11"/>
        <v>3.7124594582245543</v>
      </c>
      <c r="BR833" s="116">
        <f t="shared" si="12"/>
        <v>3.7681463500979224</v>
      </c>
      <c r="BS833" s="116">
        <f t="shared" si="12"/>
        <v>3.8661181552004686</v>
      </c>
      <c r="BT833" s="116">
        <f t="shared" si="12"/>
        <v>3.9550388727700789</v>
      </c>
      <c r="BU833" s="116">
        <f t="shared" si="12"/>
        <v>4.0657799612076415</v>
      </c>
      <c r="BV833" s="116">
        <f t="shared" si="12"/>
        <v>4.106437760819718</v>
      </c>
      <c r="BW833" s="116">
        <f t="shared" si="12"/>
        <v>4.1392892629062761</v>
      </c>
      <c r="BX833" s="116">
        <f t="shared" si="12"/>
        <v>4.1475678414320889</v>
      </c>
      <c r="BY833" s="116">
        <f t="shared" si="12"/>
        <v>4.2056337912121382</v>
      </c>
      <c r="BZ833" s="116">
        <f t="shared" si="12"/>
        <v>4.2561013967066836</v>
      </c>
      <c r="CA833" s="116">
        <f t="shared" si="12"/>
        <v>4.3667600330210572</v>
      </c>
      <c r="CB833" s="116">
        <f t="shared" si="12"/>
        <v>4.4366281935493941</v>
      </c>
      <c r="CC833" s="116">
        <f t="shared" si="12"/>
        <v>4.516487501033283</v>
      </c>
      <c r="CD833" s="116">
        <f t="shared" si="12"/>
        <v>4.796509726097347</v>
      </c>
      <c r="CE833" s="116">
        <f t="shared" si="12"/>
        <v>5.1802305041851353</v>
      </c>
      <c r="CF833" s="116">
        <f t="shared" si="12"/>
        <v>5.325276958302319</v>
      </c>
      <c r="CG833" s="116">
        <f t="shared" si="12"/>
        <v>5.5276374827178074</v>
      </c>
    </row>
    <row r="834" spans="1:85">
      <c r="A834" s="3"/>
      <c r="B834" s="114">
        <v>1973</v>
      </c>
      <c r="C834" s="114"/>
      <c r="D834" s="3"/>
      <c r="E834" s="117"/>
      <c r="F834" s="117"/>
      <c r="G834" s="117"/>
      <c r="H834" s="117"/>
      <c r="I834" s="117"/>
      <c r="J834" s="117"/>
      <c r="K834" s="117"/>
      <c r="L834" s="117"/>
      <c r="M834" s="117"/>
      <c r="N834" s="117"/>
      <c r="O834" s="117"/>
      <c r="P834" s="117"/>
      <c r="Q834" s="117"/>
      <c r="R834" s="117"/>
      <c r="S834" s="117"/>
      <c r="T834" s="117"/>
      <c r="U834" s="117"/>
      <c r="V834" s="117"/>
      <c r="W834" s="117"/>
      <c r="X834" s="117"/>
      <c r="Y834" s="117"/>
      <c r="Z834" s="117"/>
      <c r="AA834" s="117"/>
      <c r="AB834" s="117"/>
      <c r="AC834" s="117"/>
      <c r="AD834" s="117"/>
      <c r="AE834" s="117"/>
      <c r="AF834" s="115">
        <v>1</v>
      </c>
      <c r="AG834" s="116">
        <f t="shared" si="9"/>
        <v>1.081</v>
      </c>
      <c r="AH834" s="116">
        <f t="shared" si="9"/>
        <v>1.186938</v>
      </c>
      <c r="AI834" s="116">
        <f t="shared" si="9"/>
        <v>1.313940366</v>
      </c>
      <c r="AJ834" s="116">
        <f t="shared" si="9"/>
        <v>1.4229974163779999</v>
      </c>
      <c r="AK834" s="116">
        <f t="shared" si="9"/>
        <v>1.519761240691704</v>
      </c>
      <c r="AL834" s="116">
        <f t="shared" si="10"/>
        <v>1.5835912128007557</v>
      </c>
      <c r="AM834" s="116">
        <f t="shared" si="10"/>
        <v>1.6437676788871844</v>
      </c>
      <c r="AN834" s="116">
        <f t="shared" si="10"/>
        <v>1.7604751840881745</v>
      </c>
      <c r="AO834" s="116">
        <f t="shared" si="10"/>
        <v>1.8731455958698178</v>
      </c>
      <c r="AP834" s="116">
        <f t="shared" si="10"/>
        <v>1.9836611860261368</v>
      </c>
      <c r="AQ834" s="116">
        <f t="shared" si="10"/>
        <v>2.0352363768628163</v>
      </c>
      <c r="AR834" s="116">
        <f t="shared" si="10"/>
        <v>2.0922229954149754</v>
      </c>
      <c r="AS834" s="116">
        <f t="shared" si="10"/>
        <v>2.1403441243095198</v>
      </c>
      <c r="AT834" s="116">
        <f t="shared" si="10"/>
        <v>2.1296424036879724</v>
      </c>
      <c r="AU834" s="116">
        <f t="shared" si="10"/>
        <v>2.1339016884953486</v>
      </c>
      <c r="AV834" s="116">
        <f t="shared" si="10"/>
        <v>2.1531068036918066</v>
      </c>
      <c r="AW834" s="116">
        <f t="shared" si="10"/>
        <v>2.1767909785324164</v>
      </c>
      <c r="AX834" s="116">
        <f t="shared" si="10"/>
        <v>2.2290339620171946</v>
      </c>
      <c r="AY834" s="116">
        <f t="shared" si="10"/>
        <v>2.3315695242699856</v>
      </c>
      <c r="AZ834" s="116">
        <f t="shared" si="10"/>
        <v>2.4131744576194349</v>
      </c>
      <c r="BA834" s="116">
        <f t="shared" si="10"/>
        <v>2.4614379467718237</v>
      </c>
      <c r="BB834" s="116">
        <f t="shared" si="11"/>
        <v>2.5254353333878914</v>
      </c>
      <c r="BC834" s="116">
        <f t="shared" si="11"/>
        <v>2.5633168633887093</v>
      </c>
      <c r="BD834" s="116">
        <f t="shared" si="11"/>
        <v>2.6120198837930948</v>
      </c>
      <c r="BE834" s="116">
        <f t="shared" si="11"/>
        <v>2.6799324007717154</v>
      </c>
      <c r="BF834" s="116">
        <f t="shared" si="11"/>
        <v>2.7254912515848342</v>
      </c>
      <c r="BG834" s="116">
        <f t="shared" si="11"/>
        <v>2.7963540241260398</v>
      </c>
      <c r="BH834" s="116">
        <f t="shared" si="11"/>
        <v>2.8662628747291907</v>
      </c>
      <c r="BI834" s="116">
        <f t="shared" si="11"/>
        <v>3.0009772298414625</v>
      </c>
      <c r="BJ834" s="116">
        <f t="shared" si="11"/>
        <v>3.1000094784262306</v>
      </c>
      <c r="BK834" s="116">
        <f t="shared" si="11"/>
        <v>3.1651096774731813</v>
      </c>
      <c r="BL834" s="116">
        <f t="shared" si="11"/>
        <v>3.1999258839253861</v>
      </c>
      <c r="BM834" s="116">
        <f t="shared" si="11"/>
        <v>3.257524549836043</v>
      </c>
      <c r="BN834" s="116">
        <f t="shared" si="11"/>
        <v>3.3031298935337476</v>
      </c>
      <c r="BO834" s="116">
        <f t="shared" si="11"/>
        <v>3.3394643223626184</v>
      </c>
      <c r="BP834" s="116">
        <f t="shared" si="11"/>
        <v>3.4463271806782223</v>
      </c>
      <c r="BQ834" s="116">
        <f t="shared" si="11"/>
        <v>3.4566661622202566</v>
      </c>
      <c r="BR834" s="116">
        <f t="shared" si="12"/>
        <v>3.5085161546535599</v>
      </c>
      <c r="BS834" s="116">
        <f t="shared" si="12"/>
        <v>3.5997375746745526</v>
      </c>
      <c r="BT834" s="116">
        <f t="shared" si="12"/>
        <v>3.682531538892067</v>
      </c>
      <c r="BU834" s="116">
        <f t="shared" si="12"/>
        <v>3.7856424219810449</v>
      </c>
      <c r="BV834" s="116">
        <f t="shared" si="12"/>
        <v>3.8234988462008554</v>
      </c>
      <c r="BW834" s="116">
        <f t="shared" si="12"/>
        <v>3.8540868369704624</v>
      </c>
      <c r="BX834" s="116">
        <f t="shared" si="12"/>
        <v>3.8617950106444034</v>
      </c>
      <c r="BY834" s="116">
        <f t="shared" si="12"/>
        <v>3.9158601407934253</v>
      </c>
      <c r="BZ834" s="116">
        <f t="shared" si="12"/>
        <v>3.9628504624829466</v>
      </c>
      <c r="CA834" s="116">
        <f t="shared" si="12"/>
        <v>4.0658845745075034</v>
      </c>
      <c r="CB834" s="116">
        <f t="shared" si="12"/>
        <v>4.1309387276996237</v>
      </c>
      <c r="CC834" s="116">
        <f t="shared" si="12"/>
        <v>4.2052956247982172</v>
      </c>
      <c r="CD834" s="116">
        <f t="shared" si="12"/>
        <v>4.4660239535357071</v>
      </c>
      <c r="CE834" s="116">
        <f t="shared" si="12"/>
        <v>4.8233058698185642</v>
      </c>
      <c r="CF834" s="116">
        <f t="shared" si="12"/>
        <v>4.9583584341734843</v>
      </c>
      <c r="CG834" s="116">
        <f t="shared" si="12"/>
        <v>5.1467760546720767</v>
      </c>
    </row>
    <row r="835" spans="1:85">
      <c r="A835" s="3"/>
      <c r="B835" s="114">
        <v>1974</v>
      </c>
      <c r="C835" s="114"/>
      <c r="D835" s="3"/>
      <c r="E835" s="117"/>
      <c r="F835" s="117"/>
      <c r="G835" s="117"/>
      <c r="H835" s="117"/>
      <c r="I835" s="117"/>
      <c r="J835" s="117"/>
      <c r="K835" s="117"/>
      <c r="L835" s="117"/>
      <c r="M835" s="117"/>
      <c r="N835" s="117"/>
      <c r="O835" s="117"/>
      <c r="P835" s="117"/>
      <c r="Q835" s="117"/>
      <c r="R835" s="117"/>
      <c r="S835" s="117"/>
      <c r="T835" s="117"/>
      <c r="U835" s="117"/>
      <c r="V835" s="117"/>
      <c r="W835" s="117"/>
      <c r="X835" s="117"/>
      <c r="Y835" s="117"/>
      <c r="Z835" s="117"/>
      <c r="AA835" s="117"/>
      <c r="AB835" s="117"/>
      <c r="AC835" s="117"/>
      <c r="AD835" s="117"/>
      <c r="AE835" s="117"/>
      <c r="AF835" s="117"/>
      <c r="AG835" s="115">
        <v>1</v>
      </c>
      <c r="AH835" s="116">
        <f t="shared" si="9"/>
        <v>1.0980000000000001</v>
      </c>
      <c r="AI835" s="116">
        <f t="shared" si="9"/>
        <v>1.2154860000000001</v>
      </c>
      <c r="AJ835" s="116">
        <f t="shared" si="9"/>
        <v>1.3163713379999999</v>
      </c>
      <c r="AK835" s="116">
        <f t="shared" si="9"/>
        <v>1.4058845889839999</v>
      </c>
      <c r="AL835" s="116">
        <f t="shared" si="10"/>
        <v>1.4649317417213279</v>
      </c>
      <c r="AM835" s="116">
        <f t="shared" si="10"/>
        <v>1.5205991479067384</v>
      </c>
      <c r="AN835" s="116">
        <f t="shared" si="10"/>
        <v>1.6285616874081168</v>
      </c>
      <c r="AO835" s="116">
        <f t="shared" si="10"/>
        <v>1.7327896354022363</v>
      </c>
      <c r="AP835" s="116">
        <f t="shared" si="10"/>
        <v>1.8350242238909682</v>
      </c>
      <c r="AQ835" s="116">
        <f t="shared" si="10"/>
        <v>1.8827348537121333</v>
      </c>
      <c r="AR835" s="116">
        <f t="shared" si="10"/>
        <v>1.9354514296160732</v>
      </c>
      <c r="AS835" s="116">
        <f t="shared" si="10"/>
        <v>1.9799668124972427</v>
      </c>
      <c r="AT835" s="116">
        <f t="shared" si="10"/>
        <v>1.9700669784347564</v>
      </c>
      <c r="AU835" s="116">
        <f t="shared" si="10"/>
        <v>1.9740071123916259</v>
      </c>
      <c r="AV835" s="116">
        <f t="shared" si="10"/>
        <v>1.9917731764031503</v>
      </c>
      <c r="AW835" s="116">
        <f t="shared" si="10"/>
        <v>2.0136826813435849</v>
      </c>
      <c r="AX835" s="116">
        <f t="shared" si="10"/>
        <v>2.062011065695831</v>
      </c>
      <c r="AY835" s="116">
        <f t="shared" si="10"/>
        <v>2.1568635747178395</v>
      </c>
      <c r="AZ835" s="116">
        <f t="shared" si="10"/>
        <v>2.2323537998329637</v>
      </c>
      <c r="BA835" s="116">
        <f t="shared" si="10"/>
        <v>2.2770008758296232</v>
      </c>
      <c r="BB835" s="116">
        <f t="shared" si="11"/>
        <v>2.3362028986011936</v>
      </c>
      <c r="BC835" s="116">
        <f t="shared" si="11"/>
        <v>2.3712459420802112</v>
      </c>
      <c r="BD835" s="116">
        <f t="shared" si="11"/>
        <v>2.4162996149797351</v>
      </c>
      <c r="BE835" s="116">
        <f t="shared" si="11"/>
        <v>2.4791234049692084</v>
      </c>
      <c r="BF835" s="116">
        <f t="shared" si="11"/>
        <v>2.5212685028536845</v>
      </c>
      <c r="BG835" s="116">
        <f t="shared" si="11"/>
        <v>2.5868214839278805</v>
      </c>
      <c r="BH835" s="116">
        <f t="shared" si="11"/>
        <v>2.6514920210260771</v>
      </c>
      <c r="BI835" s="116">
        <f t="shared" si="11"/>
        <v>2.7761121460143023</v>
      </c>
      <c r="BJ835" s="116">
        <f t="shared" si="11"/>
        <v>2.8677238468327739</v>
      </c>
      <c r="BK835" s="116">
        <f t="shared" si="11"/>
        <v>2.927946047616262</v>
      </c>
      <c r="BL835" s="116">
        <f t="shared" si="11"/>
        <v>2.9601534541400407</v>
      </c>
      <c r="BM835" s="116">
        <f t="shared" si="11"/>
        <v>3.0134362163145614</v>
      </c>
      <c r="BN835" s="116">
        <f t="shared" si="11"/>
        <v>3.0556243233429652</v>
      </c>
      <c r="BO835" s="116">
        <f t="shared" si="11"/>
        <v>3.0892361908997374</v>
      </c>
      <c r="BP835" s="116">
        <f t="shared" si="11"/>
        <v>3.188091749008529</v>
      </c>
      <c r="BQ835" s="116">
        <f t="shared" si="11"/>
        <v>3.1976560242555543</v>
      </c>
      <c r="BR835" s="116">
        <f t="shared" si="12"/>
        <v>3.2456208646193874</v>
      </c>
      <c r="BS835" s="116">
        <f t="shared" si="12"/>
        <v>3.3300070070994914</v>
      </c>
      <c r="BT835" s="116">
        <f t="shared" si="12"/>
        <v>3.4065971682627794</v>
      </c>
      <c r="BU835" s="116">
        <f t="shared" si="12"/>
        <v>3.5019818889741372</v>
      </c>
      <c r="BV835" s="116">
        <f t="shared" si="12"/>
        <v>3.5370017078638787</v>
      </c>
      <c r="BW835" s="116">
        <f t="shared" si="12"/>
        <v>3.5652977215267896</v>
      </c>
      <c r="BX835" s="116">
        <f t="shared" si="12"/>
        <v>3.5724283169698432</v>
      </c>
      <c r="BY835" s="116">
        <f t="shared" si="12"/>
        <v>3.6224423134074208</v>
      </c>
      <c r="BZ835" s="116">
        <f t="shared" si="12"/>
        <v>3.66591162116831</v>
      </c>
      <c r="CA835" s="116">
        <f>BZ835*CA$804</f>
        <v>3.7612253233186861</v>
      </c>
      <c r="CB835" s="116">
        <f t="shared" si="12"/>
        <v>3.821404928491785</v>
      </c>
      <c r="CC835" s="116">
        <f t="shared" si="12"/>
        <v>3.8901902172046374</v>
      </c>
      <c r="CD835" s="116">
        <f t="shared" si="12"/>
        <v>4.1313820106713255</v>
      </c>
      <c r="CE835" s="116">
        <f t="shared" si="12"/>
        <v>4.4618925715250315</v>
      </c>
      <c r="CF835" s="116">
        <f t="shared" si="12"/>
        <v>4.5868255635277322</v>
      </c>
      <c r="CG835" s="116">
        <f t="shared" si="12"/>
        <v>4.7611249349417859</v>
      </c>
    </row>
    <row r="836" spans="1:85">
      <c r="A836" s="3"/>
      <c r="B836" s="114">
        <v>1975</v>
      </c>
      <c r="C836" s="114"/>
      <c r="D836" s="3"/>
      <c r="E836" s="117"/>
      <c r="F836" s="117"/>
      <c r="G836" s="117"/>
      <c r="H836" s="117"/>
      <c r="I836" s="117"/>
      <c r="J836" s="117"/>
      <c r="K836" s="117"/>
      <c r="L836" s="117"/>
      <c r="M836" s="117"/>
      <c r="N836" s="117"/>
      <c r="O836" s="117"/>
      <c r="P836" s="117"/>
      <c r="Q836" s="117"/>
      <c r="R836" s="117"/>
      <c r="S836" s="117"/>
      <c r="T836" s="117"/>
      <c r="U836" s="117"/>
      <c r="V836" s="117"/>
      <c r="W836" s="117"/>
      <c r="X836" s="117"/>
      <c r="Y836" s="117"/>
      <c r="Z836" s="117"/>
      <c r="AA836" s="117"/>
      <c r="AB836" s="117"/>
      <c r="AC836" s="117"/>
      <c r="AD836" s="117"/>
      <c r="AE836" s="117"/>
      <c r="AF836" s="117"/>
      <c r="AG836" s="117"/>
      <c r="AH836" s="115">
        <v>1</v>
      </c>
      <c r="AI836" s="116">
        <f t="shared" si="9"/>
        <v>1.107</v>
      </c>
      <c r="AJ836" s="116">
        <f t="shared" si="9"/>
        <v>1.1988809999999999</v>
      </c>
      <c r="AK836" s="116">
        <f t="shared" si="9"/>
        <v>1.280404908</v>
      </c>
      <c r="AL836" s="116">
        <f t="shared" si="10"/>
        <v>1.3341819141360001</v>
      </c>
      <c r="AM836" s="116">
        <f t="shared" si="10"/>
        <v>1.384880826873168</v>
      </c>
      <c r="AN836" s="116">
        <f t="shared" si="10"/>
        <v>1.4832073655811628</v>
      </c>
      <c r="AO836" s="116">
        <f t="shared" si="10"/>
        <v>1.5781326369783573</v>
      </c>
      <c r="AP836" s="116">
        <f t="shared" si="10"/>
        <v>1.6712424625600804</v>
      </c>
      <c r="AQ836" s="116">
        <f t="shared" si="10"/>
        <v>1.7146947665866425</v>
      </c>
      <c r="AR836" s="116">
        <f t="shared" si="10"/>
        <v>1.7627062200510686</v>
      </c>
      <c r="AS836" s="116">
        <f t="shared" si="10"/>
        <v>1.803248463112243</v>
      </c>
      <c r="AT836" s="116">
        <f t="shared" si="10"/>
        <v>1.7942322207966817</v>
      </c>
      <c r="AU836" s="116">
        <f t="shared" si="10"/>
        <v>1.797820685238275</v>
      </c>
      <c r="AV836" s="116">
        <f t="shared" si="10"/>
        <v>1.8140010714054193</v>
      </c>
      <c r="AW836" s="116">
        <f t="shared" si="10"/>
        <v>1.8339550831908789</v>
      </c>
      <c r="AX836" s="116">
        <f t="shared" si="10"/>
        <v>1.8779700051874599</v>
      </c>
      <c r="AY836" s="116">
        <f t="shared" si="10"/>
        <v>1.9643566254260831</v>
      </c>
      <c r="AZ836" s="116">
        <f t="shared" si="10"/>
        <v>2.0331091073159957</v>
      </c>
      <c r="BA836" s="116">
        <f t="shared" si="10"/>
        <v>2.0737712894623157</v>
      </c>
      <c r="BB836" s="116">
        <f t="shared" si="11"/>
        <v>2.1276893429883361</v>
      </c>
      <c r="BC836" s="116">
        <f t="shared" si="11"/>
        <v>2.159604683133161</v>
      </c>
      <c r="BD836" s="116">
        <f t="shared" si="11"/>
        <v>2.2006371721126907</v>
      </c>
      <c r="BE836" s="116">
        <f t="shared" si="11"/>
        <v>2.2578537385876207</v>
      </c>
      <c r="BF836" s="116">
        <f t="shared" si="11"/>
        <v>2.2962372521436101</v>
      </c>
      <c r="BG836" s="116">
        <f t="shared" si="11"/>
        <v>2.355939420699344</v>
      </c>
      <c r="BH836" s="116">
        <f t="shared" si="11"/>
        <v>2.4148379062168273</v>
      </c>
      <c r="BI836" s="116">
        <f t="shared" si="11"/>
        <v>2.5283352878090182</v>
      </c>
      <c r="BJ836" s="116">
        <f t="shared" si="11"/>
        <v>2.6117703523067157</v>
      </c>
      <c r="BK836" s="116">
        <f t="shared" si="11"/>
        <v>2.6666175297051566</v>
      </c>
      <c r="BL836" s="116">
        <f t="shared" si="11"/>
        <v>2.695950322531913</v>
      </c>
      <c r="BM836" s="116">
        <f t="shared" si="11"/>
        <v>2.7444774283374875</v>
      </c>
      <c r="BN836" s="116">
        <f t="shared" si="11"/>
        <v>2.7829001123342123</v>
      </c>
      <c r="BO836" s="116">
        <f t="shared" si="11"/>
        <v>2.8135120135698886</v>
      </c>
      <c r="BP836" s="116">
        <f t="shared" si="11"/>
        <v>2.9035443980041249</v>
      </c>
      <c r="BQ836" s="116">
        <f t="shared" si="11"/>
        <v>2.912255031198137</v>
      </c>
      <c r="BR836" s="116">
        <f t="shared" si="12"/>
        <v>2.9559388566661089</v>
      </c>
      <c r="BS836" s="116">
        <f t="shared" si="12"/>
        <v>3.0327932669394277</v>
      </c>
      <c r="BT836" s="116">
        <f t="shared" si="12"/>
        <v>3.1025475120790342</v>
      </c>
      <c r="BU836" s="116">
        <f t="shared" si="12"/>
        <v>3.1894188424172474</v>
      </c>
      <c r="BV836" s="116">
        <f t="shared" si="12"/>
        <v>3.22131303084142</v>
      </c>
      <c r="BW836" s="116">
        <f t="shared" si="12"/>
        <v>3.2470835350881515</v>
      </c>
      <c r="BX836" s="116">
        <f t="shared" si="12"/>
        <v>3.2535777021583279</v>
      </c>
      <c r="BY836" s="116">
        <f t="shared" si="12"/>
        <v>3.2991277899885443</v>
      </c>
      <c r="BZ836" s="116">
        <f t="shared" si="12"/>
        <v>3.3387173234684067</v>
      </c>
      <c r="CA836" s="116">
        <f t="shared" si="12"/>
        <v>3.4255239738785854</v>
      </c>
      <c r="CB836" s="116">
        <f t="shared" si="12"/>
        <v>3.4803323574606426</v>
      </c>
      <c r="CC836" s="116">
        <f t="shared" si="12"/>
        <v>3.5429783398949342</v>
      </c>
      <c r="CD836" s="116">
        <f t="shared" si="12"/>
        <v>3.7626429969684203</v>
      </c>
      <c r="CE836" s="116">
        <f t="shared" si="12"/>
        <v>4.0636544367258942</v>
      </c>
      <c r="CF836" s="116">
        <f t="shared" si="12"/>
        <v>4.1774367609542198</v>
      </c>
      <c r="CG836" s="116">
        <f t="shared" si="12"/>
        <v>4.3361793578704804</v>
      </c>
    </row>
    <row r="837" spans="1:85">
      <c r="A837" s="3"/>
      <c r="B837" s="114">
        <v>1976</v>
      </c>
      <c r="C837" s="114"/>
      <c r="D837" s="3"/>
      <c r="E837" s="117"/>
      <c r="F837" s="117"/>
      <c r="G837" s="117"/>
      <c r="H837" s="117"/>
      <c r="I837" s="117"/>
      <c r="J837" s="117"/>
      <c r="K837" s="117"/>
      <c r="L837" s="117"/>
      <c r="M837" s="117"/>
      <c r="N837" s="117"/>
      <c r="O837" s="117"/>
      <c r="P837" s="117"/>
      <c r="Q837" s="117"/>
      <c r="R837" s="117"/>
      <c r="S837" s="117"/>
      <c r="T837" s="117"/>
      <c r="U837" s="117"/>
      <c r="V837" s="117"/>
      <c r="W837" s="117"/>
      <c r="X837" s="117"/>
      <c r="Y837" s="117"/>
      <c r="Z837" s="117"/>
      <c r="AA837" s="117"/>
      <c r="AB837" s="117"/>
      <c r="AC837" s="117"/>
      <c r="AD837" s="117"/>
      <c r="AE837" s="117"/>
      <c r="AF837" s="117"/>
      <c r="AG837" s="117"/>
      <c r="AH837" s="117"/>
      <c r="AI837" s="115">
        <v>1</v>
      </c>
      <c r="AJ837" s="116">
        <f t="shared" si="9"/>
        <v>1.083</v>
      </c>
      <c r="AK837" s="116">
        <f t="shared" si="9"/>
        <v>1.156644</v>
      </c>
      <c r="AL837" s="116">
        <f t="shared" si="10"/>
        <v>1.2052230480000001</v>
      </c>
      <c r="AM837" s="116">
        <f t="shared" si="10"/>
        <v>1.2510215238240001</v>
      </c>
      <c r="AN837" s="116">
        <f t="shared" si="10"/>
        <v>1.3398440520155042</v>
      </c>
      <c r="AO837" s="116">
        <f t="shared" si="10"/>
        <v>1.4255940713444966</v>
      </c>
      <c r="AP837" s="116">
        <f t="shared" si="10"/>
        <v>1.5097041215538218</v>
      </c>
      <c r="AQ837" s="116">
        <f t="shared" si="10"/>
        <v>1.5489564287142212</v>
      </c>
      <c r="AR837" s="116">
        <f t="shared" si="10"/>
        <v>1.5923272087182194</v>
      </c>
      <c r="AS837" s="116">
        <f t="shared" si="10"/>
        <v>1.6289507345187384</v>
      </c>
      <c r="AT837" s="116">
        <f t="shared" si="10"/>
        <v>1.6208059808461448</v>
      </c>
      <c r="AU837" s="116">
        <f t="shared" si="10"/>
        <v>1.6240475928078371</v>
      </c>
      <c r="AV837" s="116">
        <f t="shared" si="10"/>
        <v>1.6386640211431074</v>
      </c>
      <c r="AW837" s="116">
        <f t="shared" si="10"/>
        <v>1.6566893253756814</v>
      </c>
      <c r="AX837" s="116">
        <f t="shared" si="10"/>
        <v>1.6964498691846976</v>
      </c>
      <c r="AY837" s="116">
        <f t="shared" si="10"/>
        <v>1.7744865631671938</v>
      </c>
      <c r="AZ837" s="116">
        <f t="shared" si="10"/>
        <v>1.8365935928780455</v>
      </c>
      <c r="BA837" s="116">
        <f t="shared" si="10"/>
        <v>1.8733254647356063</v>
      </c>
      <c r="BB837" s="116">
        <f t="shared" si="11"/>
        <v>1.9220319268187323</v>
      </c>
      <c r="BC837" s="116">
        <f t="shared" si="11"/>
        <v>1.9508624057210131</v>
      </c>
      <c r="BD837" s="116">
        <f t="shared" si="11"/>
        <v>1.9879287914297121</v>
      </c>
      <c r="BE837" s="116">
        <f t="shared" si="11"/>
        <v>2.0396149400068846</v>
      </c>
      <c r="BF837" s="116">
        <f t="shared" si="11"/>
        <v>2.0742883939870014</v>
      </c>
      <c r="BG837" s="116">
        <f t="shared" si="11"/>
        <v>2.1282198922306637</v>
      </c>
      <c r="BH837" s="116">
        <f t="shared" si="11"/>
        <v>2.1814253895364302</v>
      </c>
      <c r="BI837" s="116">
        <f t="shared" si="11"/>
        <v>2.2839523828446424</v>
      </c>
      <c r="BJ837" s="116">
        <f t="shared" si="11"/>
        <v>2.3593228114785156</v>
      </c>
      <c r="BK837" s="116">
        <f t="shared" si="11"/>
        <v>2.4088685905195644</v>
      </c>
      <c r="BL837" s="116">
        <f t="shared" si="11"/>
        <v>2.4353661450152795</v>
      </c>
      <c r="BM837" s="116">
        <f t="shared" si="11"/>
        <v>2.4792027356255546</v>
      </c>
      <c r="BN837" s="116">
        <f t="shared" si="11"/>
        <v>2.5139115739243123</v>
      </c>
      <c r="BO837" s="116">
        <f t="shared" si="11"/>
        <v>2.5415646012374795</v>
      </c>
      <c r="BP837" s="116">
        <f t="shared" si="11"/>
        <v>2.6228946684770791</v>
      </c>
      <c r="BQ837" s="116">
        <f t="shared" si="11"/>
        <v>2.6307633524825103</v>
      </c>
      <c r="BR837" s="116">
        <f t="shared" si="12"/>
        <v>2.6702248027697477</v>
      </c>
      <c r="BS837" s="116">
        <f t="shared" si="12"/>
        <v>2.7396506476417612</v>
      </c>
      <c r="BT837" s="116">
        <f t="shared" si="12"/>
        <v>2.8026626125375214</v>
      </c>
      <c r="BU837" s="116">
        <f t="shared" si="12"/>
        <v>2.881137165688572</v>
      </c>
      <c r="BV837" s="116">
        <f t="shared" si="12"/>
        <v>2.9099485373454579</v>
      </c>
      <c r="BW837" s="116">
        <f t="shared" si="12"/>
        <v>2.9332281256442214</v>
      </c>
      <c r="BX837" s="116">
        <f t="shared" si="12"/>
        <v>2.9390945818955099</v>
      </c>
      <c r="BY837" s="116">
        <f t="shared" si="12"/>
        <v>2.9802419060420471</v>
      </c>
      <c r="BZ837" s="116">
        <f t="shared" si="12"/>
        <v>3.0160048089145515</v>
      </c>
      <c r="CA837" s="116">
        <f t="shared" si="12"/>
        <v>3.09442093394633</v>
      </c>
      <c r="CB837" s="116">
        <f t="shared" si="12"/>
        <v>3.1439316688894712</v>
      </c>
      <c r="CC837" s="116">
        <f t="shared" si="12"/>
        <v>3.2005224389294815</v>
      </c>
      <c r="CD837" s="116">
        <f t="shared" si="12"/>
        <v>3.3989548301431096</v>
      </c>
      <c r="CE837" s="116">
        <f t="shared" si="12"/>
        <v>3.6708712165545587</v>
      </c>
      <c r="CF837" s="116">
        <f t="shared" si="12"/>
        <v>3.7736556106180865</v>
      </c>
      <c r="CG837" s="116">
        <f t="shared" si="12"/>
        <v>3.9170545238215739</v>
      </c>
    </row>
    <row r="838" spans="1:85">
      <c r="A838" s="3"/>
      <c r="B838" s="114">
        <v>1977</v>
      </c>
      <c r="C838" s="114"/>
      <c r="D838" s="3"/>
      <c r="E838" s="117"/>
      <c r="F838" s="117"/>
      <c r="G838" s="117"/>
      <c r="H838" s="117"/>
      <c r="I838" s="117"/>
      <c r="J838" s="117"/>
      <c r="K838" s="117"/>
      <c r="L838" s="117"/>
      <c r="M838" s="117"/>
      <c r="N838" s="117"/>
      <c r="O838" s="117"/>
      <c r="P838" s="117"/>
      <c r="Q838" s="117"/>
      <c r="R838" s="117"/>
      <c r="S838" s="117"/>
      <c r="T838" s="117"/>
      <c r="U838" s="117"/>
      <c r="V838" s="117"/>
      <c r="W838" s="117"/>
      <c r="X838" s="117"/>
      <c r="Y838" s="117"/>
      <c r="Z838" s="117"/>
      <c r="AA838" s="117"/>
      <c r="AB838" s="117"/>
      <c r="AC838" s="117"/>
      <c r="AD838" s="117"/>
      <c r="AE838" s="117"/>
      <c r="AF838" s="117"/>
      <c r="AG838" s="117"/>
      <c r="AH838" s="117"/>
      <c r="AI838" s="117"/>
      <c r="AJ838" s="115">
        <v>1</v>
      </c>
      <c r="AK838" s="116">
        <f t="shared" si="9"/>
        <v>1.0680000000000001</v>
      </c>
      <c r="AL838" s="116">
        <f t="shared" si="10"/>
        <v>1.1128560000000001</v>
      </c>
      <c r="AM838" s="116">
        <f t="shared" si="10"/>
        <v>1.1551445280000001</v>
      </c>
      <c r="AN838" s="116">
        <f t="shared" si="10"/>
        <v>1.237159789488</v>
      </c>
      <c r="AO838" s="116">
        <f t="shared" si="10"/>
        <v>1.316338016015232</v>
      </c>
      <c r="AP838" s="116">
        <f t="shared" si="10"/>
        <v>1.3940019589601307</v>
      </c>
      <c r="AQ838" s="116">
        <f t="shared" si="10"/>
        <v>1.430246009893094</v>
      </c>
      <c r="AR838" s="116">
        <f t="shared" si="10"/>
        <v>1.4702928981701007</v>
      </c>
      <c r="AS838" s="116">
        <f t="shared" si="10"/>
        <v>1.5041096348280127</v>
      </c>
      <c r="AT838" s="116">
        <f t="shared" si="10"/>
        <v>1.4965890866538727</v>
      </c>
      <c r="AU838" s="116">
        <f t="shared" si="10"/>
        <v>1.4995822648271804</v>
      </c>
      <c r="AV838" s="116">
        <f t="shared" si="10"/>
        <v>1.5130785052106248</v>
      </c>
      <c r="AW838" s="116">
        <f t="shared" si="10"/>
        <v>1.5297223687679415</v>
      </c>
      <c r="AX838" s="116">
        <f t="shared" si="10"/>
        <v>1.5664357056183722</v>
      </c>
      <c r="AY838" s="116">
        <f t="shared" si="10"/>
        <v>1.6384917480768173</v>
      </c>
      <c r="AZ838" s="116">
        <f t="shared" si="10"/>
        <v>1.6958389592595058</v>
      </c>
      <c r="BA838" s="116">
        <f t="shared" ref="BA838:BO854" si="13">AZ838*BA$804</f>
        <v>1.729755738444696</v>
      </c>
      <c r="BB838" s="116">
        <f t="shared" si="11"/>
        <v>1.774729387644258</v>
      </c>
      <c r="BC838" s="116">
        <f t="shared" si="11"/>
        <v>1.8013503284589216</v>
      </c>
      <c r="BD838" s="116">
        <f t="shared" si="11"/>
        <v>1.8355759846996409</v>
      </c>
      <c r="BE838" s="116">
        <f t="shared" si="11"/>
        <v>1.8833009603018316</v>
      </c>
      <c r="BF838" s="116">
        <f t="shared" si="11"/>
        <v>1.9153170766269625</v>
      </c>
      <c r="BG838" s="116">
        <f t="shared" si="11"/>
        <v>1.9651153206192635</v>
      </c>
      <c r="BH838" s="116">
        <f t="shared" si="11"/>
        <v>2.0142432036347451</v>
      </c>
      <c r="BI838" s="116">
        <f t="shared" si="11"/>
        <v>2.108912634205578</v>
      </c>
      <c r="BJ838" s="116">
        <f t="shared" si="11"/>
        <v>2.1785067511343619</v>
      </c>
      <c r="BK838" s="116">
        <f t="shared" si="11"/>
        <v>2.2242553929081832</v>
      </c>
      <c r="BL838" s="116">
        <f t="shared" si="11"/>
        <v>2.2487222022301729</v>
      </c>
      <c r="BM838" s="116">
        <f t="shared" si="11"/>
        <v>2.289199201870316</v>
      </c>
      <c r="BN838" s="116">
        <f t="shared" si="11"/>
        <v>2.3212479906965005</v>
      </c>
      <c r="BO838" s="116">
        <f t="shared" si="11"/>
        <v>2.3467817185941615</v>
      </c>
      <c r="BP838" s="116">
        <f t="shared" si="11"/>
        <v>2.4218787335891747</v>
      </c>
      <c r="BQ838" s="116">
        <f t="shared" ref="BP838:CE854" si="14">BP838*BQ$804</f>
        <v>2.4291443697899422</v>
      </c>
      <c r="BR838" s="116">
        <f t="shared" si="12"/>
        <v>2.4655815353367911</v>
      </c>
      <c r="BS838" s="116">
        <f t="shared" si="12"/>
        <v>2.5296866552555479</v>
      </c>
      <c r="BT838" s="116">
        <f t="shared" si="12"/>
        <v>2.5878694483264253</v>
      </c>
      <c r="BU838" s="116">
        <f t="shared" si="12"/>
        <v>2.6603297928795651</v>
      </c>
      <c r="BV838" s="116">
        <f t="shared" si="12"/>
        <v>2.6869330908083606</v>
      </c>
      <c r="BW838" s="116">
        <f t="shared" si="12"/>
        <v>2.7084285555348275</v>
      </c>
      <c r="BX838" s="116">
        <f t="shared" si="12"/>
        <v>2.7138454126458971</v>
      </c>
      <c r="BY838" s="116">
        <f t="shared" si="12"/>
        <v>2.7518392484229395</v>
      </c>
      <c r="BZ838" s="116">
        <f t="shared" si="12"/>
        <v>2.7848613194040146</v>
      </c>
      <c r="CA838" s="116">
        <f t="shared" si="12"/>
        <v>2.8572677137085192</v>
      </c>
      <c r="CB838" s="116">
        <f t="shared" si="12"/>
        <v>2.9029839971278557</v>
      </c>
      <c r="CC838" s="116">
        <f t="shared" si="12"/>
        <v>2.9552377090761572</v>
      </c>
      <c r="CD838" s="116">
        <f t="shared" si="12"/>
        <v>3.1384624470388793</v>
      </c>
      <c r="CE838" s="116">
        <f t="shared" si="12"/>
        <v>3.3895394428019898</v>
      </c>
      <c r="CF838" s="116">
        <f t="shared" si="12"/>
        <v>3.4844465472004456</v>
      </c>
      <c r="CG838" s="116">
        <f t="shared" si="12"/>
        <v>3.6168555159940627</v>
      </c>
    </row>
    <row r="839" spans="1:85">
      <c r="A839" s="3"/>
      <c r="B839" s="114">
        <v>1978</v>
      </c>
      <c r="C839" s="114"/>
      <c r="D839" s="3"/>
      <c r="E839" s="117"/>
      <c r="F839" s="117"/>
      <c r="G839" s="117"/>
      <c r="H839" s="117"/>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5">
        <v>1</v>
      </c>
      <c r="AL839" s="116">
        <f t="shared" ref="AL839:AZ853" si="15">AK839*AL$804</f>
        <v>1.042</v>
      </c>
      <c r="AM839" s="116">
        <f t="shared" si="15"/>
        <v>1.081596</v>
      </c>
      <c r="AN839" s="116">
        <f t="shared" si="15"/>
        <v>1.1583893160000001</v>
      </c>
      <c r="AO839" s="116">
        <f t="shared" si="15"/>
        <v>1.232526232224</v>
      </c>
      <c r="AP839" s="116">
        <f t="shared" si="15"/>
        <v>1.3052452799252159</v>
      </c>
      <c r="AQ839" s="116">
        <f t="shared" si="15"/>
        <v>1.3391816572032715</v>
      </c>
      <c r="AR839" s="116">
        <f t="shared" si="15"/>
        <v>1.3766787436049632</v>
      </c>
      <c r="AS839" s="116">
        <f t="shared" si="15"/>
        <v>1.4083423547078773</v>
      </c>
      <c r="AT839" s="116">
        <f t="shared" si="15"/>
        <v>1.401300642934338</v>
      </c>
      <c r="AU839" s="116">
        <f t="shared" si="15"/>
        <v>1.4041032442202066</v>
      </c>
      <c r="AV839" s="116">
        <f t="shared" si="15"/>
        <v>1.4167401734181884</v>
      </c>
      <c r="AW839" s="116">
        <f t="shared" si="15"/>
        <v>1.4323243153257883</v>
      </c>
      <c r="AX839" s="116">
        <f t="shared" si="15"/>
        <v>1.4667000988936072</v>
      </c>
      <c r="AY839" s="116">
        <f t="shared" si="15"/>
        <v>1.5341683034427132</v>
      </c>
      <c r="AZ839" s="116">
        <f t="shared" si="15"/>
        <v>1.5878641940632079</v>
      </c>
      <c r="BA839" s="116">
        <f t="shared" si="13"/>
        <v>1.619621477944472</v>
      </c>
      <c r="BB839" s="116">
        <f t="shared" si="13"/>
        <v>1.6617316363710284</v>
      </c>
      <c r="BC839" s="116">
        <f t="shared" si="13"/>
        <v>1.6866576109165936</v>
      </c>
      <c r="BD839" s="116">
        <f t="shared" si="13"/>
        <v>1.7187041055240087</v>
      </c>
      <c r="BE839" s="116">
        <f t="shared" si="13"/>
        <v>1.7633904122676329</v>
      </c>
      <c r="BF839" s="116">
        <f t="shared" si="13"/>
        <v>1.7933680492761825</v>
      </c>
      <c r="BG839" s="116">
        <f t="shared" si="13"/>
        <v>1.8399956185573634</v>
      </c>
      <c r="BH839" s="116">
        <f t="shared" si="13"/>
        <v>1.8859955090212972</v>
      </c>
      <c r="BI839" s="116">
        <f t="shared" si="13"/>
        <v>1.974637297945298</v>
      </c>
      <c r="BJ839" s="116">
        <f t="shared" si="13"/>
        <v>2.0398003287774928</v>
      </c>
      <c r="BK839" s="116">
        <f t="shared" si="13"/>
        <v>2.0826361356818199</v>
      </c>
      <c r="BL839" s="116">
        <f t="shared" si="13"/>
        <v>2.1055451331743198</v>
      </c>
      <c r="BM839" s="116">
        <f t="shared" si="13"/>
        <v>2.1434449455714577</v>
      </c>
      <c r="BN839" s="116">
        <f t="shared" si="13"/>
        <v>2.1734531748094583</v>
      </c>
      <c r="BO839" s="116">
        <f t="shared" si="13"/>
        <v>2.1973611597323623</v>
      </c>
      <c r="BP839" s="116">
        <f t="shared" si="14"/>
        <v>2.2676767168437979</v>
      </c>
      <c r="BQ839" s="116">
        <f t="shared" si="14"/>
        <v>2.274479746994329</v>
      </c>
      <c r="BR839" s="116">
        <f t="shared" si="14"/>
        <v>2.3085969431992437</v>
      </c>
      <c r="BS839" s="116">
        <f t="shared" si="14"/>
        <v>2.368620463722424</v>
      </c>
      <c r="BT839" s="116">
        <f t="shared" si="14"/>
        <v>2.4230987343880397</v>
      </c>
      <c r="BU839" s="116">
        <f t="shared" si="14"/>
        <v>2.490945498950905</v>
      </c>
      <c r="BV839" s="116">
        <f t="shared" si="14"/>
        <v>2.5158549539404143</v>
      </c>
      <c r="BW839" s="116">
        <f t="shared" si="14"/>
        <v>2.5359817935719375</v>
      </c>
      <c r="BX839" s="116">
        <f t="shared" si="14"/>
        <v>2.5410537571590814</v>
      </c>
      <c r="BY839" s="116">
        <f t="shared" si="14"/>
        <v>2.5766285097593085</v>
      </c>
      <c r="BZ839" s="116">
        <f t="shared" si="14"/>
        <v>2.60754805187642</v>
      </c>
      <c r="CA839" s="116">
        <f t="shared" si="14"/>
        <v>2.6753443012252069</v>
      </c>
      <c r="CB839" s="116">
        <f t="shared" si="14"/>
        <v>2.7181498100448103</v>
      </c>
      <c r="CC839" s="116">
        <f t="shared" si="14"/>
        <v>2.7670765066256169</v>
      </c>
      <c r="CD839" s="116">
        <f t="shared" si="14"/>
        <v>2.9386352500364055</v>
      </c>
      <c r="CE839" s="116">
        <f t="shared" si="14"/>
        <v>3.1737260700393182</v>
      </c>
      <c r="CF839" s="116">
        <f t="shared" ref="CF839:CG870" si="16">CE839*CF$804</f>
        <v>3.2625904000004193</v>
      </c>
      <c r="CG839" s="116">
        <f t="shared" si="16"/>
        <v>3.3865688352004355</v>
      </c>
    </row>
    <row r="840" spans="1:85">
      <c r="A840" s="3"/>
      <c r="B840" s="114">
        <v>1979</v>
      </c>
      <c r="C840" s="114"/>
      <c r="D840" s="3"/>
      <c r="E840" s="117"/>
      <c r="F840" s="117"/>
      <c r="G840" s="117"/>
      <c r="H840" s="117"/>
      <c r="I840" s="117"/>
      <c r="J840" s="117"/>
      <c r="K840" s="117"/>
      <c r="L840" s="117"/>
      <c r="M840" s="117"/>
      <c r="N840" s="117"/>
      <c r="O840" s="117"/>
      <c r="P840" s="117"/>
      <c r="Q840" s="117"/>
      <c r="R840" s="117"/>
      <c r="S840" s="117"/>
      <c r="T840" s="117"/>
      <c r="U840" s="117"/>
      <c r="V840" s="117"/>
      <c r="W840" s="117"/>
      <c r="X840" s="117"/>
      <c r="Y840" s="117"/>
      <c r="Z840" s="117"/>
      <c r="AA840" s="117"/>
      <c r="AB840" s="117"/>
      <c r="AC840" s="117"/>
      <c r="AD840" s="117"/>
      <c r="AE840" s="117"/>
      <c r="AF840" s="117"/>
      <c r="AG840" s="117"/>
      <c r="AH840" s="117"/>
      <c r="AI840" s="117"/>
      <c r="AJ840" s="117"/>
      <c r="AK840" s="117"/>
      <c r="AL840" s="115">
        <v>1</v>
      </c>
      <c r="AM840" s="116">
        <f t="shared" si="15"/>
        <v>1.038</v>
      </c>
      <c r="AN840" s="116">
        <f t="shared" si="15"/>
        <v>1.1116980000000001</v>
      </c>
      <c r="AO840" s="116">
        <f t="shared" si="15"/>
        <v>1.1828466720000002</v>
      </c>
      <c r="AP840" s="116">
        <f t="shared" si="15"/>
        <v>1.2526346256480001</v>
      </c>
      <c r="AQ840" s="116">
        <f t="shared" si="15"/>
        <v>1.2852031259148482</v>
      </c>
      <c r="AR840" s="116">
        <f t="shared" si="15"/>
        <v>1.3211888134404639</v>
      </c>
      <c r="AS840" s="116">
        <f t="shared" si="15"/>
        <v>1.3515761561495945</v>
      </c>
      <c r="AT840" s="116">
        <f t="shared" si="15"/>
        <v>1.3448182753688465</v>
      </c>
      <c r="AU840" s="116">
        <f t="shared" si="15"/>
        <v>1.3475079119195841</v>
      </c>
      <c r="AV840" s="116">
        <f t="shared" si="15"/>
        <v>1.3596354831268602</v>
      </c>
      <c r="AW840" s="116">
        <f t="shared" si="15"/>
        <v>1.3745914734412557</v>
      </c>
      <c r="AX840" s="116">
        <f t="shared" si="15"/>
        <v>1.4075816688038458</v>
      </c>
      <c r="AY840" s="116">
        <f t="shared" si="15"/>
        <v>1.4723304255688228</v>
      </c>
      <c r="AZ840" s="116">
        <f t="shared" si="15"/>
        <v>1.5238619904637314</v>
      </c>
      <c r="BA840" s="116">
        <f t="shared" si="13"/>
        <v>1.5543392302730061</v>
      </c>
      <c r="BB840" s="116">
        <f t="shared" si="13"/>
        <v>1.5947520502601042</v>
      </c>
      <c r="BC840" s="116">
        <f t="shared" si="13"/>
        <v>1.6186733310140056</v>
      </c>
      <c r="BD840" s="116">
        <f t="shared" si="13"/>
        <v>1.6494281243032716</v>
      </c>
      <c r="BE840" s="116">
        <f t="shared" si="13"/>
        <v>1.6923132555351568</v>
      </c>
      <c r="BF840" s="116">
        <f t="shared" si="13"/>
        <v>1.7210825808792543</v>
      </c>
      <c r="BG840" s="116">
        <f t="shared" si="13"/>
        <v>1.7658307279821148</v>
      </c>
      <c r="BH840" s="116">
        <f t="shared" si="13"/>
        <v>1.8099764961816676</v>
      </c>
      <c r="BI840" s="116">
        <f t="shared" si="13"/>
        <v>1.8950453915022059</v>
      </c>
      <c r="BJ840" s="116">
        <f t="shared" si="13"/>
        <v>1.9575818894217785</v>
      </c>
      <c r="BK840" s="116">
        <f t="shared" si="13"/>
        <v>1.9986911090996355</v>
      </c>
      <c r="BL840" s="116">
        <f t="shared" si="13"/>
        <v>2.0206767112997315</v>
      </c>
      <c r="BM840" s="116">
        <f t="shared" si="13"/>
        <v>2.0570488921031265</v>
      </c>
      <c r="BN840" s="116">
        <f t="shared" si="13"/>
        <v>2.0858475765925704</v>
      </c>
      <c r="BO840" s="116">
        <f t="shared" si="13"/>
        <v>2.1087918999350883</v>
      </c>
      <c r="BP840" s="116">
        <f t="shared" si="14"/>
        <v>2.176273240733011</v>
      </c>
      <c r="BQ840" s="116">
        <f t="shared" si="14"/>
        <v>2.1828020604552099</v>
      </c>
      <c r="BR840" s="116">
        <f t="shared" si="14"/>
        <v>2.2155440913620379</v>
      </c>
      <c r="BS840" s="116">
        <f t="shared" si="14"/>
        <v>2.273148237737451</v>
      </c>
      <c r="BT840" s="116">
        <f t="shared" si="14"/>
        <v>2.3254306472054123</v>
      </c>
      <c r="BU840" s="116">
        <f t="shared" si="14"/>
        <v>2.3905427053271637</v>
      </c>
      <c r="BV840" s="116">
        <f t="shared" si="14"/>
        <v>2.4144481323804352</v>
      </c>
      <c r="BW840" s="116">
        <f t="shared" si="14"/>
        <v>2.4337637174394788</v>
      </c>
      <c r="BX840" s="116">
        <f t="shared" si="14"/>
        <v>2.4386312448743577</v>
      </c>
      <c r="BY840" s="116">
        <f t="shared" si="14"/>
        <v>2.4727720823025989</v>
      </c>
      <c r="BZ840" s="116">
        <f t="shared" si="14"/>
        <v>2.5024453472902302</v>
      </c>
      <c r="CA840" s="116">
        <f t="shared" si="14"/>
        <v>2.5675089263197761</v>
      </c>
      <c r="CB840" s="116">
        <f t="shared" si="14"/>
        <v>2.6085890691408924</v>
      </c>
      <c r="CC840" s="116">
        <f t="shared" si="14"/>
        <v>2.6555436723854284</v>
      </c>
      <c r="CD840" s="116">
        <f t="shared" si="14"/>
        <v>2.820187380073325</v>
      </c>
      <c r="CE840" s="116">
        <f t="shared" si="14"/>
        <v>3.0458023704791914</v>
      </c>
      <c r="CF840" s="116">
        <f t="shared" si="16"/>
        <v>3.131084836852609</v>
      </c>
      <c r="CG840" s="116">
        <f t="shared" si="16"/>
        <v>3.2500660606530083</v>
      </c>
    </row>
    <row r="841" spans="1:85">
      <c r="A841" s="3"/>
      <c r="B841" s="114">
        <v>1980</v>
      </c>
      <c r="C841" s="114"/>
      <c r="D841" s="3"/>
      <c r="E841" s="117"/>
      <c r="F841" s="117"/>
      <c r="G841" s="117"/>
      <c r="H841" s="117"/>
      <c r="I841" s="117"/>
      <c r="J841" s="117"/>
      <c r="K841" s="117"/>
      <c r="L841" s="117"/>
      <c r="M841" s="117"/>
      <c r="N841" s="117"/>
      <c r="O841" s="117"/>
      <c r="P841" s="117"/>
      <c r="Q841" s="117"/>
      <c r="R841" s="117"/>
      <c r="S841" s="117"/>
      <c r="T841" s="117"/>
      <c r="U841" s="117"/>
      <c r="V841" s="117"/>
      <c r="W841" s="117"/>
      <c r="X841" s="117"/>
      <c r="Y841" s="117"/>
      <c r="Z841" s="117"/>
      <c r="AA841" s="117"/>
      <c r="AB841" s="117"/>
      <c r="AC841" s="117"/>
      <c r="AD841" s="117"/>
      <c r="AE841" s="117"/>
      <c r="AF841" s="117"/>
      <c r="AG841" s="117"/>
      <c r="AH841" s="117"/>
      <c r="AI841" s="117"/>
      <c r="AJ841" s="117"/>
      <c r="AK841" s="117"/>
      <c r="AL841" s="117"/>
      <c r="AM841" s="115">
        <v>1</v>
      </c>
      <c r="AN841" s="116">
        <f t="shared" si="15"/>
        <v>1.071</v>
      </c>
      <c r="AO841" s="116">
        <f t="shared" si="15"/>
        <v>1.1395440000000001</v>
      </c>
      <c r="AP841" s="116">
        <f t="shared" si="15"/>
        <v>1.2067770960000002</v>
      </c>
      <c r="AQ841" s="116">
        <f t="shared" si="15"/>
        <v>1.2381533004960001</v>
      </c>
      <c r="AR841" s="116">
        <f t="shared" si="15"/>
        <v>1.2728215929098883</v>
      </c>
      <c r="AS841" s="116">
        <f t="shared" si="15"/>
        <v>1.3020964895468157</v>
      </c>
      <c r="AT841" s="116">
        <f t="shared" si="15"/>
        <v>1.2955860070990817</v>
      </c>
      <c r="AU841" s="116">
        <f t="shared" si="15"/>
        <v>1.2981771791132799</v>
      </c>
      <c r="AV841" s="116">
        <f t="shared" si="15"/>
        <v>1.3098607737252992</v>
      </c>
      <c r="AW841" s="116">
        <f t="shared" si="15"/>
        <v>1.3242692422362774</v>
      </c>
      <c r="AX841" s="116">
        <f t="shared" si="15"/>
        <v>1.356051704049948</v>
      </c>
      <c r="AY841" s="116">
        <f t="shared" si="15"/>
        <v>1.4184300824362457</v>
      </c>
      <c r="AZ841" s="116">
        <f t="shared" si="15"/>
        <v>1.4680751353215142</v>
      </c>
      <c r="BA841" s="116">
        <f t="shared" si="13"/>
        <v>1.4974366380279445</v>
      </c>
      <c r="BB841" s="116">
        <f t="shared" si="13"/>
        <v>1.536369990616671</v>
      </c>
      <c r="BC841" s="116">
        <f t="shared" si="13"/>
        <v>1.5594155404759209</v>
      </c>
      <c r="BD841" s="116">
        <f t="shared" si="13"/>
        <v>1.5890444357449633</v>
      </c>
      <c r="BE841" s="116">
        <f t="shared" si="13"/>
        <v>1.6303595910743325</v>
      </c>
      <c r="BF841" s="116">
        <f t="shared" si="13"/>
        <v>1.658075704122596</v>
      </c>
      <c r="BG841" s="116">
        <f t="shared" si="13"/>
        <v>1.7011856724297836</v>
      </c>
      <c r="BH841" s="116">
        <f t="shared" si="13"/>
        <v>1.7437153142405279</v>
      </c>
      <c r="BI841" s="116">
        <f t="shared" si="13"/>
        <v>1.8256699340098326</v>
      </c>
      <c r="BJ841" s="116">
        <f t="shared" si="13"/>
        <v>1.8859170418321569</v>
      </c>
      <c r="BK841" s="116">
        <f t="shared" si="13"/>
        <v>1.9255212997106321</v>
      </c>
      <c r="BL841" s="116">
        <f t="shared" si="13"/>
        <v>1.9467020340074488</v>
      </c>
      <c r="BM841" s="116">
        <f t="shared" si="13"/>
        <v>1.9817426706195829</v>
      </c>
      <c r="BN841" s="116">
        <f t="shared" si="13"/>
        <v>2.0094870680082573</v>
      </c>
      <c r="BO841" s="116">
        <f t="shared" si="13"/>
        <v>2.0315914257563481</v>
      </c>
      <c r="BP841" s="116">
        <f t="shared" si="14"/>
        <v>2.0966023513805512</v>
      </c>
      <c r="BQ841" s="116">
        <f t="shared" si="14"/>
        <v>2.1028921584346927</v>
      </c>
      <c r="BR841" s="116">
        <f t="shared" si="14"/>
        <v>2.134435540811213</v>
      </c>
      <c r="BS841" s="116">
        <f t="shared" si="14"/>
        <v>2.1899308648723044</v>
      </c>
      <c r="BT841" s="116">
        <f t="shared" si="14"/>
        <v>2.2402992747643671</v>
      </c>
      <c r="BU841" s="116">
        <f t="shared" si="14"/>
        <v>2.3030276544577695</v>
      </c>
      <c r="BV841" s="116">
        <f t="shared" si="14"/>
        <v>2.3260579310023473</v>
      </c>
      <c r="BW841" s="116">
        <f t="shared" si="14"/>
        <v>2.3446663944503658</v>
      </c>
      <c r="BX841" s="116">
        <f t="shared" si="14"/>
        <v>2.3493557272392667</v>
      </c>
      <c r="BY841" s="116">
        <f t="shared" si="14"/>
        <v>2.3822467074206166</v>
      </c>
      <c r="BZ841" s="116">
        <f t="shared" si="14"/>
        <v>2.4108336679096642</v>
      </c>
      <c r="CA841" s="116">
        <f t="shared" si="14"/>
        <v>2.4735153432753156</v>
      </c>
      <c r="CB841" s="116">
        <f t="shared" si="14"/>
        <v>2.5130915887677205</v>
      </c>
      <c r="CC841" s="116">
        <f t="shared" si="14"/>
        <v>2.5583272373655395</v>
      </c>
      <c r="CD841" s="116">
        <f t="shared" si="14"/>
        <v>2.7169435260822032</v>
      </c>
      <c r="CE841" s="116">
        <f t="shared" si="14"/>
        <v>2.9342990081687796</v>
      </c>
      <c r="CF841" s="116">
        <f t="shared" si="16"/>
        <v>3.0164593803975057</v>
      </c>
      <c r="CG841" s="116">
        <f t="shared" si="16"/>
        <v>3.1310848368526112</v>
      </c>
    </row>
    <row r="842" spans="1:85">
      <c r="A842" s="3"/>
      <c r="B842" s="114">
        <v>1981</v>
      </c>
      <c r="C842" s="114"/>
      <c r="D842" s="3"/>
      <c r="E842" s="117"/>
      <c r="F842" s="117"/>
      <c r="G842" s="117"/>
      <c r="H842" s="117"/>
      <c r="I842" s="117"/>
      <c r="J842" s="117"/>
      <c r="K842" s="117"/>
      <c r="L842" s="117"/>
      <c r="M842" s="117"/>
      <c r="N842" s="117"/>
      <c r="O842" s="117"/>
      <c r="P842" s="117"/>
      <c r="Q842" s="117"/>
      <c r="R842" s="117"/>
      <c r="S842" s="117"/>
      <c r="T842" s="117"/>
      <c r="U842" s="117"/>
      <c r="V842" s="117"/>
      <c r="W842" s="117"/>
      <c r="X842" s="117"/>
      <c r="Y842" s="117"/>
      <c r="Z842" s="117"/>
      <c r="AA842" s="117"/>
      <c r="AB842" s="117"/>
      <c r="AC842" s="117"/>
      <c r="AD842" s="117"/>
      <c r="AE842" s="117"/>
      <c r="AF842" s="117"/>
      <c r="AG842" s="117"/>
      <c r="AH842" s="117"/>
      <c r="AI842" s="117"/>
      <c r="AJ842" s="117"/>
      <c r="AK842" s="117"/>
      <c r="AL842" s="117"/>
      <c r="AM842" s="117"/>
      <c r="AN842" s="115">
        <v>1</v>
      </c>
      <c r="AO842" s="116">
        <f t="shared" si="15"/>
        <v>1.0640000000000001</v>
      </c>
      <c r="AP842" s="116">
        <f t="shared" si="15"/>
        <v>1.126776</v>
      </c>
      <c r="AQ842" s="116">
        <f t="shared" si="15"/>
        <v>1.1560721760000001</v>
      </c>
      <c r="AR842" s="116">
        <f t="shared" si="15"/>
        <v>1.1884421969280001</v>
      </c>
      <c r="AS842" s="116">
        <f t="shared" si="15"/>
        <v>1.2157763674573441</v>
      </c>
      <c r="AT842" s="116">
        <f t="shared" si="15"/>
        <v>1.2096974856200573</v>
      </c>
      <c r="AU842" s="116">
        <f t="shared" si="15"/>
        <v>1.2121168805912974</v>
      </c>
      <c r="AV842" s="116">
        <f t="shared" si="15"/>
        <v>1.2230259325166191</v>
      </c>
      <c r="AW842" s="116">
        <f t="shared" si="15"/>
        <v>1.2364792177743018</v>
      </c>
      <c r="AX842" s="116">
        <f t="shared" si="15"/>
        <v>1.2661547190008851</v>
      </c>
      <c r="AY842" s="116">
        <f t="shared" si="15"/>
        <v>1.3243978360749258</v>
      </c>
      <c r="AZ842" s="116">
        <f t="shared" si="15"/>
        <v>1.3707517603375481</v>
      </c>
      <c r="BA842" s="116">
        <f t="shared" si="13"/>
        <v>1.3981667955442991</v>
      </c>
      <c r="BB842" s="116">
        <f t="shared" si="13"/>
        <v>1.434519132228451</v>
      </c>
      <c r="BC842" s="116">
        <f t="shared" si="13"/>
        <v>1.4560369192118776</v>
      </c>
      <c r="BD842" s="116">
        <f t="shared" si="13"/>
        <v>1.4837016206769031</v>
      </c>
      <c r="BE842" s="116">
        <f t="shared" si="13"/>
        <v>1.5222778628145026</v>
      </c>
      <c r="BF842" s="116">
        <f t="shared" si="13"/>
        <v>1.548156586482349</v>
      </c>
      <c r="BG842" s="116">
        <f t="shared" si="13"/>
        <v>1.58840865773089</v>
      </c>
      <c r="BH842" s="116">
        <f t="shared" si="13"/>
        <v>1.6281188741741621</v>
      </c>
      <c r="BI842" s="116">
        <f t="shared" si="13"/>
        <v>1.7046404612603476</v>
      </c>
      <c r="BJ842" s="116">
        <f t="shared" si="13"/>
        <v>1.760893596481939</v>
      </c>
      <c r="BK842" s="116">
        <f t="shared" si="13"/>
        <v>1.7978723620080594</v>
      </c>
      <c r="BL842" s="116">
        <f t="shared" si="13"/>
        <v>1.8176489579901478</v>
      </c>
      <c r="BM842" s="116">
        <f t="shared" si="13"/>
        <v>1.8503666392339706</v>
      </c>
      <c r="BN842" s="116">
        <f t="shared" si="13"/>
        <v>1.8762717721832463</v>
      </c>
      <c r="BO842" s="116">
        <f t="shared" si="13"/>
        <v>1.8969107616772618</v>
      </c>
      <c r="BP842" s="116">
        <f t="shared" si="14"/>
        <v>1.9576119060509343</v>
      </c>
      <c r="BQ842" s="116">
        <f t="shared" si="14"/>
        <v>1.9634847417690868</v>
      </c>
      <c r="BR842" s="116">
        <f t="shared" si="14"/>
        <v>1.992937012895623</v>
      </c>
      <c r="BS842" s="116">
        <f t="shared" si="14"/>
        <v>2.0447533752309091</v>
      </c>
      <c r="BT842" s="116">
        <f t="shared" si="14"/>
        <v>2.0917827028612197</v>
      </c>
      <c r="BU842" s="116">
        <f t="shared" si="14"/>
        <v>2.150352618541334</v>
      </c>
      <c r="BV842" s="116">
        <f t="shared" si="14"/>
        <v>2.1718561447267475</v>
      </c>
      <c r="BW842" s="116">
        <f t="shared" si="14"/>
        <v>2.1892309938845615</v>
      </c>
      <c r="BX842" s="116">
        <f t="shared" si="14"/>
        <v>2.1936094558723305</v>
      </c>
      <c r="BY842" s="116">
        <f t="shared" si="14"/>
        <v>2.224319988254543</v>
      </c>
      <c r="BZ842" s="116">
        <f t="shared" si="14"/>
        <v>2.2510118281135973</v>
      </c>
      <c r="CA842" s="116">
        <f t="shared" si="14"/>
        <v>2.309538135644551</v>
      </c>
      <c r="CB842" s="116">
        <f t="shared" si="14"/>
        <v>2.3464907458148638</v>
      </c>
      <c r="CC842" s="116">
        <f t="shared" si="14"/>
        <v>2.3887275792395313</v>
      </c>
      <c r="CD842" s="116">
        <f t="shared" si="14"/>
        <v>2.5368286891523821</v>
      </c>
      <c r="CE842" s="116">
        <f t="shared" si="14"/>
        <v>2.7397749842845727</v>
      </c>
      <c r="CF842" s="116">
        <f t="shared" si="16"/>
        <v>2.8164886838445407</v>
      </c>
      <c r="CG842" s="116">
        <f t="shared" si="16"/>
        <v>2.9235152538306335</v>
      </c>
    </row>
    <row r="843" spans="1:85">
      <c r="A843" s="3"/>
      <c r="B843" s="114">
        <v>1982</v>
      </c>
      <c r="C843" s="114"/>
      <c r="D843" s="3"/>
      <c r="E843" s="117"/>
      <c r="F843" s="117"/>
      <c r="G843" s="117"/>
      <c r="H843" s="117"/>
      <c r="I843" s="117"/>
      <c r="J843" s="117"/>
      <c r="K843" s="117"/>
      <c r="L843" s="117"/>
      <c r="M843" s="117"/>
      <c r="N843" s="117"/>
      <c r="O843" s="117"/>
      <c r="P843" s="117"/>
      <c r="Q843" s="117"/>
      <c r="R843" s="117"/>
      <c r="S843" s="117"/>
      <c r="T843" s="117"/>
      <c r="U843" s="117"/>
      <c r="V843" s="117"/>
      <c r="W843" s="117"/>
      <c r="X843" s="117"/>
      <c r="Y843" s="117"/>
      <c r="Z843" s="117"/>
      <c r="AA843" s="117"/>
      <c r="AB843" s="117"/>
      <c r="AC843" s="117"/>
      <c r="AD843" s="117"/>
      <c r="AE843" s="117"/>
      <c r="AF843" s="117"/>
      <c r="AG843" s="117"/>
      <c r="AH843" s="117"/>
      <c r="AI843" s="117"/>
      <c r="AJ843" s="117"/>
      <c r="AK843" s="117"/>
      <c r="AL843" s="117"/>
      <c r="AM843" s="117"/>
      <c r="AN843" s="117"/>
      <c r="AO843" s="115">
        <v>1</v>
      </c>
      <c r="AP843" s="116">
        <f t="shared" si="15"/>
        <v>1.0589999999999999</v>
      </c>
      <c r="AQ843" s="116">
        <f t="shared" si="15"/>
        <v>1.0865339999999999</v>
      </c>
      <c r="AR843" s="116">
        <f t="shared" si="15"/>
        <v>1.116956952</v>
      </c>
      <c r="AS843" s="116">
        <f t="shared" si="15"/>
        <v>1.1426469618959998</v>
      </c>
      <c r="AT843" s="116">
        <f t="shared" si="15"/>
        <v>1.1369337270865199</v>
      </c>
      <c r="AU843" s="116">
        <f t="shared" si="15"/>
        <v>1.139207594540693</v>
      </c>
      <c r="AV843" s="116">
        <f t="shared" si="15"/>
        <v>1.149460462891559</v>
      </c>
      <c r="AW843" s="116">
        <f t="shared" si="15"/>
        <v>1.1621045279833659</v>
      </c>
      <c r="AX843" s="116">
        <f t="shared" si="15"/>
        <v>1.1899950366549668</v>
      </c>
      <c r="AY843" s="116">
        <f t="shared" si="15"/>
        <v>1.2447348083410952</v>
      </c>
      <c r="AZ843" s="116">
        <f t="shared" si="15"/>
        <v>1.2883005266330334</v>
      </c>
      <c r="BA843" s="116">
        <f t="shared" si="13"/>
        <v>1.3140665371656941</v>
      </c>
      <c r="BB843" s="116">
        <f t="shared" si="13"/>
        <v>1.3482322671320022</v>
      </c>
      <c r="BC843" s="116">
        <f t="shared" si="13"/>
        <v>1.3684557511389821</v>
      </c>
      <c r="BD843" s="116">
        <f t="shared" si="13"/>
        <v>1.3944564104106227</v>
      </c>
      <c r="BE843" s="116">
        <f t="shared" si="13"/>
        <v>1.430712277081299</v>
      </c>
      <c r="BF843" s="116">
        <f t="shared" si="13"/>
        <v>1.455034385791681</v>
      </c>
      <c r="BG843" s="116">
        <f t="shared" si="13"/>
        <v>1.4928652798222648</v>
      </c>
      <c r="BH843" s="116">
        <f t="shared" si="13"/>
        <v>1.5301869118178213</v>
      </c>
      <c r="BI843" s="116">
        <f t="shared" si="13"/>
        <v>1.6021056966732588</v>
      </c>
      <c r="BJ843" s="116">
        <f t="shared" si="13"/>
        <v>1.6549751846634762</v>
      </c>
      <c r="BK843" s="116">
        <f t="shared" si="13"/>
        <v>1.689729663541409</v>
      </c>
      <c r="BL843" s="116">
        <f t="shared" si="13"/>
        <v>1.7083166898403643</v>
      </c>
      <c r="BM843" s="116">
        <f t="shared" si="13"/>
        <v>1.739066390257491</v>
      </c>
      <c r="BN843" s="116">
        <f t="shared" si="13"/>
        <v>1.7634133197210959</v>
      </c>
      <c r="BO843" s="116">
        <f t="shared" si="13"/>
        <v>1.7828108662380278</v>
      </c>
      <c r="BP843" s="116">
        <f t="shared" si="14"/>
        <v>1.8398608139576447</v>
      </c>
      <c r="BQ843" s="116">
        <f t="shared" si="14"/>
        <v>1.8453803963995175</v>
      </c>
      <c r="BR843" s="116">
        <f t="shared" si="14"/>
        <v>1.8730611023455099</v>
      </c>
      <c r="BS843" s="116">
        <f t="shared" si="14"/>
        <v>1.9217606910064933</v>
      </c>
      <c r="BT843" s="116">
        <f t="shared" si="14"/>
        <v>1.9659611868996425</v>
      </c>
      <c r="BU843" s="116">
        <f t="shared" si="14"/>
        <v>2.0210081001328324</v>
      </c>
      <c r="BV843" s="116">
        <f t="shared" si="14"/>
        <v>2.0412181811341608</v>
      </c>
      <c r="BW843" s="116">
        <f t="shared" si="14"/>
        <v>2.0575479265832342</v>
      </c>
      <c r="BX843" s="116">
        <f t="shared" si="14"/>
        <v>2.0616630224364005</v>
      </c>
      <c r="BY843" s="116">
        <f t="shared" si="14"/>
        <v>2.0905263047505103</v>
      </c>
      <c r="BZ843" s="116">
        <f t="shared" si="14"/>
        <v>2.1156126204075165</v>
      </c>
      <c r="CA843" s="116">
        <f t="shared" si="14"/>
        <v>2.170618548538112</v>
      </c>
      <c r="CB843" s="116">
        <f t="shared" si="14"/>
        <v>2.2053484453147219</v>
      </c>
      <c r="CC843" s="116">
        <f t="shared" si="14"/>
        <v>2.2450447173303867</v>
      </c>
      <c r="CD843" s="116">
        <f t="shared" si="14"/>
        <v>2.3842374898048706</v>
      </c>
      <c r="CE843" s="116">
        <f t="shared" si="14"/>
        <v>2.5749764889892606</v>
      </c>
      <c r="CF843" s="116">
        <f t="shared" si="16"/>
        <v>2.6470758306809601</v>
      </c>
      <c r="CG843" s="116">
        <f t="shared" si="16"/>
        <v>2.7476647122468365</v>
      </c>
    </row>
    <row r="844" spans="1:85">
      <c r="A844" s="3"/>
      <c r="B844" s="114">
        <v>1983</v>
      </c>
      <c r="C844" s="114"/>
      <c r="D844" s="3"/>
      <c r="E844" s="117"/>
      <c r="F844" s="117"/>
      <c r="G844" s="117"/>
      <c r="H844" s="117"/>
      <c r="I844" s="117"/>
      <c r="J844" s="117"/>
      <c r="K844" s="117"/>
      <c r="L844" s="117"/>
      <c r="M844" s="117"/>
      <c r="N844" s="117"/>
      <c r="O844" s="117"/>
      <c r="P844" s="117"/>
      <c r="Q844" s="117"/>
      <c r="R844" s="117"/>
      <c r="S844" s="117"/>
      <c r="T844" s="117"/>
      <c r="U844" s="117"/>
      <c r="V844" s="117"/>
      <c r="W844" s="117"/>
      <c r="X844" s="117"/>
      <c r="Y844" s="117"/>
      <c r="Z844" s="117"/>
      <c r="AA844" s="117"/>
      <c r="AB844" s="117"/>
      <c r="AC844" s="117"/>
      <c r="AD844" s="117"/>
      <c r="AE844" s="117"/>
      <c r="AF844" s="117"/>
      <c r="AG844" s="117"/>
      <c r="AH844" s="117"/>
      <c r="AI844" s="117"/>
      <c r="AJ844" s="117"/>
      <c r="AK844" s="117"/>
      <c r="AL844" s="117"/>
      <c r="AM844" s="117"/>
      <c r="AN844" s="117"/>
      <c r="AO844" s="117"/>
      <c r="AP844" s="115">
        <v>1</v>
      </c>
      <c r="AQ844" s="116">
        <f t="shared" si="15"/>
        <v>1.026</v>
      </c>
      <c r="AR844" s="116">
        <f t="shared" si="15"/>
        <v>1.0547280000000001</v>
      </c>
      <c r="AS844" s="116">
        <f t="shared" si="15"/>
        <v>1.0789867440000001</v>
      </c>
      <c r="AT844" s="116">
        <f t="shared" si="15"/>
        <v>1.0735918102799999</v>
      </c>
      <c r="AU844" s="116">
        <f t="shared" si="15"/>
        <v>1.0757389939005599</v>
      </c>
      <c r="AV844" s="116">
        <f t="shared" si="15"/>
        <v>1.0854206448456649</v>
      </c>
      <c r="AW844" s="116">
        <f t="shared" si="15"/>
        <v>1.097360271938967</v>
      </c>
      <c r="AX844" s="116">
        <f t="shared" si="15"/>
        <v>1.1236969184655023</v>
      </c>
      <c r="AY844" s="116">
        <f t="shared" si="15"/>
        <v>1.1753869767149154</v>
      </c>
      <c r="AZ844" s="116">
        <f t="shared" si="15"/>
        <v>1.2165255208999375</v>
      </c>
      <c r="BA844" s="116">
        <f t="shared" si="13"/>
        <v>1.2408560313179362</v>
      </c>
      <c r="BB844" s="116">
        <f t="shared" si="13"/>
        <v>1.2731182881322025</v>
      </c>
      <c r="BC844" s="116">
        <f t="shared" si="13"/>
        <v>1.2922150624541855</v>
      </c>
      <c r="BD844" s="116">
        <f t="shared" si="13"/>
        <v>1.3167671486408148</v>
      </c>
      <c r="BE844" s="116">
        <f t="shared" si="13"/>
        <v>1.3510030945054761</v>
      </c>
      <c r="BF844" s="116">
        <f t="shared" si="13"/>
        <v>1.3739701471120691</v>
      </c>
      <c r="BG844" s="116">
        <f t="shared" si="13"/>
        <v>1.409693370936983</v>
      </c>
      <c r="BH844" s="116">
        <f t="shared" si="13"/>
        <v>1.4449357052104075</v>
      </c>
      <c r="BI844" s="116">
        <f t="shared" si="13"/>
        <v>1.5128476833552966</v>
      </c>
      <c r="BJ844" s="116">
        <f t="shared" si="13"/>
        <v>1.5627716569060213</v>
      </c>
      <c r="BK844" s="116">
        <f t="shared" si="13"/>
        <v>1.5955898617010476</v>
      </c>
      <c r="BL844" s="116">
        <f t="shared" si="13"/>
        <v>1.6131413501797589</v>
      </c>
      <c r="BM844" s="116">
        <f t="shared" si="13"/>
        <v>1.6421778944829946</v>
      </c>
      <c r="BN844" s="116">
        <f t="shared" si="13"/>
        <v>1.6651683850057566</v>
      </c>
      <c r="BO844" s="116">
        <f t="shared" si="13"/>
        <v>1.6834852372408198</v>
      </c>
      <c r="BP844" s="116">
        <f t="shared" si="14"/>
        <v>1.7373567648325261</v>
      </c>
      <c r="BQ844" s="116">
        <f t="shared" si="14"/>
        <v>1.7425688351270234</v>
      </c>
      <c r="BR844" s="116">
        <f t="shared" si="14"/>
        <v>1.7687073676539287</v>
      </c>
      <c r="BS844" s="116">
        <f t="shared" si="14"/>
        <v>1.8146937592129309</v>
      </c>
      <c r="BT844" s="116">
        <f t="shared" si="14"/>
        <v>1.856431715674828</v>
      </c>
      <c r="BU844" s="116">
        <f t="shared" si="14"/>
        <v>1.9084118037137232</v>
      </c>
      <c r="BV844" s="116">
        <f t="shared" si="14"/>
        <v>1.9274959217508605</v>
      </c>
      <c r="BW844" s="116">
        <f t="shared" si="14"/>
        <v>1.9429158891248675</v>
      </c>
      <c r="BX844" s="116">
        <f t="shared" si="14"/>
        <v>1.9468017209031172</v>
      </c>
      <c r="BY844" s="116">
        <f t="shared" si="14"/>
        <v>1.9740569449957608</v>
      </c>
      <c r="BZ844" s="116">
        <f t="shared" si="14"/>
        <v>1.99774562833571</v>
      </c>
      <c r="CA844" s="116">
        <f t="shared" si="14"/>
        <v>2.0496870146724384</v>
      </c>
      <c r="CB844" s="116">
        <f t="shared" si="14"/>
        <v>2.0824820069071976</v>
      </c>
      <c r="CC844" s="116">
        <f t="shared" si="14"/>
        <v>2.1199666830315271</v>
      </c>
      <c r="CD844" s="116">
        <f t="shared" si="14"/>
        <v>2.2514046173794817</v>
      </c>
      <c r="CE844" s="116">
        <f t="shared" si="14"/>
        <v>2.4315169867698403</v>
      </c>
      <c r="CF844" s="116">
        <f t="shared" si="16"/>
        <v>2.499599462399396</v>
      </c>
      <c r="CG844" s="116">
        <f t="shared" si="16"/>
        <v>2.5945842419705731</v>
      </c>
    </row>
    <row r="845" spans="1:85">
      <c r="A845" s="3"/>
      <c r="B845" s="114">
        <v>1984</v>
      </c>
      <c r="C845" s="114"/>
      <c r="D845" s="3"/>
      <c r="E845" s="117"/>
      <c r="F845" s="117"/>
      <c r="G845" s="117"/>
      <c r="H845" s="117"/>
      <c r="I845" s="117"/>
      <c r="J845" s="117"/>
      <c r="K845" s="117"/>
      <c r="L845" s="117"/>
      <c r="M845" s="117"/>
      <c r="N845" s="117"/>
      <c r="O845" s="117"/>
      <c r="P845" s="117"/>
      <c r="Q845" s="117"/>
      <c r="R845" s="117"/>
      <c r="S845" s="117"/>
      <c r="T845" s="117"/>
      <c r="U845" s="117"/>
      <c r="V845" s="117"/>
      <c r="W845" s="117"/>
      <c r="X845" s="117"/>
      <c r="Y845" s="117"/>
      <c r="Z845" s="117"/>
      <c r="AA845" s="117"/>
      <c r="AB845" s="117"/>
      <c r="AC845" s="117"/>
      <c r="AD845" s="117"/>
      <c r="AE845" s="117"/>
      <c r="AF845" s="117"/>
      <c r="AG845" s="117"/>
      <c r="AH845" s="117"/>
      <c r="AI845" s="117"/>
      <c r="AJ845" s="117"/>
      <c r="AK845" s="117"/>
      <c r="AL845" s="117"/>
      <c r="AM845" s="117"/>
      <c r="AN845" s="117"/>
      <c r="AO845" s="117"/>
      <c r="AP845" s="117"/>
      <c r="AQ845" s="115">
        <v>1</v>
      </c>
      <c r="AR845" s="116">
        <f t="shared" si="15"/>
        <v>1.028</v>
      </c>
      <c r="AS845" s="116">
        <f t="shared" si="15"/>
        <v>1.051644</v>
      </c>
      <c r="AT845" s="116">
        <f t="shared" si="15"/>
        <v>1.04638578</v>
      </c>
      <c r="AU845" s="116">
        <f t="shared" si="15"/>
        <v>1.0484785515600001</v>
      </c>
      <c r="AV845" s="116">
        <f t="shared" si="15"/>
        <v>1.0579148585240401</v>
      </c>
      <c r="AW845" s="116">
        <f t="shared" si="15"/>
        <v>1.0695519219678045</v>
      </c>
      <c r="AX845" s="116">
        <f t="shared" si="15"/>
        <v>1.0952211680950319</v>
      </c>
      <c r="AY845" s="116">
        <f t="shared" si="15"/>
        <v>1.1456013418274034</v>
      </c>
      <c r="AZ845" s="116">
        <f t="shared" si="15"/>
        <v>1.1856973887913624</v>
      </c>
      <c r="BA845" s="116">
        <f t="shared" si="13"/>
        <v>1.2094113365671897</v>
      </c>
      <c r="BB845" s="116">
        <f t="shared" si="13"/>
        <v>1.2408560313179366</v>
      </c>
      <c r="BC845" s="116">
        <f t="shared" si="13"/>
        <v>1.2594688717877056</v>
      </c>
      <c r="BD845" s="116">
        <f t="shared" si="13"/>
        <v>1.283398780351672</v>
      </c>
      <c r="BE845" s="116">
        <f t="shared" si="13"/>
        <v>1.3167671486408155</v>
      </c>
      <c r="BF845" s="116">
        <f t="shared" si="13"/>
        <v>1.3391521901677093</v>
      </c>
      <c r="BG845" s="116">
        <f t="shared" si="13"/>
        <v>1.3739701471120698</v>
      </c>
      <c r="BH845" s="116">
        <f t="shared" si="13"/>
        <v>1.4083194007898714</v>
      </c>
      <c r="BI845" s="116">
        <f t="shared" si="13"/>
        <v>1.4745104126269952</v>
      </c>
      <c r="BJ845" s="116">
        <f t="shared" si="13"/>
        <v>1.523169256243686</v>
      </c>
      <c r="BK845" s="116">
        <f t="shared" si="13"/>
        <v>1.5551558106248033</v>
      </c>
      <c r="BL845" s="116">
        <f t="shared" si="13"/>
        <v>1.5722625245416759</v>
      </c>
      <c r="BM845" s="116">
        <f t="shared" si="13"/>
        <v>1.6005632499834261</v>
      </c>
      <c r="BN845" s="116">
        <f t="shared" si="13"/>
        <v>1.6229711354831942</v>
      </c>
      <c r="BO845" s="116">
        <f t="shared" si="13"/>
        <v>1.6408238179735091</v>
      </c>
      <c r="BP845" s="116">
        <f t="shared" si="14"/>
        <v>1.6933301801486613</v>
      </c>
      <c r="BQ845" s="116">
        <f t="shared" si="14"/>
        <v>1.698410170689107</v>
      </c>
      <c r="BR845" s="116">
        <f t="shared" si="14"/>
        <v>1.7238863232494435</v>
      </c>
      <c r="BS845" s="116">
        <f t="shared" si="14"/>
        <v>1.7687073676539291</v>
      </c>
      <c r="BT845" s="116">
        <f t="shared" si="14"/>
        <v>1.8093876371099693</v>
      </c>
      <c r="BU845" s="116">
        <f t="shared" si="14"/>
        <v>1.8600504909490485</v>
      </c>
      <c r="BV845" s="116">
        <f t="shared" si="14"/>
        <v>1.8786509958585391</v>
      </c>
      <c r="BW845" s="116">
        <f t="shared" si="14"/>
        <v>1.8936802038254075</v>
      </c>
      <c r="BX845" s="116">
        <f t="shared" si="14"/>
        <v>1.8974675642330583</v>
      </c>
      <c r="BY845" s="116">
        <f t="shared" si="14"/>
        <v>1.9240321101323212</v>
      </c>
      <c r="BZ845" s="116">
        <f t="shared" si="14"/>
        <v>1.9471204954539092</v>
      </c>
      <c r="CA845" s="116">
        <f t="shared" si="14"/>
        <v>1.9977456283357109</v>
      </c>
      <c r="CB845" s="116">
        <f t="shared" si="14"/>
        <v>2.0297095583890825</v>
      </c>
      <c r="CC845" s="116">
        <f t="shared" si="14"/>
        <v>2.0662443304400862</v>
      </c>
      <c r="CD845" s="116">
        <f t="shared" si="14"/>
        <v>2.1943514789273717</v>
      </c>
      <c r="CE845" s="116">
        <f t="shared" si="14"/>
        <v>2.3698995972415617</v>
      </c>
      <c r="CF845" s="116">
        <f t="shared" si="16"/>
        <v>2.4362567859643254</v>
      </c>
      <c r="CG845" s="116">
        <f t="shared" si="16"/>
        <v>2.5288345438309698</v>
      </c>
    </row>
    <row r="846" spans="1:85">
      <c r="A846" s="3"/>
      <c r="B846" s="114">
        <v>1985</v>
      </c>
      <c r="C846" s="114"/>
      <c r="D846" s="3"/>
      <c r="E846" s="117"/>
      <c r="F846" s="117"/>
      <c r="G846" s="117"/>
      <c r="H846" s="117"/>
      <c r="I846" s="117"/>
      <c r="J846" s="117"/>
      <c r="K846" s="117"/>
      <c r="L846" s="117"/>
      <c r="M846" s="117"/>
      <c r="N846" s="117"/>
      <c r="O846" s="117"/>
      <c r="P846" s="117"/>
      <c r="Q846" s="117"/>
      <c r="R846" s="117"/>
      <c r="S846" s="117"/>
      <c r="T846" s="117"/>
      <c r="U846" s="117"/>
      <c r="V846" s="117"/>
      <c r="W846" s="117"/>
      <c r="X846" s="117"/>
      <c r="Y846" s="117"/>
      <c r="Z846" s="117"/>
      <c r="AA846" s="117"/>
      <c r="AB846" s="117"/>
      <c r="AC846" s="117"/>
      <c r="AD846" s="117"/>
      <c r="AE846" s="117"/>
      <c r="AF846" s="117"/>
      <c r="AG846" s="117"/>
      <c r="AH846" s="117"/>
      <c r="AI846" s="117"/>
      <c r="AJ846" s="117"/>
      <c r="AK846" s="117"/>
      <c r="AL846" s="117"/>
      <c r="AM846" s="117"/>
      <c r="AN846" s="117"/>
      <c r="AO846" s="117"/>
      <c r="AP846" s="117"/>
      <c r="AQ846" s="117"/>
      <c r="AR846" s="115">
        <v>1</v>
      </c>
      <c r="AS846" s="116">
        <f t="shared" si="15"/>
        <v>1.0229999999999999</v>
      </c>
      <c r="AT846" s="116">
        <f t="shared" si="15"/>
        <v>1.0178849999999999</v>
      </c>
      <c r="AU846" s="116">
        <f t="shared" si="15"/>
        <v>1.0199207699999999</v>
      </c>
      <c r="AV846" s="116">
        <f t="shared" si="15"/>
        <v>1.0291000569299997</v>
      </c>
      <c r="AW846" s="116">
        <f t="shared" si="15"/>
        <v>1.0404201575562295</v>
      </c>
      <c r="AX846" s="116">
        <f t="shared" si="15"/>
        <v>1.0653902413375791</v>
      </c>
      <c r="AY846" s="116">
        <f t="shared" si="15"/>
        <v>1.1143981924391078</v>
      </c>
      <c r="AZ846" s="116">
        <f t="shared" si="15"/>
        <v>1.1534021291744765</v>
      </c>
      <c r="BA846" s="116">
        <f t="shared" si="13"/>
        <v>1.176470171757966</v>
      </c>
      <c r="BB846" s="116">
        <f t="shared" si="13"/>
        <v>1.2070583962236732</v>
      </c>
      <c r="BC846" s="116">
        <f t="shared" si="13"/>
        <v>1.2251642721670282</v>
      </c>
      <c r="BD846" s="116">
        <f t="shared" si="13"/>
        <v>1.2484423933382016</v>
      </c>
      <c r="BE846" s="116">
        <f t="shared" si="13"/>
        <v>1.2809018955649949</v>
      </c>
      <c r="BF846" s="116">
        <f t="shared" si="13"/>
        <v>1.3026772277895997</v>
      </c>
      <c r="BG846" s="116">
        <f t="shared" si="13"/>
        <v>1.3365468357121293</v>
      </c>
      <c r="BH846" s="116">
        <f t="shared" si="13"/>
        <v>1.3699605066049323</v>
      </c>
      <c r="BI846" s="116">
        <f t="shared" si="13"/>
        <v>1.434348650415364</v>
      </c>
      <c r="BJ846" s="116">
        <f t="shared" si="13"/>
        <v>1.4816821558790709</v>
      </c>
      <c r="BK846" s="116">
        <f t="shared" si="13"/>
        <v>1.5127974811525313</v>
      </c>
      <c r="BL846" s="116">
        <f t="shared" si="13"/>
        <v>1.5294382534452091</v>
      </c>
      <c r="BM846" s="116">
        <f t="shared" si="13"/>
        <v>1.556968142007223</v>
      </c>
      <c r="BN846" s="116">
        <f t="shared" si="13"/>
        <v>1.5787656959953242</v>
      </c>
      <c r="BO846" s="116">
        <f t="shared" si="13"/>
        <v>1.5961321186512727</v>
      </c>
      <c r="BP846" s="116">
        <f t="shared" si="14"/>
        <v>1.6472083464481135</v>
      </c>
      <c r="BQ846" s="116">
        <f t="shared" si="14"/>
        <v>1.6521499714874577</v>
      </c>
      <c r="BR846" s="116">
        <f t="shared" si="14"/>
        <v>1.6769322210597695</v>
      </c>
      <c r="BS846" s="116">
        <f t="shared" si="14"/>
        <v>1.7205324588073234</v>
      </c>
      <c r="BT846" s="116">
        <f t="shared" si="14"/>
        <v>1.7601047053598917</v>
      </c>
      <c r="BU846" s="116">
        <f t="shared" si="14"/>
        <v>1.8093876371099686</v>
      </c>
      <c r="BV846" s="116">
        <f t="shared" si="14"/>
        <v>1.8274815134810682</v>
      </c>
      <c r="BW846" s="116">
        <f t="shared" si="14"/>
        <v>1.8421013655889169</v>
      </c>
      <c r="BX846" s="116">
        <f t="shared" si="14"/>
        <v>1.8457855683200948</v>
      </c>
      <c r="BY846" s="116">
        <f t="shared" si="14"/>
        <v>1.8716265662765761</v>
      </c>
      <c r="BZ846" s="116">
        <f t="shared" si="14"/>
        <v>1.894086085071895</v>
      </c>
      <c r="CA846" s="116">
        <f t="shared" si="14"/>
        <v>1.9433323232837643</v>
      </c>
      <c r="CB846" s="116">
        <f t="shared" si="14"/>
        <v>1.9744256404563045</v>
      </c>
      <c r="CC846" s="116">
        <f t="shared" si="14"/>
        <v>2.0099653019845181</v>
      </c>
      <c r="CD846" s="116">
        <f t="shared" si="14"/>
        <v>2.1345831507075581</v>
      </c>
      <c r="CE846" s="116">
        <f t="shared" si="14"/>
        <v>2.3053498027641628</v>
      </c>
      <c r="CF846" s="116">
        <f t="shared" si="16"/>
        <v>2.3698995972415595</v>
      </c>
      <c r="CG846" s="116">
        <f t="shared" si="16"/>
        <v>2.4599557819367388</v>
      </c>
    </row>
    <row r="847" spans="1:85">
      <c r="A847" s="3"/>
      <c r="B847" s="114">
        <v>1986</v>
      </c>
      <c r="C847" s="114"/>
      <c r="D847" s="3"/>
      <c r="E847" s="117"/>
      <c r="F847" s="117"/>
      <c r="G847" s="117"/>
      <c r="H847" s="117"/>
      <c r="I847" s="117"/>
      <c r="J847" s="117"/>
      <c r="K847" s="117"/>
      <c r="L847" s="117"/>
      <c r="M847" s="117"/>
      <c r="N847" s="117"/>
      <c r="O847" s="117"/>
      <c r="P847" s="117"/>
      <c r="Q847" s="117"/>
      <c r="R847" s="117"/>
      <c r="S847" s="117"/>
      <c r="T847" s="117"/>
      <c r="U847" s="117"/>
      <c r="V847" s="117"/>
      <c r="W847" s="117"/>
      <c r="X847" s="117"/>
      <c r="Y847" s="117"/>
      <c r="Z847" s="117"/>
      <c r="AA847" s="117"/>
      <c r="AB847" s="117"/>
      <c r="AC847" s="117"/>
      <c r="AD847" s="117"/>
      <c r="AE847" s="117"/>
      <c r="AF847" s="117"/>
      <c r="AG847" s="117"/>
      <c r="AH847" s="117"/>
      <c r="AI847" s="117"/>
      <c r="AJ847" s="117"/>
      <c r="AK847" s="117"/>
      <c r="AL847" s="117"/>
      <c r="AM847" s="117"/>
      <c r="AN847" s="117"/>
      <c r="AO847" s="117"/>
      <c r="AP847" s="117"/>
      <c r="AQ847" s="117"/>
      <c r="AR847" s="117"/>
      <c r="AS847" s="115">
        <v>1</v>
      </c>
      <c r="AT847" s="116">
        <f t="shared" si="15"/>
        <v>0.995</v>
      </c>
      <c r="AU847" s="116">
        <f t="shared" si="15"/>
        <v>0.99699000000000004</v>
      </c>
      <c r="AV847" s="116">
        <f t="shared" si="15"/>
        <v>1.00596291</v>
      </c>
      <c r="AW847" s="116">
        <f t="shared" si="15"/>
        <v>1.0170285020099998</v>
      </c>
      <c r="AX847" s="116">
        <f t="shared" si="15"/>
        <v>1.0414371860582399</v>
      </c>
      <c r="AY847" s="116">
        <f t="shared" si="15"/>
        <v>1.089343296616919</v>
      </c>
      <c r="AZ847" s="116">
        <f t="shared" si="15"/>
        <v>1.127470311998511</v>
      </c>
      <c r="BA847" s="116">
        <f t="shared" si="13"/>
        <v>1.1500197182384813</v>
      </c>
      <c r="BB847" s="116">
        <f t="shared" si="13"/>
        <v>1.1799202309126817</v>
      </c>
      <c r="BC847" s="116">
        <f t="shared" si="13"/>
        <v>1.1976190343763717</v>
      </c>
      <c r="BD847" s="116">
        <f t="shared" si="13"/>
        <v>1.2203737960295227</v>
      </c>
      <c r="BE847" s="116">
        <f t="shared" si="13"/>
        <v>1.2521035147262902</v>
      </c>
      <c r="BF847" s="116">
        <f t="shared" si="13"/>
        <v>1.2733892744766371</v>
      </c>
      <c r="BG847" s="116">
        <f t="shared" si="13"/>
        <v>1.3064973956130297</v>
      </c>
      <c r="BH847" s="116">
        <f t="shared" si="13"/>
        <v>1.3391598305033554</v>
      </c>
      <c r="BI847" s="116">
        <f t="shared" si="13"/>
        <v>1.4021003425370131</v>
      </c>
      <c r="BJ847" s="116">
        <f t="shared" si="13"/>
        <v>1.4483696538407345</v>
      </c>
      <c r="BK847" s="116">
        <f t="shared" si="13"/>
        <v>1.4787854165713898</v>
      </c>
      <c r="BL847" s="116">
        <f t="shared" si="13"/>
        <v>1.4950520561536751</v>
      </c>
      <c r="BM847" s="116">
        <f t="shared" si="13"/>
        <v>1.5219629931644412</v>
      </c>
      <c r="BN847" s="116">
        <f t="shared" si="13"/>
        <v>1.5432704750687434</v>
      </c>
      <c r="BO847" s="116">
        <f t="shared" si="13"/>
        <v>1.5602464502944995</v>
      </c>
      <c r="BP847" s="116">
        <f t="shared" si="14"/>
        <v>1.6101743367039236</v>
      </c>
      <c r="BQ847" s="116">
        <f t="shared" si="14"/>
        <v>1.6150048597140352</v>
      </c>
      <c r="BR847" s="116">
        <f t="shared" si="14"/>
        <v>1.6392299326097455</v>
      </c>
      <c r="BS847" s="116">
        <f t="shared" si="14"/>
        <v>1.6818499108575988</v>
      </c>
      <c r="BT847" s="116">
        <f t="shared" si="14"/>
        <v>1.7205324588073234</v>
      </c>
      <c r="BU847" s="116">
        <f t="shared" si="14"/>
        <v>1.7687073676539284</v>
      </c>
      <c r="BV847" s="116">
        <f t="shared" si="14"/>
        <v>1.7863944413304678</v>
      </c>
      <c r="BW847" s="116">
        <f t="shared" si="14"/>
        <v>1.8006855968611115</v>
      </c>
      <c r="BX847" s="116">
        <f t="shared" si="14"/>
        <v>1.8042869680548337</v>
      </c>
      <c r="BY847" s="116">
        <f t="shared" si="14"/>
        <v>1.8295469856076014</v>
      </c>
      <c r="BZ847" s="116">
        <f t="shared" si="14"/>
        <v>1.8515015494348928</v>
      </c>
      <c r="CA847" s="116">
        <f t="shared" si="14"/>
        <v>1.8996405897202</v>
      </c>
      <c r="CB847" s="116">
        <f t="shared" si="14"/>
        <v>1.9300348391557232</v>
      </c>
      <c r="CC847" s="116">
        <f t="shared" si="14"/>
        <v>1.9647754662605261</v>
      </c>
      <c r="CD847" s="116">
        <f t="shared" si="14"/>
        <v>2.086591545168679</v>
      </c>
      <c r="CE847" s="116">
        <f t="shared" si="14"/>
        <v>2.2535188687821734</v>
      </c>
      <c r="CF847" s="116">
        <f t="shared" si="16"/>
        <v>2.3166173971080743</v>
      </c>
      <c r="CG847" s="116">
        <f t="shared" si="16"/>
        <v>2.4046488581981813</v>
      </c>
    </row>
    <row r="848" spans="1:85">
      <c r="A848" s="3"/>
      <c r="B848" s="114">
        <v>1987</v>
      </c>
      <c r="C848" s="114"/>
      <c r="D848" s="3"/>
      <c r="E848" s="117"/>
      <c r="F848" s="117"/>
      <c r="G848" s="117"/>
      <c r="H848" s="117"/>
      <c r="I848" s="117"/>
      <c r="J848" s="117"/>
      <c r="K848" s="117"/>
      <c r="L848" s="117"/>
      <c r="M848" s="117"/>
      <c r="N848" s="117"/>
      <c r="O848" s="117"/>
      <c r="P848" s="117"/>
      <c r="Q848" s="117"/>
      <c r="R848" s="117"/>
      <c r="S848" s="117"/>
      <c r="T848" s="117"/>
      <c r="U848" s="117"/>
      <c r="V848" s="117"/>
      <c r="W848" s="117"/>
      <c r="X848" s="117"/>
      <c r="Y848" s="117"/>
      <c r="Z848" s="117"/>
      <c r="AA848" s="117"/>
      <c r="AB848" s="117"/>
      <c r="AC848" s="117"/>
      <c r="AD848" s="117"/>
      <c r="AE848" s="117"/>
      <c r="AF848" s="117"/>
      <c r="AG848" s="117"/>
      <c r="AH848" s="117"/>
      <c r="AI848" s="117"/>
      <c r="AJ848" s="117"/>
      <c r="AK848" s="117"/>
      <c r="AL848" s="117"/>
      <c r="AM848" s="117"/>
      <c r="AN848" s="117"/>
      <c r="AO848" s="117"/>
      <c r="AP848" s="117"/>
      <c r="AQ848" s="117"/>
      <c r="AR848" s="117"/>
      <c r="AS848" s="117"/>
      <c r="AT848" s="115">
        <v>1</v>
      </c>
      <c r="AU848" s="116">
        <f t="shared" si="15"/>
        <v>1.002</v>
      </c>
      <c r="AV848" s="116">
        <f t="shared" si="15"/>
        <v>1.011018</v>
      </c>
      <c r="AW848" s="116">
        <f t="shared" si="15"/>
        <v>1.0221391979999999</v>
      </c>
      <c r="AX848" s="116">
        <f t="shared" si="15"/>
        <v>1.0466705387519999</v>
      </c>
      <c r="AY848" s="116">
        <f t="shared" si="15"/>
        <v>1.094817383534592</v>
      </c>
      <c r="AZ848" s="116">
        <f t="shared" si="15"/>
        <v>1.1331359919583026</v>
      </c>
      <c r="BA848" s="116">
        <f t="shared" si="13"/>
        <v>1.1557987117974686</v>
      </c>
      <c r="BB848" s="116">
        <f t="shared" si="13"/>
        <v>1.1858494783042028</v>
      </c>
      <c r="BC848" s="116">
        <f t="shared" si="13"/>
        <v>1.2036372204787658</v>
      </c>
      <c r="BD848" s="116">
        <f t="shared" si="13"/>
        <v>1.2265063276678623</v>
      </c>
      <c r="BE848" s="116">
        <f t="shared" si="13"/>
        <v>1.2583954921872267</v>
      </c>
      <c r="BF848" s="116">
        <f t="shared" si="13"/>
        <v>1.2797882155544094</v>
      </c>
      <c r="BG848" s="116">
        <f t="shared" si="13"/>
        <v>1.3130627091588241</v>
      </c>
      <c r="BH848" s="116">
        <f t="shared" si="13"/>
        <v>1.3458892768877946</v>
      </c>
      <c r="BI848" s="116">
        <f t="shared" si="13"/>
        <v>1.4091460729015208</v>
      </c>
      <c r="BJ848" s="116">
        <f t="shared" si="13"/>
        <v>1.455647893307271</v>
      </c>
      <c r="BK848" s="116">
        <f t="shared" si="13"/>
        <v>1.4862164990667235</v>
      </c>
      <c r="BL848" s="116">
        <f t="shared" si="13"/>
        <v>1.5025648805564573</v>
      </c>
      <c r="BM848" s="116">
        <f t="shared" si="13"/>
        <v>1.5296110484064736</v>
      </c>
      <c r="BN848" s="116">
        <f t="shared" si="13"/>
        <v>1.5510256030841643</v>
      </c>
      <c r="BO848" s="116">
        <f t="shared" si="13"/>
        <v>1.56808688471809</v>
      </c>
      <c r="BP848" s="116">
        <f t="shared" si="14"/>
        <v>1.618265665029069</v>
      </c>
      <c r="BQ848" s="116">
        <f t="shared" si="14"/>
        <v>1.6231204620241559</v>
      </c>
      <c r="BR848" s="116">
        <f t="shared" si="14"/>
        <v>1.6474672689545182</v>
      </c>
      <c r="BS848" s="116">
        <f t="shared" si="14"/>
        <v>1.6903014179473357</v>
      </c>
      <c r="BT848" s="116">
        <f t="shared" si="14"/>
        <v>1.7291783505601241</v>
      </c>
      <c r="BU848" s="116">
        <f t="shared" si="14"/>
        <v>1.7775953443758077</v>
      </c>
      <c r="BV848" s="116">
        <f t="shared" si="14"/>
        <v>1.7953712978195657</v>
      </c>
      <c r="BW848" s="116">
        <f t="shared" si="14"/>
        <v>1.8097342682021222</v>
      </c>
      <c r="BX848" s="116">
        <f t="shared" si="14"/>
        <v>1.8133537367385264</v>
      </c>
      <c r="BY848" s="116">
        <f t="shared" si="14"/>
        <v>1.8387406890528657</v>
      </c>
      <c r="BZ848" s="116">
        <f t="shared" si="14"/>
        <v>1.8608055773215002</v>
      </c>
      <c r="CA848" s="116">
        <f t="shared" si="14"/>
        <v>1.9091865223318591</v>
      </c>
      <c r="CB848" s="116">
        <f t="shared" si="14"/>
        <v>1.939733506689169</v>
      </c>
      <c r="CC848" s="116">
        <f t="shared" si="14"/>
        <v>1.974648709809574</v>
      </c>
      <c r="CD848" s="116">
        <f t="shared" si="14"/>
        <v>2.0970769298177676</v>
      </c>
      <c r="CE848" s="116">
        <f t="shared" si="14"/>
        <v>2.2648430842031892</v>
      </c>
      <c r="CF848" s="116">
        <f t="shared" si="16"/>
        <v>2.3282586905608786</v>
      </c>
      <c r="CG848" s="116">
        <f t="shared" si="16"/>
        <v>2.4167325208021921</v>
      </c>
    </row>
    <row r="849" spans="1:85">
      <c r="A849" s="3"/>
      <c r="B849" s="114">
        <v>1988</v>
      </c>
      <c r="C849" s="114"/>
      <c r="D849" s="3"/>
      <c r="E849" s="117"/>
      <c r="F849" s="117"/>
      <c r="G849" s="117"/>
      <c r="H849" s="117"/>
      <c r="I849" s="117"/>
      <c r="J849" s="117"/>
      <c r="K849" s="117"/>
      <c r="L849" s="117"/>
      <c r="M849" s="117"/>
      <c r="N849" s="117"/>
      <c r="O849" s="117"/>
      <c r="P849" s="117"/>
      <c r="Q849" s="117"/>
      <c r="R849" s="117"/>
      <c r="S849" s="117"/>
      <c r="T849" s="117"/>
      <c r="U849" s="117"/>
      <c r="V849" s="117"/>
      <c r="W849" s="117"/>
      <c r="X849" s="117"/>
      <c r="Y849" s="117"/>
      <c r="Z849" s="117"/>
      <c r="AA849" s="117"/>
      <c r="AB849" s="117"/>
      <c r="AC849" s="117"/>
      <c r="AD849" s="117"/>
      <c r="AE849" s="117"/>
      <c r="AF849" s="117"/>
      <c r="AG849" s="117"/>
      <c r="AH849" s="117"/>
      <c r="AI849" s="117"/>
      <c r="AJ849" s="117"/>
      <c r="AK849" s="117"/>
      <c r="AL849" s="117"/>
      <c r="AM849" s="117"/>
      <c r="AN849" s="117"/>
      <c r="AO849" s="117"/>
      <c r="AP849" s="117"/>
      <c r="AQ849" s="117"/>
      <c r="AR849" s="117"/>
      <c r="AS849" s="117"/>
      <c r="AT849" s="117"/>
      <c r="AU849" s="115">
        <v>1</v>
      </c>
      <c r="AV849" s="116">
        <f t="shared" si="15"/>
        <v>1.0089999999999999</v>
      </c>
      <c r="AW849" s="116">
        <f t="shared" si="15"/>
        <v>1.0200989999999999</v>
      </c>
      <c r="AX849" s="116">
        <f t="shared" si="15"/>
        <v>1.0445813759999998</v>
      </c>
      <c r="AY849" s="116">
        <f t="shared" si="15"/>
        <v>1.0926321192959998</v>
      </c>
      <c r="AZ849" s="116">
        <f t="shared" si="15"/>
        <v>1.1308742434713597</v>
      </c>
      <c r="BA849" s="116">
        <f t="shared" si="13"/>
        <v>1.1534917283407868</v>
      </c>
      <c r="BB849" s="116">
        <f t="shared" si="13"/>
        <v>1.1834825132776474</v>
      </c>
      <c r="BC849" s="116">
        <f t="shared" si="13"/>
        <v>1.201234750976812</v>
      </c>
      <c r="BD849" s="116">
        <f t="shared" si="13"/>
        <v>1.2240582112453713</v>
      </c>
      <c r="BE849" s="116">
        <f t="shared" si="13"/>
        <v>1.255883724737751</v>
      </c>
      <c r="BF849" s="116">
        <f t="shared" si="13"/>
        <v>1.2772337480582927</v>
      </c>
      <c r="BG849" s="116">
        <f t="shared" si="13"/>
        <v>1.3104418255078083</v>
      </c>
      <c r="BH849" s="116">
        <f t="shared" si="13"/>
        <v>1.3432028711455033</v>
      </c>
      <c r="BI849" s="116">
        <f t="shared" si="13"/>
        <v>1.4063334060893418</v>
      </c>
      <c r="BJ849" s="116">
        <f t="shared" si="13"/>
        <v>1.45274240849029</v>
      </c>
      <c r="BK849" s="116">
        <f t="shared" si="13"/>
        <v>1.4832499990685859</v>
      </c>
      <c r="BL849" s="116">
        <f t="shared" si="13"/>
        <v>1.4995657490583403</v>
      </c>
      <c r="BM849" s="116">
        <f t="shared" si="13"/>
        <v>1.5265579325413905</v>
      </c>
      <c r="BN849" s="116">
        <f t="shared" si="13"/>
        <v>1.5479297435969699</v>
      </c>
      <c r="BO849" s="116">
        <f t="shared" si="13"/>
        <v>1.5649569707765365</v>
      </c>
      <c r="BP849" s="116">
        <f t="shared" si="14"/>
        <v>1.6150355938413856</v>
      </c>
      <c r="BQ849" s="116">
        <f t="shared" si="14"/>
        <v>1.6198807006229097</v>
      </c>
      <c r="BR849" s="116">
        <f t="shared" si="14"/>
        <v>1.6441789111322531</v>
      </c>
      <c r="BS849" s="116">
        <f t="shared" si="14"/>
        <v>1.6869275628216918</v>
      </c>
      <c r="BT849" s="116">
        <f t="shared" si="14"/>
        <v>1.7257268967665904</v>
      </c>
      <c r="BU849" s="116">
        <f t="shared" si="14"/>
        <v>1.7740472498760549</v>
      </c>
      <c r="BV849" s="116">
        <f t="shared" si="14"/>
        <v>1.7917877223748155</v>
      </c>
      <c r="BW849" s="116">
        <f t="shared" si="14"/>
        <v>1.8061220241538141</v>
      </c>
      <c r="BX849" s="116">
        <f t="shared" si="14"/>
        <v>1.8097342682021218</v>
      </c>
      <c r="BY849" s="116">
        <f t="shared" si="14"/>
        <v>1.8350705479569516</v>
      </c>
      <c r="BZ849" s="116">
        <f t="shared" si="14"/>
        <v>1.857091394532435</v>
      </c>
      <c r="CA849" s="116">
        <f t="shared" si="14"/>
        <v>1.9053757707902783</v>
      </c>
      <c r="CB849" s="116">
        <f t="shared" si="14"/>
        <v>1.9358617831229228</v>
      </c>
      <c r="CC849" s="116">
        <f t="shared" si="14"/>
        <v>1.9707072952191353</v>
      </c>
      <c r="CD849" s="116">
        <f t="shared" si="14"/>
        <v>2.0928911475227219</v>
      </c>
      <c r="CE849" s="116">
        <f t="shared" si="14"/>
        <v>2.2603224393245398</v>
      </c>
      <c r="CF849" s="116">
        <f t="shared" si="16"/>
        <v>2.3236114676256268</v>
      </c>
      <c r="CG849" s="116">
        <f t="shared" si="16"/>
        <v>2.4119087033954005</v>
      </c>
    </row>
    <row r="850" spans="1:85">
      <c r="A850" s="3"/>
      <c r="B850" s="114">
        <v>1989</v>
      </c>
      <c r="C850" s="114"/>
      <c r="D850" s="3"/>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5">
        <v>1</v>
      </c>
      <c r="AW850" s="116">
        <f t="shared" si="15"/>
        <v>1.0109999999999999</v>
      </c>
      <c r="AX850" s="116">
        <f t="shared" si="15"/>
        <v>1.035264</v>
      </c>
      <c r="AY850" s="116">
        <f t="shared" si="15"/>
        <v>1.0828861439999999</v>
      </c>
      <c r="AZ850" s="116">
        <f t="shared" si="15"/>
        <v>1.1207871590399998</v>
      </c>
      <c r="BA850" s="116">
        <f t="shared" si="13"/>
        <v>1.1432029022207999</v>
      </c>
      <c r="BB850" s="116">
        <f t="shared" si="13"/>
        <v>1.1729261776785407</v>
      </c>
      <c r="BC850" s="116">
        <f t="shared" si="13"/>
        <v>1.1905200703437187</v>
      </c>
      <c r="BD850" s="116">
        <f t="shared" si="13"/>
        <v>1.2131399516802492</v>
      </c>
      <c r="BE850" s="116">
        <f t="shared" si="13"/>
        <v>1.2446815904239357</v>
      </c>
      <c r="BF850" s="116">
        <f t="shared" si="13"/>
        <v>1.2658411774611424</v>
      </c>
      <c r="BG850" s="116">
        <f t="shared" si="13"/>
        <v>1.2987530480751321</v>
      </c>
      <c r="BH850" s="116">
        <f t="shared" si="13"/>
        <v>1.3312218742770103</v>
      </c>
      <c r="BI850" s="116">
        <f t="shared" si="13"/>
        <v>1.3937893023680297</v>
      </c>
      <c r="BJ850" s="116">
        <f t="shared" si="13"/>
        <v>1.4397843493461746</v>
      </c>
      <c r="BK850" s="116">
        <f t="shared" si="13"/>
        <v>1.4700198206824442</v>
      </c>
      <c r="BL850" s="116">
        <f t="shared" si="13"/>
        <v>1.4861900387099509</v>
      </c>
      <c r="BM850" s="116">
        <f t="shared" si="13"/>
        <v>1.5129414594067301</v>
      </c>
      <c r="BN850" s="116">
        <f t="shared" si="13"/>
        <v>1.5341226398384242</v>
      </c>
      <c r="BO850" s="116">
        <f t="shared" si="13"/>
        <v>1.5509979888766467</v>
      </c>
      <c r="BP850" s="116">
        <f t="shared" si="14"/>
        <v>1.6006299245206994</v>
      </c>
      <c r="BQ850" s="116">
        <f t="shared" si="14"/>
        <v>1.6054318142942614</v>
      </c>
      <c r="BR850" s="116">
        <f t="shared" si="14"/>
        <v>1.6295132915086752</v>
      </c>
      <c r="BS850" s="116">
        <f t="shared" si="14"/>
        <v>1.6718806370879007</v>
      </c>
      <c r="BT850" s="116">
        <f t="shared" si="14"/>
        <v>1.7103338917409223</v>
      </c>
      <c r="BU850" s="116">
        <f t="shared" si="14"/>
        <v>1.7582232407096683</v>
      </c>
      <c r="BV850" s="116">
        <f t="shared" si="14"/>
        <v>1.775805473116765</v>
      </c>
      <c r="BW850" s="116">
        <f t="shared" si="14"/>
        <v>1.790011916901699</v>
      </c>
      <c r="BX850" s="116">
        <f t="shared" si="14"/>
        <v>1.7935919407355023</v>
      </c>
      <c r="BY850" s="116">
        <f t="shared" si="14"/>
        <v>1.8187022279057994</v>
      </c>
      <c r="BZ850" s="116">
        <f t="shared" si="14"/>
        <v>1.8405266546406689</v>
      </c>
      <c r="CA850" s="116">
        <f t="shared" si="14"/>
        <v>1.8883803476613263</v>
      </c>
      <c r="CB850" s="116">
        <f t="shared" si="14"/>
        <v>1.9185944332239075</v>
      </c>
      <c r="CC850" s="116">
        <f t="shared" si="14"/>
        <v>1.953129133021938</v>
      </c>
      <c r="CD850" s="116">
        <f t="shared" si="14"/>
        <v>2.0742231392692982</v>
      </c>
      <c r="CE850" s="116">
        <f t="shared" si="14"/>
        <v>2.2401609904108422</v>
      </c>
      <c r="CF850" s="116">
        <f t="shared" si="16"/>
        <v>2.3028854981423459</v>
      </c>
      <c r="CG850" s="116">
        <f t="shared" si="16"/>
        <v>2.390395147071755</v>
      </c>
    </row>
    <row r="851" spans="1:85">
      <c r="A851" s="3"/>
      <c r="B851" s="114">
        <v>1990</v>
      </c>
      <c r="C851" s="114"/>
      <c r="D851" s="3"/>
      <c r="E851" s="117"/>
      <c r="F851" s="117"/>
      <c r="G851" s="117"/>
      <c r="H851" s="117"/>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5">
        <v>1</v>
      </c>
      <c r="AX851" s="116">
        <f t="shared" si="15"/>
        <v>1.024</v>
      </c>
      <c r="AY851" s="116">
        <f t="shared" si="15"/>
        <v>1.0711040000000001</v>
      </c>
      <c r="AZ851" s="116">
        <f t="shared" si="15"/>
        <v>1.1085926399999999</v>
      </c>
      <c r="BA851" s="116">
        <f t="shared" si="13"/>
        <v>1.1307644928</v>
      </c>
      <c r="BB851" s="116">
        <f t="shared" si="13"/>
        <v>1.1601643696128001</v>
      </c>
      <c r="BC851" s="116">
        <f t="shared" si="13"/>
        <v>1.1775668351569919</v>
      </c>
      <c r="BD851" s="116">
        <f t="shared" si="13"/>
        <v>1.1999406050249746</v>
      </c>
      <c r="BE851" s="116">
        <f t="shared" si="13"/>
        <v>1.2311390607556238</v>
      </c>
      <c r="BF851" s="116">
        <f t="shared" si="13"/>
        <v>1.2520684247884692</v>
      </c>
      <c r="BG851" s="116">
        <f t="shared" si="13"/>
        <v>1.2846222038329695</v>
      </c>
      <c r="BH851" s="116">
        <f t="shared" si="13"/>
        <v>1.3167377589287936</v>
      </c>
      <c r="BI851" s="116">
        <f t="shared" si="13"/>
        <v>1.3786244335984468</v>
      </c>
      <c r="BJ851" s="116">
        <f t="shared" si="13"/>
        <v>1.4241190399071955</v>
      </c>
      <c r="BK851" s="116">
        <f t="shared" si="13"/>
        <v>1.4540255397452464</v>
      </c>
      <c r="BL851" s="116">
        <f t="shared" si="13"/>
        <v>1.470019820682444</v>
      </c>
      <c r="BM851" s="116">
        <f t="shared" si="13"/>
        <v>1.4964801774547281</v>
      </c>
      <c r="BN851" s="116">
        <f t="shared" si="13"/>
        <v>1.5174308999390942</v>
      </c>
      <c r="BO851" s="116">
        <f t="shared" si="13"/>
        <v>1.534122639838424</v>
      </c>
      <c r="BP851" s="116">
        <f t="shared" si="14"/>
        <v>1.5832145643132536</v>
      </c>
      <c r="BQ851" s="116">
        <f t="shared" si="14"/>
        <v>1.5879642080061931</v>
      </c>
      <c r="BR851" s="116">
        <f t="shared" si="14"/>
        <v>1.6117836711262858</v>
      </c>
      <c r="BS851" s="116">
        <f t="shared" si="14"/>
        <v>1.6536900465755693</v>
      </c>
      <c r="BT851" s="116">
        <f t="shared" si="14"/>
        <v>1.6917249176468072</v>
      </c>
      <c r="BU851" s="116">
        <f t="shared" si="14"/>
        <v>1.7390932153409178</v>
      </c>
      <c r="BV851" s="116">
        <f t="shared" si="14"/>
        <v>1.7564841474943269</v>
      </c>
      <c r="BW851" s="116">
        <f t="shared" si="14"/>
        <v>1.7705360206742815</v>
      </c>
      <c r="BX851" s="116">
        <f t="shared" si="14"/>
        <v>1.77407709271563</v>
      </c>
      <c r="BY851" s="116">
        <f t="shared" si="14"/>
        <v>1.7989141720136488</v>
      </c>
      <c r="BZ851" s="116">
        <f t="shared" si="14"/>
        <v>1.8205011420778126</v>
      </c>
      <c r="CA851" s="116">
        <f t="shared" si="14"/>
        <v>1.8678341717718356</v>
      </c>
      <c r="CB851" s="116">
        <f t="shared" si="14"/>
        <v>1.8977195185201849</v>
      </c>
      <c r="CC851" s="116">
        <f t="shared" si="14"/>
        <v>1.9318784698535483</v>
      </c>
      <c r="CD851" s="116">
        <f t="shared" si="14"/>
        <v>2.0516549349844682</v>
      </c>
      <c r="CE851" s="116">
        <f t="shared" si="14"/>
        <v>2.2157873297832258</v>
      </c>
      <c r="CF851" s="116">
        <f t="shared" si="16"/>
        <v>2.2778293750171561</v>
      </c>
      <c r="CG851" s="116">
        <f t="shared" si="16"/>
        <v>2.3643868912678081</v>
      </c>
    </row>
    <row r="852" spans="1:85">
      <c r="A852" s="3"/>
      <c r="B852" s="114">
        <v>1991</v>
      </c>
      <c r="C852" s="114"/>
      <c r="D852" s="3"/>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5">
        <v>1</v>
      </c>
      <c r="AY852" s="116">
        <f t="shared" si="15"/>
        <v>1.046</v>
      </c>
      <c r="AZ852" s="116">
        <f t="shared" si="15"/>
        <v>1.0826099999999999</v>
      </c>
      <c r="BA852" s="116">
        <f t="shared" si="13"/>
        <v>1.1042622</v>
      </c>
      <c r="BB852" s="116">
        <f t="shared" si="13"/>
        <v>1.1329730172000001</v>
      </c>
      <c r="BC852" s="116">
        <f t="shared" si="13"/>
        <v>1.1499676124580001</v>
      </c>
      <c r="BD852" s="116">
        <f t="shared" si="13"/>
        <v>1.1718169970947019</v>
      </c>
      <c r="BE852" s="116">
        <f t="shared" si="13"/>
        <v>1.2022842390191641</v>
      </c>
      <c r="BF852" s="116">
        <f t="shared" si="13"/>
        <v>1.2227230710824899</v>
      </c>
      <c r="BG852" s="116">
        <f t="shared" si="13"/>
        <v>1.2545138709306347</v>
      </c>
      <c r="BH852" s="116">
        <f t="shared" si="13"/>
        <v>1.2858767177039006</v>
      </c>
      <c r="BI852" s="116">
        <f t="shared" si="13"/>
        <v>1.3463129234359839</v>
      </c>
      <c r="BJ852" s="116">
        <f t="shared" si="13"/>
        <v>1.3907412499093712</v>
      </c>
      <c r="BK852" s="116">
        <f t="shared" si="13"/>
        <v>1.4199468161574678</v>
      </c>
      <c r="BL852" s="116">
        <f t="shared" si="13"/>
        <v>1.4355662311351998</v>
      </c>
      <c r="BM852" s="116">
        <f t="shared" si="13"/>
        <v>1.4614064232956334</v>
      </c>
      <c r="BN852" s="116">
        <f t="shared" si="13"/>
        <v>1.4818661132217723</v>
      </c>
      <c r="BO852" s="116">
        <f t="shared" si="13"/>
        <v>1.4981666404672116</v>
      </c>
      <c r="BP852" s="116">
        <f t="shared" si="14"/>
        <v>1.5461079729621625</v>
      </c>
      <c r="BQ852" s="116">
        <f t="shared" si="14"/>
        <v>1.5507462968810488</v>
      </c>
      <c r="BR852" s="116">
        <f t="shared" si="14"/>
        <v>1.5740074913342643</v>
      </c>
      <c r="BS852" s="116">
        <f t="shared" si="14"/>
        <v>1.6149316861089553</v>
      </c>
      <c r="BT852" s="116">
        <f t="shared" si="14"/>
        <v>1.6520751148894612</v>
      </c>
      <c r="BU852" s="116">
        <f t="shared" si="14"/>
        <v>1.6983332181063662</v>
      </c>
      <c r="BV852" s="116">
        <f t="shared" si="14"/>
        <v>1.7153165502874299</v>
      </c>
      <c r="BW852" s="116">
        <f t="shared" si="14"/>
        <v>1.7290390826897293</v>
      </c>
      <c r="BX852" s="116">
        <f t="shared" si="14"/>
        <v>1.7324971608551087</v>
      </c>
      <c r="BY852" s="116">
        <f t="shared" si="14"/>
        <v>1.7567521211070802</v>
      </c>
      <c r="BZ852" s="116">
        <f t="shared" si="14"/>
        <v>1.7778331465603652</v>
      </c>
      <c r="CA852" s="116">
        <f t="shared" si="14"/>
        <v>1.8240568083709348</v>
      </c>
      <c r="CB852" s="116">
        <f t="shared" si="14"/>
        <v>1.8532417173048696</v>
      </c>
      <c r="CC852" s="116">
        <f t="shared" si="14"/>
        <v>1.8866000682163573</v>
      </c>
      <c r="CD852" s="116">
        <f t="shared" si="14"/>
        <v>2.0035692724457714</v>
      </c>
      <c r="CE852" s="116">
        <f t="shared" si="14"/>
        <v>2.1638548142414331</v>
      </c>
      <c r="CF852" s="116">
        <f t="shared" si="16"/>
        <v>2.2244427490401932</v>
      </c>
      <c r="CG852" s="116">
        <f t="shared" si="16"/>
        <v>2.3089715735037206</v>
      </c>
    </row>
    <row r="853" spans="1:85">
      <c r="A853" s="3"/>
      <c r="B853" s="114">
        <v>1992</v>
      </c>
      <c r="C853" s="114"/>
      <c r="D853" s="3"/>
      <c r="E853" s="117"/>
      <c r="F853" s="117"/>
      <c r="G853" s="117"/>
      <c r="H853" s="117"/>
      <c r="I853" s="117"/>
      <c r="J853" s="117"/>
      <c r="K853" s="117"/>
      <c r="L853" s="117"/>
      <c r="M853" s="117"/>
      <c r="N853" s="117"/>
      <c r="O853" s="117"/>
      <c r="P853" s="117"/>
      <c r="Q853" s="117"/>
      <c r="R853" s="117"/>
      <c r="S853" s="117"/>
      <c r="T853" s="117"/>
      <c r="U853" s="117"/>
      <c r="V853" s="117"/>
      <c r="W853" s="117"/>
      <c r="X853" s="117"/>
      <c r="Y853" s="117"/>
      <c r="Z853" s="117"/>
      <c r="AA853" s="117"/>
      <c r="AB853" s="117"/>
      <c r="AC853" s="117"/>
      <c r="AD853" s="117"/>
      <c r="AE853" s="117"/>
      <c r="AF853" s="117"/>
      <c r="AG853" s="117"/>
      <c r="AH853" s="117"/>
      <c r="AI853" s="117"/>
      <c r="AJ853" s="117"/>
      <c r="AK853" s="117"/>
      <c r="AL853" s="117"/>
      <c r="AM853" s="117"/>
      <c r="AN853" s="117"/>
      <c r="AO853" s="117"/>
      <c r="AP853" s="117"/>
      <c r="AQ853" s="117"/>
      <c r="AR853" s="117"/>
      <c r="AS853" s="117"/>
      <c r="AT853" s="117"/>
      <c r="AU853" s="117"/>
      <c r="AV853" s="117"/>
      <c r="AW853" s="117"/>
      <c r="AX853" s="117"/>
      <c r="AY853" s="115">
        <v>1</v>
      </c>
      <c r="AZ853" s="116">
        <f t="shared" si="15"/>
        <v>1.0349999999999999</v>
      </c>
      <c r="BA853" s="116">
        <f t="shared" si="13"/>
        <v>1.0556999999999999</v>
      </c>
      <c r="BB853" s="116">
        <f t="shared" si="13"/>
        <v>1.0831481999999999</v>
      </c>
      <c r="BC853" s="116">
        <f t="shared" si="13"/>
        <v>1.0993954229999998</v>
      </c>
      <c r="BD853" s="116">
        <f t="shared" si="13"/>
        <v>1.1202839360369996</v>
      </c>
      <c r="BE853" s="116">
        <f t="shared" si="13"/>
        <v>1.1494113183739616</v>
      </c>
      <c r="BF853" s="116">
        <f t="shared" si="13"/>
        <v>1.1689513107863188</v>
      </c>
      <c r="BG853" s="116">
        <f t="shared" si="13"/>
        <v>1.1993440448667632</v>
      </c>
      <c r="BH853" s="116">
        <f t="shared" si="13"/>
        <v>1.2293276459884321</v>
      </c>
      <c r="BI853" s="116">
        <f t="shared" si="13"/>
        <v>1.2871060453498884</v>
      </c>
      <c r="BJ853" s="116">
        <f t="shared" si="13"/>
        <v>1.3295805448464346</v>
      </c>
      <c r="BK853" s="116">
        <f t="shared" si="13"/>
        <v>1.3575017362882096</v>
      </c>
      <c r="BL853" s="116">
        <f t="shared" si="13"/>
        <v>1.3724342553873798</v>
      </c>
      <c r="BM853" s="116">
        <f t="shared" si="13"/>
        <v>1.3971380719843527</v>
      </c>
      <c r="BN853" s="116">
        <f t="shared" si="13"/>
        <v>1.4166980049921336</v>
      </c>
      <c r="BO853" s="116">
        <f t="shared" si="13"/>
        <v>1.4322816830470468</v>
      </c>
      <c r="BP853" s="116">
        <f t="shared" si="14"/>
        <v>1.4781146969045524</v>
      </c>
      <c r="BQ853" s="116">
        <f t="shared" si="14"/>
        <v>1.482549040995266</v>
      </c>
      <c r="BR853" s="116">
        <f t="shared" si="14"/>
        <v>1.5047872766101948</v>
      </c>
      <c r="BS853" s="116">
        <f t="shared" si="14"/>
        <v>1.5439117458020599</v>
      </c>
      <c r="BT853" s="116">
        <f t="shared" si="14"/>
        <v>1.5794217159555071</v>
      </c>
      <c r="BU853" s="116">
        <f t="shared" si="14"/>
        <v>1.6236455240022614</v>
      </c>
      <c r="BV853" s="116">
        <f t="shared" si="14"/>
        <v>1.6398819792422841</v>
      </c>
      <c r="BW853" s="116">
        <f t="shared" si="14"/>
        <v>1.6530010350762223</v>
      </c>
      <c r="BX853" s="116">
        <f t="shared" si="14"/>
        <v>1.6563070371463748</v>
      </c>
      <c r="BY853" s="116">
        <f t="shared" si="14"/>
        <v>1.6794953356664242</v>
      </c>
      <c r="BZ853" s="116">
        <f t="shared" si="14"/>
        <v>1.6996492796944214</v>
      </c>
      <c r="CA853" s="116">
        <f t="shared" si="14"/>
        <v>1.7438401609664764</v>
      </c>
      <c r="CB853" s="116">
        <f t="shared" si="14"/>
        <v>1.77174160354194</v>
      </c>
      <c r="CC853" s="116">
        <f t="shared" si="14"/>
        <v>1.8036329524056949</v>
      </c>
      <c r="CD853" s="116">
        <f t="shared" si="14"/>
        <v>1.915458195454848</v>
      </c>
      <c r="CE853" s="116">
        <f t="shared" si="14"/>
        <v>2.068694851091236</v>
      </c>
      <c r="CF853" s="116">
        <f t="shared" si="16"/>
        <v>2.1266183069217908</v>
      </c>
      <c r="CG853" s="116">
        <f t="shared" si="16"/>
        <v>2.2074298025848189</v>
      </c>
    </row>
    <row r="854" spans="1:85">
      <c r="A854" s="3"/>
      <c r="B854" s="114">
        <v>1993</v>
      </c>
      <c r="C854" s="118"/>
      <c r="D854" s="3"/>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15">
        <v>1</v>
      </c>
      <c r="BA854" s="116">
        <f t="shared" si="13"/>
        <v>1.02</v>
      </c>
      <c r="BB854" s="116">
        <f t="shared" si="13"/>
        <v>1.0465200000000001</v>
      </c>
      <c r="BC854" s="116">
        <f t="shared" si="13"/>
        <v>1.0622178</v>
      </c>
      <c r="BD854" s="116">
        <f t="shared" si="13"/>
        <v>1.0823999381999998</v>
      </c>
      <c r="BE854" s="116">
        <f t="shared" si="13"/>
        <v>1.1105423365931999</v>
      </c>
      <c r="BF854" s="116">
        <f t="shared" si="13"/>
        <v>1.1294215563152843</v>
      </c>
      <c r="BG854" s="116">
        <f t="shared" si="13"/>
        <v>1.1587865167794817</v>
      </c>
      <c r="BH854" s="116">
        <f t="shared" si="13"/>
        <v>1.1877561796989686</v>
      </c>
      <c r="BI854" s="116">
        <f t="shared" si="13"/>
        <v>1.2435807201448201</v>
      </c>
      <c r="BJ854" s="116">
        <f t="shared" si="13"/>
        <v>1.2846188839095991</v>
      </c>
      <c r="BK854" s="116">
        <f t="shared" si="13"/>
        <v>1.3115958804717005</v>
      </c>
      <c r="BL854" s="116">
        <f t="shared" si="13"/>
        <v>1.3260234351568891</v>
      </c>
      <c r="BM854" s="116">
        <f t="shared" si="13"/>
        <v>1.3498918569897131</v>
      </c>
      <c r="BN854" s="116">
        <f t="shared" si="13"/>
        <v>1.3687903429875692</v>
      </c>
      <c r="BO854" s="116">
        <f t="shared" si="13"/>
        <v>1.3838470367604323</v>
      </c>
      <c r="BP854" s="116">
        <f t="shared" si="14"/>
        <v>1.4281301419367662</v>
      </c>
      <c r="BQ854" s="116">
        <f t="shared" si="14"/>
        <v>1.4324145323625763</v>
      </c>
      <c r="BR854" s="116">
        <f t="shared" si="14"/>
        <v>1.4539007503480148</v>
      </c>
      <c r="BS854" s="116">
        <f t="shared" si="14"/>
        <v>1.4917021698570632</v>
      </c>
      <c r="BT854" s="116">
        <f t="shared" si="14"/>
        <v>1.5260113197637755</v>
      </c>
      <c r="BU854" s="116">
        <f t="shared" si="14"/>
        <v>1.5687396367171613</v>
      </c>
      <c r="BV854" s="116">
        <f t="shared" si="14"/>
        <v>1.5844270330843329</v>
      </c>
      <c r="BW854" s="116">
        <f t="shared" si="14"/>
        <v>1.5971024493490076</v>
      </c>
      <c r="BX854" s="116">
        <f t="shared" si="14"/>
        <v>1.6002966542477055</v>
      </c>
      <c r="BY854" s="116">
        <f t="shared" si="14"/>
        <v>1.6227008074071734</v>
      </c>
      <c r="BZ854" s="116">
        <f t="shared" si="14"/>
        <v>1.6421732170960595</v>
      </c>
      <c r="CA854" s="116">
        <f t="shared" si="14"/>
        <v>1.684869720740557</v>
      </c>
      <c r="CB854" s="116">
        <f t="shared" si="14"/>
        <v>1.7118276362724059</v>
      </c>
      <c r="CC854" s="116">
        <f t="shared" si="14"/>
        <v>1.7426405337253092</v>
      </c>
      <c r="CD854" s="116">
        <f t="shared" ref="CC854:CG882" si="17">CC854*CD$804</f>
        <v>1.8506842468162785</v>
      </c>
      <c r="CE854" s="116">
        <f t="shared" si="17"/>
        <v>1.998738986561581</v>
      </c>
      <c r="CF854" s="116">
        <f t="shared" si="16"/>
        <v>2.0547036781853052</v>
      </c>
      <c r="CG854" s="116">
        <f t="shared" si="16"/>
        <v>2.132782417956347</v>
      </c>
    </row>
    <row r="855" spans="1:85">
      <c r="A855" s="3"/>
      <c r="B855" s="114">
        <v>1994</v>
      </c>
      <c r="C855" s="3"/>
      <c r="D855" s="3"/>
      <c r="E855" s="117"/>
      <c r="F855" s="117"/>
      <c r="G855" s="117"/>
      <c r="H855" s="117"/>
      <c r="I855" s="117"/>
      <c r="J855" s="117"/>
      <c r="K855" s="117"/>
      <c r="L855" s="117"/>
      <c r="M855" s="117"/>
      <c r="N855" s="117"/>
      <c r="O855" s="117"/>
      <c r="P855" s="117"/>
      <c r="Q855" s="117"/>
      <c r="R855" s="117"/>
      <c r="S855" s="117"/>
      <c r="T855" s="117"/>
      <c r="U855" s="117"/>
      <c r="V855" s="117"/>
      <c r="W855" s="117"/>
      <c r="X855" s="117"/>
      <c r="Y855" s="117"/>
      <c r="Z855" s="117"/>
      <c r="AA855" s="117"/>
      <c r="AB855" s="117"/>
      <c r="AC855" s="117"/>
      <c r="AD855" s="117"/>
      <c r="AE855" s="117"/>
      <c r="AF855" s="117"/>
      <c r="AG855" s="117"/>
      <c r="AH855" s="117"/>
      <c r="AI855" s="117"/>
      <c r="AJ855" s="117"/>
      <c r="AK855" s="117"/>
      <c r="AL855" s="117"/>
      <c r="AM855" s="117"/>
      <c r="AN855" s="117"/>
      <c r="AO855" s="117"/>
      <c r="AP855" s="117"/>
      <c r="AQ855" s="117"/>
      <c r="AR855" s="117"/>
      <c r="AS855" s="117"/>
      <c r="AT855" s="117"/>
      <c r="AU855" s="117"/>
      <c r="AV855" s="117"/>
      <c r="AW855" s="117"/>
      <c r="AX855" s="117"/>
      <c r="AY855" s="117"/>
      <c r="AZ855" s="117"/>
      <c r="BA855" s="115">
        <v>1</v>
      </c>
      <c r="BB855" s="116">
        <f t="shared" ref="BB855:BQ870" si="18">BA855*BB$804</f>
        <v>1.026</v>
      </c>
      <c r="BC855" s="116">
        <f t="shared" si="18"/>
        <v>1.0413899999999998</v>
      </c>
      <c r="BD855" s="116">
        <f t="shared" si="18"/>
        <v>1.0611764099999996</v>
      </c>
      <c r="BE855" s="116">
        <f t="shared" si="18"/>
        <v>1.0887669966599995</v>
      </c>
      <c r="BF855" s="116">
        <f t="shared" si="18"/>
        <v>1.1072760356032194</v>
      </c>
      <c r="BG855" s="116">
        <f t="shared" si="18"/>
        <v>1.1360652125289032</v>
      </c>
      <c r="BH855" s="116">
        <f t="shared" si="18"/>
        <v>1.1644668428421256</v>
      </c>
      <c r="BI855" s="116">
        <f t="shared" si="18"/>
        <v>1.2191967844557055</v>
      </c>
      <c r="BJ855" s="116">
        <f t="shared" si="18"/>
        <v>1.2594302783427436</v>
      </c>
      <c r="BK855" s="116">
        <f t="shared" si="18"/>
        <v>1.2858783141879411</v>
      </c>
      <c r="BL855" s="116">
        <f t="shared" si="18"/>
        <v>1.3000229756440083</v>
      </c>
      <c r="BM855" s="116">
        <f t="shared" si="18"/>
        <v>1.3234233892056004</v>
      </c>
      <c r="BN855" s="116">
        <f t="shared" si="18"/>
        <v>1.3419513166544788</v>
      </c>
      <c r="BO855" s="116">
        <f t="shared" si="18"/>
        <v>1.3567127811376778</v>
      </c>
      <c r="BP855" s="116">
        <f t="shared" si="18"/>
        <v>1.4001275901340835</v>
      </c>
      <c r="BQ855" s="116">
        <f t="shared" si="18"/>
        <v>1.4043279729044855</v>
      </c>
      <c r="BR855" s="116">
        <f t="shared" ref="BR855:CB881" si="19">BQ855*BR$804</f>
        <v>1.4253928924980526</v>
      </c>
      <c r="BS855" s="116">
        <f t="shared" si="19"/>
        <v>1.4624531077030021</v>
      </c>
      <c r="BT855" s="116">
        <f t="shared" si="19"/>
        <v>1.496089529180171</v>
      </c>
      <c r="BU855" s="116">
        <f t="shared" si="19"/>
        <v>1.5379800359972158</v>
      </c>
      <c r="BV855" s="116">
        <f t="shared" si="19"/>
        <v>1.5533598363571879</v>
      </c>
      <c r="BW855" s="116">
        <f t="shared" si="19"/>
        <v>1.5657867150480453</v>
      </c>
      <c r="BX855" s="116">
        <f t="shared" si="19"/>
        <v>1.5689182884781414</v>
      </c>
      <c r="BY855" s="116">
        <f t="shared" si="19"/>
        <v>1.5908831445168354</v>
      </c>
      <c r="BZ855" s="116">
        <f t="shared" si="19"/>
        <v>1.6099737422510374</v>
      </c>
      <c r="CA855" s="116">
        <f t="shared" si="19"/>
        <v>1.6518330595495645</v>
      </c>
      <c r="CB855" s="116">
        <f t="shared" si="19"/>
        <v>1.6782623885023575</v>
      </c>
      <c r="CC855" s="116">
        <f t="shared" si="17"/>
        <v>1.7084711114954001</v>
      </c>
      <c r="CD855" s="116">
        <f t="shared" si="17"/>
        <v>1.814396320408115</v>
      </c>
      <c r="CE855" s="116">
        <f t="shared" si="17"/>
        <v>1.9595480260407643</v>
      </c>
      <c r="CF855" s="116">
        <f t="shared" si="16"/>
        <v>2.0144153707699055</v>
      </c>
      <c r="CG855" s="116">
        <f t="shared" si="16"/>
        <v>2.0909631548591618</v>
      </c>
    </row>
    <row r="856" spans="1:85">
      <c r="A856" s="3"/>
      <c r="B856" s="114">
        <v>1995</v>
      </c>
      <c r="C856" s="3"/>
      <c r="D856" s="3"/>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17"/>
      <c r="BA856" s="117"/>
      <c r="BB856" s="115">
        <v>1</v>
      </c>
      <c r="BC856" s="116">
        <f t="shared" si="18"/>
        <v>1.0149999999999999</v>
      </c>
      <c r="BD856" s="116">
        <f t="shared" si="18"/>
        <v>1.0342849999999999</v>
      </c>
      <c r="BE856" s="116">
        <f t="shared" si="18"/>
        <v>1.0611764099999998</v>
      </c>
      <c r="BF856" s="116">
        <f t="shared" si="18"/>
        <v>1.0792164089699998</v>
      </c>
      <c r="BG856" s="116">
        <f t="shared" si="18"/>
        <v>1.1072760356032199</v>
      </c>
      <c r="BH856" s="116">
        <f t="shared" si="18"/>
        <v>1.1349579364933002</v>
      </c>
      <c r="BI856" s="116">
        <f t="shared" si="18"/>
        <v>1.1883009595084852</v>
      </c>
      <c r="BJ856" s="116">
        <f t="shared" si="18"/>
        <v>1.2275148911722651</v>
      </c>
      <c r="BK856" s="116">
        <f t="shared" si="18"/>
        <v>1.2532927038868826</v>
      </c>
      <c r="BL856" s="116">
        <f t="shared" si="18"/>
        <v>1.2670789236296383</v>
      </c>
      <c r="BM856" s="116">
        <f t="shared" si="18"/>
        <v>1.2898863442549717</v>
      </c>
      <c r="BN856" s="116">
        <f t="shared" si="18"/>
        <v>1.3079447530745414</v>
      </c>
      <c r="BO856" s="116">
        <f t="shared" si="18"/>
        <v>1.3223321453583612</v>
      </c>
      <c r="BP856" s="116">
        <f t="shared" si="18"/>
        <v>1.3646467740098287</v>
      </c>
      <c r="BQ856" s="116">
        <f t="shared" si="18"/>
        <v>1.368740714331858</v>
      </c>
      <c r="BR856" s="116">
        <f t="shared" si="19"/>
        <v>1.3892718250468357</v>
      </c>
      <c r="BS856" s="116">
        <f t="shared" si="19"/>
        <v>1.4253928924980535</v>
      </c>
      <c r="BT856" s="116">
        <f t="shared" si="19"/>
        <v>1.4581769290255087</v>
      </c>
      <c r="BU856" s="116">
        <f t="shared" si="19"/>
        <v>1.4990058830382229</v>
      </c>
      <c r="BV856" s="116">
        <f t="shared" si="19"/>
        <v>1.5139959418686051</v>
      </c>
      <c r="BW856" s="116">
        <f t="shared" si="19"/>
        <v>1.5261079094035539</v>
      </c>
      <c r="BX856" s="116">
        <f t="shared" si="19"/>
        <v>1.529160125222361</v>
      </c>
      <c r="BY856" s="116">
        <f t="shared" si="19"/>
        <v>1.5505683669754742</v>
      </c>
      <c r="BZ856" s="116">
        <f t="shared" si="19"/>
        <v>1.5691751873791799</v>
      </c>
      <c r="CA856" s="116">
        <f t="shared" si="19"/>
        <v>1.6099737422510387</v>
      </c>
      <c r="CB856" s="116">
        <f t="shared" si="19"/>
        <v>1.6357333221270554</v>
      </c>
      <c r="CC856" s="116">
        <f t="shared" si="17"/>
        <v>1.6651765219253423</v>
      </c>
      <c r="CD856" s="116">
        <f t="shared" si="17"/>
        <v>1.7684174662847136</v>
      </c>
      <c r="CE856" s="116">
        <f t="shared" si="17"/>
        <v>1.9098908635874909</v>
      </c>
      <c r="CF856" s="116">
        <f t="shared" si="16"/>
        <v>1.9633678077679408</v>
      </c>
      <c r="CG856" s="116">
        <f t="shared" si="16"/>
        <v>2.0379757844631228</v>
      </c>
    </row>
    <row r="857" spans="1:85">
      <c r="A857" s="119"/>
      <c r="B857" s="114">
        <v>1996</v>
      </c>
      <c r="C857" s="119"/>
      <c r="D857" s="119"/>
      <c r="E857" s="117"/>
      <c r="F857" s="117"/>
      <c r="G857" s="117"/>
      <c r="H857" s="117"/>
      <c r="I857" s="117"/>
      <c r="J857" s="117"/>
      <c r="K857" s="117"/>
      <c r="L857" s="117"/>
      <c r="M857" s="117"/>
      <c r="N857" s="117"/>
      <c r="O857" s="117"/>
      <c r="P857" s="117"/>
      <c r="Q857" s="117"/>
      <c r="R857" s="117"/>
      <c r="S857" s="117"/>
      <c r="T857" s="117"/>
      <c r="U857" s="117"/>
      <c r="V857" s="117"/>
      <c r="W857" s="117"/>
      <c r="X857" s="117"/>
      <c r="Y857" s="117"/>
      <c r="Z857" s="117"/>
      <c r="AA857" s="117"/>
      <c r="AB857" s="117"/>
      <c r="AC857" s="117"/>
      <c r="AD857" s="117"/>
      <c r="AE857" s="117"/>
      <c r="AF857" s="117"/>
      <c r="AG857" s="117"/>
      <c r="AH857" s="117"/>
      <c r="AI857" s="117"/>
      <c r="AJ857" s="117"/>
      <c r="AK857" s="117"/>
      <c r="AL857" s="117"/>
      <c r="AM857" s="117"/>
      <c r="AN857" s="117"/>
      <c r="AO857" s="117"/>
      <c r="AP857" s="117"/>
      <c r="AQ857" s="117"/>
      <c r="AR857" s="117"/>
      <c r="AS857" s="117"/>
      <c r="AT857" s="117"/>
      <c r="AU857" s="117"/>
      <c r="AV857" s="117"/>
      <c r="AW857" s="117"/>
      <c r="AX857" s="117"/>
      <c r="AY857" s="117"/>
      <c r="AZ857" s="117"/>
      <c r="BA857" s="117"/>
      <c r="BB857" s="117"/>
      <c r="BC857" s="115">
        <v>1</v>
      </c>
      <c r="BD857" s="116">
        <f t="shared" si="18"/>
        <v>1.0189999999999999</v>
      </c>
      <c r="BE857" s="116">
        <f t="shared" si="18"/>
        <v>1.0454939999999999</v>
      </c>
      <c r="BF857" s="116">
        <f t="shared" si="18"/>
        <v>1.0632673979999998</v>
      </c>
      <c r="BG857" s="116">
        <f t="shared" si="18"/>
        <v>1.0909123503479998</v>
      </c>
      <c r="BH857" s="116">
        <f t="shared" si="18"/>
        <v>1.1181851591066998</v>
      </c>
      <c r="BI857" s="116">
        <f t="shared" si="18"/>
        <v>1.1707398615847147</v>
      </c>
      <c r="BJ857" s="116">
        <f t="shared" si="18"/>
        <v>1.2093742770170102</v>
      </c>
      <c r="BK857" s="116">
        <f t="shared" si="18"/>
        <v>1.2347711368343672</v>
      </c>
      <c r="BL857" s="116">
        <f t="shared" si="18"/>
        <v>1.2483536193395453</v>
      </c>
      <c r="BM857" s="116">
        <f t="shared" si="18"/>
        <v>1.270823984487657</v>
      </c>
      <c r="BN857" s="116">
        <f t="shared" si="18"/>
        <v>1.2886155202704841</v>
      </c>
      <c r="BO857" s="116">
        <f t="shared" si="18"/>
        <v>1.3027902909934592</v>
      </c>
      <c r="BP857" s="116">
        <f t="shared" si="18"/>
        <v>1.3444795803052501</v>
      </c>
      <c r="BQ857" s="116">
        <f t="shared" si="18"/>
        <v>1.3485130190461656</v>
      </c>
      <c r="BR857" s="116">
        <f t="shared" si="19"/>
        <v>1.368740714331858</v>
      </c>
      <c r="BS857" s="116">
        <f t="shared" si="19"/>
        <v>1.4043279729044862</v>
      </c>
      <c r="BT857" s="116">
        <f t="shared" si="19"/>
        <v>1.4366275162812892</v>
      </c>
      <c r="BU857" s="116">
        <f t="shared" si="19"/>
        <v>1.4768530867371652</v>
      </c>
      <c r="BV857" s="116">
        <f t="shared" si="19"/>
        <v>1.4916216176045369</v>
      </c>
      <c r="BW857" s="116">
        <f t="shared" si="19"/>
        <v>1.5035545905453733</v>
      </c>
      <c r="BX857" s="116">
        <f t="shared" si="19"/>
        <v>1.5065616997264641</v>
      </c>
      <c r="BY857" s="116">
        <f t="shared" si="19"/>
        <v>1.5276535635226347</v>
      </c>
      <c r="BZ857" s="116">
        <f t="shared" si="19"/>
        <v>1.5459854062849063</v>
      </c>
      <c r="CA857" s="116">
        <f t="shared" si="19"/>
        <v>1.5861810268483139</v>
      </c>
      <c r="CB857" s="116">
        <f t="shared" si="19"/>
        <v>1.611559923277887</v>
      </c>
      <c r="CC857" s="116">
        <f t="shared" si="17"/>
        <v>1.6405680018968889</v>
      </c>
      <c r="CD857" s="116">
        <f t="shared" si="17"/>
        <v>1.742283218014496</v>
      </c>
      <c r="CE857" s="116">
        <f t="shared" si="17"/>
        <v>1.8816658754556559</v>
      </c>
      <c r="CF857" s="116">
        <f t="shared" si="16"/>
        <v>1.9343525199684144</v>
      </c>
      <c r="CG857" s="116">
        <f t="shared" si="16"/>
        <v>2.0078579157272141</v>
      </c>
    </row>
    <row r="858" spans="1:85">
      <c r="A858" s="3"/>
      <c r="B858" s="114">
        <v>1997</v>
      </c>
      <c r="C858" s="3"/>
      <c r="D858" s="3"/>
      <c r="E858" s="117"/>
      <c r="F858" s="117"/>
      <c r="G858" s="117"/>
      <c r="H858" s="117"/>
      <c r="I858" s="117"/>
      <c r="J858" s="117"/>
      <c r="K858" s="117"/>
      <c r="L858" s="117"/>
      <c r="M858" s="117"/>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17"/>
      <c r="BA858" s="117"/>
      <c r="BB858" s="117"/>
      <c r="BC858" s="117"/>
      <c r="BD858" s="115">
        <v>1</v>
      </c>
      <c r="BE858" s="116">
        <f t="shared" si="18"/>
        <v>1.026</v>
      </c>
      <c r="BF858" s="116">
        <f t="shared" si="18"/>
        <v>1.043442</v>
      </c>
      <c r="BG858" s="116">
        <f t="shared" si="18"/>
        <v>1.070571492</v>
      </c>
      <c r="BH858" s="116">
        <f t="shared" si="18"/>
        <v>1.0973357792999998</v>
      </c>
      <c r="BI858" s="116">
        <f t="shared" si="18"/>
        <v>1.1489105609270998</v>
      </c>
      <c r="BJ858" s="116">
        <f t="shared" si="18"/>
        <v>1.186824609437694</v>
      </c>
      <c r="BK858" s="116">
        <f t="shared" si="18"/>
        <v>1.2117479262358855</v>
      </c>
      <c r="BL858" s="116">
        <f t="shared" si="18"/>
        <v>1.22507715342448</v>
      </c>
      <c r="BM858" s="116">
        <f t="shared" si="18"/>
        <v>1.2471285421861207</v>
      </c>
      <c r="BN858" s="116">
        <f t="shared" si="18"/>
        <v>1.2645883417767263</v>
      </c>
      <c r="BO858" s="116">
        <f t="shared" si="18"/>
        <v>1.2784988135362703</v>
      </c>
      <c r="BP858" s="116">
        <f t="shared" si="18"/>
        <v>1.3194107755694309</v>
      </c>
      <c r="BQ858" s="116">
        <f t="shared" si="18"/>
        <v>1.3233690078961391</v>
      </c>
      <c r="BR858" s="116">
        <f t="shared" si="19"/>
        <v>1.343219543014581</v>
      </c>
      <c r="BS858" s="116">
        <f t="shared" si="19"/>
        <v>1.3781432511329601</v>
      </c>
      <c r="BT858" s="116">
        <f t="shared" si="19"/>
        <v>1.409840545909018</v>
      </c>
      <c r="BU858" s="116">
        <f t="shared" si="19"/>
        <v>1.4493160811944705</v>
      </c>
      <c r="BV858" s="116">
        <f t="shared" si="19"/>
        <v>1.4638092420064153</v>
      </c>
      <c r="BW858" s="116">
        <f t="shared" si="19"/>
        <v>1.4755197159424667</v>
      </c>
      <c r="BX858" s="116">
        <f t="shared" si="19"/>
        <v>1.4784707553743517</v>
      </c>
      <c r="BY858" s="116">
        <f t="shared" si="19"/>
        <v>1.4991693459495927</v>
      </c>
      <c r="BZ858" s="116">
        <f t="shared" si="19"/>
        <v>1.5171593781009878</v>
      </c>
      <c r="CA858" s="116">
        <f t="shared" si="19"/>
        <v>1.5566055219316135</v>
      </c>
      <c r="CB858" s="116">
        <f t="shared" si="19"/>
        <v>1.5815112102825193</v>
      </c>
      <c r="CC858" s="116">
        <f t="shared" si="17"/>
        <v>1.6099784120676046</v>
      </c>
      <c r="CD858" s="116">
        <f t="shared" si="17"/>
        <v>1.7097970736157961</v>
      </c>
      <c r="CE858" s="116">
        <f t="shared" si="17"/>
        <v>1.84658083950506</v>
      </c>
      <c r="CF858" s="116">
        <f t="shared" si="16"/>
        <v>1.8982851030112018</v>
      </c>
      <c r="CG858" s="116">
        <f t="shared" si="16"/>
        <v>1.9704199369256274</v>
      </c>
    </row>
    <row r="859" spans="1:85">
      <c r="A859" s="3"/>
      <c r="B859" s="114">
        <v>1998</v>
      </c>
      <c r="C859" s="3"/>
      <c r="D859" s="3"/>
      <c r="E859" s="117"/>
      <c r="F859" s="117"/>
      <c r="G859" s="117"/>
      <c r="H859" s="117"/>
      <c r="I859" s="117"/>
      <c r="J859" s="117"/>
      <c r="K859" s="117"/>
      <c r="L859" s="117"/>
      <c r="M859" s="117"/>
      <c r="N859" s="117"/>
      <c r="O859" s="117"/>
      <c r="P859" s="117"/>
      <c r="Q859" s="117"/>
      <c r="R859" s="117"/>
      <c r="S859" s="117"/>
      <c r="T859" s="117"/>
      <c r="U859" s="117"/>
      <c r="V859" s="117"/>
      <c r="W859" s="117"/>
      <c r="X859" s="117"/>
      <c r="Y859" s="117"/>
      <c r="Z859" s="117"/>
      <c r="AA859" s="117"/>
      <c r="AB859" s="117"/>
      <c r="AC859" s="117"/>
      <c r="AD859" s="117"/>
      <c r="AE859" s="117"/>
      <c r="AF859" s="117"/>
      <c r="AG859" s="117"/>
      <c r="AH859" s="117"/>
      <c r="AI859" s="117"/>
      <c r="AJ859" s="117"/>
      <c r="AK859" s="117"/>
      <c r="AL859" s="117"/>
      <c r="AM859" s="117"/>
      <c r="AN859" s="117"/>
      <c r="AO859" s="117"/>
      <c r="AP859" s="117"/>
      <c r="AQ859" s="117"/>
      <c r="AR859" s="117"/>
      <c r="AS859" s="117"/>
      <c r="AT859" s="117"/>
      <c r="AU859" s="117"/>
      <c r="AV859" s="117"/>
      <c r="AW859" s="117"/>
      <c r="AX859" s="117"/>
      <c r="AY859" s="117"/>
      <c r="AZ859" s="117"/>
      <c r="BA859" s="117"/>
      <c r="BB859" s="117"/>
      <c r="BC859" s="117"/>
      <c r="BD859" s="117"/>
      <c r="BE859" s="115">
        <v>1</v>
      </c>
      <c r="BF859" s="116">
        <f t="shared" si="18"/>
        <v>1.0169999999999999</v>
      </c>
      <c r="BG859" s="116">
        <f t="shared" si="18"/>
        <v>1.043442</v>
      </c>
      <c r="BH859" s="116">
        <f t="shared" si="18"/>
        <v>1.06952805</v>
      </c>
      <c r="BI859" s="116">
        <f t="shared" si="18"/>
        <v>1.1197958683499998</v>
      </c>
      <c r="BJ859" s="116">
        <f t="shared" si="18"/>
        <v>1.1567491320055496</v>
      </c>
      <c r="BK859" s="116">
        <f t="shared" si="18"/>
        <v>1.1810408637776662</v>
      </c>
      <c r="BL859" s="116">
        <f t="shared" si="18"/>
        <v>1.1940323132792203</v>
      </c>
      <c r="BM859" s="116">
        <f t="shared" si="18"/>
        <v>1.2155248949182462</v>
      </c>
      <c r="BN859" s="116">
        <f t="shared" si="18"/>
        <v>1.2325422434471016</v>
      </c>
      <c r="BO859" s="116">
        <f t="shared" si="18"/>
        <v>1.2461002081250196</v>
      </c>
      <c r="BP859" s="116">
        <f t="shared" si="18"/>
        <v>1.2859754147850204</v>
      </c>
      <c r="BQ859" s="116">
        <f t="shared" si="18"/>
        <v>1.2898333410293754</v>
      </c>
      <c r="BR859" s="116">
        <f t="shared" si="19"/>
        <v>1.3091808411448158</v>
      </c>
      <c r="BS859" s="116">
        <f t="shared" si="19"/>
        <v>1.343219543014581</v>
      </c>
      <c r="BT859" s="116">
        <f t="shared" si="19"/>
        <v>1.3741135925039163</v>
      </c>
      <c r="BU859" s="116">
        <f t="shared" si="19"/>
        <v>1.4125887730940261</v>
      </c>
      <c r="BV859" s="116">
        <f t="shared" si="19"/>
        <v>1.4267146608249663</v>
      </c>
      <c r="BW859" s="116">
        <f t="shared" si="19"/>
        <v>1.4381283781115661</v>
      </c>
      <c r="BX859" s="116">
        <f t="shared" si="19"/>
        <v>1.4410046348677892</v>
      </c>
      <c r="BY859" s="116">
        <f t="shared" si="19"/>
        <v>1.4611786997559382</v>
      </c>
      <c r="BZ859" s="116">
        <f t="shared" si="19"/>
        <v>1.4787128441530095</v>
      </c>
      <c r="CA859" s="116">
        <f t="shared" si="19"/>
        <v>1.5171593781009878</v>
      </c>
      <c r="CB859" s="116">
        <f t="shared" si="19"/>
        <v>1.5414339281506035</v>
      </c>
      <c r="CC859" s="116">
        <f t="shared" si="17"/>
        <v>1.5691797388573143</v>
      </c>
      <c r="CD859" s="116">
        <f t="shared" si="17"/>
        <v>1.666468882666468</v>
      </c>
      <c r="CE859" s="116">
        <f t="shared" si="17"/>
        <v>1.7997863932797855</v>
      </c>
      <c r="CF859" s="116">
        <f t="shared" si="16"/>
        <v>1.8501804122916194</v>
      </c>
      <c r="CG859" s="116">
        <f t="shared" si="16"/>
        <v>1.9204872679587011</v>
      </c>
    </row>
    <row r="860" spans="1:85">
      <c r="A860" s="3"/>
      <c r="B860" s="114">
        <v>1999</v>
      </c>
      <c r="C860" s="3"/>
      <c r="D860" s="3"/>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17"/>
      <c r="BA860" s="117"/>
      <c r="BB860" s="117"/>
      <c r="BC860" s="117"/>
      <c r="BD860" s="117"/>
      <c r="BE860" s="117"/>
      <c r="BF860" s="115">
        <v>1</v>
      </c>
      <c r="BG860" s="116">
        <f t="shared" si="18"/>
        <v>1.026</v>
      </c>
      <c r="BH860" s="116">
        <f t="shared" si="18"/>
        <v>1.05165</v>
      </c>
      <c r="BI860" s="116">
        <f t="shared" si="18"/>
        <v>1.1010775499999998</v>
      </c>
      <c r="BJ860" s="116">
        <f t="shared" si="18"/>
        <v>1.1374131091499997</v>
      </c>
      <c r="BK860" s="116">
        <f t="shared" si="18"/>
        <v>1.1612987844421496</v>
      </c>
      <c r="BL860" s="116">
        <f t="shared" si="18"/>
        <v>1.1740730710710132</v>
      </c>
      <c r="BM860" s="116">
        <f t="shared" si="18"/>
        <v>1.1952063863502915</v>
      </c>
      <c r="BN860" s="116">
        <f t="shared" si="18"/>
        <v>1.2119392757591956</v>
      </c>
      <c r="BO860" s="116">
        <f t="shared" si="18"/>
        <v>1.2252706077925466</v>
      </c>
      <c r="BP860" s="116">
        <f t="shared" si="18"/>
        <v>1.2644792672419081</v>
      </c>
      <c r="BQ860" s="116">
        <f t="shared" si="18"/>
        <v>1.2682727050436338</v>
      </c>
      <c r="BR860" s="116">
        <f t="shared" si="19"/>
        <v>1.2872967956192882</v>
      </c>
      <c r="BS860" s="116">
        <f t="shared" si="19"/>
        <v>1.3207665123053898</v>
      </c>
      <c r="BT860" s="116">
        <f t="shared" si="19"/>
        <v>1.3511441420884136</v>
      </c>
      <c r="BU860" s="116">
        <f t="shared" si="19"/>
        <v>1.3889761780668892</v>
      </c>
      <c r="BV860" s="116">
        <f t="shared" si="19"/>
        <v>1.402865939847558</v>
      </c>
      <c r="BW860" s="116">
        <f t="shared" si="19"/>
        <v>1.4140888673663385</v>
      </c>
      <c r="BX860" s="116">
        <f t="shared" si="19"/>
        <v>1.4169170451010713</v>
      </c>
      <c r="BY860" s="116">
        <f t="shared" si="19"/>
        <v>1.4367538837324862</v>
      </c>
      <c r="BZ860" s="116">
        <f t="shared" si="19"/>
        <v>1.4539949303372761</v>
      </c>
      <c r="CA860" s="116">
        <f t="shared" si="19"/>
        <v>1.4917987985260452</v>
      </c>
      <c r="CB860" s="116">
        <f t="shared" si="19"/>
        <v>1.5156675793024621</v>
      </c>
      <c r="CC860" s="116">
        <f t="shared" si="17"/>
        <v>1.5429495957299064</v>
      </c>
      <c r="CD860" s="116">
        <f t="shared" si="17"/>
        <v>1.6386124706651608</v>
      </c>
      <c r="CE860" s="116">
        <f t="shared" si="17"/>
        <v>1.7697014683183738</v>
      </c>
      <c r="CF860" s="116">
        <f t="shared" si="16"/>
        <v>1.8192531094312883</v>
      </c>
      <c r="CG860" s="116">
        <f t="shared" si="16"/>
        <v>1.8883847275896772</v>
      </c>
    </row>
    <row r="861" spans="1:85">
      <c r="A861" s="3"/>
      <c r="B861" s="114">
        <v>2000</v>
      </c>
      <c r="C861" s="3"/>
      <c r="D861" s="3"/>
      <c r="E861" s="117"/>
      <c r="F861" s="117"/>
      <c r="G861" s="117"/>
      <c r="H861" s="117"/>
      <c r="I861" s="117"/>
      <c r="J861" s="117"/>
      <c r="K861" s="117"/>
      <c r="L861" s="117"/>
      <c r="M861" s="117"/>
      <c r="N861" s="117"/>
      <c r="O861" s="117"/>
      <c r="P861" s="117"/>
      <c r="Q861" s="117"/>
      <c r="R861" s="117"/>
      <c r="S861" s="117"/>
      <c r="T861" s="117"/>
      <c r="U861" s="117"/>
      <c r="V861" s="117"/>
      <c r="W861" s="117"/>
      <c r="X861" s="117"/>
      <c r="Y861" s="117"/>
      <c r="Z861" s="117"/>
      <c r="AA861" s="117"/>
      <c r="AB861" s="117"/>
      <c r="AC861" s="117"/>
      <c r="AD861" s="117"/>
      <c r="AE861" s="117"/>
      <c r="AF861" s="117"/>
      <c r="AG861" s="117"/>
      <c r="AH861" s="117"/>
      <c r="AI861" s="117"/>
      <c r="AJ861" s="117"/>
      <c r="AK861" s="117"/>
      <c r="AL861" s="117"/>
      <c r="AM861" s="117"/>
      <c r="AN861" s="117"/>
      <c r="AO861" s="117"/>
      <c r="AP861" s="117"/>
      <c r="AQ861" s="117"/>
      <c r="AR861" s="117"/>
      <c r="AS861" s="117"/>
      <c r="AT861" s="117"/>
      <c r="AU861" s="117"/>
      <c r="AV861" s="117"/>
      <c r="AW861" s="117"/>
      <c r="AX861" s="117"/>
      <c r="AY861" s="117"/>
      <c r="AZ861" s="117"/>
      <c r="BA861" s="117"/>
      <c r="BB861" s="117"/>
      <c r="BC861" s="117"/>
      <c r="BD861" s="117"/>
      <c r="BE861" s="117"/>
      <c r="BF861" s="117"/>
      <c r="BG861" s="115">
        <v>1</v>
      </c>
      <c r="BH861" s="116">
        <f t="shared" si="18"/>
        <v>1.0249999999999999</v>
      </c>
      <c r="BI861" s="116">
        <f t="shared" si="18"/>
        <v>1.0731749999999998</v>
      </c>
      <c r="BJ861" s="116">
        <f t="shared" si="18"/>
        <v>1.1085897749999998</v>
      </c>
      <c r="BK861" s="116">
        <f t="shared" si="18"/>
        <v>1.1318701602749996</v>
      </c>
      <c r="BL861" s="116">
        <f t="shared" si="18"/>
        <v>1.1443207320380244</v>
      </c>
      <c r="BM861" s="116">
        <f t="shared" si="18"/>
        <v>1.1649185052147089</v>
      </c>
      <c r="BN861" s="116">
        <f t="shared" si="18"/>
        <v>1.1812273642877147</v>
      </c>
      <c r="BO861" s="116">
        <f t="shared" si="18"/>
        <v>1.1942208652948794</v>
      </c>
      <c r="BP861" s="116">
        <f t="shared" si="18"/>
        <v>1.2324359329843155</v>
      </c>
      <c r="BQ861" s="116">
        <f t="shared" si="18"/>
        <v>1.2361332407832684</v>
      </c>
      <c r="BR861" s="116">
        <f t="shared" si="19"/>
        <v>1.2546752393950173</v>
      </c>
      <c r="BS861" s="116">
        <f t="shared" si="19"/>
        <v>1.2872967956192878</v>
      </c>
      <c r="BT861" s="116">
        <f t="shared" si="19"/>
        <v>1.3169046219185312</v>
      </c>
      <c r="BU861" s="116">
        <f t="shared" si="19"/>
        <v>1.3537779513322501</v>
      </c>
      <c r="BV861" s="116">
        <f t="shared" si="19"/>
        <v>1.3673157308455726</v>
      </c>
      <c r="BW861" s="116">
        <f t="shared" si="19"/>
        <v>1.3782542566923373</v>
      </c>
      <c r="BX861" s="116">
        <f t="shared" si="19"/>
        <v>1.381010765205722</v>
      </c>
      <c r="BY861" s="116">
        <f t="shared" si="19"/>
        <v>1.4003449159186021</v>
      </c>
      <c r="BZ861" s="116">
        <f t="shared" si="19"/>
        <v>1.4171490549096253</v>
      </c>
      <c r="CA861" s="116">
        <f t="shared" si="19"/>
        <v>1.4539949303372757</v>
      </c>
      <c r="CB861" s="116">
        <f t="shared" si="19"/>
        <v>1.4772588492226721</v>
      </c>
      <c r="CC861" s="116">
        <f t="shared" si="17"/>
        <v>1.5038495085086803</v>
      </c>
      <c r="CD861" s="116">
        <f t="shared" si="17"/>
        <v>1.5970881780362185</v>
      </c>
      <c r="CE861" s="116">
        <f t="shared" si="17"/>
        <v>1.7248552322791162</v>
      </c>
      <c r="CF861" s="116">
        <f t="shared" si="16"/>
        <v>1.7731511787829315</v>
      </c>
      <c r="CG861" s="116">
        <f t="shared" si="16"/>
        <v>1.8405309235766829</v>
      </c>
    </row>
    <row r="862" spans="1:85">
      <c r="A862" s="3"/>
      <c r="B862" s="114">
        <v>2001</v>
      </c>
      <c r="C862" s="3"/>
      <c r="D862" s="3"/>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17"/>
      <c r="BA862" s="117"/>
      <c r="BB862" s="117"/>
      <c r="BC862" s="117"/>
      <c r="BD862" s="117"/>
      <c r="BE862" s="117"/>
      <c r="BF862" s="117"/>
      <c r="BG862" s="117"/>
      <c r="BH862" s="115">
        <v>1</v>
      </c>
      <c r="BI862" s="116">
        <f t="shared" si="18"/>
        <v>1.0469999999999999</v>
      </c>
      <c r="BJ862" s="116">
        <f t="shared" si="18"/>
        <v>1.0815509999999999</v>
      </c>
      <c r="BK862" s="116">
        <f t="shared" si="18"/>
        <v>1.1042635709999997</v>
      </c>
      <c r="BL862" s="116">
        <f t="shared" si="18"/>
        <v>1.1164104702809996</v>
      </c>
      <c r="BM862" s="116">
        <f t="shared" si="18"/>
        <v>1.1365058587460577</v>
      </c>
      <c r="BN862" s="116">
        <f t="shared" si="18"/>
        <v>1.1524169407685025</v>
      </c>
      <c r="BO862" s="116">
        <f t="shared" si="18"/>
        <v>1.165093527116956</v>
      </c>
      <c r="BP862" s="116">
        <f t="shared" si="18"/>
        <v>1.2023765199846987</v>
      </c>
      <c r="BQ862" s="116">
        <f t="shared" si="18"/>
        <v>1.2059836495446528</v>
      </c>
      <c r="BR862" s="116">
        <f t="shared" si="19"/>
        <v>1.2240734042878225</v>
      </c>
      <c r="BS862" s="116">
        <f t="shared" si="19"/>
        <v>1.2558993127993059</v>
      </c>
      <c r="BT862" s="116">
        <f t="shared" si="19"/>
        <v>1.2847849969936898</v>
      </c>
      <c r="BU862" s="116">
        <f t="shared" si="19"/>
        <v>1.3207589769095132</v>
      </c>
      <c r="BV862" s="116">
        <f t="shared" si="19"/>
        <v>1.3339665666786082</v>
      </c>
      <c r="BW862" s="116">
        <f t="shared" si="19"/>
        <v>1.3446382992120371</v>
      </c>
      <c r="BX862" s="116">
        <f t="shared" si="19"/>
        <v>1.3473275758104613</v>
      </c>
      <c r="BY862" s="116">
        <f t="shared" si="19"/>
        <v>1.3661901618718078</v>
      </c>
      <c r="BZ862" s="116">
        <f t="shared" si="19"/>
        <v>1.3825844438142694</v>
      </c>
      <c r="CA862" s="116">
        <f t="shared" si="19"/>
        <v>1.4185316393534404</v>
      </c>
      <c r="CB862" s="116">
        <f t="shared" si="19"/>
        <v>1.4412281455830955</v>
      </c>
      <c r="CC862" s="116">
        <f t="shared" si="17"/>
        <v>1.4671702522035912</v>
      </c>
      <c r="CD862" s="116">
        <f t="shared" si="17"/>
        <v>1.558134807840214</v>
      </c>
      <c r="CE862" s="116">
        <f t="shared" si="17"/>
        <v>1.6827855924674311</v>
      </c>
      <c r="CF862" s="116">
        <f t="shared" si="16"/>
        <v>1.7299035890565193</v>
      </c>
      <c r="CG862" s="116">
        <f t="shared" si="16"/>
        <v>1.7956399254406672</v>
      </c>
    </row>
    <row r="863" spans="1:85">
      <c r="A863" s="3"/>
      <c r="B863" s="114">
        <v>2002</v>
      </c>
      <c r="C863" s="3"/>
      <c r="D863" s="3"/>
      <c r="E863" s="117"/>
      <c r="F863" s="117"/>
      <c r="G863" s="117"/>
      <c r="H863" s="117"/>
      <c r="I863" s="117"/>
      <c r="J863" s="117"/>
      <c r="K863" s="117"/>
      <c r="L863" s="117"/>
      <c r="M863" s="117"/>
      <c r="N863" s="117"/>
      <c r="O863" s="117"/>
      <c r="P863" s="117"/>
      <c r="Q863" s="117"/>
      <c r="R863" s="117"/>
      <c r="S863" s="117"/>
      <c r="T863" s="117"/>
      <c r="U863" s="117"/>
      <c r="V863" s="117"/>
      <c r="W863" s="117"/>
      <c r="X863" s="117"/>
      <c r="Y863" s="117"/>
      <c r="Z863" s="117"/>
      <c r="AA863" s="117"/>
      <c r="AB863" s="117"/>
      <c r="AC863" s="117"/>
      <c r="AD863" s="117"/>
      <c r="AE863" s="117"/>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17"/>
      <c r="BA863" s="117"/>
      <c r="BB863" s="117"/>
      <c r="BC863" s="117"/>
      <c r="BD863" s="117"/>
      <c r="BE863" s="117"/>
      <c r="BF863" s="117"/>
      <c r="BG863" s="117"/>
      <c r="BH863" s="117"/>
      <c r="BI863" s="115">
        <v>1</v>
      </c>
      <c r="BJ863" s="116">
        <f t="shared" si="18"/>
        <v>1.0329999999999999</v>
      </c>
      <c r="BK863" s="116">
        <f t="shared" si="18"/>
        <v>1.0546929999999999</v>
      </c>
      <c r="BL863" s="116">
        <f t="shared" si="18"/>
        <v>1.0662946229999997</v>
      </c>
      <c r="BM863" s="116">
        <f t="shared" si="18"/>
        <v>1.0854879262139996</v>
      </c>
      <c r="BN863" s="116">
        <f t="shared" si="18"/>
        <v>1.1006847571809957</v>
      </c>
      <c r="BO863" s="116">
        <f t="shared" si="18"/>
        <v>1.1127922895099864</v>
      </c>
      <c r="BP863" s="116">
        <f t="shared" si="18"/>
        <v>1.148401642774306</v>
      </c>
      <c r="BQ863" s="116">
        <f t="shared" si="18"/>
        <v>1.1518468477026289</v>
      </c>
      <c r="BR863" s="116">
        <f t="shared" si="19"/>
        <v>1.1691245504181682</v>
      </c>
      <c r="BS863" s="116">
        <f t="shared" si="19"/>
        <v>1.1995217887290406</v>
      </c>
      <c r="BT863" s="116">
        <f t="shared" si="19"/>
        <v>1.2271107898698084</v>
      </c>
      <c r="BU863" s="116">
        <f t="shared" si="19"/>
        <v>1.2614698919861631</v>
      </c>
      <c r="BV863" s="116">
        <f t="shared" si="19"/>
        <v>1.2740845909060248</v>
      </c>
      <c r="BW863" s="116">
        <f t="shared" si="19"/>
        <v>1.284277267633273</v>
      </c>
      <c r="BX863" s="116">
        <f t="shared" si="19"/>
        <v>1.2868458221685395</v>
      </c>
      <c r="BY863" s="116">
        <f t="shared" si="19"/>
        <v>1.304861663678899</v>
      </c>
      <c r="BZ863" s="116">
        <f t="shared" si="19"/>
        <v>1.3205200036430458</v>
      </c>
      <c r="CA863" s="116">
        <f t="shared" si="19"/>
        <v>1.354853523737765</v>
      </c>
      <c r="CB863" s="116">
        <f t="shared" si="19"/>
        <v>1.3765311801175693</v>
      </c>
      <c r="CC863" s="116">
        <f t="shared" si="17"/>
        <v>1.4013087413596854</v>
      </c>
      <c r="CD863" s="116">
        <f t="shared" si="17"/>
        <v>1.4881898833239859</v>
      </c>
      <c r="CE863" s="116">
        <f t="shared" si="17"/>
        <v>1.6072450739899049</v>
      </c>
      <c r="CF863" s="116">
        <f t="shared" si="16"/>
        <v>1.6522479360616222</v>
      </c>
      <c r="CG863" s="116">
        <f t="shared" si="16"/>
        <v>1.7150333576319639</v>
      </c>
    </row>
    <row r="864" spans="1:85">
      <c r="A864" s="3"/>
      <c r="B864" s="114">
        <v>2003</v>
      </c>
      <c r="C864" s="3"/>
      <c r="D864" s="3"/>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17"/>
      <c r="BA864" s="117"/>
      <c r="BB864" s="117"/>
      <c r="BC864" s="117"/>
      <c r="BD864" s="117"/>
      <c r="BE864" s="117"/>
      <c r="BF864" s="117"/>
      <c r="BG864" s="117"/>
      <c r="BH864" s="117"/>
      <c r="BI864" s="117"/>
      <c r="BJ864" s="115">
        <v>1</v>
      </c>
      <c r="BK864" s="116">
        <f t="shared" si="18"/>
        <v>1.0209999999999999</v>
      </c>
      <c r="BL864" s="116">
        <f t="shared" si="18"/>
        <v>1.0322309999999999</v>
      </c>
      <c r="BM864" s="116">
        <f t="shared" si="18"/>
        <v>1.0508111579999999</v>
      </c>
      <c r="BN864" s="116">
        <f t="shared" si="18"/>
        <v>1.0655225142119999</v>
      </c>
      <c r="BO864" s="116">
        <f t="shared" si="18"/>
        <v>1.0772432618683319</v>
      </c>
      <c r="BP864" s="116">
        <f t="shared" si="18"/>
        <v>1.1117150462481185</v>
      </c>
      <c r="BQ864" s="116">
        <f t="shared" si="18"/>
        <v>1.1150501913868627</v>
      </c>
      <c r="BR864" s="116">
        <f t="shared" si="19"/>
        <v>1.1317759442576656</v>
      </c>
      <c r="BS864" s="116">
        <f t="shared" si="19"/>
        <v>1.161202118808365</v>
      </c>
      <c r="BT864" s="116">
        <f t="shared" si="19"/>
        <v>1.1879097675409573</v>
      </c>
      <c r="BU864" s="116">
        <f t="shared" si="19"/>
        <v>1.2211712410321043</v>
      </c>
      <c r="BV864" s="116">
        <f t="shared" si="19"/>
        <v>1.2333829534424254</v>
      </c>
      <c r="BW864" s="116">
        <f t="shared" si="19"/>
        <v>1.2432500170699647</v>
      </c>
      <c r="BX864" s="116">
        <f t="shared" si="19"/>
        <v>1.2457365171041046</v>
      </c>
      <c r="BY864" s="116">
        <f t="shared" si="19"/>
        <v>1.263176828343562</v>
      </c>
      <c r="BZ864" s="116">
        <f t="shared" si="19"/>
        <v>1.2783349502836847</v>
      </c>
      <c r="CA864" s="116">
        <f t="shared" si="19"/>
        <v>1.3115716589910607</v>
      </c>
      <c r="CB864" s="116">
        <f t="shared" si="19"/>
        <v>1.3325568055349177</v>
      </c>
      <c r="CC864" s="116">
        <f t="shared" si="17"/>
        <v>1.3565428280345462</v>
      </c>
      <c r="CD864" s="116">
        <f t="shared" si="17"/>
        <v>1.440648483372688</v>
      </c>
      <c r="CE864" s="116">
        <f t="shared" si="17"/>
        <v>1.5559003620425031</v>
      </c>
      <c r="CF864" s="116">
        <f t="shared" si="16"/>
        <v>1.5994655721796933</v>
      </c>
      <c r="CG864" s="116">
        <f t="shared" si="16"/>
        <v>1.6602452639225218</v>
      </c>
    </row>
    <row r="865" spans="1:85">
      <c r="A865" s="3"/>
      <c r="B865" s="114">
        <v>2004</v>
      </c>
      <c r="C865" s="3"/>
      <c r="D865" s="3"/>
      <c r="E865" s="117"/>
      <c r="F865" s="117"/>
      <c r="G865" s="117"/>
      <c r="H865" s="117"/>
      <c r="I865" s="117"/>
      <c r="J865" s="117"/>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17"/>
      <c r="BA865" s="117"/>
      <c r="BB865" s="117"/>
      <c r="BC865" s="117"/>
      <c r="BD865" s="117"/>
      <c r="BE865" s="117"/>
      <c r="BF865" s="117"/>
      <c r="BG865" s="117"/>
      <c r="BH865" s="117"/>
      <c r="BI865" s="117"/>
      <c r="BJ865" s="117"/>
      <c r="BK865" s="115">
        <v>1</v>
      </c>
      <c r="BL865" s="116">
        <f t="shared" si="18"/>
        <v>1.0109999999999999</v>
      </c>
      <c r="BM865" s="116">
        <f t="shared" si="18"/>
        <v>1.0291979999999998</v>
      </c>
      <c r="BN865" s="116">
        <f t="shared" si="18"/>
        <v>1.0436067719999997</v>
      </c>
      <c r="BO865" s="116">
        <f t="shared" si="18"/>
        <v>1.0550864464919996</v>
      </c>
      <c r="BP865" s="116">
        <f t="shared" si="18"/>
        <v>1.0888492127797436</v>
      </c>
      <c r="BQ865" s="116">
        <f t="shared" si="18"/>
        <v>1.0921157604180827</v>
      </c>
      <c r="BR865" s="116">
        <f t="shared" si="19"/>
        <v>1.1084974968243537</v>
      </c>
      <c r="BS865" s="116">
        <f t="shared" si="19"/>
        <v>1.137318431741787</v>
      </c>
      <c r="BT865" s="116">
        <f t="shared" si="19"/>
        <v>1.1634767556718479</v>
      </c>
      <c r="BU865" s="116">
        <f t="shared" si="19"/>
        <v>1.1960541048306597</v>
      </c>
      <c r="BV865" s="116">
        <f t="shared" si="19"/>
        <v>1.2080146458789662</v>
      </c>
      <c r="BW865" s="116">
        <f t="shared" si="19"/>
        <v>1.217678763045998</v>
      </c>
      <c r="BX865" s="116">
        <f t="shared" si="19"/>
        <v>1.22011412057209</v>
      </c>
      <c r="BY865" s="116">
        <f t="shared" si="19"/>
        <v>1.2371957182600992</v>
      </c>
      <c r="BZ865" s="116">
        <f t="shared" si="19"/>
        <v>1.2520420668792205</v>
      </c>
      <c r="CA865" s="116">
        <f t="shared" si="19"/>
        <v>1.2845951606180803</v>
      </c>
      <c r="CB865" s="116">
        <f t="shared" si="19"/>
        <v>1.3051486831879697</v>
      </c>
      <c r="CC865" s="116">
        <f t="shared" si="17"/>
        <v>1.3286413594853532</v>
      </c>
      <c r="CD865" s="116">
        <f t="shared" si="17"/>
        <v>1.4110171237734452</v>
      </c>
      <c r="CE865" s="116">
        <f t="shared" si="17"/>
        <v>1.523898493675321</v>
      </c>
      <c r="CF865" s="116">
        <f t="shared" si="16"/>
        <v>1.5665676514982301</v>
      </c>
      <c r="CG865" s="116">
        <f t="shared" si="16"/>
        <v>1.6260972222551628</v>
      </c>
    </row>
    <row r="866" spans="1:85">
      <c r="A866" s="3"/>
      <c r="B866" s="114">
        <v>2005</v>
      </c>
      <c r="C866" s="3"/>
      <c r="D866" s="3"/>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17"/>
      <c r="BA866" s="117"/>
      <c r="BB866" s="117"/>
      <c r="BC866" s="117"/>
      <c r="BD866" s="117"/>
      <c r="BE866" s="117"/>
      <c r="BF866" s="117"/>
      <c r="BG866" s="117"/>
      <c r="BH866" s="117"/>
      <c r="BI866" s="117"/>
      <c r="BJ866" s="117"/>
      <c r="BK866" s="117"/>
      <c r="BL866" s="115">
        <v>1</v>
      </c>
      <c r="BM866" s="116">
        <f t="shared" si="18"/>
        <v>1.018</v>
      </c>
      <c r="BN866" s="116">
        <f t="shared" si="18"/>
        <v>1.0322519999999999</v>
      </c>
      <c r="BO866" s="116">
        <f t="shared" si="18"/>
        <v>1.0436067719999997</v>
      </c>
      <c r="BP866" s="116">
        <f t="shared" si="18"/>
        <v>1.0770021887039998</v>
      </c>
      <c r="BQ866" s="116">
        <f t="shared" si="18"/>
        <v>1.0802331952701116</v>
      </c>
      <c r="BR866" s="116">
        <f t="shared" si="19"/>
        <v>1.0964366931991631</v>
      </c>
      <c r="BS866" s="116">
        <f t="shared" si="19"/>
        <v>1.1249440472223413</v>
      </c>
      <c r="BT866" s="116">
        <f t="shared" si="19"/>
        <v>1.1508177603084551</v>
      </c>
      <c r="BU866" s="116">
        <f t="shared" si="19"/>
        <v>1.1830406575970918</v>
      </c>
      <c r="BV866" s="116">
        <f t="shared" si="19"/>
        <v>1.1948710641730627</v>
      </c>
      <c r="BW866" s="116">
        <f t="shared" si="19"/>
        <v>1.2044300326864472</v>
      </c>
      <c r="BX866" s="116">
        <f t="shared" si="19"/>
        <v>1.2068388927518201</v>
      </c>
      <c r="BY866" s="116">
        <f t="shared" si="19"/>
        <v>1.2237346372503457</v>
      </c>
      <c r="BZ866" s="116">
        <f t="shared" si="19"/>
        <v>1.2384194528973498</v>
      </c>
      <c r="CA866" s="116">
        <f t="shared" si="19"/>
        <v>1.2706183586726809</v>
      </c>
      <c r="CB866" s="116">
        <f t="shared" si="19"/>
        <v>1.2909482524114437</v>
      </c>
      <c r="CC866" s="116">
        <f t="shared" si="17"/>
        <v>1.3141853209548497</v>
      </c>
      <c r="CD866" s="116">
        <f t="shared" si="17"/>
        <v>1.3956648108540506</v>
      </c>
      <c r="CE866" s="116">
        <f t="shared" si="17"/>
        <v>1.5073179957223748</v>
      </c>
      <c r="CF866" s="116">
        <f t="shared" si="16"/>
        <v>1.5495228996026014</v>
      </c>
      <c r="CG866" s="116">
        <f t="shared" si="16"/>
        <v>1.6084047697875004</v>
      </c>
    </row>
    <row r="867" spans="1:85">
      <c r="A867" s="3"/>
      <c r="B867" s="114">
        <v>2006</v>
      </c>
      <c r="C867" s="3"/>
      <c r="D867" s="3"/>
      <c r="E867" s="117"/>
      <c r="F867" s="117"/>
      <c r="G867" s="117"/>
      <c r="H867" s="117"/>
      <c r="I867" s="117"/>
      <c r="J867" s="117"/>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17"/>
      <c r="AN867" s="117"/>
      <c r="AO867" s="117"/>
      <c r="AP867" s="117"/>
      <c r="AQ867" s="117"/>
      <c r="AR867" s="117"/>
      <c r="AS867" s="117"/>
      <c r="AT867" s="117"/>
      <c r="AU867" s="117"/>
      <c r="AV867" s="117"/>
      <c r="AW867" s="117"/>
      <c r="AX867" s="117"/>
      <c r="AY867" s="117"/>
      <c r="AZ867" s="117"/>
      <c r="BA867" s="117"/>
      <c r="BB867" s="117"/>
      <c r="BC867" s="117"/>
      <c r="BD867" s="117"/>
      <c r="BE867" s="117"/>
      <c r="BF867" s="117"/>
      <c r="BG867" s="117"/>
      <c r="BH867" s="117"/>
      <c r="BI867" s="117"/>
      <c r="BJ867" s="117"/>
      <c r="BK867" s="117"/>
      <c r="BL867" s="117"/>
      <c r="BM867" s="115">
        <v>1</v>
      </c>
      <c r="BN867" s="116">
        <f t="shared" si="18"/>
        <v>1.014</v>
      </c>
      <c r="BO867" s="116">
        <f t="shared" si="18"/>
        <v>1.0251539999999999</v>
      </c>
      <c r="BP867" s="116">
        <f t="shared" si="18"/>
        <v>1.0579589279999999</v>
      </c>
      <c r="BQ867" s="116">
        <f t="shared" si="18"/>
        <v>1.0611328047839999</v>
      </c>
      <c r="BR867" s="116">
        <f t="shared" si="19"/>
        <v>1.0770497968557597</v>
      </c>
      <c r="BS867" s="116">
        <f t="shared" si="19"/>
        <v>1.1050530915740095</v>
      </c>
      <c r="BT867" s="116">
        <f t="shared" si="19"/>
        <v>1.1304693126802117</v>
      </c>
      <c r="BU867" s="116">
        <f t="shared" si="19"/>
        <v>1.1621224534352577</v>
      </c>
      <c r="BV867" s="116">
        <f t="shared" si="19"/>
        <v>1.1737436779696102</v>
      </c>
      <c r="BW867" s="116">
        <f t="shared" si="19"/>
        <v>1.183133627393367</v>
      </c>
      <c r="BX867" s="116">
        <f t="shared" si="19"/>
        <v>1.1854998946481539</v>
      </c>
      <c r="BY867" s="116">
        <f t="shared" si="19"/>
        <v>1.2020968931732281</v>
      </c>
      <c r="BZ867" s="116">
        <f t="shared" si="19"/>
        <v>1.2165220558913068</v>
      </c>
      <c r="CA867" s="116">
        <f t="shared" si="19"/>
        <v>1.2481516293444808</v>
      </c>
      <c r="CB867" s="116">
        <f t="shared" si="19"/>
        <v>1.2681220554139925</v>
      </c>
      <c r="CC867" s="116">
        <f t="shared" si="17"/>
        <v>1.2909482524114444</v>
      </c>
      <c r="CD867" s="116">
        <f t="shared" si="17"/>
        <v>1.370987044060954</v>
      </c>
      <c r="CE867" s="116">
        <f t="shared" si="17"/>
        <v>1.4806660075858304</v>
      </c>
      <c r="CF867" s="116">
        <f t="shared" si="16"/>
        <v>1.5221246557982337</v>
      </c>
      <c r="CG867" s="116">
        <f t="shared" si="16"/>
        <v>1.5799653927185666</v>
      </c>
    </row>
    <row r="868" spans="1:85">
      <c r="A868" s="3"/>
      <c r="B868" s="114">
        <v>2007</v>
      </c>
      <c r="C868" s="3"/>
      <c r="D868" s="3"/>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17"/>
      <c r="BA868" s="117"/>
      <c r="BB868" s="117"/>
      <c r="BC868" s="117"/>
      <c r="BD868" s="117"/>
      <c r="BE868" s="117"/>
      <c r="BF868" s="117"/>
      <c r="BG868" s="117"/>
      <c r="BH868" s="117"/>
      <c r="BI868" s="117"/>
      <c r="BJ868" s="117"/>
      <c r="BK868" s="117"/>
      <c r="BL868" s="117"/>
      <c r="BM868" s="117"/>
      <c r="BN868" s="115">
        <v>1</v>
      </c>
      <c r="BO868" s="116">
        <f t="shared" si="18"/>
        <v>1.0109999999999999</v>
      </c>
      <c r="BP868" s="116">
        <f t="shared" si="18"/>
        <v>1.0433519999999998</v>
      </c>
      <c r="BQ868" s="116">
        <f t="shared" si="18"/>
        <v>1.0464820559999997</v>
      </c>
      <c r="BR868" s="116">
        <f t="shared" si="19"/>
        <v>1.0621792868399995</v>
      </c>
      <c r="BS868" s="116">
        <f t="shared" si="19"/>
        <v>1.0897959482978394</v>
      </c>
      <c r="BT868" s="116">
        <f t="shared" si="19"/>
        <v>1.1148612551086896</v>
      </c>
      <c r="BU868" s="116">
        <f t="shared" si="19"/>
        <v>1.1460773702517328</v>
      </c>
      <c r="BV868" s="116">
        <f t="shared" si="19"/>
        <v>1.1575381439542503</v>
      </c>
      <c r="BW868" s="116">
        <f t="shared" si="19"/>
        <v>1.1667984491058843</v>
      </c>
      <c r="BX868" s="116">
        <f t="shared" si="19"/>
        <v>1.1691320460040959</v>
      </c>
      <c r="BY868" s="116">
        <f t="shared" si="19"/>
        <v>1.1854998946481532</v>
      </c>
      <c r="BZ868" s="116">
        <f t="shared" si="19"/>
        <v>1.199725893383931</v>
      </c>
      <c r="CA868" s="116">
        <f t="shared" si="19"/>
        <v>1.2309187666119132</v>
      </c>
      <c r="CB868" s="116">
        <f t="shared" si="19"/>
        <v>1.2506134668777038</v>
      </c>
      <c r="CC868" s="116">
        <f t="shared" si="17"/>
        <v>1.2731245092815024</v>
      </c>
      <c r="CD868" s="116">
        <f t="shared" si="17"/>
        <v>1.3520582288569556</v>
      </c>
      <c r="CE868" s="116">
        <f t="shared" si="17"/>
        <v>1.4602228871655121</v>
      </c>
      <c r="CF868" s="116">
        <f t="shared" si="16"/>
        <v>1.5011091280061464</v>
      </c>
      <c r="CG868" s="116">
        <f t="shared" si="16"/>
        <v>1.5581512748703801</v>
      </c>
    </row>
    <row r="869" spans="1:85">
      <c r="A869" s="3"/>
      <c r="B869" s="114">
        <v>2008</v>
      </c>
      <c r="C869" s="3"/>
      <c r="D869" s="3"/>
      <c r="E869" s="117"/>
      <c r="F869" s="117"/>
      <c r="G869" s="117"/>
      <c r="H869" s="117"/>
      <c r="I869" s="117"/>
      <c r="J869" s="117"/>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17"/>
      <c r="AN869" s="117"/>
      <c r="AO869" s="117"/>
      <c r="AP869" s="117"/>
      <c r="AQ869" s="117"/>
      <c r="AR869" s="117"/>
      <c r="AS869" s="117"/>
      <c r="AT869" s="117"/>
      <c r="AU869" s="117"/>
      <c r="AV869" s="117"/>
      <c r="AW869" s="117"/>
      <c r="AX869" s="117"/>
      <c r="AY869" s="117"/>
      <c r="AZ869" s="117"/>
      <c r="BA869" s="117"/>
      <c r="BB869" s="117"/>
      <c r="BC869" s="117"/>
      <c r="BD869" s="117"/>
      <c r="BE869" s="117"/>
      <c r="BF869" s="117"/>
      <c r="BG869" s="117"/>
      <c r="BH869" s="117"/>
      <c r="BI869" s="117"/>
      <c r="BJ869" s="117"/>
      <c r="BK869" s="117"/>
      <c r="BL869" s="117"/>
      <c r="BM869" s="117"/>
      <c r="BN869" s="117"/>
      <c r="BO869" s="115">
        <v>1</v>
      </c>
      <c r="BP869" s="116">
        <f t="shared" si="18"/>
        <v>1.032</v>
      </c>
      <c r="BQ869" s="116">
        <f t="shared" si="18"/>
        <v>1.035096</v>
      </c>
      <c r="BR869" s="116">
        <f t="shared" si="19"/>
        <v>1.0506224399999999</v>
      </c>
      <c r="BS869" s="116">
        <f t="shared" si="19"/>
        <v>1.0779386234399999</v>
      </c>
      <c r="BT869" s="116">
        <f t="shared" si="19"/>
        <v>1.1027312117791197</v>
      </c>
      <c r="BU869" s="116">
        <f t="shared" si="19"/>
        <v>1.133607685708935</v>
      </c>
      <c r="BV869" s="116">
        <f t="shared" si="19"/>
        <v>1.1449437625660244</v>
      </c>
      <c r="BW869" s="116">
        <f t="shared" si="19"/>
        <v>1.1541033126665525</v>
      </c>
      <c r="BX869" s="116">
        <f t="shared" si="19"/>
        <v>1.1564115192918856</v>
      </c>
      <c r="BY869" s="116">
        <f t="shared" si="19"/>
        <v>1.1726012805619719</v>
      </c>
      <c r="BZ869" s="116">
        <f t="shared" si="19"/>
        <v>1.1866724959287156</v>
      </c>
      <c r="CA869" s="116">
        <f t="shared" si="19"/>
        <v>1.2175259808228622</v>
      </c>
      <c r="CB869" s="116">
        <f t="shared" si="19"/>
        <v>1.2370063965160281</v>
      </c>
      <c r="CC869" s="116">
        <f t="shared" si="17"/>
        <v>1.2592725116533166</v>
      </c>
      <c r="CD869" s="116">
        <f t="shared" si="17"/>
        <v>1.3373474073758223</v>
      </c>
      <c r="CE869" s="116">
        <f t="shared" si="17"/>
        <v>1.4443351999658882</v>
      </c>
      <c r="CF869" s="116">
        <f t="shared" si="16"/>
        <v>1.4847765855649331</v>
      </c>
      <c r="CG869" s="116">
        <f t="shared" si="16"/>
        <v>1.5411980958164007</v>
      </c>
    </row>
    <row r="870" spans="1:85">
      <c r="A870" s="3"/>
      <c r="B870" s="114">
        <v>2009</v>
      </c>
      <c r="C870" s="3"/>
      <c r="D870" s="3"/>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17"/>
      <c r="BA870" s="117"/>
      <c r="BB870" s="117"/>
      <c r="BC870" s="117"/>
      <c r="BD870" s="117"/>
      <c r="BE870" s="117"/>
      <c r="BF870" s="117"/>
      <c r="BG870" s="117"/>
      <c r="BH870" s="117"/>
      <c r="BI870" s="117"/>
      <c r="BJ870" s="117"/>
      <c r="BK870" s="117"/>
      <c r="BL870" s="117"/>
      <c r="BM870" s="117"/>
      <c r="BN870" s="117"/>
      <c r="BO870" s="117"/>
      <c r="BP870" s="115">
        <v>1</v>
      </c>
      <c r="BQ870" s="116">
        <f t="shared" si="18"/>
        <v>1.0029999999999999</v>
      </c>
      <c r="BR870" s="116">
        <f t="shared" si="19"/>
        <v>1.0180449999999999</v>
      </c>
      <c r="BS870" s="116">
        <f t="shared" si="19"/>
        <v>1.0445141699999998</v>
      </c>
      <c r="BT870" s="116">
        <f t="shared" si="19"/>
        <v>1.0685379959099996</v>
      </c>
      <c r="BU870" s="116">
        <f t="shared" si="19"/>
        <v>1.0984570597954797</v>
      </c>
      <c r="BV870" s="116">
        <f t="shared" si="19"/>
        <v>1.1094416303934345</v>
      </c>
      <c r="BW870" s="116">
        <f t="shared" si="19"/>
        <v>1.1183171634365821</v>
      </c>
      <c r="BX870" s="116">
        <f t="shared" si="19"/>
        <v>1.1205537977634552</v>
      </c>
      <c r="BY870" s="116">
        <f t="shared" si="19"/>
        <v>1.1362415509321435</v>
      </c>
      <c r="BZ870" s="116">
        <f t="shared" si="19"/>
        <v>1.1498764495433293</v>
      </c>
      <c r="CA870" s="116">
        <f t="shared" si="19"/>
        <v>1.179773237231456</v>
      </c>
      <c r="CB870" s="116">
        <f t="shared" si="19"/>
        <v>1.1986496090271592</v>
      </c>
      <c r="CC870" s="116">
        <f t="shared" si="17"/>
        <v>1.2202253019896481</v>
      </c>
      <c r="CD870" s="116">
        <f t="shared" si="17"/>
        <v>1.2958792707130062</v>
      </c>
      <c r="CE870" s="116">
        <f t="shared" si="17"/>
        <v>1.3995496123700468</v>
      </c>
      <c r="CF870" s="116">
        <f t="shared" si="16"/>
        <v>1.4387370015164083</v>
      </c>
      <c r="CG870" s="116">
        <f t="shared" si="16"/>
        <v>1.4934090075740318</v>
      </c>
    </row>
    <row r="871" spans="1:85">
      <c r="A871" s="3"/>
      <c r="B871" s="114">
        <v>2010</v>
      </c>
      <c r="C871" s="3"/>
      <c r="D871" s="3"/>
      <c r="E871" s="117"/>
      <c r="F871" s="117"/>
      <c r="G871" s="117"/>
      <c r="H871" s="117"/>
      <c r="I871" s="117"/>
      <c r="J871" s="117"/>
      <c r="K871" s="117"/>
      <c r="L871" s="117"/>
      <c r="M871" s="117"/>
      <c r="N871" s="117"/>
      <c r="O871" s="117"/>
      <c r="P871" s="117"/>
      <c r="Q871" s="117"/>
      <c r="R871" s="117"/>
      <c r="S871" s="117"/>
      <c r="T871" s="117"/>
      <c r="U871" s="117"/>
      <c r="V871" s="117"/>
      <c r="W871" s="117"/>
      <c r="X871" s="117"/>
      <c r="Y871" s="117"/>
      <c r="Z871" s="117"/>
      <c r="AA871" s="117"/>
      <c r="AB871" s="117"/>
      <c r="AC871" s="117"/>
      <c r="AD871" s="117"/>
      <c r="AE871" s="117"/>
      <c r="AF871" s="117"/>
      <c r="AG871" s="117"/>
      <c r="AH871" s="117"/>
      <c r="AI871" s="117"/>
      <c r="AJ871" s="117"/>
      <c r="AK871" s="117"/>
      <c r="AL871" s="117"/>
      <c r="AM871" s="117"/>
      <c r="AN871" s="117"/>
      <c r="AO871" s="117"/>
      <c r="AP871" s="117"/>
      <c r="AQ871" s="117"/>
      <c r="AR871" s="117"/>
      <c r="AS871" s="117"/>
      <c r="AT871" s="117"/>
      <c r="AU871" s="117"/>
      <c r="AV871" s="117"/>
      <c r="AW871" s="117"/>
      <c r="AX871" s="117"/>
      <c r="AY871" s="117"/>
      <c r="AZ871" s="117"/>
      <c r="BA871" s="117"/>
      <c r="BB871" s="117"/>
      <c r="BC871" s="117"/>
      <c r="BD871" s="117"/>
      <c r="BE871" s="117"/>
      <c r="BF871" s="117"/>
      <c r="BG871" s="117"/>
      <c r="BH871" s="117"/>
      <c r="BI871" s="117"/>
      <c r="BJ871" s="117"/>
      <c r="BK871" s="117"/>
      <c r="BL871" s="117"/>
      <c r="BM871" s="117"/>
      <c r="BN871" s="117"/>
      <c r="BO871" s="117"/>
      <c r="BP871" s="117"/>
      <c r="BQ871" s="115">
        <v>1</v>
      </c>
      <c r="BR871" s="116">
        <f t="shared" si="19"/>
        <v>1.0149999999999999</v>
      </c>
      <c r="BS871" s="116">
        <f t="shared" si="19"/>
        <v>1.0413899999999998</v>
      </c>
      <c r="BT871" s="116">
        <f t="shared" si="19"/>
        <v>1.0653419699999997</v>
      </c>
      <c r="BU871" s="116">
        <f t="shared" si="19"/>
        <v>1.0951715451599997</v>
      </c>
      <c r="BV871" s="116">
        <f t="shared" si="19"/>
        <v>1.1061232606115996</v>
      </c>
      <c r="BW871" s="116">
        <f t="shared" si="19"/>
        <v>1.1149722466964924</v>
      </c>
      <c r="BX871" s="116">
        <f t="shared" si="19"/>
        <v>1.1172021911898855</v>
      </c>
      <c r="BY871" s="116">
        <f t="shared" si="19"/>
        <v>1.132843021866544</v>
      </c>
      <c r="BZ871" s="116">
        <f t="shared" si="19"/>
        <v>1.1464371381289424</v>
      </c>
      <c r="CA871" s="116">
        <f t="shared" si="19"/>
        <v>1.1762445037202949</v>
      </c>
      <c r="CB871" s="116">
        <f t="shared" si="19"/>
        <v>1.1950644157798196</v>
      </c>
      <c r="CC871" s="116">
        <f t="shared" si="17"/>
        <v>1.2165755752638563</v>
      </c>
      <c r="CD871" s="116">
        <f t="shared" si="17"/>
        <v>1.2920032609302154</v>
      </c>
      <c r="CE871" s="116">
        <f t="shared" si="17"/>
        <v>1.3953635218046327</v>
      </c>
      <c r="CF871" s="116">
        <f t="shared" si="17"/>
        <v>1.4344337004151626</v>
      </c>
      <c r="CG871" s="116">
        <f t="shared" si="17"/>
        <v>1.4889421810309389</v>
      </c>
    </row>
    <row r="872" spans="1:85">
      <c r="A872" s="3"/>
      <c r="B872" s="114">
        <v>2011</v>
      </c>
      <c r="C872" s="3"/>
      <c r="D872" s="3"/>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17"/>
      <c r="BA872" s="117"/>
      <c r="BB872" s="117"/>
      <c r="BC872" s="117"/>
      <c r="BD872" s="117"/>
      <c r="BE872" s="117"/>
      <c r="BF872" s="117"/>
      <c r="BG872" s="117"/>
      <c r="BH872" s="117"/>
      <c r="BI872" s="117"/>
      <c r="BJ872" s="117"/>
      <c r="BK872" s="117"/>
      <c r="BL872" s="117"/>
      <c r="BM872" s="117"/>
      <c r="BN872" s="117"/>
      <c r="BO872" s="117"/>
      <c r="BP872" s="117"/>
      <c r="BQ872" s="117"/>
      <c r="BR872" s="115">
        <v>1</v>
      </c>
      <c r="BS872" s="116">
        <f t="shared" si="19"/>
        <v>1.026</v>
      </c>
      <c r="BT872" s="116">
        <f t="shared" si="19"/>
        <v>1.049598</v>
      </c>
      <c r="BU872" s="116">
        <f t="shared" si="19"/>
        <v>1.0789867440000001</v>
      </c>
      <c r="BV872" s="116">
        <f t="shared" si="19"/>
        <v>1.08977661144</v>
      </c>
      <c r="BW872" s="116">
        <f t="shared" si="19"/>
        <v>1.09849482433152</v>
      </c>
      <c r="BX872" s="116">
        <f t="shared" si="19"/>
        <v>1.1006918139801831</v>
      </c>
      <c r="BY872" s="116">
        <f t="shared" si="19"/>
        <v>1.1161014993759057</v>
      </c>
      <c r="BZ872" s="116">
        <f t="shared" si="19"/>
        <v>1.1294947173684167</v>
      </c>
      <c r="CA872" s="116">
        <f t="shared" si="19"/>
        <v>1.1588615800199955</v>
      </c>
      <c r="CB872" s="116">
        <f t="shared" si="19"/>
        <v>1.1774033653003155</v>
      </c>
      <c r="CC872" s="116">
        <f t="shared" si="17"/>
        <v>1.1985966258757212</v>
      </c>
      <c r="CD872" s="116">
        <f t="shared" si="17"/>
        <v>1.272909616680016</v>
      </c>
      <c r="CE872" s="116">
        <f t="shared" si="17"/>
        <v>1.3747423860144175</v>
      </c>
      <c r="CF872" s="116">
        <f t="shared" si="17"/>
        <v>1.4132351728228212</v>
      </c>
      <c r="CG872" s="116">
        <f t="shared" si="17"/>
        <v>1.4669381093900884</v>
      </c>
    </row>
    <row r="873" spans="1:85">
      <c r="A873" s="3"/>
      <c r="B873" s="114">
        <v>2012</v>
      </c>
      <c r="C873" s="3"/>
      <c r="D873" s="3"/>
      <c r="E873" s="117"/>
      <c r="F873" s="117"/>
      <c r="G873" s="117"/>
      <c r="H873" s="117"/>
      <c r="I873" s="117"/>
      <c r="J873" s="117"/>
      <c r="K873" s="117"/>
      <c r="L873" s="117"/>
      <c r="M873" s="117"/>
      <c r="N873" s="117"/>
      <c r="O873" s="117"/>
      <c r="P873" s="117"/>
      <c r="Q873" s="117"/>
      <c r="R873" s="117"/>
      <c r="S873" s="117"/>
      <c r="T873" s="117"/>
      <c r="U873" s="117"/>
      <c r="V873" s="117"/>
      <c r="W873" s="117"/>
      <c r="X873" s="117"/>
      <c r="Y873" s="117"/>
      <c r="Z873" s="117"/>
      <c r="AA873" s="117"/>
      <c r="AB873" s="117"/>
      <c r="AC873" s="117"/>
      <c r="AD873" s="117"/>
      <c r="AE873" s="117"/>
      <c r="AF873" s="117"/>
      <c r="AG873" s="117"/>
      <c r="AH873" s="117"/>
      <c r="AI873" s="117"/>
      <c r="AJ873" s="117"/>
      <c r="AK873" s="117"/>
      <c r="AL873" s="117"/>
      <c r="AM873" s="117"/>
      <c r="AN873" s="117"/>
      <c r="AO873" s="117"/>
      <c r="AP873" s="117"/>
      <c r="AQ873" s="117"/>
      <c r="AR873" s="117"/>
      <c r="AS873" s="117"/>
      <c r="AT873" s="117"/>
      <c r="AU873" s="117"/>
      <c r="AV873" s="117"/>
      <c r="AW873" s="117"/>
      <c r="AX873" s="117"/>
      <c r="AY873" s="117"/>
      <c r="AZ873" s="117"/>
      <c r="BA873" s="117"/>
      <c r="BB873" s="117"/>
      <c r="BC873" s="117"/>
      <c r="BD873" s="117"/>
      <c r="BE873" s="117"/>
      <c r="BF873" s="117"/>
      <c r="BG873" s="117"/>
      <c r="BH873" s="117"/>
      <c r="BI873" s="117"/>
      <c r="BJ873" s="117"/>
      <c r="BK873" s="117"/>
      <c r="BL873" s="117"/>
      <c r="BM873" s="117"/>
      <c r="BN873" s="117"/>
      <c r="BO873" s="117"/>
      <c r="BP873" s="117"/>
      <c r="BQ873" s="117"/>
      <c r="BR873" s="117"/>
      <c r="BS873" s="115">
        <v>1</v>
      </c>
      <c r="BT873" s="116">
        <f t="shared" si="19"/>
        <v>1.0229999999999999</v>
      </c>
      <c r="BU873" s="116">
        <f t="shared" si="19"/>
        <v>1.051644</v>
      </c>
      <c r="BV873" s="116">
        <f t="shared" si="19"/>
        <v>1.06216044</v>
      </c>
      <c r="BW873" s="116">
        <f t="shared" si="19"/>
        <v>1.0706577235199999</v>
      </c>
      <c r="BX873" s="116">
        <f t="shared" si="19"/>
        <v>1.0727990389670399</v>
      </c>
      <c r="BY873" s="116">
        <f t="shared" si="19"/>
        <v>1.0878182255125783</v>
      </c>
      <c r="BZ873" s="116">
        <f t="shared" si="19"/>
        <v>1.1008720442187292</v>
      </c>
      <c r="CA873" s="116">
        <f t="shared" si="19"/>
        <v>1.1294947173684162</v>
      </c>
      <c r="CB873" s="116">
        <f t="shared" si="19"/>
        <v>1.147566632846311</v>
      </c>
      <c r="CC873" s="116">
        <f t="shared" si="17"/>
        <v>1.1682228322375445</v>
      </c>
      <c r="CD873" s="116">
        <f t="shared" si="17"/>
        <v>1.2406526478362723</v>
      </c>
      <c r="CE873" s="116">
        <f t="shared" si="17"/>
        <v>1.3399048596631742</v>
      </c>
      <c r="CF873" s="116">
        <f t="shared" si="17"/>
        <v>1.3774221957337431</v>
      </c>
      <c r="CG873" s="116">
        <f t="shared" si="17"/>
        <v>1.4297642391716254</v>
      </c>
    </row>
    <row r="874" spans="1:85">
      <c r="A874" s="3"/>
      <c r="B874" s="114">
        <v>2013</v>
      </c>
      <c r="C874" s="3"/>
      <c r="D874" s="3"/>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17"/>
      <c r="BA874" s="117"/>
      <c r="BB874" s="117"/>
      <c r="BC874" s="117"/>
      <c r="BD874" s="117"/>
      <c r="BE874" s="117"/>
      <c r="BF874" s="117"/>
      <c r="BG874" s="117"/>
      <c r="BH874" s="117"/>
      <c r="BI874" s="117"/>
      <c r="BJ874" s="117"/>
      <c r="BK874" s="117"/>
      <c r="BL874" s="117"/>
      <c r="BM874" s="117"/>
      <c r="BN874" s="117"/>
      <c r="BO874" s="117"/>
      <c r="BP874" s="117"/>
      <c r="BQ874" s="117"/>
      <c r="BR874" s="117"/>
      <c r="BS874" s="117"/>
      <c r="BT874" s="115">
        <v>1</v>
      </c>
      <c r="BU874" s="116">
        <f t="shared" si="19"/>
        <v>1.028</v>
      </c>
      <c r="BV874" s="116">
        <f t="shared" si="19"/>
        <v>1.0382800000000001</v>
      </c>
      <c r="BW874" s="116">
        <f t="shared" si="19"/>
        <v>1.0465862400000001</v>
      </c>
      <c r="BX874" s="116">
        <f t="shared" si="19"/>
        <v>1.0486794124800001</v>
      </c>
      <c r="BY874" s="116">
        <f t="shared" si="19"/>
        <v>1.0633609242547202</v>
      </c>
      <c r="BZ874" s="116">
        <f t="shared" si="19"/>
        <v>1.0761212553457769</v>
      </c>
      <c r="CA874" s="116">
        <f t="shared" si="19"/>
        <v>1.1041004079847672</v>
      </c>
      <c r="CB874" s="116">
        <f t="shared" si="19"/>
        <v>1.1217660145125234</v>
      </c>
      <c r="CC874" s="116">
        <f t="shared" si="17"/>
        <v>1.1419578027737489</v>
      </c>
      <c r="CD874" s="116">
        <f t="shared" si="17"/>
        <v>1.2127591865457215</v>
      </c>
      <c r="CE874" s="116">
        <f t="shared" si="17"/>
        <v>1.3097799214693793</v>
      </c>
      <c r="CF874" s="116">
        <f t="shared" si="17"/>
        <v>1.3464537592705219</v>
      </c>
      <c r="CG874" s="116">
        <f t="shared" si="17"/>
        <v>1.3976190021228019</v>
      </c>
    </row>
    <row r="875" spans="1:85">
      <c r="A875" s="3"/>
      <c r="B875" s="114">
        <v>2014</v>
      </c>
      <c r="C875" s="3"/>
      <c r="D875" s="3"/>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17"/>
      <c r="BA875" s="117"/>
      <c r="BB875" s="117"/>
      <c r="BC875" s="117"/>
      <c r="BD875" s="117"/>
      <c r="BE875" s="117"/>
      <c r="BF875" s="117"/>
      <c r="BG875" s="117"/>
      <c r="BH875" s="117"/>
      <c r="BI875" s="117"/>
      <c r="BJ875" s="117"/>
      <c r="BK875" s="117"/>
      <c r="BL875" s="117"/>
      <c r="BM875" s="117"/>
      <c r="BN875" s="117"/>
      <c r="BO875" s="117"/>
      <c r="BP875" s="117"/>
      <c r="BQ875" s="117"/>
      <c r="BR875" s="117"/>
      <c r="BS875" s="117"/>
      <c r="BT875" s="117"/>
      <c r="BU875" s="115">
        <v>1</v>
      </c>
      <c r="BV875" s="116">
        <f t="shared" si="19"/>
        <v>1.01</v>
      </c>
      <c r="BW875" s="116">
        <f t="shared" si="19"/>
        <v>1.0180800000000001</v>
      </c>
      <c r="BX875" s="116">
        <f t="shared" si="19"/>
        <v>1.0201161600000002</v>
      </c>
      <c r="BY875" s="116">
        <f t="shared" si="19"/>
        <v>1.0343977862400002</v>
      </c>
      <c r="BZ875" s="116">
        <f t="shared" si="19"/>
        <v>1.0468105596748802</v>
      </c>
      <c r="CA875" s="116">
        <f t="shared" si="19"/>
        <v>1.0740276342264272</v>
      </c>
      <c r="CB875" s="116">
        <f t="shared" si="19"/>
        <v>1.09121207637405</v>
      </c>
      <c r="CC875" s="116">
        <f t="shared" si="17"/>
        <v>1.1108538937487831</v>
      </c>
      <c r="CD875" s="116">
        <f t="shared" si="17"/>
        <v>1.1797268351612076</v>
      </c>
      <c r="CE875" s="116">
        <f t="shared" si="17"/>
        <v>1.2741049819741042</v>
      </c>
      <c r="CF875" s="116">
        <f t="shared" si="17"/>
        <v>1.309779921469379</v>
      </c>
      <c r="CG875" s="116">
        <f t="shared" si="17"/>
        <v>1.3595515584852156</v>
      </c>
    </row>
    <row r="876" spans="1:85">
      <c r="A876" s="3"/>
      <c r="B876" s="114">
        <v>2015</v>
      </c>
      <c r="C876" s="3"/>
      <c r="D876" s="3"/>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17"/>
      <c r="BA876" s="117"/>
      <c r="BB876" s="117"/>
      <c r="BC876" s="117"/>
      <c r="BD876" s="117"/>
      <c r="BE876" s="117"/>
      <c r="BF876" s="117"/>
      <c r="BG876" s="117"/>
      <c r="BH876" s="117"/>
      <c r="BI876" s="117"/>
      <c r="BJ876" s="117"/>
      <c r="BK876" s="117"/>
      <c r="BL876" s="117"/>
      <c r="BM876" s="117"/>
      <c r="BN876" s="117"/>
      <c r="BO876" s="117"/>
      <c r="BP876" s="117"/>
      <c r="BQ876" s="117"/>
      <c r="BR876" s="117"/>
      <c r="BS876" s="117"/>
      <c r="BT876" s="117"/>
      <c r="BU876" s="117"/>
      <c r="BV876" s="115">
        <v>1</v>
      </c>
      <c r="BW876" s="116">
        <f t="shared" si="19"/>
        <v>1.008</v>
      </c>
      <c r="BX876" s="116">
        <f t="shared" si="19"/>
        <v>1.010016</v>
      </c>
      <c r="BY876" s="116">
        <f t="shared" si="19"/>
        <v>1.0241562239999999</v>
      </c>
      <c r="BZ876" s="116">
        <f t="shared" si="19"/>
        <v>1.036446098688</v>
      </c>
      <c r="CA876" s="116">
        <f t="shared" si="19"/>
        <v>1.063393697253888</v>
      </c>
      <c r="CB876" s="116">
        <f t="shared" si="19"/>
        <v>1.0804079964099502</v>
      </c>
      <c r="CC876" s="116">
        <f t="shared" si="17"/>
        <v>1.0998553403453293</v>
      </c>
      <c r="CD876" s="116">
        <f t="shared" si="17"/>
        <v>1.1680463714467397</v>
      </c>
      <c r="CE876" s="116">
        <f t="shared" si="17"/>
        <v>1.261490081162479</v>
      </c>
      <c r="CF876" s="116">
        <f t="shared" si="17"/>
        <v>1.2968118034350284</v>
      </c>
      <c r="CG876" s="116">
        <f t="shared" si="17"/>
        <v>1.3460906519655595</v>
      </c>
    </row>
    <row r="877" spans="1:85">
      <c r="A877" s="3"/>
      <c r="B877" s="114">
        <v>2016</v>
      </c>
      <c r="C877" s="3"/>
      <c r="D877" s="3"/>
      <c r="E877" s="117"/>
      <c r="F877" s="117"/>
      <c r="G877" s="117"/>
      <c r="H877" s="117"/>
      <c r="I877" s="117"/>
      <c r="J877" s="117"/>
      <c r="K877" s="117"/>
      <c r="L877" s="117"/>
      <c r="M877" s="117"/>
      <c r="N877" s="117"/>
      <c r="O877" s="117"/>
      <c r="P877" s="117"/>
      <c r="Q877" s="117"/>
      <c r="R877" s="117"/>
      <c r="S877" s="117"/>
      <c r="T877" s="117"/>
      <c r="U877" s="117"/>
      <c r="V877" s="117"/>
      <c r="W877" s="117"/>
      <c r="X877" s="117"/>
      <c r="Y877" s="117"/>
      <c r="Z877" s="117"/>
      <c r="AA877" s="117"/>
      <c r="AB877" s="117"/>
      <c r="AC877" s="117"/>
      <c r="AD877" s="117"/>
      <c r="AE877" s="117"/>
      <c r="AF877" s="117"/>
      <c r="AG877" s="117"/>
      <c r="AH877" s="117"/>
      <c r="AI877" s="117"/>
      <c r="AJ877" s="117"/>
      <c r="AK877" s="117"/>
      <c r="AL877" s="117"/>
      <c r="AM877" s="117"/>
      <c r="AN877" s="117"/>
      <c r="AO877" s="117"/>
      <c r="AP877" s="117"/>
      <c r="AQ877" s="117"/>
      <c r="AR877" s="117"/>
      <c r="AS877" s="117"/>
      <c r="AT877" s="117"/>
      <c r="AU877" s="117"/>
      <c r="AV877" s="117"/>
      <c r="AW877" s="117"/>
      <c r="AX877" s="117"/>
      <c r="AY877" s="117"/>
      <c r="AZ877" s="117"/>
      <c r="BA877" s="117"/>
      <c r="BB877" s="117"/>
      <c r="BC877" s="117"/>
      <c r="BD877" s="117"/>
      <c r="BE877" s="117"/>
      <c r="BF877" s="117"/>
      <c r="BG877" s="117"/>
      <c r="BH877" s="117"/>
      <c r="BI877" s="117"/>
      <c r="BJ877" s="117"/>
      <c r="BK877" s="117"/>
      <c r="BL877" s="117"/>
      <c r="BM877" s="117"/>
      <c r="BN877" s="117"/>
      <c r="BO877" s="117"/>
      <c r="BP877" s="117"/>
      <c r="BQ877" s="117"/>
      <c r="BR877" s="117"/>
      <c r="BS877" s="117"/>
      <c r="BT877" s="117"/>
      <c r="BU877" s="117"/>
      <c r="BV877" s="117"/>
      <c r="BW877" s="115">
        <v>1</v>
      </c>
      <c r="BX877" s="116">
        <f t="shared" si="19"/>
        <v>1.002</v>
      </c>
      <c r="BY877" s="116">
        <f t="shared" si="19"/>
        <v>1.0160279999999999</v>
      </c>
      <c r="BZ877" s="116">
        <f t="shared" si="19"/>
        <v>1.028220336</v>
      </c>
      <c r="CA877" s="116">
        <f t="shared" si="19"/>
        <v>1.0549540647360001</v>
      </c>
      <c r="CB877" s="116">
        <f t="shared" si="19"/>
        <v>1.0718333297717761</v>
      </c>
      <c r="CC877" s="116">
        <f t="shared" si="17"/>
        <v>1.0911263297076681</v>
      </c>
      <c r="CD877" s="116">
        <f t="shared" si="17"/>
        <v>1.1587761621495436</v>
      </c>
      <c r="CE877" s="116">
        <f t="shared" si="17"/>
        <v>1.2514782551215071</v>
      </c>
      <c r="CF877" s="116">
        <f t="shared" si="17"/>
        <v>1.2865196462649093</v>
      </c>
      <c r="CG877" s="116">
        <f t="shared" si="17"/>
        <v>1.3354073928229759</v>
      </c>
    </row>
    <row r="878" spans="1:85">
      <c r="A878" s="3"/>
      <c r="B878" s="114">
        <v>2017</v>
      </c>
      <c r="C878" s="3"/>
      <c r="D878" s="3"/>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17"/>
      <c r="BA878" s="117"/>
      <c r="BB878" s="117"/>
      <c r="BC878" s="117"/>
      <c r="BD878" s="117"/>
      <c r="BE878" s="117"/>
      <c r="BF878" s="117"/>
      <c r="BG878" s="117"/>
      <c r="BH878" s="117"/>
      <c r="BI878" s="117"/>
      <c r="BJ878" s="117"/>
      <c r="BK878" s="117"/>
      <c r="BL878" s="117"/>
      <c r="BM878" s="117"/>
      <c r="BN878" s="117"/>
      <c r="BO878" s="117"/>
      <c r="BP878" s="117"/>
      <c r="BQ878" s="117"/>
      <c r="BR878" s="117"/>
      <c r="BS878" s="117"/>
      <c r="BT878" s="117"/>
      <c r="BU878" s="117"/>
      <c r="BV878" s="117"/>
      <c r="BW878" s="117"/>
      <c r="BX878" s="115">
        <v>1</v>
      </c>
      <c r="BY878" s="116">
        <f t="shared" si="19"/>
        <v>1.014</v>
      </c>
      <c r="BZ878" s="116">
        <f t="shared" si="19"/>
        <v>1.026168</v>
      </c>
      <c r="CA878" s="116">
        <f t="shared" si="19"/>
        <v>1.052848368</v>
      </c>
      <c r="CB878" s="116">
        <f t="shared" si="19"/>
        <v>1.069693941888</v>
      </c>
      <c r="CC878" s="116">
        <f t="shared" si="17"/>
        <v>1.0889484328419841</v>
      </c>
      <c r="CD878" s="116">
        <f t="shared" si="17"/>
        <v>1.1564632356781872</v>
      </c>
      <c r="CE878" s="116">
        <f t="shared" si="17"/>
        <v>1.2489802945324422</v>
      </c>
      <c r="CF878" s="116">
        <f t="shared" si="17"/>
        <v>1.2839517427793505</v>
      </c>
      <c r="CG878" s="116">
        <f t="shared" si="17"/>
        <v>1.3327419090049659</v>
      </c>
    </row>
    <row r="879" spans="1:85">
      <c r="A879" s="3"/>
      <c r="B879" s="114">
        <v>2018</v>
      </c>
      <c r="C879" s="3"/>
      <c r="D879" s="3"/>
      <c r="E879" s="117"/>
      <c r="F879" s="117"/>
      <c r="G879" s="117"/>
      <c r="H879" s="117"/>
      <c r="I879" s="117"/>
      <c r="J879" s="117"/>
      <c r="K879" s="117"/>
      <c r="L879" s="117"/>
      <c r="M879" s="117"/>
      <c r="N879" s="117"/>
      <c r="O879" s="117"/>
      <c r="P879" s="117"/>
      <c r="Q879" s="117"/>
      <c r="R879" s="117"/>
      <c r="S879" s="117"/>
      <c r="T879" s="117"/>
      <c r="U879" s="117"/>
      <c r="V879" s="117"/>
      <c r="W879" s="117"/>
      <c r="X879" s="117"/>
      <c r="Y879" s="117"/>
      <c r="Z879" s="117"/>
      <c r="AA879" s="117"/>
      <c r="AB879" s="117"/>
      <c r="AC879" s="117"/>
      <c r="AD879" s="117"/>
      <c r="AE879" s="117"/>
      <c r="AF879" s="117"/>
      <c r="AG879" s="117"/>
      <c r="AH879" s="117"/>
      <c r="AI879" s="117"/>
      <c r="AJ879" s="117"/>
      <c r="AK879" s="117"/>
      <c r="AL879" s="117"/>
      <c r="AM879" s="117"/>
      <c r="AN879" s="117"/>
      <c r="AO879" s="117"/>
      <c r="AP879" s="117"/>
      <c r="AQ879" s="117"/>
      <c r="AR879" s="117"/>
      <c r="AS879" s="117"/>
      <c r="AT879" s="117"/>
      <c r="AU879" s="117"/>
      <c r="AV879" s="117"/>
      <c r="AW879" s="117"/>
      <c r="AX879" s="117"/>
      <c r="AY879" s="117"/>
      <c r="AZ879" s="117"/>
      <c r="BA879" s="117"/>
      <c r="BB879" s="117"/>
      <c r="BC879" s="117"/>
      <c r="BD879" s="117"/>
      <c r="BE879" s="117"/>
      <c r="BF879" s="117"/>
      <c r="BG879" s="117"/>
      <c r="BH879" s="117"/>
      <c r="BI879" s="117"/>
      <c r="BJ879" s="117"/>
      <c r="BK879" s="117"/>
      <c r="BL879" s="117"/>
      <c r="BM879" s="117"/>
      <c r="BN879" s="117"/>
      <c r="BO879" s="117"/>
      <c r="BP879" s="117"/>
      <c r="BQ879" s="117"/>
      <c r="BR879" s="117"/>
      <c r="BS879" s="117"/>
      <c r="BT879" s="117"/>
      <c r="BU879" s="117"/>
      <c r="BV879" s="117"/>
      <c r="BW879" s="117"/>
      <c r="BX879" s="117"/>
      <c r="BY879" s="115">
        <v>1</v>
      </c>
      <c r="BZ879" s="116">
        <f t="shared" si="19"/>
        <v>1.012</v>
      </c>
      <c r="CA879" s="116">
        <f t="shared" si="19"/>
        <v>1.0383120000000001</v>
      </c>
      <c r="CB879" s="116">
        <f t="shared" si="19"/>
        <v>1.0549249920000001</v>
      </c>
      <c r="CC879" s="116">
        <f t="shared" si="17"/>
        <v>1.0739136418560002</v>
      </c>
      <c r="CD879" s="116">
        <f t="shared" si="17"/>
        <v>1.1404962876510722</v>
      </c>
      <c r="CE879" s="116">
        <f t="shared" si="17"/>
        <v>1.2317359906631582</v>
      </c>
      <c r="CF879" s="116">
        <f t="shared" si="17"/>
        <v>1.2662245984017266</v>
      </c>
      <c r="CG879" s="116">
        <f t="shared" si="17"/>
        <v>1.3143411331409922</v>
      </c>
    </row>
    <row r="880" spans="1:85">
      <c r="A880" s="3"/>
      <c r="B880" s="114">
        <v>2019</v>
      </c>
      <c r="C880" s="3"/>
      <c r="D880" s="3"/>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17"/>
      <c r="BA880" s="117"/>
      <c r="BB880" s="117"/>
      <c r="BC880" s="117"/>
      <c r="BD880" s="117"/>
      <c r="BE880" s="117"/>
      <c r="BF880" s="117"/>
      <c r="BG880" s="117"/>
      <c r="BH880" s="117"/>
      <c r="BI880" s="117"/>
      <c r="BJ880" s="117"/>
      <c r="BK880" s="117"/>
      <c r="BL880" s="117"/>
      <c r="BM880" s="117"/>
      <c r="BN880" s="117"/>
      <c r="BO880" s="117"/>
      <c r="BP880" s="117"/>
      <c r="BQ880" s="117"/>
      <c r="BR880" s="117"/>
      <c r="BS880" s="117"/>
      <c r="BT880" s="117"/>
      <c r="BU880" s="117"/>
      <c r="BV880" s="117"/>
      <c r="BW880" s="117"/>
      <c r="BX880" s="117"/>
      <c r="BY880" s="117"/>
      <c r="BZ880" s="115">
        <v>1</v>
      </c>
      <c r="CA880" s="116">
        <f t="shared" si="19"/>
        <v>1.026</v>
      </c>
      <c r="CB880" s="116">
        <f t="shared" si="19"/>
        <v>1.042416</v>
      </c>
      <c r="CC880" s="116">
        <f t="shared" si="17"/>
        <v>1.0611794880000001</v>
      </c>
      <c r="CD880" s="116">
        <f t="shared" si="17"/>
        <v>1.1269726162560001</v>
      </c>
      <c r="CE880" s="116">
        <f t="shared" si="17"/>
        <v>1.2171304255564801</v>
      </c>
      <c r="CF880" s="116">
        <f t="shared" si="17"/>
        <v>1.2512100774720616</v>
      </c>
      <c r="CG880" s="116">
        <f t="shared" si="17"/>
        <v>1.298756060416</v>
      </c>
    </row>
    <row r="881" spans="1:16383">
      <c r="A881" s="3"/>
      <c r="B881" s="114">
        <v>2020</v>
      </c>
      <c r="C881" s="3"/>
      <c r="D881" s="3"/>
      <c r="E881" s="117"/>
      <c r="F881" s="117"/>
      <c r="G881" s="117"/>
      <c r="H881" s="117"/>
      <c r="I881" s="117"/>
      <c r="J881" s="117"/>
      <c r="K881" s="117"/>
      <c r="L881" s="117"/>
      <c r="M881" s="117"/>
      <c r="N881" s="117"/>
      <c r="O881" s="117"/>
      <c r="P881" s="117"/>
      <c r="Q881" s="117"/>
      <c r="R881" s="117"/>
      <c r="S881" s="117"/>
      <c r="T881" s="117"/>
      <c r="U881" s="117"/>
      <c r="V881" s="117"/>
      <c r="W881" s="117"/>
      <c r="X881" s="117"/>
      <c r="Y881" s="117"/>
      <c r="Z881" s="117"/>
      <c r="AA881" s="117"/>
      <c r="AB881" s="117"/>
      <c r="AC881" s="117"/>
      <c r="AD881" s="117"/>
      <c r="AE881" s="117"/>
      <c r="AF881" s="117"/>
      <c r="AG881" s="117"/>
      <c r="AH881" s="117"/>
      <c r="AI881" s="117"/>
      <c r="AJ881" s="117"/>
      <c r="AK881" s="117"/>
      <c r="AL881" s="117"/>
      <c r="AM881" s="117"/>
      <c r="AN881" s="117"/>
      <c r="AO881" s="117"/>
      <c r="AP881" s="117"/>
      <c r="AQ881" s="117"/>
      <c r="AR881" s="117"/>
      <c r="AS881" s="117"/>
      <c r="AT881" s="117"/>
      <c r="AU881" s="117"/>
      <c r="AV881" s="117"/>
      <c r="AW881" s="117"/>
      <c r="AX881" s="117"/>
      <c r="AY881" s="117"/>
      <c r="AZ881" s="117"/>
      <c r="BA881" s="117"/>
      <c r="BB881" s="117"/>
      <c r="BC881" s="117"/>
      <c r="BD881" s="117"/>
      <c r="BE881" s="117"/>
      <c r="BF881" s="117"/>
      <c r="BG881" s="117"/>
      <c r="BH881" s="117"/>
      <c r="BI881" s="117"/>
      <c r="BJ881" s="117"/>
      <c r="BK881" s="117"/>
      <c r="BL881" s="117"/>
      <c r="BM881" s="117"/>
      <c r="BN881" s="117"/>
      <c r="BO881" s="117"/>
      <c r="BP881" s="117"/>
      <c r="BQ881" s="117"/>
      <c r="BR881" s="117"/>
      <c r="BS881" s="117"/>
      <c r="BT881" s="117"/>
      <c r="BU881" s="117"/>
      <c r="BV881" s="117"/>
      <c r="BW881" s="117"/>
      <c r="BX881" s="117"/>
      <c r="BY881" s="117"/>
      <c r="BZ881" s="117"/>
      <c r="CA881" s="115">
        <v>1</v>
      </c>
      <c r="CB881" s="116">
        <f t="shared" si="19"/>
        <v>1.016</v>
      </c>
      <c r="CC881" s="116">
        <f t="shared" si="17"/>
        <v>1.0342880000000001</v>
      </c>
      <c r="CD881" s="116">
        <f t="shared" si="17"/>
        <v>1.0984138560000001</v>
      </c>
      <c r="CE881" s="116">
        <f t="shared" si="17"/>
        <v>1.1862869644800003</v>
      </c>
      <c r="CF881" s="116">
        <f t="shared" si="17"/>
        <v>1.2195029994854403</v>
      </c>
      <c r="CG881" s="116">
        <f t="shared" si="17"/>
        <v>1.2658441134658871</v>
      </c>
    </row>
    <row r="882" spans="1:16383">
      <c r="A882" s="3"/>
      <c r="B882" s="114">
        <v>2021</v>
      </c>
      <c r="C882" s="3"/>
      <c r="D882" s="3"/>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17"/>
      <c r="BA882" s="117"/>
      <c r="BB882" s="117"/>
      <c r="BC882" s="117"/>
      <c r="BD882" s="117"/>
      <c r="BE882" s="117"/>
      <c r="BF882" s="117"/>
      <c r="BG882" s="117"/>
      <c r="BH882" s="117"/>
      <c r="BI882" s="117"/>
      <c r="BJ882" s="117"/>
      <c r="BK882" s="117"/>
      <c r="BL882" s="117"/>
      <c r="BM882" s="117"/>
      <c r="BN882" s="117"/>
      <c r="BO882" s="117"/>
      <c r="BP882" s="117"/>
      <c r="BQ882" s="117"/>
      <c r="BR882" s="117"/>
      <c r="BS882" s="117"/>
      <c r="BT882" s="117"/>
      <c r="BU882" s="117"/>
      <c r="BV882" s="117"/>
      <c r="BW882" s="117"/>
      <c r="BX882" s="117"/>
      <c r="BY882" s="117"/>
      <c r="BZ882" s="117"/>
      <c r="CA882" s="117"/>
      <c r="CB882" s="115">
        <v>1</v>
      </c>
      <c r="CC882" s="116">
        <f t="shared" si="17"/>
        <v>1.018</v>
      </c>
      <c r="CD882" s="116">
        <f t="shared" si="17"/>
        <v>1.081116</v>
      </c>
      <c r="CE882" s="116">
        <f t="shared" si="17"/>
        <v>1.1676052800000001</v>
      </c>
      <c r="CF882" s="116">
        <f t="shared" si="17"/>
        <v>1.2002982278400001</v>
      </c>
      <c r="CG882" s="116">
        <f t="shared" si="17"/>
        <v>1.24590956049792</v>
      </c>
    </row>
    <row r="883" spans="1:16383">
      <c r="A883" s="3"/>
      <c r="B883" s="114">
        <v>2022</v>
      </c>
      <c r="C883" s="3"/>
      <c r="D883" s="3"/>
      <c r="E883" s="117"/>
      <c r="F883" s="117"/>
      <c r="G883" s="117"/>
      <c r="H883" s="117"/>
      <c r="I883" s="117"/>
      <c r="J883" s="117"/>
      <c r="K883" s="117"/>
      <c r="L883" s="117"/>
      <c r="M883" s="117"/>
      <c r="N883" s="117"/>
      <c r="O883" s="117"/>
      <c r="P883" s="117"/>
      <c r="Q883" s="117"/>
      <c r="R883" s="117"/>
      <c r="S883" s="117"/>
      <c r="T883" s="117"/>
      <c r="U883" s="117"/>
      <c r="V883" s="117"/>
      <c r="W883" s="117"/>
      <c r="X883" s="117"/>
      <c r="Y883" s="117"/>
      <c r="Z883" s="117"/>
      <c r="AA883" s="117"/>
      <c r="AB883" s="117"/>
      <c r="AC883" s="117"/>
      <c r="AD883" s="117"/>
      <c r="AE883" s="117"/>
      <c r="AF883" s="117"/>
      <c r="AG883" s="117"/>
      <c r="AH883" s="117"/>
      <c r="AI883" s="117"/>
      <c r="AJ883" s="117"/>
      <c r="AK883" s="117"/>
      <c r="AL883" s="117"/>
      <c r="AM883" s="117"/>
      <c r="AN883" s="117"/>
      <c r="AO883" s="117"/>
      <c r="AP883" s="117"/>
      <c r="AQ883" s="117"/>
      <c r="AR883" s="117"/>
      <c r="AS883" s="117"/>
      <c r="AT883" s="117"/>
      <c r="AU883" s="117"/>
      <c r="AV883" s="117"/>
      <c r="AW883" s="117"/>
      <c r="AX883" s="117"/>
      <c r="AY883" s="117"/>
      <c r="AZ883" s="117"/>
      <c r="BA883" s="117"/>
      <c r="BB883" s="117"/>
      <c r="BC883" s="117"/>
      <c r="BD883" s="117"/>
      <c r="BE883" s="117"/>
      <c r="BF883" s="117"/>
      <c r="BG883" s="117"/>
      <c r="BH883" s="117"/>
      <c r="BI883" s="117"/>
      <c r="BJ883" s="117"/>
      <c r="BK883" s="117"/>
      <c r="BL883" s="117"/>
      <c r="BM883" s="117"/>
      <c r="BN883" s="117"/>
      <c r="BO883" s="117"/>
      <c r="BP883" s="117"/>
      <c r="BQ883" s="117"/>
      <c r="BR883" s="117"/>
      <c r="BS883" s="117"/>
      <c r="BT883" s="117"/>
      <c r="BU883" s="117"/>
      <c r="BV883" s="117"/>
      <c r="BW883" s="117"/>
      <c r="BX883" s="117"/>
      <c r="BY883" s="117"/>
      <c r="BZ883" s="117"/>
      <c r="CA883" s="117"/>
      <c r="CB883" s="117"/>
      <c r="CC883" s="115">
        <v>1</v>
      </c>
      <c r="CD883" s="116">
        <f>CC883*CD$804</f>
        <v>1.0620000000000001</v>
      </c>
      <c r="CE883" s="116">
        <f>CD883*CE$804</f>
        <v>1.1469600000000002</v>
      </c>
      <c r="CF883" s="116">
        <f t="shared" ref="CF883:CG886" si="20">CE883*CF$804</f>
        <v>1.1790748800000002</v>
      </c>
      <c r="CG883" s="116">
        <f t="shared" si="20"/>
        <v>1.2238797254400002</v>
      </c>
    </row>
    <row r="884" spans="1:16383">
      <c r="A884" s="3"/>
      <c r="B884" s="114">
        <v>2023</v>
      </c>
      <c r="C884" s="3"/>
      <c r="D884" s="3"/>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17"/>
      <c r="BA884" s="117"/>
      <c r="BB884" s="117"/>
      <c r="BC884" s="117"/>
      <c r="BD884" s="117"/>
      <c r="BE884" s="117"/>
      <c r="BF884" s="117"/>
      <c r="BG884" s="117"/>
      <c r="BH884" s="117"/>
      <c r="BI884" s="117"/>
      <c r="BJ884" s="117"/>
      <c r="BK884" s="117"/>
      <c r="BL884" s="117"/>
      <c r="BM884" s="117"/>
      <c r="BN884" s="117"/>
      <c r="BO884" s="117"/>
      <c r="BP884" s="117"/>
      <c r="BQ884" s="117"/>
      <c r="BR884" s="117"/>
      <c r="BS884" s="117"/>
      <c r="BT884" s="117"/>
      <c r="BU884" s="117"/>
      <c r="BV884" s="117"/>
      <c r="BW884" s="117"/>
      <c r="BX884" s="117"/>
      <c r="BY884" s="117"/>
      <c r="BZ884" s="117"/>
      <c r="CA884" s="117"/>
      <c r="CB884" s="117"/>
      <c r="CC884" s="117"/>
      <c r="CD884" s="115">
        <v>1</v>
      </c>
      <c r="CE884" s="116">
        <f>CD884*CE$804</f>
        <v>1.08</v>
      </c>
      <c r="CF884" s="116">
        <f t="shared" si="20"/>
        <v>1.1102400000000001</v>
      </c>
      <c r="CG884" s="116">
        <f t="shared" si="20"/>
        <v>1.1524291200000001</v>
      </c>
    </row>
    <row r="885" spans="1:16383">
      <c r="A885" s="3"/>
      <c r="B885" s="114">
        <v>2024</v>
      </c>
      <c r="C885" s="3"/>
      <c r="D885" s="3"/>
      <c r="E885" s="117"/>
      <c r="F885" s="117"/>
      <c r="G885" s="117"/>
      <c r="H885" s="117"/>
      <c r="I885" s="117"/>
      <c r="J885" s="117"/>
      <c r="K885" s="117"/>
      <c r="L885" s="117"/>
      <c r="M885" s="117"/>
      <c r="N885" s="117"/>
      <c r="O885" s="117"/>
      <c r="P885" s="117"/>
      <c r="Q885" s="117"/>
      <c r="R885" s="117"/>
      <c r="S885" s="117"/>
      <c r="T885" s="117"/>
      <c r="U885" s="117"/>
      <c r="V885" s="117"/>
      <c r="W885" s="117"/>
      <c r="X885" s="117"/>
      <c r="Y885" s="117"/>
      <c r="Z885" s="117"/>
      <c r="AA885" s="117"/>
      <c r="AB885" s="117"/>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17"/>
      <c r="BA885" s="117"/>
      <c r="BB885" s="117"/>
      <c r="BC885" s="117"/>
      <c r="BD885" s="117"/>
      <c r="BE885" s="117"/>
      <c r="BF885" s="117"/>
      <c r="BG885" s="117"/>
      <c r="BH885" s="117"/>
      <c r="BI885" s="117"/>
      <c r="BJ885" s="117"/>
      <c r="BK885" s="117"/>
      <c r="BL885" s="117"/>
      <c r="BM885" s="117"/>
      <c r="BN885" s="117"/>
      <c r="BO885" s="117"/>
      <c r="BP885" s="117"/>
      <c r="BQ885" s="117"/>
      <c r="BR885" s="117"/>
      <c r="BS885" s="117"/>
      <c r="BT885" s="117"/>
      <c r="BU885" s="117"/>
      <c r="BV885" s="117"/>
      <c r="BW885" s="117"/>
      <c r="BX885" s="117"/>
      <c r="BY885" s="117"/>
      <c r="BZ885" s="117"/>
      <c r="CA885" s="117"/>
      <c r="CB885" s="117"/>
      <c r="CC885" s="117"/>
      <c r="CD885" s="117"/>
      <c r="CE885" s="115">
        <v>1</v>
      </c>
      <c r="CF885" s="116">
        <f t="shared" si="20"/>
        <v>1.028</v>
      </c>
      <c r="CG885" s="116">
        <f t="shared" si="20"/>
        <v>1.067064</v>
      </c>
    </row>
    <row r="886" spans="1:16383" ht="13.5" customHeight="1">
      <c r="A886" s="3"/>
      <c r="B886" s="114">
        <v>2025</v>
      </c>
      <c r="C886" s="3"/>
      <c r="D886" s="3"/>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17"/>
      <c r="BA886" s="117"/>
      <c r="BB886" s="117"/>
      <c r="BC886" s="117"/>
      <c r="BD886" s="117"/>
      <c r="BE886" s="117"/>
      <c r="BF886" s="117"/>
      <c r="BG886" s="117"/>
      <c r="BH886" s="117"/>
      <c r="BI886" s="117"/>
      <c r="BJ886" s="117"/>
      <c r="BK886" s="117"/>
      <c r="BL886" s="117"/>
      <c r="BM886" s="117"/>
      <c r="BN886" s="117"/>
      <c r="BO886" s="117"/>
      <c r="BP886" s="117"/>
      <c r="BQ886" s="117"/>
      <c r="BR886" s="117"/>
      <c r="BS886" s="117"/>
      <c r="BT886" s="117"/>
      <c r="BU886" s="117"/>
      <c r="BV886" s="117"/>
      <c r="BW886" s="117"/>
      <c r="BX886" s="117"/>
      <c r="BY886" s="117"/>
      <c r="BZ886" s="117"/>
      <c r="CA886" s="117"/>
      <c r="CB886" s="117"/>
      <c r="CC886" s="117"/>
      <c r="CD886" s="117"/>
      <c r="CE886" s="117"/>
      <c r="CF886" s="115">
        <v>1</v>
      </c>
      <c r="CG886" s="116">
        <f t="shared" si="20"/>
        <v>1.038</v>
      </c>
    </row>
    <row r="887" spans="1:16383">
      <c r="A887" s="3"/>
      <c r="B887" s="114">
        <v>2026</v>
      </c>
      <c r="C887" s="3"/>
      <c r="D887" s="3"/>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17"/>
      <c r="BA887" s="117"/>
      <c r="BB887" s="117"/>
      <c r="BC887" s="117"/>
      <c r="BD887" s="117"/>
      <c r="BE887" s="117"/>
      <c r="BF887" s="117"/>
      <c r="BG887" s="117"/>
      <c r="BH887" s="117"/>
      <c r="BI887" s="117"/>
      <c r="BJ887" s="117"/>
      <c r="BK887" s="117"/>
      <c r="BL887" s="117"/>
      <c r="BM887" s="117"/>
      <c r="BN887" s="117"/>
      <c r="BO887" s="117"/>
      <c r="BP887" s="117"/>
      <c r="BQ887" s="117"/>
      <c r="BR887" s="117"/>
      <c r="BS887" s="117"/>
      <c r="BT887" s="117"/>
      <c r="BU887" s="117"/>
      <c r="BV887" s="117"/>
      <c r="BW887" s="117"/>
      <c r="BX887" s="117"/>
      <c r="BY887" s="117"/>
      <c r="BZ887" s="117"/>
      <c r="CA887" s="117"/>
      <c r="CB887" s="117"/>
      <c r="CC887" s="117"/>
      <c r="CD887" s="117"/>
      <c r="CE887" s="117"/>
      <c r="CF887" s="117"/>
      <c r="CG887" s="115">
        <v>1</v>
      </c>
    </row>
    <row r="889" spans="1:16383" s="123" customFormat="1">
      <c r="A889" s="97"/>
      <c r="B889" s="33" t="s">
        <v>972</v>
      </c>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c r="CM889" s="33"/>
      <c r="CN889" s="33"/>
      <c r="CO889" s="33"/>
      <c r="CP889" s="33"/>
      <c r="CQ889" s="33"/>
      <c r="CR889" s="33"/>
      <c r="CS889" s="122"/>
      <c r="CT889" s="122"/>
      <c r="CU889" s="122"/>
      <c r="CV889" s="122"/>
      <c r="CW889" s="122"/>
      <c r="CX889" s="122"/>
      <c r="CY889" s="122"/>
      <c r="CZ889" s="122"/>
      <c r="DA889" s="122"/>
      <c r="DB889" s="122"/>
      <c r="DC889" s="122"/>
      <c r="DD889" s="122"/>
      <c r="DE889" s="122"/>
      <c r="DF889" s="122"/>
      <c r="DG889" s="122"/>
      <c r="DH889" s="122"/>
      <c r="DI889" s="122"/>
      <c r="DJ889" s="122"/>
      <c r="DK889" s="122"/>
      <c r="DL889" s="122"/>
      <c r="DM889" s="122"/>
      <c r="DN889" s="122"/>
      <c r="DO889" s="122"/>
      <c r="DP889" s="122"/>
      <c r="DQ889" s="122"/>
      <c r="DR889" s="122"/>
      <c r="DS889" s="122"/>
      <c r="DT889" s="122"/>
      <c r="DU889" s="122"/>
      <c r="DV889" s="122"/>
      <c r="DW889" s="122"/>
      <c r="DX889" s="122"/>
      <c r="DY889" s="122"/>
      <c r="DZ889" s="122"/>
      <c r="EA889" s="122"/>
      <c r="EB889" s="122"/>
      <c r="EC889" s="122"/>
      <c r="ED889" s="122"/>
      <c r="EE889" s="122"/>
      <c r="EF889" s="122"/>
      <c r="EG889" s="122"/>
      <c r="EH889" s="122"/>
      <c r="EI889" s="122"/>
      <c r="EJ889" s="122"/>
      <c r="EK889" s="122"/>
      <c r="EL889" s="122"/>
      <c r="EM889" s="122"/>
      <c r="EN889" s="122"/>
      <c r="EO889" s="122"/>
      <c r="EP889" s="122"/>
      <c r="EQ889" s="122"/>
      <c r="ER889" s="122"/>
      <c r="ES889" s="122"/>
      <c r="ET889" s="122"/>
      <c r="EU889" s="122"/>
      <c r="EV889" s="122"/>
      <c r="EW889" s="122"/>
      <c r="EX889" s="122"/>
      <c r="EY889" s="122"/>
      <c r="EZ889" s="122"/>
      <c r="FA889" s="122"/>
      <c r="FB889" s="122"/>
      <c r="FC889" s="122"/>
      <c r="FD889" s="122"/>
      <c r="FE889" s="122"/>
      <c r="FF889" s="122"/>
      <c r="FG889" s="122"/>
      <c r="FH889" s="122"/>
      <c r="FI889" s="122"/>
      <c r="FJ889" s="122"/>
      <c r="FK889" s="122"/>
      <c r="FL889" s="122"/>
      <c r="FM889" s="122"/>
      <c r="FN889" s="122"/>
      <c r="FO889" s="122"/>
      <c r="FP889" s="122"/>
      <c r="FQ889" s="122"/>
      <c r="FR889" s="122"/>
      <c r="FS889" s="122"/>
      <c r="FT889" s="122"/>
      <c r="FU889" s="122"/>
      <c r="FV889" s="122"/>
      <c r="FW889" s="122"/>
      <c r="FX889" s="122"/>
      <c r="FY889" s="122"/>
      <c r="FZ889" s="122"/>
      <c r="GA889" s="122"/>
      <c r="GB889" s="122"/>
      <c r="GC889" s="122"/>
      <c r="GD889" s="122"/>
      <c r="GE889" s="122"/>
      <c r="GF889" s="122"/>
      <c r="GG889" s="122"/>
      <c r="GH889" s="122"/>
      <c r="GI889" s="122"/>
      <c r="GJ889" s="122"/>
      <c r="GK889" s="122"/>
      <c r="GL889" s="122"/>
      <c r="GM889" s="122"/>
      <c r="GN889" s="122"/>
      <c r="GO889" s="122"/>
      <c r="GP889" s="122"/>
      <c r="GQ889" s="122"/>
      <c r="GR889" s="122"/>
      <c r="GS889" s="122"/>
      <c r="GT889" s="122"/>
      <c r="GU889" s="122"/>
      <c r="GV889" s="122"/>
      <c r="GW889" s="122"/>
      <c r="GX889" s="122"/>
      <c r="GY889" s="122"/>
      <c r="GZ889" s="122"/>
      <c r="HA889" s="122"/>
      <c r="HB889" s="122"/>
      <c r="HC889" s="122"/>
      <c r="HD889" s="122"/>
      <c r="HE889" s="122"/>
      <c r="HF889" s="122"/>
      <c r="HG889" s="122"/>
      <c r="HH889" s="122"/>
      <c r="HI889" s="122"/>
      <c r="HJ889" s="122"/>
      <c r="HK889" s="122"/>
      <c r="HL889" s="122"/>
      <c r="HM889" s="122"/>
      <c r="HN889" s="122"/>
      <c r="HO889" s="122"/>
      <c r="HP889" s="122"/>
      <c r="HQ889" s="122"/>
      <c r="HR889" s="122"/>
      <c r="HS889" s="122"/>
      <c r="HT889" s="122"/>
      <c r="HU889" s="122"/>
      <c r="HV889" s="122"/>
      <c r="HW889" s="122"/>
      <c r="HX889" s="122"/>
      <c r="HY889" s="122"/>
      <c r="HZ889" s="122"/>
      <c r="IA889" s="122"/>
      <c r="IB889" s="122"/>
      <c r="IC889" s="122"/>
      <c r="ID889" s="122"/>
      <c r="IE889" s="122"/>
      <c r="IF889" s="122"/>
      <c r="IG889" s="122"/>
      <c r="IH889" s="122"/>
      <c r="II889" s="122"/>
      <c r="IJ889" s="122"/>
      <c r="IK889" s="122"/>
      <c r="IL889" s="122"/>
      <c r="IM889" s="122"/>
      <c r="IN889" s="122"/>
      <c r="IO889" s="122"/>
      <c r="IP889" s="122"/>
      <c r="IQ889" s="122"/>
      <c r="IR889" s="122"/>
      <c r="IS889" s="122"/>
      <c r="IT889" s="122"/>
      <c r="IU889" s="122"/>
      <c r="IV889" s="122"/>
      <c r="IW889" s="122"/>
      <c r="IX889" s="122"/>
      <c r="IY889" s="122"/>
      <c r="IZ889" s="122"/>
      <c r="JA889" s="122"/>
      <c r="JB889" s="122"/>
      <c r="JC889" s="122"/>
      <c r="JD889" s="122"/>
      <c r="JE889" s="122"/>
      <c r="JF889" s="122"/>
      <c r="JG889" s="122"/>
      <c r="JH889" s="122"/>
      <c r="JI889" s="122"/>
      <c r="JJ889" s="122"/>
      <c r="JK889" s="122"/>
      <c r="JL889" s="122"/>
      <c r="JM889" s="122"/>
      <c r="JN889" s="122"/>
      <c r="JO889" s="122"/>
      <c r="JP889" s="122"/>
      <c r="JQ889" s="122"/>
      <c r="JR889" s="122"/>
      <c r="JS889" s="122"/>
      <c r="JT889" s="122"/>
      <c r="JU889" s="122"/>
      <c r="JV889" s="122"/>
      <c r="JW889" s="122"/>
      <c r="JX889" s="122"/>
      <c r="JY889" s="122"/>
      <c r="JZ889" s="122"/>
      <c r="KA889" s="122"/>
      <c r="KB889" s="122"/>
      <c r="KC889" s="122"/>
      <c r="KD889" s="122"/>
      <c r="KE889" s="122"/>
      <c r="KF889" s="122"/>
      <c r="KG889" s="122"/>
      <c r="KH889" s="122"/>
      <c r="KI889" s="122"/>
      <c r="KJ889" s="122"/>
      <c r="KK889" s="122"/>
      <c r="KL889" s="122"/>
      <c r="KM889" s="122"/>
      <c r="KN889" s="122"/>
      <c r="KO889" s="122"/>
      <c r="KP889" s="122"/>
      <c r="KQ889" s="122"/>
      <c r="KR889" s="122"/>
      <c r="KS889" s="122"/>
      <c r="KT889" s="122"/>
      <c r="KU889" s="122"/>
      <c r="KV889" s="122"/>
      <c r="KW889" s="122"/>
      <c r="KX889" s="122"/>
      <c r="KY889" s="122"/>
      <c r="KZ889" s="122"/>
      <c r="LA889" s="122"/>
      <c r="LB889" s="122"/>
      <c r="LC889" s="122"/>
      <c r="LD889" s="122"/>
      <c r="LE889" s="122"/>
      <c r="LF889" s="122"/>
      <c r="LG889" s="122"/>
      <c r="LH889" s="122"/>
      <c r="LI889" s="122"/>
      <c r="LJ889" s="122"/>
      <c r="LK889" s="122"/>
      <c r="LL889" s="122"/>
      <c r="LM889" s="122"/>
      <c r="LN889" s="122"/>
      <c r="LO889" s="122"/>
      <c r="LP889" s="122"/>
      <c r="LQ889" s="122"/>
      <c r="LR889" s="122"/>
      <c r="LS889" s="122"/>
      <c r="LT889" s="122"/>
      <c r="LU889" s="122"/>
      <c r="LV889" s="122"/>
      <c r="LW889" s="122"/>
      <c r="LX889" s="122"/>
      <c r="LY889" s="122"/>
      <c r="LZ889" s="122"/>
      <c r="MA889" s="122"/>
      <c r="MB889" s="122"/>
      <c r="MC889" s="122"/>
      <c r="MD889" s="122"/>
      <c r="ME889" s="122"/>
      <c r="MF889" s="122"/>
      <c r="MG889" s="122"/>
      <c r="MH889" s="122"/>
      <c r="MI889" s="122"/>
      <c r="MJ889" s="122"/>
      <c r="MK889" s="122"/>
      <c r="ML889" s="122"/>
      <c r="MM889" s="122"/>
      <c r="MN889" s="122"/>
      <c r="MO889" s="122"/>
      <c r="MP889" s="122"/>
      <c r="MQ889" s="122"/>
      <c r="MR889" s="122"/>
      <c r="MS889" s="122"/>
      <c r="MT889" s="122"/>
      <c r="MU889" s="122"/>
      <c r="MV889" s="122"/>
      <c r="MW889" s="122"/>
      <c r="MX889" s="122"/>
      <c r="MY889" s="122"/>
      <c r="MZ889" s="122"/>
      <c r="NA889" s="122"/>
      <c r="NB889" s="122"/>
      <c r="NC889" s="122"/>
      <c r="ND889" s="122"/>
      <c r="NE889" s="122"/>
      <c r="NF889" s="122"/>
      <c r="NG889" s="122"/>
      <c r="NH889" s="122"/>
      <c r="NI889" s="122"/>
      <c r="NJ889" s="122"/>
      <c r="NK889" s="122"/>
      <c r="NL889" s="122"/>
      <c r="NM889" s="122"/>
      <c r="NN889" s="122"/>
      <c r="NO889" s="122"/>
      <c r="NP889" s="122"/>
      <c r="NQ889" s="122"/>
      <c r="NR889" s="122"/>
      <c r="NS889" s="122"/>
      <c r="NT889" s="122"/>
      <c r="NU889" s="122"/>
      <c r="NV889" s="122"/>
      <c r="NW889" s="122"/>
      <c r="NX889" s="122"/>
      <c r="NY889" s="122"/>
      <c r="NZ889" s="122"/>
      <c r="OA889" s="122"/>
      <c r="OB889" s="122"/>
      <c r="OC889" s="122"/>
      <c r="OD889" s="122"/>
      <c r="OE889" s="122"/>
      <c r="OF889" s="122"/>
      <c r="OG889" s="122"/>
      <c r="OH889" s="122"/>
      <c r="OI889" s="122"/>
      <c r="OJ889" s="122"/>
      <c r="OK889" s="122"/>
      <c r="OL889" s="122"/>
      <c r="OM889" s="122"/>
      <c r="ON889" s="122"/>
      <c r="OO889" s="122"/>
      <c r="OP889" s="122"/>
      <c r="OQ889" s="122"/>
      <c r="OR889" s="122"/>
      <c r="OS889" s="122"/>
      <c r="OT889" s="122"/>
      <c r="OU889" s="122"/>
      <c r="OV889" s="122"/>
      <c r="OW889" s="122"/>
      <c r="OX889" s="122"/>
      <c r="OY889" s="122"/>
      <c r="OZ889" s="122"/>
      <c r="PA889" s="122"/>
      <c r="PB889" s="122"/>
      <c r="PC889" s="122"/>
      <c r="PD889" s="122"/>
      <c r="PE889" s="122"/>
      <c r="PF889" s="122"/>
      <c r="PG889" s="122"/>
      <c r="PH889" s="122"/>
      <c r="PI889" s="122"/>
      <c r="PJ889" s="122"/>
      <c r="PK889" s="122"/>
      <c r="PL889" s="122"/>
      <c r="PM889" s="122"/>
      <c r="PN889" s="122"/>
      <c r="PO889" s="122"/>
      <c r="PP889" s="122"/>
      <c r="PQ889" s="122"/>
      <c r="PR889" s="122"/>
      <c r="PS889" s="122"/>
      <c r="PT889" s="122"/>
      <c r="PU889" s="122"/>
      <c r="PV889" s="122"/>
      <c r="PW889" s="122"/>
      <c r="PX889" s="122"/>
      <c r="PY889" s="122"/>
      <c r="PZ889" s="122"/>
      <c r="QA889" s="122"/>
      <c r="QB889" s="122"/>
      <c r="QC889" s="122"/>
      <c r="QD889" s="122"/>
      <c r="QE889" s="122"/>
      <c r="QF889" s="122"/>
      <c r="QG889" s="122"/>
      <c r="QH889" s="122"/>
      <c r="QI889" s="122"/>
      <c r="QJ889" s="122"/>
      <c r="QK889" s="122"/>
      <c r="QL889" s="122"/>
      <c r="QM889" s="122"/>
      <c r="QN889" s="122"/>
      <c r="QO889" s="122"/>
      <c r="QP889" s="122"/>
      <c r="QQ889" s="122"/>
      <c r="QR889" s="122"/>
      <c r="QS889" s="122"/>
      <c r="QT889" s="122"/>
      <c r="QU889" s="122"/>
      <c r="QV889" s="122"/>
      <c r="QW889" s="122"/>
      <c r="QX889" s="122"/>
      <c r="QY889" s="122"/>
      <c r="QZ889" s="122"/>
      <c r="RA889" s="122"/>
      <c r="RB889" s="122"/>
      <c r="RC889" s="122"/>
      <c r="RD889" s="122"/>
      <c r="RE889" s="122"/>
      <c r="RF889" s="122"/>
      <c r="RG889" s="122"/>
      <c r="RH889" s="122"/>
      <c r="RI889" s="122"/>
      <c r="RJ889" s="122"/>
      <c r="RK889" s="122"/>
      <c r="RL889" s="122"/>
      <c r="RM889" s="122"/>
      <c r="RN889" s="122"/>
      <c r="RO889" s="122"/>
      <c r="RP889" s="122"/>
      <c r="RQ889" s="122"/>
      <c r="RR889" s="122"/>
      <c r="RS889" s="122"/>
      <c r="RT889" s="122"/>
      <c r="RU889" s="122"/>
      <c r="RV889" s="122"/>
      <c r="RW889" s="122"/>
      <c r="RX889" s="122"/>
      <c r="RY889" s="122"/>
      <c r="RZ889" s="122"/>
      <c r="SA889" s="122"/>
      <c r="SB889" s="122"/>
      <c r="SC889" s="122"/>
      <c r="SD889" s="122"/>
      <c r="SE889" s="122"/>
      <c r="SF889" s="122"/>
      <c r="SG889" s="122"/>
      <c r="SH889" s="122"/>
      <c r="SI889" s="122"/>
      <c r="SJ889" s="122"/>
      <c r="SK889" s="122"/>
      <c r="SL889" s="122"/>
      <c r="SM889" s="122"/>
      <c r="SN889" s="122"/>
      <c r="SO889" s="122"/>
      <c r="SP889" s="122"/>
      <c r="SQ889" s="122"/>
      <c r="SR889" s="122"/>
      <c r="SS889" s="122"/>
      <c r="ST889" s="122"/>
      <c r="SU889" s="122"/>
      <c r="SV889" s="122"/>
      <c r="SW889" s="122"/>
      <c r="SX889" s="122"/>
      <c r="SY889" s="122"/>
      <c r="SZ889" s="122"/>
      <c r="TA889" s="122"/>
      <c r="TB889" s="122"/>
      <c r="TC889" s="122"/>
      <c r="TD889" s="122"/>
      <c r="TE889" s="122"/>
      <c r="TF889" s="122"/>
      <c r="TG889" s="122"/>
      <c r="TH889" s="122"/>
      <c r="TI889" s="122"/>
      <c r="TJ889" s="122"/>
      <c r="TK889" s="122"/>
      <c r="TL889" s="122"/>
      <c r="TM889" s="122"/>
      <c r="TN889" s="122"/>
      <c r="TO889" s="122"/>
      <c r="TP889" s="122"/>
      <c r="TQ889" s="122"/>
      <c r="TR889" s="122"/>
      <c r="TS889" s="122"/>
      <c r="TT889" s="122"/>
      <c r="TU889" s="122"/>
      <c r="TV889" s="122"/>
      <c r="TW889" s="122"/>
      <c r="TX889" s="122"/>
      <c r="TY889" s="122"/>
      <c r="TZ889" s="122"/>
      <c r="UA889" s="122"/>
      <c r="UB889" s="122"/>
      <c r="UC889" s="122"/>
      <c r="UD889" s="122"/>
      <c r="UE889" s="122"/>
      <c r="UF889" s="122"/>
      <c r="UG889" s="122"/>
      <c r="UH889" s="122"/>
      <c r="UI889" s="122"/>
      <c r="UJ889" s="122"/>
      <c r="UK889" s="122"/>
      <c r="UL889" s="122"/>
      <c r="UM889" s="122"/>
      <c r="UN889" s="122"/>
      <c r="UO889" s="122"/>
      <c r="UP889" s="122"/>
      <c r="UQ889" s="122"/>
      <c r="UR889" s="122"/>
      <c r="US889" s="122"/>
      <c r="UT889" s="122"/>
      <c r="UU889" s="122"/>
      <c r="UV889" s="122"/>
      <c r="UW889" s="122"/>
      <c r="UX889" s="122"/>
      <c r="UY889" s="122"/>
      <c r="UZ889" s="122"/>
      <c r="VA889" s="122"/>
      <c r="VB889" s="122"/>
      <c r="VC889" s="122"/>
      <c r="VD889" s="122"/>
      <c r="VE889" s="122"/>
      <c r="VF889" s="122"/>
      <c r="VG889" s="122"/>
      <c r="VH889" s="122"/>
      <c r="VI889" s="122"/>
      <c r="VJ889" s="122"/>
      <c r="VK889" s="122"/>
      <c r="VL889" s="122"/>
      <c r="VM889" s="122"/>
      <c r="VN889" s="122"/>
      <c r="VO889" s="122"/>
      <c r="VP889" s="122"/>
      <c r="VQ889" s="122"/>
      <c r="VR889" s="122"/>
      <c r="VS889" s="122"/>
      <c r="VT889" s="122"/>
      <c r="VU889" s="122"/>
      <c r="VV889" s="122"/>
      <c r="VW889" s="122"/>
      <c r="VX889" s="122"/>
      <c r="VY889" s="122"/>
      <c r="VZ889" s="122"/>
      <c r="WA889" s="122"/>
      <c r="WB889" s="122"/>
      <c r="WC889" s="122"/>
      <c r="WD889" s="122"/>
      <c r="WE889" s="122"/>
      <c r="WF889" s="122"/>
      <c r="WG889" s="122"/>
      <c r="WH889" s="122"/>
      <c r="WI889" s="122"/>
      <c r="WJ889" s="122"/>
      <c r="WK889" s="122"/>
      <c r="WL889" s="122"/>
      <c r="WM889" s="122"/>
      <c r="WN889" s="122"/>
      <c r="WO889" s="122"/>
      <c r="WP889" s="122"/>
      <c r="WQ889" s="122"/>
      <c r="WR889" s="122"/>
      <c r="WS889" s="122"/>
      <c r="WT889" s="122"/>
      <c r="WU889" s="122"/>
      <c r="WV889" s="122"/>
      <c r="WW889" s="122"/>
      <c r="WX889" s="122"/>
      <c r="WY889" s="122"/>
      <c r="WZ889" s="122"/>
      <c r="XA889" s="122"/>
      <c r="XB889" s="122"/>
      <c r="XC889" s="122"/>
      <c r="XD889" s="122"/>
      <c r="XE889" s="122"/>
      <c r="XF889" s="122"/>
      <c r="XG889" s="122"/>
      <c r="XH889" s="122"/>
      <c r="XI889" s="122"/>
      <c r="XJ889" s="122"/>
      <c r="XK889" s="122"/>
      <c r="XL889" s="122"/>
      <c r="XM889" s="122"/>
      <c r="XN889" s="122"/>
      <c r="XO889" s="122"/>
      <c r="XP889" s="122"/>
      <c r="XQ889" s="122"/>
      <c r="XR889" s="122"/>
      <c r="XS889" s="122"/>
      <c r="XT889" s="122"/>
      <c r="XU889" s="122"/>
      <c r="XV889" s="122"/>
      <c r="XW889" s="122"/>
      <c r="XX889" s="122"/>
      <c r="XY889" s="122"/>
      <c r="XZ889" s="122"/>
      <c r="YA889" s="122"/>
      <c r="YB889" s="122"/>
      <c r="YC889" s="122"/>
      <c r="YD889" s="122"/>
      <c r="YE889" s="122"/>
      <c r="YF889" s="122"/>
      <c r="YG889" s="122"/>
      <c r="YH889" s="122"/>
      <c r="YI889" s="122"/>
      <c r="YJ889" s="122"/>
      <c r="YK889" s="122"/>
      <c r="YL889" s="122"/>
      <c r="YM889" s="122"/>
      <c r="YN889" s="122"/>
      <c r="YO889" s="122"/>
      <c r="YP889" s="122"/>
      <c r="YQ889" s="122"/>
      <c r="YR889" s="122"/>
      <c r="YS889" s="122"/>
      <c r="YT889" s="122"/>
      <c r="YU889" s="122"/>
      <c r="YV889" s="122"/>
      <c r="YW889" s="122"/>
      <c r="YX889" s="122"/>
      <c r="YY889" s="122"/>
      <c r="YZ889" s="122"/>
      <c r="ZA889" s="122"/>
      <c r="ZB889" s="122"/>
      <c r="ZC889" s="122"/>
      <c r="ZD889" s="122"/>
      <c r="ZE889" s="122"/>
      <c r="ZF889" s="122"/>
      <c r="ZG889" s="122"/>
      <c r="ZH889" s="122"/>
      <c r="ZI889" s="122"/>
      <c r="ZJ889" s="122"/>
      <c r="ZK889" s="122"/>
      <c r="ZL889" s="122"/>
      <c r="ZM889" s="122"/>
      <c r="ZN889" s="122"/>
      <c r="ZO889" s="122"/>
      <c r="ZP889" s="122"/>
      <c r="ZQ889" s="122"/>
      <c r="ZR889" s="122"/>
      <c r="ZS889" s="122"/>
      <c r="ZT889" s="122"/>
      <c r="ZU889" s="122"/>
      <c r="ZV889" s="122"/>
      <c r="ZW889" s="122"/>
      <c r="ZX889" s="122"/>
      <c r="ZY889" s="122"/>
      <c r="ZZ889" s="122"/>
      <c r="AAA889" s="122"/>
      <c r="AAB889" s="122"/>
      <c r="AAC889" s="122"/>
      <c r="AAD889" s="122"/>
      <c r="AAE889" s="122"/>
      <c r="AAF889" s="122"/>
      <c r="AAG889" s="122"/>
      <c r="AAH889" s="122"/>
      <c r="AAI889" s="122"/>
      <c r="AAJ889" s="122"/>
      <c r="AAK889" s="122"/>
      <c r="AAL889" s="122"/>
      <c r="AAM889" s="122"/>
      <c r="AAN889" s="122"/>
      <c r="AAO889" s="122"/>
      <c r="AAP889" s="122"/>
      <c r="AAQ889" s="122"/>
      <c r="AAR889" s="122"/>
      <c r="AAS889" s="122"/>
      <c r="AAT889" s="122"/>
      <c r="AAU889" s="122"/>
      <c r="AAV889" s="122"/>
      <c r="AAW889" s="122"/>
      <c r="AAX889" s="122"/>
      <c r="AAY889" s="122"/>
      <c r="AAZ889" s="122"/>
      <c r="ABA889" s="122"/>
      <c r="ABB889" s="122"/>
      <c r="ABC889" s="122"/>
      <c r="ABD889" s="122"/>
      <c r="ABE889" s="122"/>
      <c r="ABF889" s="122"/>
      <c r="ABG889" s="122"/>
      <c r="ABH889" s="122"/>
      <c r="ABI889" s="122"/>
      <c r="ABJ889" s="122"/>
      <c r="ABK889" s="122"/>
      <c r="ABL889" s="122"/>
      <c r="ABM889" s="122"/>
      <c r="ABN889" s="122"/>
      <c r="ABO889" s="122"/>
      <c r="ABP889" s="122"/>
      <c r="ABQ889" s="122"/>
      <c r="ABR889" s="122"/>
      <c r="ABS889" s="122"/>
      <c r="ABT889" s="122"/>
      <c r="ABU889" s="122"/>
      <c r="ABV889" s="122"/>
      <c r="ABW889" s="122"/>
      <c r="ABX889" s="122"/>
      <c r="ABY889" s="122"/>
      <c r="ABZ889" s="122"/>
      <c r="ACA889" s="122"/>
      <c r="ACB889" s="122"/>
      <c r="ACC889" s="122"/>
      <c r="ACD889" s="122"/>
      <c r="ACE889" s="122"/>
      <c r="ACF889" s="122"/>
      <c r="ACG889" s="122"/>
      <c r="ACH889" s="122"/>
      <c r="ACI889" s="122"/>
      <c r="ACJ889" s="122"/>
      <c r="ACK889" s="122"/>
      <c r="ACL889" s="122"/>
      <c r="ACM889" s="122"/>
      <c r="ACN889" s="122"/>
      <c r="ACO889" s="122"/>
      <c r="ACP889" s="122"/>
      <c r="ACQ889" s="122"/>
      <c r="ACR889" s="122"/>
      <c r="ACS889" s="122"/>
      <c r="ACT889" s="122"/>
      <c r="ACU889" s="122"/>
      <c r="ACV889" s="122"/>
      <c r="ACW889" s="122"/>
      <c r="ACX889" s="122"/>
      <c r="ACY889" s="122"/>
      <c r="ACZ889" s="122"/>
      <c r="ADA889" s="122"/>
      <c r="ADB889" s="122"/>
      <c r="ADC889" s="122"/>
      <c r="ADD889" s="122"/>
      <c r="ADE889" s="122"/>
      <c r="ADF889" s="122"/>
      <c r="ADG889" s="122"/>
      <c r="ADH889" s="122"/>
      <c r="ADI889" s="122"/>
      <c r="ADJ889" s="122"/>
      <c r="ADK889" s="122"/>
      <c r="ADL889" s="122"/>
      <c r="ADM889" s="122"/>
      <c r="ADN889" s="122"/>
      <c r="ADO889" s="122"/>
      <c r="ADP889" s="122"/>
      <c r="ADQ889" s="122"/>
      <c r="ADR889" s="122"/>
      <c r="ADS889" s="122"/>
      <c r="ADT889" s="122"/>
      <c r="ADU889" s="122"/>
      <c r="ADV889" s="122"/>
      <c r="ADW889" s="122"/>
      <c r="ADX889" s="122"/>
      <c r="ADY889" s="122"/>
      <c r="ADZ889" s="122"/>
      <c r="AEA889" s="122"/>
      <c r="AEB889" s="122"/>
      <c r="AEC889" s="122"/>
      <c r="AED889" s="122"/>
      <c r="AEE889" s="122"/>
      <c r="AEF889" s="122"/>
      <c r="AEG889" s="122"/>
      <c r="AEH889" s="122"/>
      <c r="AEI889" s="122"/>
      <c r="AEJ889" s="122"/>
      <c r="AEK889" s="122"/>
      <c r="AEL889" s="122"/>
      <c r="AEM889" s="122"/>
      <c r="AEN889" s="122"/>
      <c r="AEO889" s="122"/>
      <c r="AEP889" s="122"/>
      <c r="AEQ889" s="122"/>
      <c r="AER889" s="122"/>
      <c r="AES889" s="122"/>
      <c r="AET889" s="122"/>
      <c r="AEU889" s="122"/>
      <c r="AEV889" s="122"/>
      <c r="AEW889" s="122"/>
      <c r="AEX889" s="122"/>
      <c r="AEY889" s="122"/>
      <c r="AEZ889" s="122"/>
      <c r="AFA889" s="122"/>
      <c r="AFB889" s="122"/>
      <c r="AFC889" s="122"/>
      <c r="AFD889" s="122"/>
      <c r="AFE889" s="122"/>
      <c r="AFF889" s="122"/>
      <c r="AFG889" s="122"/>
      <c r="AFH889" s="122"/>
      <c r="AFI889" s="122"/>
      <c r="AFJ889" s="122"/>
      <c r="AFK889" s="122"/>
      <c r="AFL889" s="122"/>
      <c r="AFM889" s="122"/>
      <c r="AFN889" s="122"/>
      <c r="AFO889" s="122"/>
      <c r="AFP889" s="122"/>
      <c r="AFQ889" s="122"/>
      <c r="AFR889" s="122"/>
      <c r="AFS889" s="122"/>
      <c r="AFT889" s="122"/>
      <c r="AFU889" s="122"/>
      <c r="AFV889" s="122"/>
      <c r="AFW889" s="122"/>
      <c r="AFX889" s="122"/>
      <c r="AFY889" s="122"/>
      <c r="AFZ889" s="122"/>
      <c r="AGA889" s="122"/>
      <c r="AGB889" s="122"/>
      <c r="AGC889" s="122"/>
      <c r="AGD889" s="122"/>
      <c r="AGE889" s="122"/>
      <c r="AGF889" s="122"/>
      <c r="AGG889" s="122"/>
      <c r="AGH889" s="122"/>
      <c r="AGI889" s="122"/>
      <c r="AGJ889" s="122"/>
      <c r="AGK889" s="122"/>
      <c r="AGL889" s="122"/>
      <c r="AGM889" s="122"/>
      <c r="AGN889" s="122"/>
      <c r="AGO889" s="122"/>
      <c r="AGP889" s="122"/>
      <c r="AGQ889" s="122"/>
      <c r="AGR889" s="122"/>
      <c r="AGS889" s="122"/>
      <c r="AGT889" s="122"/>
      <c r="AGU889" s="122"/>
      <c r="AGV889" s="122"/>
      <c r="AGW889" s="122"/>
      <c r="AGX889" s="122"/>
      <c r="AGY889" s="122"/>
      <c r="AGZ889" s="122"/>
      <c r="AHA889" s="122"/>
      <c r="AHB889" s="122"/>
      <c r="AHC889" s="122"/>
      <c r="AHD889" s="122"/>
      <c r="AHE889" s="122"/>
      <c r="AHF889" s="122"/>
      <c r="AHG889" s="122"/>
      <c r="AHH889" s="122"/>
      <c r="AHI889" s="122"/>
      <c r="AHJ889" s="122"/>
      <c r="AHK889" s="122"/>
      <c r="AHL889" s="122"/>
      <c r="AHM889" s="122"/>
      <c r="AHN889" s="122"/>
      <c r="AHO889" s="122"/>
      <c r="AHP889" s="122"/>
      <c r="AHQ889" s="122"/>
      <c r="AHR889" s="122"/>
      <c r="AHS889" s="122"/>
      <c r="AHT889" s="122"/>
      <c r="AHU889" s="122"/>
      <c r="AHV889" s="122"/>
      <c r="AHW889" s="122"/>
      <c r="AHX889" s="122"/>
      <c r="AHY889" s="122"/>
      <c r="AHZ889" s="122"/>
      <c r="AIA889" s="122"/>
      <c r="AIB889" s="122"/>
      <c r="AIC889" s="122"/>
      <c r="AID889" s="122"/>
      <c r="AIE889" s="122"/>
      <c r="AIF889" s="122"/>
      <c r="AIG889" s="122"/>
      <c r="AIH889" s="122"/>
      <c r="AII889" s="122"/>
      <c r="AIJ889" s="122"/>
      <c r="AIK889" s="122"/>
      <c r="AIL889" s="122"/>
      <c r="AIM889" s="122"/>
      <c r="AIN889" s="122"/>
      <c r="AIO889" s="122"/>
      <c r="AIP889" s="122"/>
      <c r="AIQ889" s="122"/>
      <c r="AIR889" s="122"/>
      <c r="AIS889" s="122"/>
      <c r="AIT889" s="122"/>
      <c r="AIU889" s="122"/>
      <c r="AIV889" s="122"/>
      <c r="AIW889" s="122"/>
      <c r="AIX889" s="122"/>
      <c r="AIY889" s="122"/>
      <c r="AIZ889" s="122"/>
      <c r="AJA889" s="122"/>
      <c r="AJB889" s="122"/>
      <c r="AJC889" s="122"/>
      <c r="AJD889" s="122"/>
      <c r="AJE889" s="122"/>
      <c r="AJF889" s="122"/>
      <c r="AJG889" s="122"/>
      <c r="AJH889" s="122"/>
      <c r="AJI889" s="122"/>
      <c r="AJJ889" s="122"/>
      <c r="AJK889" s="122"/>
      <c r="AJL889" s="122"/>
      <c r="AJM889" s="122"/>
      <c r="AJN889" s="122"/>
      <c r="AJO889" s="122"/>
      <c r="AJP889" s="122"/>
      <c r="AJQ889" s="122"/>
      <c r="AJR889" s="122"/>
      <c r="AJS889" s="122"/>
      <c r="AJT889" s="122"/>
      <c r="AJU889" s="122"/>
      <c r="AJV889" s="122"/>
      <c r="AJW889" s="122"/>
      <c r="AJX889" s="122"/>
      <c r="AJY889" s="122"/>
      <c r="AJZ889" s="122"/>
      <c r="AKA889" s="122"/>
      <c r="AKB889" s="122"/>
      <c r="AKC889" s="122"/>
      <c r="AKD889" s="122"/>
      <c r="AKE889" s="122"/>
      <c r="AKF889" s="122"/>
      <c r="AKG889" s="122"/>
      <c r="AKH889" s="122"/>
      <c r="AKI889" s="122"/>
      <c r="AKJ889" s="122"/>
      <c r="AKK889" s="122"/>
      <c r="AKL889" s="122"/>
      <c r="AKM889" s="122"/>
      <c r="AKN889" s="122"/>
      <c r="AKO889" s="122"/>
      <c r="AKP889" s="122"/>
      <c r="AKQ889" s="122"/>
      <c r="AKR889" s="122"/>
      <c r="AKS889" s="122"/>
      <c r="AKT889" s="122"/>
      <c r="AKU889" s="122"/>
      <c r="AKV889" s="122"/>
      <c r="AKW889" s="122"/>
      <c r="AKX889" s="122"/>
      <c r="AKY889" s="122"/>
      <c r="AKZ889" s="122"/>
      <c r="ALA889" s="122"/>
      <c r="ALB889" s="122"/>
      <c r="ALC889" s="122"/>
      <c r="ALD889" s="122"/>
      <c r="ALE889" s="122"/>
      <c r="ALF889" s="122"/>
      <c r="ALG889" s="122"/>
      <c r="ALH889" s="122"/>
      <c r="ALI889" s="122"/>
      <c r="ALJ889" s="122"/>
      <c r="ALK889" s="122"/>
      <c r="ALL889" s="122"/>
      <c r="ALM889" s="122"/>
      <c r="ALN889" s="122"/>
      <c r="ALO889" s="122"/>
      <c r="ALP889" s="122"/>
      <c r="ALQ889" s="122"/>
      <c r="ALR889" s="122"/>
      <c r="ALS889" s="122"/>
      <c r="ALT889" s="122"/>
      <c r="ALU889" s="122"/>
      <c r="ALV889" s="122"/>
      <c r="ALW889" s="122"/>
      <c r="ALX889" s="122"/>
      <c r="ALY889" s="122"/>
      <c r="ALZ889" s="122"/>
      <c r="AMA889" s="122"/>
      <c r="AMB889" s="122"/>
      <c r="AMC889" s="122"/>
      <c r="AMD889" s="122"/>
      <c r="AME889" s="122"/>
      <c r="AMF889" s="122"/>
      <c r="AMG889" s="122"/>
      <c r="AMH889" s="122"/>
      <c r="AMI889" s="122"/>
      <c r="AMJ889" s="122"/>
      <c r="AMK889" s="122"/>
      <c r="AML889" s="122"/>
      <c r="AMM889" s="122"/>
      <c r="AMN889" s="122"/>
      <c r="AMO889" s="122"/>
      <c r="AMP889" s="122"/>
      <c r="AMQ889" s="122"/>
      <c r="AMR889" s="122"/>
      <c r="AMS889" s="122"/>
      <c r="AMT889" s="122"/>
      <c r="AMU889" s="122"/>
      <c r="AMV889" s="122"/>
      <c r="AMW889" s="122"/>
      <c r="AMX889" s="122"/>
      <c r="AMY889" s="122"/>
      <c r="AMZ889" s="122"/>
      <c r="ANA889" s="122"/>
      <c r="ANB889" s="122"/>
      <c r="ANC889" s="122"/>
      <c r="AND889" s="122"/>
      <c r="ANE889" s="122"/>
      <c r="ANF889" s="122"/>
      <c r="ANG889" s="122"/>
      <c r="ANH889" s="122"/>
      <c r="ANI889" s="122"/>
      <c r="ANJ889" s="122"/>
      <c r="ANK889" s="122"/>
      <c r="ANL889" s="122"/>
      <c r="ANM889" s="122"/>
      <c r="ANN889" s="122"/>
      <c r="ANO889" s="122"/>
      <c r="ANP889" s="122"/>
      <c r="ANQ889" s="122"/>
      <c r="ANR889" s="122"/>
      <c r="ANS889" s="122"/>
      <c r="ANT889" s="122"/>
      <c r="ANU889" s="122"/>
      <c r="ANV889" s="122"/>
      <c r="ANW889" s="122"/>
      <c r="ANX889" s="122"/>
      <c r="ANY889" s="122"/>
      <c r="ANZ889" s="122"/>
      <c r="AOA889" s="122"/>
      <c r="AOB889" s="122"/>
      <c r="AOC889" s="122"/>
      <c r="AOD889" s="122"/>
      <c r="AOE889" s="122"/>
      <c r="AOF889" s="122"/>
      <c r="AOG889" s="122"/>
      <c r="AOH889" s="122"/>
      <c r="AOI889" s="122"/>
      <c r="AOJ889" s="122"/>
      <c r="AOK889" s="122"/>
      <c r="AOL889" s="122"/>
      <c r="AOM889" s="122"/>
      <c r="AON889" s="122"/>
      <c r="AOO889" s="122"/>
      <c r="AOP889" s="122"/>
      <c r="AOQ889" s="122"/>
      <c r="AOR889" s="122"/>
      <c r="AOS889" s="122"/>
      <c r="AOT889" s="122"/>
      <c r="AOU889" s="122"/>
      <c r="AOV889" s="122"/>
      <c r="AOW889" s="122"/>
      <c r="AOX889" s="122"/>
      <c r="AOY889" s="122"/>
      <c r="AOZ889" s="122"/>
      <c r="APA889" s="122"/>
      <c r="APB889" s="122"/>
      <c r="APC889" s="122"/>
      <c r="APD889" s="122"/>
      <c r="APE889" s="122"/>
      <c r="APF889" s="122"/>
      <c r="APG889" s="122"/>
      <c r="APH889" s="122"/>
      <c r="API889" s="122"/>
      <c r="APJ889" s="122"/>
      <c r="APK889" s="122"/>
      <c r="APL889" s="122"/>
      <c r="APM889" s="122"/>
      <c r="APN889" s="122"/>
      <c r="APO889" s="122"/>
      <c r="APP889" s="122"/>
      <c r="APQ889" s="122"/>
      <c r="APR889" s="122"/>
      <c r="APS889" s="122"/>
      <c r="APT889" s="122"/>
      <c r="APU889" s="122"/>
      <c r="APV889" s="122"/>
      <c r="APW889" s="122"/>
      <c r="APX889" s="122"/>
      <c r="APY889" s="122"/>
      <c r="APZ889" s="122"/>
      <c r="AQA889" s="122"/>
      <c r="AQB889" s="122"/>
      <c r="AQC889" s="122"/>
      <c r="AQD889" s="122"/>
      <c r="AQE889" s="122"/>
      <c r="AQF889" s="122"/>
      <c r="AQG889" s="122"/>
      <c r="AQH889" s="122"/>
      <c r="AQI889" s="122"/>
      <c r="AQJ889" s="122"/>
      <c r="AQK889" s="122"/>
      <c r="AQL889" s="122"/>
      <c r="AQM889" s="122"/>
      <c r="AQN889" s="122"/>
      <c r="AQO889" s="122"/>
      <c r="AQP889" s="122"/>
      <c r="AQQ889" s="122"/>
      <c r="AQR889" s="122"/>
      <c r="AQS889" s="122"/>
      <c r="AQT889" s="122"/>
      <c r="AQU889" s="122"/>
      <c r="AQV889" s="122"/>
      <c r="AQW889" s="122"/>
      <c r="AQX889" s="122"/>
      <c r="AQY889" s="122"/>
      <c r="AQZ889" s="122"/>
      <c r="ARA889" s="122"/>
      <c r="ARB889" s="122"/>
      <c r="ARC889" s="122"/>
      <c r="ARD889" s="122"/>
      <c r="ARE889" s="122"/>
      <c r="ARF889" s="122"/>
      <c r="ARG889" s="122"/>
      <c r="ARH889" s="122"/>
      <c r="ARI889" s="122"/>
      <c r="ARJ889" s="122"/>
      <c r="ARK889" s="122"/>
      <c r="ARL889" s="122"/>
      <c r="ARM889" s="122"/>
      <c r="ARN889" s="122"/>
      <c r="ARO889" s="122"/>
      <c r="ARP889" s="122"/>
      <c r="ARQ889" s="122"/>
      <c r="ARR889" s="122"/>
      <c r="ARS889" s="122"/>
      <c r="ART889" s="122"/>
      <c r="ARU889" s="122"/>
      <c r="ARV889" s="122"/>
      <c r="ARW889" s="122"/>
      <c r="ARX889" s="122"/>
      <c r="ARY889" s="122"/>
      <c r="ARZ889" s="122"/>
      <c r="ASA889" s="122"/>
      <c r="ASB889" s="122"/>
      <c r="ASC889" s="122"/>
      <c r="ASD889" s="122"/>
      <c r="ASE889" s="122"/>
      <c r="ASF889" s="122"/>
      <c r="ASG889" s="122"/>
      <c r="ASH889" s="122"/>
      <c r="ASI889" s="122"/>
      <c r="ASJ889" s="122"/>
      <c r="ASK889" s="122"/>
      <c r="ASL889" s="122"/>
      <c r="ASM889" s="122"/>
      <c r="ASN889" s="122"/>
      <c r="ASO889" s="122"/>
      <c r="ASP889" s="122"/>
      <c r="ASQ889" s="122"/>
      <c r="ASR889" s="122"/>
      <c r="ASS889" s="122"/>
      <c r="AST889" s="122"/>
      <c r="ASU889" s="122"/>
      <c r="ASV889" s="122"/>
      <c r="ASW889" s="122"/>
      <c r="ASX889" s="122"/>
      <c r="ASY889" s="122"/>
      <c r="ASZ889" s="122"/>
      <c r="ATA889" s="122"/>
      <c r="ATB889" s="122"/>
      <c r="ATC889" s="122"/>
      <c r="ATD889" s="122"/>
      <c r="ATE889" s="122"/>
      <c r="ATF889" s="122"/>
      <c r="ATG889" s="122"/>
      <c r="ATH889" s="122"/>
      <c r="ATI889" s="122"/>
      <c r="ATJ889" s="122"/>
      <c r="ATK889" s="122"/>
      <c r="ATL889" s="122"/>
      <c r="ATM889" s="122"/>
      <c r="ATN889" s="122"/>
      <c r="ATO889" s="122"/>
      <c r="ATP889" s="122"/>
      <c r="ATQ889" s="122"/>
      <c r="ATR889" s="122"/>
      <c r="ATS889" s="122"/>
      <c r="ATT889" s="122"/>
      <c r="ATU889" s="122"/>
      <c r="ATV889" s="122"/>
      <c r="ATW889" s="122"/>
      <c r="ATX889" s="122"/>
      <c r="ATY889" s="122"/>
      <c r="ATZ889" s="122"/>
      <c r="AUA889" s="122"/>
      <c r="AUB889" s="122"/>
      <c r="AUC889" s="122"/>
      <c r="AUD889" s="122"/>
      <c r="AUE889" s="122"/>
      <c r="AUF889" s="122"/>
      <c r="AUG889" s="122"/>
      <c r="AUH889" s="122"/>
      <c r="AUI889" s="122"/>
      <c r="AUJ889" s="122"/>
      <c r="AUK889" s="122"/>
      <c r="AUL889" s="122"/>
      <c r="AUM889" s="122"/>
      <c r="AUN889" s="122"/>
      <c r="AUO889" s="122"/>
      <c r="AUP889" s="122"/>
      <c r="AUQ889" s="122"/>
      <c r="AUR889" s="122"/>
      <c r="AUS889" s="122"/>
      <c r="AUT889" s="122"/>
      <c r="AUU889" s="122"/>
      <c r="AUV889" s="122"/>
      <c r="AUW889" s="122"/>
      <c r="AUX889" s="122"/>
      <c r="AUY889" s="122"/>
      <c r="AUZ889" s="122"/>
      <c r="AVA889" s="122"/>
      <c r="AVB889" s="122"/>
      <c r="AVC889" s="122"/>
      <c r="AVD889" s="122"/>
      <c r="AVE889" s="122"/>
      <c r="AVF889" s="122"/>
      <c r="AVG889" s="122"/>
      <c r="AVH889" s="122"/>
      <c r="AVI889" s="122"/>
      <c r="AVJ889" s="122"/>
      <c r="AVK889" s="122"/>
      <c r="AVL889" s="122"/>
      <c r="AVM889" s="122"/>
      <c r="AVN889" s="122"/>
      <c r="AVO889" s="122"/>
      <c r="AVP889" s="122"/>
      <c r="AVQ889" s="122"/>
      <c r="AVR889" s="122"/>
      <c r="AVS889" s="122"/>
      <c r="AVT889" s="122"/>
      <c r="AVU889" s="122"/>
      <c r="AVV889" s="122"/>
      <c r="AVW889" s="122"/>
      <c r="AVX889" s="122"/>
      <c r="AVY889" s="122"/>
      <c r="AVZ889" s="122"/>
      <c r="AWA889" s="122"/>
      <c r="AWB889" s="122"/>
      <c r="AWC889" s="122"/>
      <c r="AWD889" s="122"/>
      <c r="AWE889" s="122"/>
      <c r="AWF889" s="122"/>
      <c r="AWG889" s="122"/>
      <c r="AWH889" s="122"/>
      <c r="AWI889" s="122"/>
      <c r="AWJ889" s="122"/>
      <c r="AWK889" s="122"/>
      <c r="AWL889" s="122"/>
      <c r="AWM889" s="122"/>
      <c r="AWN889" s="122"/>
      <c r="AWO889" s="122"/>
      <c r="AWP889" s="122"/>
      <c r="AWQ889" s="122"/>
      <c r="AWR889" s="122"/>
      <c r="AWS889" s="122"/>
      <c r="AWT889" s="122"/>
      <c r="AWU889" s="122"/>
      <c r="AWV889" s="122"/>
      <c r="AWW889" s="122"/>
      <c r="AWX889" s="122"/>
      <c r="AWY889" s="122"/>
      <c r="AWZ889" s="122"/>
      <c r="AXA889" s="122"/>
      <c r="AXB889" s="122"/>
      <c r="AXC889" s="122"/>
      <c r="AXD889" s="122"/>
      <c r="AXE889" s="122"/>
      <c r="AXF889" s="122"/>
      <c r="AXG889" s="122"/>
      <c r="AXH889" s="122"/>
      <c r="AXI889" s="122"/>
      <c r="AXJ889" s="122"/>
      <c r="AXK889" s="122"/>
      <c r="AXL889" s="122"/>
      <c r="AXM889" s="122"/>
      <c r="AXN889" s="122"/>
      <c r="AXO889" s="122"/>
      <c r="AXP889" s="122"/>
      <c r="AXQ889" s="122"/>
      <c r="AXR889" s="122"/>
      <c r="AXS889" s="122"/>
      <c r="AXT889" s="122"/>
      <c r="AXU889" s="122"/>
      <c r="AXV889" s="122"/>
      <c r="AXW889" s="122"/>
      <c r="AXX889" s="122"/>
      <c r="AXY889" s="122"/>
      <c r="AXZ889" s="122"/>
      <c r="AYA889" s="122"/>
      <c r="AYB889" s="122"/>
      <c r="AYC889" s="122"/>
      <c r="AYD889" s="122"/>
      <c r="AYE889" s="122"/>
      <c r="AYF889" s="122"/>
      <c r="AYG889" s="122"/>
      <c r="AYH889" s="122"/>
      <c r="AYI889" s="122"/>
      <c r="AYJ889" s="122"/>
      <c r="AYK889" s="122"/>
      <c r="AYL889" s="122"/>
      <c r="AYM889" s="122"/>
      <c r="AYN889" s="122"/>
      <c r="AYO889" s="122"/>
      <c r="AYP889" s="122"/>
      <c r="AYQ889" s="122"/>
      <c r="AYR889" s="122"/>
      <c r="AYS889" s="122"/>
      <c r="AYT889" s="122"/>
      <c r="AYU889" s="122"/>
      <c r="AYV889" s="122"/>
      <c r="AYW889" s="122"/>
      <c r="AYX889" s="122"/>
      <c r="AYY889" s="122"/>
      <c r="AYZ889" s="122"/>
      <c r="AZA889" s="122"/>
      <c r="AZB889" s="122"/>
      <c r="AZC889" s="122"/>
      <c r="AZD889" s="122"/>
      <c r="AZE889" s="122"/>
      <c r="AZF889" s="122"/>
      <c r="AZG889" s="122"/>
      <c r="AZH889" s="122"/>
      <c r="AZI889" s="122"/>
      <c r="AZJ889" s="122"/>
      <c r="AZK889" s="122"/>
      <c r="AZL889" s="122"/>
      <c r="AZM889" s="122"/>
      <c r="AZN889" s="122"/>
      <c r="AZO889" s="122"/>
      <c r="AZP889" s="122"/>
      <c r="AZQ889" s="122"/>
      <c r="AZR889" s="122"/>
      <c r="AZS889" s="122"/>
      <c r="AZT889" s="122"/>
      <c r="AZU889" s="122"/>
      <c r="AZV889" s="122"/>
      <c r="AZW889" s="122"/>
      <c r="AZX889" s="122"/>
      <c r="AZY889" s="122"/>
      <c r="AZZ889" s="122"/>
      <c r="BAA889" s="122"/>
      <c r="BAB889" s="122"/>
      <c r="BAC889" s="122"/>
      <c r="BAD889" s="122"/>
      <c r="BAE889" s="122"/>
      <c r="BAF889" s="122"/>
      <c r="BAG889" s="122"/>
      <c r="BAH889" s="122"/>
      <c r="BAI889" s="122"/>
      <c r="BAJ889" s="122"/>
      <c r="BAK889" s="122"/>
      <c r="BAL889" s="122"/>
      <c r="BAM889" s="122"/>
      <c r="BAN889" s="122"/>
      <c r="BAO889" s="122"/>
      <c r="BAP889" s="122"/>
      <c r="BAQ889" s="122"/>
      <c r="BAR889" s="122"/>
      <c r="BAS889" s="122"/>
      <c r="BAT889" s="122"/>
      <c r="BAU889" s="122"/>
      <c r="BAV889" s="122"/>
      <c r="BAW889" s="122"/>
      <c r="BAX889" s="122"/>
      <c r="BAY889" s="122"/>
      <c r="BAZ889" s="122"/>
      <c r="BBA889" s="122"/>
      <c r="BBB889" s="122"/>
      <c r="BBC889" s="122"/>
      <c r="BBD889" s="122"/>
      <c r="BBE889" s="122"/>
      <c r="BBF889" s="122"/>
      <c r="BBG889" s="122"/>
      <c r="BBH889" s="122"/>
      <c r="BBI889" s="122"/>
      <c r="BBJ889" s="122"/>
      <c r="BBK889" s="122"/>
      <c r="BBL889" s="122"/>
      <c r="BBM889" s="122"/>
      <c r="BBN889" s="122"/>
      <c r="BBO889" s="122"/>
      <c r="BBP889" s="122"/>
      <c r="BBQ889" s="122"/>
      <c r="BBR889" s="122"/>
      <c r="BBS889" s="122"/>
      <c r="BBT889" s="122"/>
      <c r="BBU889" s="122"/>
      <c r="BBV889" s="122"/>
      <c r="BBW889" s="122"/>
      <c r="BBX889" s="122"/>
      <c r="BBY889" s="122"/>
      <c r="BBZ889" s="122"/>
      <c r="BCA889" s="122"/>
      <c r="BCB889" s="122"/>
      <c r="BCC889" s="122"/>
      <c r="BCD889" s="122"/>
      <c r="BCE889" s="122"/>
      <c r="BCF889" s="122"/>
      <c r="BCG889" s="122"/>
      <c r="BCH889" s="122"/>
      <c r="BCI889" s="122"/>
      <c r="BCJ889" s="122"/>
      <c r="BCK889" s="122"/>
      <c r="BCL889" s="122"/>
      <c r="BCM889" s="122"/>
      <c r="BCN889" s="122"/>
      <c r="BCO889" s="122"/>
      <c r="BCP889" s="122"/>
      <c r="BCQ889" s="122"/>
      <c r="BCR889" s="122"/>
      <c r="BCS889" s="122"/>
      <c r="BCT889" s="122"/>
      <c r="BCU889" s="122"/>
      <c r="BCV889" s="122"/>
      <c r="BCW889" s="122"/>
      <c r="BCX889" s="122"/>
      <c r="BCY889" s="122"/>
      <c r="BCZ889" s="122"/>
      <c r="BDA889" s="122"/>
      <c r="BDB889" s="122"/>
      <c r="BDC889" s="122"/>
      <c r="BDD889" s="122"/>
      <c r="BDE889" s="122"/>
      <c r="BDF889" s="122"/>
      <c r="BDG889" s="122"/>
      <c r="BDH889" s="122"/>
      <c r="BDI889" s="122"/>
      <c r="BDJ889" s="122"/>
      <c r="BDK889" s="122"/>
      <c r="BDL889" s="122"/>
      <c r="BDM889" s="122"/>
      <c r="BDN889" s="122"/>
      <c r="BDO889" s="122"/>
      <c r="BDP889" s="122"/>
      <c r="BDQ889" s="122"/>
      <c r="BDR889" s="122"/>
      <c r="BDS889" s="122"/>
      <c r="BDT889" s="122"/>
      <c r="BDU889" s="122"/>
      <c r="BDV889" s="122"/>
      <c r="BDW889" s="122"/>
      <c r="BDX889" s="122"/>
      <c r="BDY889" s="122"/>
      <c r="BDZ889" s="122"/>
      <c r="BEA889" s="122"/>
      <c r="BEB889" s="122"/>
      <c r="BEC889" s="122"/>
      <c r="BED889" s="122"/>
      <c r="BEE889" s="122"/>
      <c r="BEF889" s="122"/>
      <c r="BEG889" s="122"/>
      <c r="BEH889" s="122"/>
      <c r="BEI889" s="122"/>
      <c r="BEJ889" s="122"/>
      <c r="BEK889" s="122"/>
      <c r="BEL889" s="122"/>
      <c r="BEM889" s="122"/>
      <c r="BEN889" s="122"/>
      <c r="BEO889" s="122"/>
      <c r="BEP889" s="122"/>
      <c r="BEQ889" s="122"/>
      <c r="BER889" s="122"/>
      <c r="BES889" s="122"/>
      <c r="BET889" s="122"/>
      <c r="BEU889" s="122"/>
      <c r="BEV889" s="122"/>
      <c r="BEW889" s="122"/>
      <c r="BEX889" s="122"/>
      <c r="BEY889" s="122"/>
      <c r="BEZ889" s="122"/>
      <c r="BFA889" s="122"/>
      <c r="BFB889" s="122"/>
      <c r="BFC889" s="122"/>
      <c r="BFD889" s="122"/>
      <c r="BFE889" s="122"/>
      <c r="BFF889" s="122"/>
      <c r="BFG889" s="122"/>
      <c r="BFH889" s="122"/>
      <c r="BFI889" s="122"/>
      <c r="BFJ889" s="122"/>
      <c r="BFK889" s="122"/>
      <c r="BFL889" s="122"/>
      <c r="BFM889" s="122"/>
      <c r="BFN889" s="122"/>
      <c r="BFO889" s="122"/>
      <c r="BFP889" s="122"/>
      <c r="BFQ889" s="122"/>
      <c r="BFR889" s="122"/>
      <c r="BFS889" s="122"/>
      <c r="BFT889" s="122"/>
      <c r="BFU889" s="122"/>
      <c r="BFV889" s="122"/>
      <c r="BFW889" s="122"/>
      <c r="BFX889" s="122"/>
      <c r="BFY889" s="122"/>
      <c r="BFZ889" s="122"/>
      <c r="BGA889" s="122"/>
      <c r="BGB889" s="122"/>
      <c r="BGC889" s="122"/>
      <c r="BGD889" s="122"/>
      <c r="BGE889" s="122"/>
      <c r="BGF889" s="122"/>
      <c r="BGG889" s="122"/>
      <c r="BGH889" s="122"/>
      <c r="BGI889" s="122"/>
      <c r="BGJ889" s="122"/>
      <c r="BGK889" s="122"/>
      <c r="BGL889" s="122"/>
      <c r="BGM889" s="122"/>
      <c r="BGN889" s="122"/>
      <c r="BGO889" s="122"/>
      <c r="BGP889" s="122"/>
      <c r="BGQ889" s="122"/>
      <c r="BGR889" s="122"/>
      <c r="BGS889" s="122"/>
      <c r="BGT889" s="122"/>
      <c r="BGU889" s="122"/>
      <c r="BGV889" s="122"/>
      <c r="BGW889" s="122"/>
      <c r="BGX889" s="122"/>
      <c r="BGY889" s="122"/>
      <c r="BGZ889" s="122"/>
      <c r="BHA889" s="122"/>
      <c r="BHB889" s="122"/>
      <c r="BHC889" s="122"/>
      <c r="BHD889" s="122"/>
      <c r="BHE889" s="122"/>
      <c r="BHF889" s="122"/>
      <c r="BHG889" s="122"/>
      <c r="BHH889" s="122"/>
      <c r="BHI889" s="122"/>
      <c r="BHJ889" s="122"/>
      <c r="BHK889" s="122"/>
      <c r="BHL889" s="122"/>
      <c r="BHM889" s="122"/>
      <c r="BHN889" s="122"/>
      <c r="BHO889" s="122"/>
      <c r="BHP889" s="122"/>
      <c r="BHQ889" s="122"/>
      <c r="BHR889" s="122"/>
      <c r="BHS889" s="122"/>
      <c r="BHT889" s="122"/>
      <c r="BHU889" s="122"/>
      <c r="BHV889" s="122"/>
      <c r="BHW889" s="122"/>
      <c r="BHX889" s="122"/>
      <c r="BHY889" s="122"/>
      <c r="BHZ889" s="122"/>
      <c r="BIA889" s="122"/>
      <c r="BIB889" s="122"/>
      <c r="BIC889" s="122"/>
      <c r="BID889" s="122"/>
      <c r="BIE889" s="122"/>
      <c r="BIF889" s="122"/>
      <c r="BIG889" s="122"/>
      <c r="BIH889" s="122"/>
      <c r="BII889" s="122"/>
      <c r="BIJ889" s="122"/>
      <c r="BIK889" s="122"/>
      <c r="BIL889" s="122"/>
      <c r="BIM889" s="122"/>
      <c r="BIN889" s="122"/>
      <c r="BIO889" s="122"/>
      <c r="BIP889" s="122"/>
      <c r="BIQ889" s="122"/>
      <c r="BIR889" s="122"/>
      <c r="BIS889" s="122"/>
      <c r="BIT889" s="122"/>
      <c r="BIU889" s="122"/>
      <c r="BIV889" s="122"/>
      <c r="BIW889" s="122"/>
      <c r="BIX889" s="122"/>
      <c r="BIY889" s="122"/>
      <c r="BIZ889" s="122"/>
      <c r="BJA889" s="122"/>
      <c r="BJB889" s="122"/>
      <c r="BJC889" s="122"/>
      <c r="BJD889" s="122"/>
      <c r="BJE889" s="122"/>
      <c r="BJF889" s="122"/>
      <c r="BJG889" s="122"/>
      <c r="BJH889" s="122"/>
      <c r="BJI889" s="122"/>
      <c r="BJJ889" s="122"/>
      <c r="BJK889" s="122"/>
      <c r="BJL889" s="122"/>
      <c r="BJM889" s="122"/>
      <c r="BJN889" s="122"/>
      <c r="BJO889" s="122"/>
      <c r="BJP889" s="122"/>
      <c r="BJQ889" s="122"/>
      <c r="BJR889" s="122"/>
      <c r="BJS889" s="122"/>
      <c r="BJT889" s="122"/>
      <c r="BJU889" s="122"/>
      <c r="BJV889" s="122"/>
      <c r="BJW889" s="122"/>
      <c r="BJX889" s="122"/>
      <c r="BJY889" s="122"/>
      <c r="BJZ889" s="122"/>
      <c r="BKA889" s="122"/>
      <c r="BKB889" s="122"/>
      <c r="BKC889" s="122"/>
      <c r="BKD889" s="122"/>
      <c r="BKE889" s="122"/>
      <c r="BKF889" s="122"/>
      <c r="BKG889" s="122"/>
      <c r="BKH889" s="122"/>
      <c r="BKI889" s="122"/>
      <c r="BKJ889" s="122"/>
      <c r="BKK889" s="122"/>
      <c r="BKL889" s="122"/>
      <c r="BKM889" s="122"/>
      <c r="BKN889" s="122"/>
      <c r="BKO889" s="122"/>
      <c r="BKP889" s="122"/>
      <c r="BKQ889" s="122"/>
      <c r="BKR889" s="122"/>
      <c r="BKS889" s="122"/>
      <c r="BKT889" s="122"/>
      <c r="BKU889" s="122"/>
      <c r="BKV889" s="122"/>
      <c r="BKW889" s="122"/>
      <c r="BKX889" s="122"/>
      <c r="BKY889" s="122"/>
      <c r="BKZ889" s="122"/>
      <c r="BLA889" s="122"/>
      <c r="BLB889" s="122"/>
      <c r="BLC889" s="122"/>
      <c r="BLD889" s="122"/>
      <c r="BLE889" s="122"/>
      <c r="BLF889" s="122"/>
      <c r="BLG889" s="122"/>
      <c r="BLH889" s="122"/>
      <c r="BLI889" s="122"/>
      <c r="BLJ889" s="122"/>
      <c r="BLK889" s="122"/>
      <c r="BLL889" s="122"/>
      <c r="BLM889" s="122"/>
      <c r="BLN889" s="122"/>
      <c r="BLO889" s="122"/>
      <c r="BLP889" s="122"/>
      <c r="BLQ889" s="122"/>
      <c r="BLR889" s="122"/>
      <c r="BLS889" s="122"/>
      <c r="BLT889" s="122"/>
      <c r="BLU889" s="122"/>
      <c r="BLV889" s="122"/>
      <c r="BLW889" s="122"/>
      <c r="BLX889" s="122"/>
      <c r="BLY889" s="122"/>
      <c r="BLZ889" s="122"/>
      <c r="BMA889" s="122"/>
      <c r="BMB889" s="122"/>
      <c r="BMC889" s="122"/>
      <c r="BMD889" s="122"/>
      <c r="BME889" s="122"/>
      <c r="BMF889" s="122"/>
      <c r="BMG889" s="122"/>
      <c r="BMH889" s="122"/>
      <c r="BMI889" s="122"/>
      <c r="BMJ889" s="122"/>
      <c r="BMK889" s="122"/>
      <c r="BML889" s="122"/>
      <c r="BMM889" s="122"/>
      <c r="BMN889" s="122"/>
      <c r="BMO889" s="122"/>
      <c r="BMP889" s="122"/>
      <c r="BMQ889" s="122"/>
      <c r="BMR889" s="122"/>
      <c r="BMS889" s="122"/>
      <c r="BMT889" s="122"/>
      <c r="BMU889" s="122"/>
      <c r="BMV889" s="122"/>
      <c r="BMW889" s="122"/>
      <c r="BMX889" s="122"/>
      <c r="BMY889" s="122"/>
      <c r="BMZ889" s="122"/>
      <c r="BNA889" s="122"/>
      <c r="BNB889" s="122"/>
      <c r="BNC889" s="122"/>
      <c r="BND889" s="122"/>
      <c r="BNE889" s="122"/>
      <c r="BNF889" s="122"/>
      <c r="BNG889" s="122"/>
      <c r="BNH889" s="122"/>
      <c r="BNI889" s="122"/>
      <c r="BNJ889" s="122"/>
      <c r="BNK889" s="122"/>
      <c r="BNL889" s="122"/>
      <c r="BNM889" s="122"/>
      <c r="BNN889" s="122"/>
      <c r="BNO889" s="122"/>
      <c r="BNP889" s="122"/>
      <c r="BNQ889" s="122"/>
      <c r="BNR889" s="122"/>
      <c r="BNS889" s="122"/>
      <c r="BNT889" s="122"/>
      <c r="BNU889" s="122"/>
      <c r="BNV889" s="122"/>
      <c r="BNW889" s="122"/>
      <c r="BNX889" s="122"/>
      <c r="BNY889" s="122"/>
      <c r="BNZ889" s="122"/>
      <c r="BOA889" s="122"/>
      <c r="BOB889" s="122"/>
      <c r="BOC889" s="122"/>
      <c r="BOD889" s="122"/>
      <c r="BOE889" s="122"/>
      <c r="BOF889" s="122"/>
      <c r="BOG889" s="122"/>
      <c r="BOH889" s="122"/>
      <c r="BOI889" s="122"/>
      <c r="BOJ889" s="122"/>
      <c r="BOK889" s="122"/>
      <c r="BOL889" s="122"/>
      <c r="BOM889" s="122"/>
      <c r="BON889" s="122"/>
      <c r="BOO889" s="122"/>
      <c r="BOP889" s="122"/>
      <c r="BOQ889" s="122"/>
      <c r="BOR889" s="122"/>
      <c r="BOS889" s="122"/>
      <c r="BOT889" s="122"/>
      <c r="BOU889" s="122"/>
      <c r="BOV889" s="122"/>
      <c r="BOW889" s="122"/>
      <c r="BOX889" s="122"/>
      <c r="BOY889" s="122"/>
      <c r="BOZ889" s="122"/>
      <c r="BPA889" s="122"/>
      <c r="BPB889" s="122"/>
      <c r="BPC889" s="122"/>
      <c r="BPD889" s="122"/>
      <c r="BPE889" s="122"/>
      <c r="BPF889" s="122"/>
      <c r="BPG889" s="122"/>
      <c r="BPH889" s="122"/>
      <c r="BPI889" s="122"/>
      <c r="BPJ889" s="122"/>
      <c r="BPK889" s="122"/>
      <c r="BPL889" s="122"/>
      <c r="BPM889" s="122"/>
      <c r="BPN889" s="122"/>
      <c r="BPO889" s="122"/>
      <c r="BPP889" s="122"/>
      <c r="BPQ889" s="122"/>
      <c r="BPR889" s="122"/>
      <c r="BPS889" s="122"/>
      <c r="BPT889" s="122"/>
      <c r="BPU889" s="122"/>
      <c r="BPV889" s="122"/>
      <c r="BPW889" s="122"/>
      <c r="BPX889" s="122"/>
      <c r="BPY889" s="122"/>
      <c r="BPZ889" s="122"/>
      <c r="BQA889" s="122"/>
      <c r="BQB889" s="122"/>
      <c r="BQC889" s="122"/>
      <c r="BQD889" s="122"/>
      <c r="BQE889" s="122"/>
      <c r="BQF889" s="122"/>
      <c r="BQG889" s="122"/>
      <c r="BQH889" s="122"/>
      <c r="BQI889" s="122"/>
      <c r="BQJ889" s="122"/>
      <c r="BQK889" s="122"/>
      <c r="BQL889" s="122"/>
      <c r="BQM889" s="122"/>
      <c r="BQN889" s="122"/>
      <c r="BQO889" s="122"/>
      <c r="BQP889" s="122"/>
      <c r="BQQ889" s="122"/>
      <c r="BQR889" s="122"/>
      <c r="BQS889" s="122"/>
      <c r="BQT889" s="122"/>
      <c r="BQU889" s="122"/>
      <c r="BQV889" s="122"/>
      <c r="BQW889" s="122"/>
      <c r="BQX889" s="122"/>
      <c r="BQY889" s="122"/>
      <c r="BQZ889" s="122"/>
      <c r="BRA889" s="122"/>
      <c r="BRB889" s="122"/>
      <c r="BRC889" s="122"/>
      <c r="BRD889" s="122"/>
      <c r="BRE889" s="122"/>
      <c r="BRF889" s="122"/>
      <c r="BRG889" s="122"/>
      <c r="BRH889" s="122"/>
      <c r="BRI889" s="122"/>
      <c r="BRJ889" s="122"/>
      <c r="BRK889" s="122"/>
      <c r="BRL889" s="122"/>
      <c r="BRM889" s="122"/>
      <c r="BRN889" s="122"/>
      <c r="BRO889" s="122"/>
      <c r="BRP889" s="122"/>
      <c r="BRQ889" s="122"/>
      <c r="BRR889" s="122"/>
      <c r="BRS889" s="122"/>
      <c r="BRT889" s="122"/>
      <c r="BRU889" s="122"/>
      <c r="BRV889" s="122"/>
      <c r="BRW889" s="122"/>
      <c r="BRX889" s="122"/>
      <c r="BRY889" s="122"/>
      <c r="BRZ889" s="122"/>
      <c r="BSA889" s="122"/>
      <c r="BSB889" s="122"/>
      <c r="BSC889" s="122"/>
      <c r="BSD889" s="122"/>
      <c r="BSE889" s="122"/>
      <c r="BSF889" s="122"/>
      <c r="BSG889" s="122"/>
      <c r="BSH889" s="122"/>
      <c r="BSI889" s="122"/>
      <c r="BSJ889" s="122"/>
      <c r="BSK889" s="122"/>
      <c r="BSL889" s="122"/>
      <c r="BSM889" s="122"/>
      <c r="BSN889" s="122"/>
      <c r="BSO889" s="122"/>
      <c r="BSP889" s="122"/>
      <c r="BSQ889" s="122"/>
      <c r="BSR889" s="122"/>
      <c r="BSS889" s="122"/>
      <c r="BST889" s="122"/>
      <c r="BSU889" s="122"/>
      <c r="BSV889" s="122"/>
      <c r="BSW889" s="122"/>
      <c r="BSX889" s="122"/>
      <c r="BSY889" s="122"/>
      <c r="BSZ889" s="122"/>
      <c r="BTA889" s="122"/>
      <c r="BTB889" s="122"/>
      <c r="BTC889" s="122"/>
      <c r="BTD889" s="122"/>
      <c r="BTE889" s="122"/>
      <c r="BTF889" s="122"/>
      <c r="BTG889" s="122"/>
      <c r="BTH889" s="122"/>
      <c r="BTI889" s="122"/>
      <c r="BTJ889" s="122"/>
      <c r="BTK889" s="122"/>
      <c r="BTL889" s="122"/>
      <c r="BTM889" s="122"/>
      <c r="BTN889" s="122"/>
      <c r="BTO889" s="122"/>
      <c r="BTP889" s="122"/>
      <c r="BTQ889" s="122"/>
      <c r="BTR889" s="122"/>
      <c r="BTS889" s="122"/>
      <c r="BTT889" s="122"/>
      <c r="BTU889" s="122"/>
      <c r="BTV889" s="122"/>
      <c r="BTW889" s="122"/>
      <c r="BTX889" s="122"/>
      <c r="BTY889" s="122"/>
      <c r="BTZ889" s="122"/>
      <c r="BUA889" s="122"/>
      <c r="BUB889" s="122"/>
      <c r="BUC889" s="122"/>
      <c r="BUD889" s="122"/>
      <c r="BUE889" s="122"/>
      <c r="BUF889" s="122"/>
      <c r="BUG889" s="122"/>
      <c r="BUH889" s="122"/>
      <c r="BUI889" s="122"/>
      <c r="BUJ889" s="122"/>
      <c r="BUK889" s="122"/>
      <c r="BUL889" s="122"/>
      <c r="BUM889" s="122"/>
      <c r="BUN889" s="122"/>
      <c r="BUO889" s="122"/>
      <c r="BUP889" s="122"/>
      <c r="BUQ889" s="122"/>
      <c r="BUR889" s="122"/>
      <c r="BUS889" s="122"/>
      <c r="BUT889" s="122"/>
      <c r="BUU889" s="122"/>
      <c r="BUV889" s="122"/>
      <c r="BUW889" s="122"/>
      <c r="BUX889" s="122"/>
      <c r="BUY889" s="122"/>
      <c r="BUZ889" s="122"/>
      <c r="BVA889" s="122"/>
      <c r="BVB889" s="122"/>
      <c r="BVC889" s="122"/>
      <c r="BVD889" s="122"/>
      <c r="BVE889" s="122"/>
      <c r="BVF889" s="122"/>
      <c r="BVG889" s="122"/>
      <c r="BVH889" s="122"/>
      <c r="BVI889" s="122"/>
      <c r="BVJ889" s="122"/>
      <c r="BVK889" s="122"/>
      <c r="BVL889" s="122"/>
      <c r="BVM889" s="122"/>
      <c r="BVN889" s="122"/>
      <c r="BVO889" s="122"/>
      <c r="BVP889" s="122"/>
      <c r="BVQ889" s="122"/>
      <c r="BVR889" s="122"/>
      <c r="BVS889" s="122"/>
      <c r="BVT889" s="122"/>
      <c r="BVU889" s="122"/>
      <c r="BVV889" s="122"/>
      <c r="BVW889" s="122"/>
      <c r="BVX889" s="122"/>
      <c r="BVY889" s="122"/>
      <c r="BVZ889" s="122"/>
      <c r="BWA889" s="122"/>
      <c r="BWB889" s="122"/>
      <c r="BWC889" s="122"/>
      <c r="BWD889" s="122"/>
      <c r="BWE889" s="122"/>
      <c r="BWF889" s="122"/>
      <c r="BWG889" s="122"/>
      <c r="BWH889" s="122"/>
      <c r="BWI889" s="122"/>
      <c r="BWJ889" s="122"/>
      <c r="BWK889" s="122"/>
      <c r="BWL889" s="122"/>
      <c r="BWM889" s="122"/>
      <c r="BWN889" s="122"/>
      <c r="BWO889" s="122"/>
      <c r="BWP889" s="122"/>
      <c r="BWQ889" s="122"/>
      <c r="BWR889" s="122"/>
      <c r="BWS889" s="122"/>
      <c r="BWT889" s="122"/>
      <c r="BWU889" s="122"/>
      <c r="BWV889" s="122"/>
      <c r="BWW889" s="122"/>
      <c r="BWX889" s="122"/>
      <c r="BWY889" s="122"/>
      <c r="BWZ889" s="122"/>
      <c r="BXA889" s="122"/>
      <c r="BXB889" s="122"/>
      <c r="BXC889" s="122"/>
      <c r="BXD889" s="122"/>
      <c r="BXE889" s="122"/>
      <c r="BXF889" s="122"/>
      <c r="BXG889" s="122"/>
      <c r="BXH889" s="122"/>
      <c r="BXI889" s="122"/>
      <c r="BXJ889" s="122"/>
      <c r="BXK889" s="122"/>
      <c r="BXL889" s="122"/>
      <c r="BXM889" s="122"/>
      <c r="BXN889" s="122"/>
      <c r="BXO889" s="122"/>
      <c r="BXP889" s="122"/>
      <c r="BXQ889" s="122"/>
      <c r="BXR889" s="122"/>
      <c r="BXS889" s="122"/>
      <c r="BXT889" s="122"/>
      <c r="BXU889" s="122"/>
      <c r="BXV889" s="122"/>
      <c r="BXW889" s="122"/>
      <c r="BXX889" s="122"/>
      <c r="BXY889" s="122"/>
      <c r="BXZ889" s="122"/>
      <c r="BYA889" s="122"/>
      <c r="BYB889" s="122"/>
      <c r="BYC889" s="122"/>
      <c r="BYD889" s="122"/>
      <c r="BYE889" s="122"/>
      <c r="BYF889" s="122"/>
      <c r="BYG889" s="122"/>
      <c r="BYH889" s="122"/>
      <c r="BYI889" s="122"/>
      <c r="BYJ889" s="122"/>
      <c r="BYK889" s="122"/>
      <c r="BYL889" s="122"/>
      <c r="BYM889" s="122"/>
      <c r="BYN889" s="122"/>
      <c r="BYO889" s="122"/>
      <c r="BYP889" s="122"/>
      <c r="BYQ889" s="122"/>
      <c r="BYR889" s="122"/>
      <c r="BYS889" s="122"/>
      <c r="BYT889" s="122"/>
      <c r="BYU889" s="122"/>
      <c r="BYV889" s="122"/>
      <c r="BYW889" s="122"/>
      <c r="BYX889" s="122"/>
      <c r="BYY889" s="122"/>
      <c r="BYZ889" s="122"/>
      <c r="BZA889" s="122"/>
      <c r="BZB889" s="122"/>
      <c r="BZC889" s="122"/>
      <c r="BZD889" s="122"/>
      <c r="BZE889" s="122"/>
      <c r="BZF889" s="122"/>
      <c r="BZG889" s="122"/>
      <c r="BZH889" s="122"/>
      <c r="BZI889" s="122"/>
      <c r="BZJ889" s="122"/>
      <c r="BZK889" s="122"/>
      <c r="BZL889" s="122"/>
      <c r="BZM889" s="122"/>
      <c r="BZN889" s="122"/>
      <c r="BZO889" s="122"/>
      <c r="BZP889" s="122"/>
      <c r="BZQ889" s="122"/>
      <c r="BZR889" s="122"/>
      <c r="BZS889" s="122"/>
      <c r="BZT889" s="122"/>
      <c r="BZU889" s="122"/>
      <c r="BZV889" s="122"/>
      <c r="BZW889" s="122"/>
      <c r="BZX889" s="122"/>
      <c r="BZY889" s="122"/>
      <c r="BZZ889" s="122"/>
      <c r="CAA889" s="122"/>
      <c r="CAB889" s="122"/>
      <c r="CAC889" s="122"/>
      <c r="CAD889" s="122"/>
      <c r="CAE889" s="122"/>
      <c r="CAF889" s="122"/>
      <c r="CAG889" s="122"/>
      <c r="CAH889" s="122"/>
      <c r="CAI889" s="122"/>
      <c r="CAJ889" s="122"/>
      <c r="CAK889" s="122"/>
      <c r="CAL889" s="122"/>
      <c r="CAM889" s="122"/>
      <c r="CAN889" s="122"/>
      <c r="CAO889" s="122"/>
      <c r="CAP889" s="122"/>
      <c r="CAQ889" s="122"/>
      <c r="CAR889" s="122"/>
      <c r="CAS889" s="122"/>
      <c r="CAT889" s="122"/>
      <c r="CAU889" s="122"/>
      <c r="CAV889" s="122"/>
      <c r="CAW889" s="122"/>
      <c r="CAX889" s="122"/>
      <c r="CAY889" s="122"/>
      <c r="CAZ889" s="122"/>
      <c r="CBA889" s="122"/>
      <c r="CBB889" s="122"/>
      <c r="CBC889" s="122"/>
      <c r="CBD889" s="122"/>
      <c r="CBE889" s="122"/>
      <c r="CBF889" s="122"/>
      <c r="CBG889" s="122"/>
      <c r="CBH889" s="122"/>
      <c r="CBI889" s="122"/>
      <c r="CBJ889" s="122"/>
      <c r="CBK889" s="122"/>
      <c r="CBL889" s="122"/>
      <c r="CBM889" s="122"/>
      <c r="CBN889" s="122"/>
      <c r="CBO889" s="122"/>
      <c r="CBP889" s="122"/>
      <c r="CBQ889" s="122"/>
      <c r="CBR889" s="122"/>
      <c r="CBS889" s="122"/>
      <c r="CBT889" s="122"/>
      <c r="CBU889" s="122"/>
      <c r="CBV889" s="122"/>
      <c r="CBW889" s="122"/>
      <c r="CBX889" s="122"/>
      <c r="CBY889" s="122"/>
      <c r="CBZ889" s="122"/>
      <c r="CCA889" s="122"/>
      <c r="CCB889" s="122"/>
      <c r="CCC889" s="122"/>
      <c r="CCD889" s="122"/>
      <c r="CCE889" s="122"/>
      <c r="CCF889" s="122"/>
      <c r="CCG889" s="122"/>
      <c r="CCH889" s="122"/>
      <c r="CCI889" s="122"/>
      <c r="CCJ889" s="122"/>
      <c r="CCK889" s="122"/>
      <c r="CCL889" s="122"/>
      <c r="CCM889" s="122"/>
      <c r="CCN889" s="122"/>
      <c r="CCO889" s="122"/>
      <c r="CCP889" s="122"/>
      <c r="CCQ889" s="122"/>
      <c r="CCR889" s="122"/>
      <c r="CCS889" s="122"/>
      <c r="CCT889" s="122"/>
      <c r="CCU889" s="122"/>
      <c r="CCV889" s="122"/>
      <c r="CCW889" s="122"/>
      <c r="CCX889" s="122"/>
      <c r="CCY889" s="122"/>
      <c r="CCZ889" s="122"/>
      <c r="CDA889" s="122"/>
      <c r="CDB889" s="122"/>
      <c r="CDC889" s="122"/>
      <c r="CDD889" s="122"/>
      <c r="CDE889" s="122"/>
      <c r="CDF889" s="122"/>
      <c r="CDG889" s="122"/>
      <c r="CDH889" s="122"/>
      <c r="CDI889" s="122"/>
      <c r="CDJ889" s="122"/>
      <c r="CDK889" s="122"/>
      <c r="CDL889" s="122"/>
      <c r="CDM889" s="122"/>
      <c r="CDN889" s="122"/>
      <c r="CDO889" s="122"/>
      <c r="CDP889" s="122"/>
      <c r="CDQ889" s="122"/>
      <c r="CDR889" s="122"/>
      <c r="CDS889" s="122"/>
      <c r="CDT889" s="122"/>
      <c r="CDU889" s="122"/>
      <c r="CDV889" s="122"/>
      <c r="CDW889" s="122"/>
      <c r="CDX889" s="122"/>
      <c r="CDY889" s="122"/>
      <c r="CDZ889" s="122"/>
      <c r="CEA889" s="122"/>
      <c r="CEB889" s="122"/>
      <c r="CEC889" s="122"/>
      <c r="CED889" s="122"/>
      <c r="CEE889" s="122"/>
      <c r="CEF889" s="122"/>
      <c r="CEG889" s="122"/>
      <c r="CEH889" s="122"/>
      <c r="CEI889" s="122"/>
      <c r="CEJ889" s="122"/>
      <c r="CEK889" s="122"/>
      <c r="CEL889" s="122"/>
      <c r="CEM889" s="122"/>
      <c r="CEN889" s="122"/>
      <c r="CEO889" s="122"/>
      <c r="CEP889" s="122"/>
      <c r="CEQ889" s="122"/>
      <c r="CER889" s="122"/>
      <c r="CES889" s="122"/>
      <c r="CET889" s="122"/>
      <c r="CEU889" s="122"/>
      <c r="CEV889" s="122"/>
      <c r="CEW889" s="122"/>
      <c r="CEX889" s="122"/>
      <c r="CEY889" s="122"/>
      <c r="CEZ889" s="122"/>
      <c r="CFA889" s="122"/>
      <c r="CFB889" s="122"/>
      <c r="CFC889" s="122"/>
      <c r="CFD889" s="122"/>
      <c r="CFE889" s="122"/>
      <c r="CFF889" s="122"/>
      <c r="CFG889" s="122"/>
      <c r="CFH889" s="122"/>
      <c r="CFI889" s="122"/>
      <c r="CFJ889" s="122"/>
      <c r="CFK889" s="122"/>
      <c r="CFL889" s="122"/>
      <c r="CFM889" s="122"/>
      <c r="CFN889" s="122"/>
      <c r="CFO889" s="122"/>
      <c r="CFP889" s="122"/>
      <c r="CFQ889" s="122"/>
      <c r="CFR889" s="122"/>
      <c r="CFS889" s="122"/>
      <c r="CFT889" s="122"/>
      <c r="CFU889" s="122"/>
      <c r="CFV889" s="122"/>
      <c r="CFW889" s="122"/>
      <c r="CFX889" s="122"/>
      <c r="CFY889" s="122"/>
      <c r="CFZ889" s="122"/>
      <c r="CGA889" s="122"/>
      <c r="CGB889" s="122"/>
      <c r="CGC889" s="122"/>
      <c r="CGD889" s="122"/>
      <c r="CGE889" s="122"/>
      <c r="CGF889" s="122"/>
      <c r="CGG889" s="122"/>
      <c r="CGH889" s="122"/>
      <c r="CGI889" s="122"/>
      <c r="CGJ889" s="122"/>
      <c r="CGK889" s="122"/>
      <c r="CGL889" s="122"/>
      <c r="CGM889" s="122"/>
      <c r="CGN889" s="122"/>
      <c r="CGO889" s="122"/>
      <c r="CGP889" s="122"/>
      <c r="CGQ889" s="122"/>
      <c r="CGR889" s="122"/>
      <c r="CGS889" s="122"/>
      <c r="CGT889" s="122"/>
      <c r="CGU889" s="122"/>
      <c r="CGV889" s="122"/>
      <c r="CGW889" s="122"/>
      <c r="CGX889" s="122"/>
      <c r="CGY889" s="122"/>
      <c r="CGZ889" s="122"/>
      <c r="CHA889" s="122"/>
      <c r="CHB889" s="122"/>
      <c r="CHC889" s="122"/>
      <c r="CHD889" s="122"/>
      <c r="CHE889" s="122"/>
      <c r="CHF889" s="122"/>
      <c r="CHG889" s="122"/>
      <c r="CHH889" s="122"/>
      <c r="CHI889" s="122"/>
      <c r="CHJ889" s="122"/>
      <c r="CHK889" s="122"/>
      <c r="CHL889" s="122"/>
      <c r="CHM889" s="122"/>
      <c r="CHN889" s="122"/>
      <c r="CHO889" s="122"/>
      <c r="CHP889" s="122"/>
      <c r="CHQ889" s="122"/>
      <c r="CHR889" s="122"/>
      <c r="CHS889" s="122"/>
      <c r="CHT889" s="122"/>
      <c r="CHU889" s="122"/>
      <c r="CHV889" s="122"/>
      <c r="CHW889" s="122"/>
      <c r="CHX889" s="122"/>
      <c r="CHY889" s="122"/>
      <c r="CHZ889" s="122"/>
      <c r="CIA889" s="122"/>
      <c r="CIB889" s="122"/>
      <c r="CIC889" s="122"/>
      <c r="CID889" s="122"/>
      <c r="CIE889" s="122"/>
      <c r="CIF889" s="122"/>
      <c r="CIG889" s="122"/>
      <c r="CIH889" s="122"/>
      <c r="CII889" s="122"/>
      <c r="CIJ889" s="122"/>
      <c r="CIK889" s="122"/>
      <c r="CIL889" s="122"/>
      <c r="CIM889" s="122"/>
      <c r="CIN889" s="122"/>
      <c r="CIO889" s="122"/>
      <c r="CIP889" s="122"/>
      <c r="CIQ889" s="122"/>
      <c r="CIR889" s="122"/>
      <c r="CIS889" s="122"/>
      <c r="CIT889" s="122"/>
      <c r="CIU889" s="122"/>
      <c r="CIV889" s="122"/>
      <c r="CIW889" s="122"/>
      <c r="CIX889" s="122"/>
      <c r="CIY889" s="122"/>
      <c r="CIZ889" s="122"/>
      <c r="CJA889" s="122"/>
      <c r="CJB889" s="122"/>
      <c r="CJC889" s="122"/>
      <c r="CJD889" s="122"/>
      <c r="CJE889" s="122"/>
      <c r="CJF889" s="122"/>
      <c r="CJG889" s="122"/>
      <c r="CJH889" s="122"/>
      <c r="CJI889" s="122"/>
      <c r="CJJ889" s="122"/>
      <c r="CJK889" s="122"/>
      <c r="CJL889" s="122"/>
      <c r="CJM889" s="122"/>
      <c r="CJN889" s="122"/>
      <c r="CJO889" s="122"/>
      <c r="CJP889" s="122"/>
      <c r="CJQ889" s="122"/>
      <c r="CJR889" s="122"/>
      <c r="CJS889" s="122"/>
      <c r="CJT889" s="122"/>
      <c r="CJU889" s="122"/>
      <c r="CJV889" s="122"/>
      <c r="CJW889" s="122"/>
      <c r="CJX889" s="122"/>
      <c r="CJY889" s="122"/>
      <c r="CJZ889" s="122"/>
      <c r="CKA889" s="122"/>
      <c r="CKB889" s="122"/>
      <c r="CKC889" s="122"/>
      <c r="CKD889" s="122"/>
      <c r="CKE889" s="122"/>
      <c r="CKF889" s="122"/>
      <c r="CKG889" s="122"/>
      <c r="CKH889" s="122"/>
      <c r="CKI889" s="122"/>
      <c r="CKJ889" s="122"/>
      <c r="CKK889" s="122"/>
      <c r="CKL889" s="122"/>
      <c r="CKM889" s="122"/>
      <c r="CKN889" s="122"/>
      <c r="CKO889" s="122"/>
      <c r="CKP889" s="122"/>
      <c r="CKQ889" s="122"/>
      <c r="CKR889" s="122"/>
      <c r="CKS889" s="122"/>
      <c r="CKT889" s="122"/>
      <c r="CKU889" s="122"/>
      <c r="CKV889" s="122"/>
      <c r="CKW889" s="122"/>
      <c r="CKX889" s="122"/>
      <c r="CKY889" s="122"/>
      <c r="CKZ889" s="122"/>
      <c r="CLA889" s="122"/>
      <c r="CLB889" s="122"/>
      <c r="CLC889" s="122"/>
      <c r="CLD889" s="122"/>
      <c r="CLE889" s="122"/>
      <c r="CLF889" s="122"/>
      <c r="CLG889" s="122"/>
      <c r="CLH889" s="122"/>
      <c r="CLI889" s="122"/>
      <c r="CLJ889" s="122"/>
      <c r="CLK889" s="122"/>
      <c r="CLL889" s="122"/>
      <c r="CLM889" s="122"/>
      <c r="CLN889" s="122"/>
      <c r="CLO889" s="122"/>
      <c r="CLP889" s="122"/>
      <c r="CLQ889" s="122"/>
      <c r="CLR889" s="122"/>
      <c r="CLS889" s="122"/>
      <c r="CLT889" s="122"/>
      <c r="CLU889" s="122"/>
      <c r="CLV889" s="122"/>
      <c r="CLW889" s="122"/>
      <c r="CLX889" s="122"/>
      <c r="CLY889" s="122"/>
      <c r="CLZ889" s="122"/>
      <c r="CMA889" s="122"/>
      <c r="CMB889" s="122"/>
      <c r="CMC889" s="122"/>
      <c r="CMD889" s="122"/>
      <c r="CME889" s="122"/>
      <c r="CMF889" s="122"/>
      <c r="CMG889" s="122"/>
      <c r="CMH889" s="122"/>
      <c r="CMI889" s="122"/>
      <c r="CMJ889" s="122"/>
      <c r="CMK889" s="122"/>
      <c r="CML889" s="122"/>
      <c r="CMM889" s="122"/>
      <c r="CMN889" s="122"/>
      <c r="CMO889" s="122"/>
      <c r="CMP889" s="122"/>
      <c r="CMQ889" s="122"/>
      <c r="CMR889" s="122"/>
      <c r="CMS889" s="122"/>
      <c r="CMT889" s="122"/>
      <c r="CMU889" s="122"/>
      <c r="CMV889" s="122"/>
      <c r="CMW889" s="122"/>
      <c r="CMX889" s="122"/>
      <c r="CMY889" s="122"/>
      <c r="CMZ889" s="122"/>
      <c r="CNA889" s="122"/>
      <c r="CNB889" s="122"/>
      <c r="CNC889" s="122"/>
      <c r="CND889" s="122"/>
      <c r="CNE889" s="122"/>
      <c r="CNF889" s="122"/>
      <c r="CNG889" s="122"/>
      <c r="CNH889" s="122"/>
      <c r="CNI889" s="122"/>
      <c r="CNJ889" s="122"/>
      <c r="CNK889" s="122"/>
      <c r="CNL889" s="122"/>
      <c r="CNM889" s="122"/>
      <c r="CNN889" s="122"/>
      <c r="CNO889" s="122"/>
      <c r="CNP889" s="122"/>
      <c r="CNQ889" s="122"/>
      <c r="CNR889" s="122"/>
      <c r="CNS889" s="122"/>
      <c r="CNT889" s="122"/>
      <c r="CNU889" s="122"/>
      <c r="CNV889" s="122"/>
      <c r="CNW889" s="122"/>
      <c r="CNX889" s="122"/>
      <c r="CNY889" s="122"/>
      <c r="CNZ889" s="122"/>
      <c r="COA889" s="122"/>
      <c r="COB889" s="122"/>
      <c r="COC889" s="122"/>
      <c r="COD889" s="122"/>
      <c r="COE889" s="122"/>
      <c r="COF889" s="122"/>
      <c r="COG889" s="122"/>
      <c r="COH889" s="122"/>
      <c r="COI889" s="122"/>
      <c r="COJ889" s="122"/>
      <c r="COK889" s="122"/>
      <c r="COL889" s="122"/>
      <c r="COM889" s="122"/>
      <c r="CON889" s="122"/>
      <c r="COO889" s="122"/>
      <c r="COP889" s="122"/>
      <c r="COQ889" s="122"/>
      <c r="COR889" s="122"/>
      <c r="COS889" s="122"/>
      <c r="COT889" s="122"/>
      <c r="COU889" s="122"/>
      <c r="COV889" s="122"/>
      <c r="COW889" s="122"/>
      <c r="COX889" s="122"/>
      <c r="COY889" s="122"/>
      <c r="COZ889" s="122"/>
      <c r="CPA889" s="122"/>
      <c r="CPB889" s="122"/>
      <c r="CPC889" s="122"/>
      <c r="CPD889" s="122"/>
      <c r="CPE889" s="122"/>
      <c r="CPF889" s="122"/>
      <c r="CPG889" s="122"/>
      <c r="CPH889" s="122"/>
      <c r="CPI889" s="122"/>
      <c r="CPJ889" s="122"/>
      <c r="CPK889" s="122"/>
      <c r="CPL889" s="122"/>
      <c r="CPM889" s="122"/>
      <c r="CPN889" s="122"/>
      <c r="CPO889" s="122"/>
      <c r="CPP889" s="122"/>
      <c r="CPQ889" s="122"/>
      <c r="CPR889" s="122"/>
      <c r="CPS889" s="122"/>
      <c r="CPT889" s="122"/>
      <c r="CPU889" s="122"/>
      <c r="CPV889" s="122"/>
      <c r="CPW889" s="122"/>
      <c r="CPX889" s="122"/>
      <c r="CPY889" s="122"/>
      <c r="CPZ889" s="122"/>
      <c r="CQA889" s="122"/>
      <c r="CQB889" s="122"/>
      <c r="CQC889" s="122"/>
      <c r="CQD889" s="122"/>
      <c r="CQE889" s="122"/>
      <c r="CQF889" s="122"/>
      <c r="CQG889" s="122"/>
      <c r="CQH889" s="122"/>
      <c r="CQI889" s="122"/>
      <c r="CQJ889" s="122"/>
      <c r="CQK889" s="122"/>
      <c r="CQL889" s="122"/>
      <c r="CQM889" s="122"/>
      <c r="CQN889" s="122"/>
      <c r="CQO889" s="122"/>
      <c r="CQP889" s="122"/>
      <c r="CQQ889" s="122"/>
      <c r="CQR889" s="122"/>
      <c r="CQS889" s="122"/>
      <c r="CQT889" s="122"/>
      <c r="CQU889" s="122"/>
      <c r="CQV889" s="122"/>
      <c r="CQW889" s="122"/>
      <c r="CQX889" s="122"/>
      <c r="CQY889" s="122"/>
      <c r="CQZ889" s="122"/>
      <c r="CRA889" s="122"/>
      <c r="CRB889" s="122"/>
      <c r="CRC889" s="122"/>
      <c r="CRD889" s="122"/>
      <c r="CRE889" s="122"/>
      <c r="CRF889" s="122"/>
      <c r="CRG889" s="122"/>
      <c r="CRH889" s="122"/>
      <c r="CRI889" s="122"/>
      <c r="CRJ889" s="122"/>
      <c r="CRK889" s="122"/>
      <c r="CRL889" s="122"/>
      <c r="CRM889" s="122"/>
      <c r="CRN889" s="122"/>
      <c r="CRO889" s="122"/>
      <c r="CRP889" s="122"/>
      <c r="CRQ889" s="122"/>
      <c r="CRR889" s="122"/>
      <c r="CRS889" s="122"/>
      <c r="CRT889" s="122"/>
      <c r="CRU889" s="122"/>
      <c r="CRV889" s="122"/>
      <c r="CRW889" s="122"/>
      <c r="CRX889" s="122"/>
      <c r="CRY889" s="122"/>
      <c r="CRZ889" s="122"/>
      <c r="CSA889" s="122"/>
      <c r="CSB889" s="122"/>
      <c r="CSC889" s="122"/>
      <c r="CSD889" s="122"/>
      <c r="CSE889" s="122"/>
      <c r="CSF889" s="122"/>
      <c r="CSG889" s="122"/>
      <c r="CSH889" s="122"/>
      <c r="CSI889" s="122"/>
      <c r="CSJ889" s="122"/>
      <c r="CSK889" s="122"/>
      <c r="CSL889" s="122"/>
      <c r="CSM889" s="122"/>
      <c r="CSN889" s="122"/>
      <c r="CSO889" s="122"/>
      <c r="CSP889" s="122"/>
      <c r="CSQ889" s="122"/>
      <c r="CSR889" s="122"/>
      <c r="CSS889" s="122"/>
      <c r="CST889" s="122"/>
      <c r="CSU889" s="122"/>
      <c r="CSV889" s="122"/>
      <c r="CSW889" s="122"/>
      <c r="CSX889" s="122"/>
      <c r="CSY889" s="122"/>
      <c r="CSZ889" s="122"/>
      <c r="CTA889" s="122"/>
      <c r="CTB889" s="122"/>
      <c r="CTC889" s="122"/>
      <c r="CTD889" s="122"/>
      <c r="CTE889" s="122"/>
      <c r="CTF889" s="122"/>
      <c r="CTG889" s="122"/>
      <c r="CTH889" s="122"/>
      <c r="CTI889" s="122"/>
      <c r="CTJ889" s="122"/>
      <c r="CTK889" s="122"/>
      <c r="CTL889" s="122"/>
      <c r="CTM889" s="122"/>
      <c r="CTN889" s="122"/>
      <c r="CTO889" s="122"/>
      <c r="CTP889" s="122"/>
      <c r="CTQ889" s="122"/>
      <c r="CTR889" s="122"/>
      <c r="CTS889" s="122"/>
      <c r="CTT889" s="122"/>
      <c r="CTU889" s="122"/>
      <c r="CTV889" s="122"/>
      <c r="CTW889" s="122"/>
      <c r="CTX889" s="122"/>
      <c r="CTY889" s="122"/>
      <c r="CTZ889" s="122"/>
      <c r="CUA889" s="122"/>
      <c r="CUB889" s="122"/>
      <c r="CUC889" s="122"/>
      <c r="CUD889" s="122"/>
      <c r="CUE889" s="122"/>
      <c r="CUF889" s="122"/>
      <c r="CUG889" s="122"/>
      <c r="CUH889" s="122"/>
      <c r="CUI889" s="122"/>
      <c r="CUJ889" s="122"/>
      <c r="CUK889" s="122"/>
      <c r="CUL889" s="122"/>
      <c r="CUM889" s="122"/>
      <c r="CUN889" s="122"/>
      <c r="CUO889" s="122"/>
      <c r="CUP889" s="122"/>
      <c r="CUQ889" s="122"/>
      <c r="CUR889" s="122"/>
      <c r="CUS889" s="122"/>
      <c r="CUT889" s="122"/>
      <c r="CUU889" s="122"/>
      <c r="CUV889" s="122"/>
      <c r="CUW889" s="122"/>
      <c r="CUX889" s="122"/>
      <c r="CUY889" s="122"/>
      <c r="CUZ889" s="122"/>
      <c r="CVA889" s="122"/>
      <c r="CVB889" s="122"/>
      <c r="CVC889" s="122"/>
      <c r="CVD889" s="122"/>
      <c r="CVE889" s="122"/>
      <c r="CVF889" s="122"/>
      <c r="CVG889" s="122"/>
      <c r="CVH889" s="122"/>
      <c r="CVI889" s="122"/>
      <c r="CVJ889" s="122"/>
      <c r="CVK889" s="122"/>
      <c r="CVL889" s="122"/>
      <c r="CVM889" s="122"/>
      <c r="CVN889" s="122"/>
      <c r="CVO889" s="122"/>
      <c r="CVP889" s="122"/>
      <c r="CVQ889" s="122"/>
      <c r="CVR889" s="122"/>
      <c r="CVS889" s="122"/>
      <c r="CVT889" s="122"/>
      <c r="CVU889" s="122"/>
      <c r="CVV889" s="122"/>
      <c r="CVW889" s="122"/>
      <c r="CVX889" s="122"/>
      <c r="CVY889" s="122"/>
      <c r="CVZ889" s="122"/>
      <c r="CWA889" s="122"/>
      <c r="CWB889" s="122"/>
      <c r="CWC889" s="122"/>
      <c r="CWD889" s="122"/>
      <c r="CWE889" s="122"/>
      <c r="CWF889" s="122"/>
      <c r="CWG889" s="122"/>
      <c r="CWH889" s="122"/>
      <c r="CWI889" s="122"/>
      <c r="CWJ889" s="122"/>
      <c r="CWK889" s="122"/>
      <c r="CWL889" s="122"/>
      <c r="CWM889" s="122"/>
      <c r="CWN889" s="122"/>
      <c r="CWO889" s="122"/>
      <c r="CWP889" s="122"/>
      <c r="CWQ889" s="122"/>
      <c r="CWR889" s="122"/>
      <c r="CWS889" s="122"/>
      <c r="CWT889" s="122"/>
      <c r="CWU889" s="122"/>
      <c r="CWV889" s="122"/>
      <c r="CWW889" s="122"/>
      <c r="CWX889" s="122"/>
      <c r="CWY889" s="122"/>
      <c r="CWZ889" s="122"/>
      <c r="CXA889" s="122"/>
      <c r="CXB889" s="122"/>
      <c r="CXC889" s="122"/>
      <c r="CXD889" s="122"/>
      <c r="CXE889" s="122"/>
      <c r="CXF889" s="122"/>
      <c r="CXG889" s="122"/>
      <c r="CXH889" s="122"/>
      <c r="CXI889" s="122"/>
      <c r="CXJ889" s="122"/>
      <c r="CXK889" s="122"/>
      <c r="CXL889" s="122"/>
      <c r="CXM889" s="122"/>
      <c r="CXN889" s="122"/>
      <c r="CXO889" s="122"/>
      <c r="CXP889" s="122"/>
      <c r="CXQ889" s="122"/>
      <c r="CXR889" s="122"/>
      <c r="CXS889" s="122"/>
      <c r="CXT889" s="122"/>
      <c r="CXU889" s="122"/>
      <c r="CXV889" s="122"/>
      <c r="CXW889" s="122"/>
      <c r="CXX889" s="122"/>
      <c r="CXY889" s="122"/>
      <c r="CXZ889" s="122"/>
      <c r="CYA889" s="122"/>
      <c r="CYB889" s="122"/>
      <c r="CYC889" s="122"/>
      <c r="CYD889" s="122"/>
      <c r="CYE889" s="122"/>
      <c r="CYF889" s="122"/>
      <c r="CYG889" s="122"/>
      <c r="CYH889" s="122"/>
      <c r="CYI889" s="122"/>
      <c r="CYJ889" s="122"/>
      <c r="CYK889" s="122"/>
      <c r="CYL889" s="122"/>
      <c r="CYM889" s="122"/>
      <c r="CYN889" s="122"/>
      <c r="CYO889" s="122"/>
      <c r="CYP889" s="122"/>
      <c r="CYQ889" s="122"/>
      <c r="CYR889" s="122"/>
      <c r="CYS889" s="122"/>
      <c r="CYT889" s="122"/>
      <c r="CYU889" s="122"/>
      <c r="CYV889" s="122"/>
      <c r="CYW889" s="122"/>
      <c r="CYX889" s="122"/>
      <c r="CYY889" s="122"/>
      <c r="CYZ889" s="122"/>
      <c r="CZA889" s="122"/>
      <c r="CZB889" s="122"/>
      <c r="CZC889" s="122"/>
      <c r="CZD889" s="122"/>
      <c r="CZE889" s="122"/>
      <c r="CZF889" s="122"/>
      <c r="CZG889" s="122"/>
      <c r="CZH889" s="122"/>
      <c r="CZI889" s="122"/>
      <c r="CZJ889" s="122"/>
      <c r="CZK889" s="122"/>
      <c r="CZL889" s="122"/>
      <c r="CZM889" s="122"/>
      <c r="CZN889" s="122"/>
      <c r="CZO889" s="122"/>
      <c r="CZP889" s="122"/>
      <c r="CZQ889" s="122"/>
      <c r="CZR889" s="122"/>
      <c r="CZS889" s="122"/>
      <c r="CZT889" s="122"/>
      <c r="CZU889" s="122"/>
      <c r="CZV889" s="122"/>
      <c r="CZW889" s="122"/>
      <c r="CZX889" s="122"/>
      <c r="CZY889" s="122"/>
      <c r="CZZ889" s="122"/>
      <c r="DAA889" s="122"/>
      <c r="DAB889" s="122"/>
      <c r="DAC889" s="122"/>
      <c r="DAD889" s="122"/>
      <c r="DAE889" s="122"/>
      <c r="DAF889" s="122"/>
      <c r="DAG889" s="122"/>
      <c r="DAH889" s="122"/>
      <c r="DAI889" s="122"/>
      <c r="DAJ889" s="122"/>
      <c r="DAK889" s="122"/>
      <c r="DAL889" s="122"/>
      <c r="DAM889" s="122"/>
      <c r="DAN889" s="122"/>
      <c r="DAO889" s="122"/>
      <c r="DAP889" s="122"/>
      <c r="DAQ889" s="122"/>
      <c r="DAR889" s="122"/>
      <c r="DAS889" s="122"/>
      <c r="DAT889" s="122"/>
      <c r="DAU889" s="122"/>
      <c r="DAV889" s="122"/>
      <c r="DAW889" s="122"/>
      <c r="DAX889" s="122"/>
      <c r="DAY889" s="122"/>
      <c r="DAZ889" s="122"/>
      <c r="DBA889" s="122"/>
      <c r="DBB889" s="122"/>
      <c r="DBC889" s="122"/>
      <c r="DBD889" s="122"/>
      <c r="DBE889" s="122"/>
      <c r="DBF889" s="122"/>
      <c r="DBG889" s="122"/>
      <c r="DBH889" s="122"/>
      <c r="DBI889" s="122"/>
      <c r="DBJ889" s="122"/>
      <c r="DBK889" s="122"/>
      <c r="DBL889" s="122"/>
      <c r="DBM889" s="122"/>
      <c r="DBN889" s="122"/>
      <c r="DBO889" s="122"/>
      <c r="DBP889" s="122"/>
      <c r="DBQ889" s="122"/>
      <c r="DBR889" s="122"/>
      <c r="DBS889" s="122"/>
      <c r="DBT889" s="122"/>
      <c r="DBU889" s="122"/>
      <c r="DBV889" s="122"/>
      <c r="DBW889" s="122"/>
      <c r="DBX889" s="122"/>
      <c r="DBY889" s="122"/>
      <c r="DBZ889" s="122"/>
      <c r="DCA889" s="122"/>
      <c r="DCB889" s="122"/>
      <c r="DCC889" s="122"/>
      <c r="DCD889" s="122"/>
      <c r="DCE889" s="122"/>
      <c r="DCF889" s="122"/>
      <c r="DCG889" s="122"/>
      <c r="DCH889" s="122"/>
      <c r="DCI889" s="122"/>
      <c r="DCJ889" s="122"/>
      <c r="DCK889" s="122"/>
      <c r="DCL889" s="122"/>
      <c r="DCM889" s="122"/>
      <c r="DCN889" s="122"/>
      <c r="DCO889" s="122"/>
      <c r="DCP889" s="122"/>
      <c r="DCQ889" s="122"/>
      <c r="DCR889" s="122"/>
      <c r="DCS889" s="122"/>
      <c r="DCT889" s="122"/>
      <c r="DCU889" s="122"/>
      <c r="DCV889" s="122"/>
      <c r="DCW889" s="122"/>
      <c r="DCX889" s="122"/>
      <c r="DCY889" s="122"/>
      <c r="DCZ889" s="122"/>
      <c r="DDA889" s="122"/>
      <c r="DDB889" s="122"/>
      <c r="DDC889" s="122"/>
      <c r="DDD889" s="122"/>
      <c r="DDE889" s="122"/>
      <c r="DDF889" s="122"/>
      <c r="DDG889" s="122"/>
      <c r="DDH889" s="122"/>
      <c r="DDI889" s="122"/>
      <c r="DDJ889" s="122"/>
      <c r="DDK889" s="122"/>
      <c r="DDL889" s="122"/>
      <c r="DDM889" s="122"/>
      <c r="DDN889" s="122"/>
      <c r="DDO889" s="122"/>
      <c r="DDP889" s="122"/>
      <c r="DDQ889" s="122"/>
      <c r="DDR889" s="122"/>
      <c r="DDS889" s="122"/>
      <c r="DDT889" s="122"/>
      <c r="DDU889" s="122"/>
      <c r="DDV889" s="122"/>
      <c r="DDW889" s="122"/>
      <c r="DDX889" s="122"/>
      <c r="DDY889" s="122"/>
      <c r="DDZ889" s="122"/>
      <c r="DEA889" s="122"/>
      <c r="DEB889" s="122"/>
      <c r="DEC889" s="122"/>
      <c r="DED889" s="122"/>
      <c r="DEE889" s="122"/>
      <c r="DEF889" s="122"/>
      <c r="DEG889" s="122"/>
      <c r="DEH889" s="122"/>
      <c r="DEI889" s="122"/>
      <c r="DEJ889" s="122"/>
      <c r="DEK889" s="122"/>
      <c r="DEL889" s="122"/>
      <c r="DEM889" s="122"/>
      <c r="DEN889" s="122"/>
      <c r="DEO889" s="122"/>
      <c r="DEP889" s="122"/>
      <c r="DEQ889" s="122"/>
      <c r="DER889" s="122"/>
      <c r="DES889" s="122"/>
      <c r="DET889" s="122"/>
      <c r="DEU889" s="122"/>
      <c r="DEV889" s="122"/>
      <c r="DEW889" s="122"/>
      <c r="DEX889" s="122"/>
      <c r="DEY889" s="122"/>
      <c r="DEZ889" s="122"/>
      <c r="DFA889" s="122"/>
      <c r="DFB889" s="122"/>
      <c r="DFC889" s="122"/>
      <c r="DFD889" s="122"/>
      <c r="DFE889" s="122"/>
      <c r="DFF889" s="122"/>
      <c r="DFG889" s="122"/>
      <c r="DFH889" s="122"/>
      <c r="DFI889" s="122"/>
      <c r="DFJ889" s="122"/>
      <c r="DFK889" s="122"/>
      <c r="DFL889" s="122"/>
      <c r="DFM889" s="122"/>
      <c r="DFN889" s="122"/>
      <c r="DFO889" s="122"/>
      <c r="DFP889" s="122"/>
      <c r="DFQ889" s="122"/>
      <c r="DFR889" s="122"/>
      <c r="DFS889" s="122"/>
      <c r="DFT889" s="122"/>
      <c r="DFU889" s="122"/>
      <c r="DFV889" s="122"/>
      <c r="DFW889" s="122"/>
      <c r="DFX889" s="122"/>
      <c r="DFY889" s="122"/>
      <c r="DFZ889" s="122"/>
      <c r="DGA889" s="122"/>
      <c r="DGB889" s="122"/>
      <c r="DGC889" s="122"/>
      <c r="DGD889" s="122"/>
      <c r="DGE889" s="122"/>
      <c r="DGF889" s="122"/>
      <c r="DGG889" s="122"/>
      <c r="DGH889" s="122"/>
      <c r="DGI889" s="122"/>
      <c r="DGJ889" s="122"/>
      <c r="DGK889" s="122"/>
      <c r="DGL889" s="122"/>
      <c r="DGM889" s="122"/>
      <c r="DGN889" s="122"/>
      <c r="DGO889" s="122"/>
      <c r="DGP889" s="122"/>
      <c r="DGQ889" s="122"/>
      <c r="DGR889" s="122"/>
      <c r="DGS889" s="122"/>
      <c r="DGT889" s="122"/>
      <c r="DGU889" s="122"/>
      <c r="DGV889" s="122"/>
      <c r="DGW889" s="122"/>
      <c r="DGX889" s="122"/>
      <c r="DGY889" s="122"/>
      <c r="DGZ889" s="122"/>
      <c r="DHA889" s="122"/>
      <c r="DHB889" s="122"/>
      <c r="DHC889" s="122"/>
      <c r="DHD889" s="122"/>
      <c r="DHE889" s="122"/>
      <c r="DHF889" s="122"/>
      <c r="DHG889" s="122"/>
      <c r="DHH889" s="122"/>
      <c r="DHI889" s="122"/>
      <c r="DHJ889" s="122"/>
      <c r="DHK889" s="122"/>
      <c r="DHL889" s="122"/>
      <c r="DHM889" s="122"/>
      <c r="DHN889" s="122"/>
      <c r="DHO889" s="122"/>
      <c r="DHP889" s="122"/>
      <c r="DHQ889" s="122"/>
      <c r="DHR889" s="122"/>
      <c r="DHS889" s="122"/>
      <c r="DHT889" s="122"/>
      <c r="DHU889" s="122"/>
      <c r="DHV889" s="122"/>
      <c r="DHW889" s="122"/>
      <c r="DHX889" s="122"/>
      <c r="DHY889" s="122"/>
      <c r="DHZ889" s="122"/>
      <c r="DIA889" s="122"/>
      <c r="DIB889" s="122"/>
      <c r="DIC889" s="122"/>
      <c r="DID889" s="122"/>
      <c r="DIE889" s="122"/>
      <c r="DIF889" s="122"/>
      <c r="DIG889" s="122"/>
      <c r="DIH889" s="122"/>
      <c r="DII889" s="122"/>
      <c r="DIJ889" s="122"/>
      <c r="DIK889" s="122"/>
      <c r="DIL889" s="122"/>
      <c r="DIM889" s="122"/>
      <c r="DIN889" s="122"/>
      <c r="DIO889" s="122"/>
      <c r="DIP889" s="122"/>
      <c r="DIQ889" s="122"/>
      <c r="DIR889" s="122"/>
      <c r="DIS889" s="122"/>
      <c r="DIT889" s="122"/>
      <c r="DIU889" s="122"/>
      <c r="DIV889" s="122"/>
      <c r="DIW889" s="122"/>
      <c r="DIX889" s="122"/>
      <c r="DIY889" s="122"/>
      <c r="DIZ889" s="122"/>
      <c r="DJA889" s="122"/>
      <c r="DJB889" s="122"/>
      <c r="DJC889" s="122"/>
      <c r="DJD889" s="122"/>
      <c r="DJE889" s="122"/>
      <c r="DJF889" s="122"/>
      <c r="DJG889" s="122"/>
      <c r="DJH889" s="122"/>
      <c r="DJI889" s="122"/>
      <c r="DJJ889" s="122"/>
      <c r="DJK889" s="122"/>
      <c r="DJL889" s="122"/>
      <c r="DJM889" s="122"/>
      <c r="DJN889" s="122"/>
      <c r="DJO889" s="122"/>
      <c r="DJP889" s="122"/>
      <c r="DJQ889" s="122"/>
      <c r="DJR889" s="122"/>
      <c r="DJS889" s="122"/>
      <c r="DJT889" s="122"/>
      <c r="DJU889" s="122"/>
      <c r="DJV889" s="122"/>
      <c r="DJW889" s="122"/>
      <c r="DJX889" s="122"/>
      <c r="DJY889" s="122"/>
      <c r="DJZ889" s="122"/>
      <c r="DKA889" s="122"/>
      <c r="DKB889" s="122"/>
      <c r="DKC889" s="122"/>
      <c r="DKD889" s="122"/>
      <c r="DKE889" s="122"/>
      <c r="DKF889" s="122"/>
      <c r="DKG889" s="122"/>
      <c r="DKH889" s="122"/>
      <c r="DKI889" s="122"/>
      <c r="DKJ889" s="122"/>
      <c r="DKK889" s="122"/>
      <c r="DKL889" s="122"/>
      <c r="DKM889" s="122"/>
      <c r="DKN889" s="122"/>
      <c r="DKO889" s="122"/>
      <c r="DKP889" s="122"/>
      <c r="DKQ889" s="122"/>
      <c r="DKR889" s="122"/>
      <c r="DKS889" s="122"/>
      <c r="DKT889" s="122"/>
      <c r="DKU889" s="122"/>
      <c r="DKV889" s="122"/>
      <c r="DKW889" s="122"/>
      <c r="DKX889" s="122"/>
      <c r="DKY889" s="122"/>
      <c r="DKZ889" s="122"/>
      <c r="DLA889" s="122"/>
      <c r="DLB889" s="122"/>
      <c r="DLC889" s="122"/>
      <c r="DLD889" s="122"/>
      <c r="DLE889" s="122"/>
      <c r="DLF889" s="122"/>
      <c r="DLG889" s="122"/>
      <c r="DLH889" s="122"/>
      <c r="DLI889" s="122"/>
      <c r="DLJ889" s="122"/>
      <c r="DLK889" s="122"/>
      <c r="DLL889" s="122"/>
      <c r="DLM889" s="122"/>
      <c r="DLN889" s="122"/>
      <c r="DLO889" s="122"/>
      <c r="DLP889" s="122"/>
      <c r="DLQ889" s="122"/>
      <c r="DLR889" s="122"/>
      <c r="DLS889" s="122"/>
      <c r="DLT889" s="122"/>
      <c r="DLU889" s="122"/>
      <c r="DLV889" s="122"/>
      <c r="DLW889" s="122"/>
      <c r="DLX889" s="122"/>
      <c r="DLY889" s="122"/>
      <c r="DLZ889" s="122"/>
      <c r="DMA889" s="122"/>
      <c r="DMB889" s="122"/>
      <c r="DMC889" s="122"/>
      <c r="DMD889" s="122"/>
      <c r="DME889" s="122"/>
      <c r="DMF889" s="122"/>
      <c r="DMG889" s="122"/>
      <c r="DMH889" s="122"/>
      <c r="DMI889" s="122"/>
      <c r="DMJ889" s="122"/>
      <c r="DMK889" s="122"/>
      <c r="DML889" s="122"/>
      <c r="DMM889" s="122"/>
      <c r="DMN889" s="122"/>
      <c r="DMO889" s="122"/>
      <c r="DMP889" s="122"/>
      <c r="DMQ889" s="122"/>
      <c r="DMR889" s="122"/>
      <c r="DMS889" s="122"/>
      <c r="DMT889" s="122"/>
      <c r="DMU889" s="122"/>
      <c r="DMV889" s="122"/>
      <c r="DMW889" s="122"/>
      <c r="DMX889" s="122"/>
      <c r="DMY889" s="122"/>
      <c r="DMZ889" s="122"/>
      <c r="DNA889" s="122"/>
      <c r="DNB889" s="122"/>
      <c r="DNC889" s="122"/>
      <c r="DND889" s="122"/>
      <c r="DNE889" s="122"/>
      <c r="DNF889" s="122"/>
      <c r="DNG889" s="122"/>
      <c r="DNH889" s="122"/>
      <c r="DNI889" s="122"/>
      <c r="DNJ889" s="122"/>
      <c r="DNK889" s="122"/>
      <c r="DNL889" s="122"/>
      <c r="DNM889" s="122"/>
      <c r="DNN889" s="122"/>
      <c r="DNO889" s="122"/>
      <c r="DNP889" s="122"/>
      <c r="DNQ889" s="122"/>
      <c r="DNR889" s="122"/>
      <c r="DNS889" s="122"/>
      <c r="DNT889" s="122"/>
      <c r="DNU889" s="122"/>
      <c r="DNV889" s="122"/>
      <c r="DNW889" s="122"/>
      <c r="DNX889" s="122"/>
      <c r="DNY889" s="122"/>
      <c r="DNZ889" s="122"/>
      <c r="DOA889" s="122"/>
      <c r="DOB889" s="122"/>
      <c r="DOC889" s="122"/>
      <c r="DOD889" s="122"/>
      <c r="DOE889" s="122"/>
      <c r="DOF889" s="122"/>
      <c r="DOG889" s="122"/>
      <c r="DOH889" s="122"/>
      <c r="DOI889" s="122"/>
      <c r="DOJ889" s="122"/>
      <c r="DOK889" s="122"/>
      <c r="DOL889" s="122"/>
      <c r="DOM889" s="122"/>
      <c r="DON889" s="122"/>
      <c r="DOO889" s="122"/>
      <c r="DOP889" s="122"/>
      <c r="DOQ889" s="122"/>
      <c r="DOR889" s="122"/>
      <c r="DOS889" s="122"/>
      <c r="DOT889" s="122"/>
      <c r="DOU889" s="122"/>
      <c r="DOV889" s="122"/>
      <c r="DOW889" s="122"/>
      <c r="DOX889" s="122"/>
      <c r="DOY889" s="122"/>
      <c r="DOZ889" s="122"/>
      <c r="DPA889" s="122"/>
      <c r="DPB889" s="122"/>
      <c r="DPC889" s="122"/>
      <c r="DPD889" s="122"/>
      <c r="DPE889" s="122"/>
      <c r="DPF889" s="122"/>
      <c r="DPG889" s="122"/>
      <c r="DPH889" s="122"/>
      <c r="DPI889" s="122"/>
      <c r="DPJ889" s="122"/>
      <c r="DPK889" s="122"/>
      <c r="DPL889" s="122"/>
      <c r="DPM889" s="122"/>
      <c r="DPN889" s="122"/>
      <c r="DPO889" s="122"/>
      <c r="DPP889" s="122"/>
      <c r="DPQ889" s="122"/>
      <c r="DPR889" s="122"/>
      <c r="DPS889" s="122"/>
      <c r="DPT889" s="122"/>
      <c r="DPU889" s="122"/>
      <c r="DPV889" s="122"/>
      <c r="DPW889" s="122"/>
      <c r="DPX889" s="122"/>
      <c r="DPY889" s="122"/>
      <c r="DPZ889" s="122"/>
      <c r="DQA889" s="122"/>
      <c r="DQB889" s="122"/>
      <c r="DQC889" s="122"/>
      <c r="DQD889" s="122"/>
      <c r="DQE889" s="122"/>
      <c r="DQF889" s="122"/>
      <c r="DQG889" s="122"/>
      <c r="DQH889" s="122"/>
      <c r="DQI889" s="122"/>
      <c r="DQJ889" s="122"/>
      <c r="DQK889" s="122"/>
      <c r="DQL889" s="122"/>
      <c r="DQM889" s="122"/>
      <c r="DQN889" s="122"/>
      <c r="DQO889" s="122"/>
      <c r="DQP889" s="122"/>
      <c r="DQQ889" s="122"/>
      <c r="DQR889" s="122"/>
      <c r="DQS889" s="122"/>
      <c r="DQT889" s="122"/>
      <c r="DQU889" s="122"/>
      <c r="DQV889" s="122"/>
      <c r="DQW889" s="122"/>
      <c r="DQX889" s="122"/>
      <c r="DQY889" s="122"/>
      <c r="DQZ889" s="122"/>
      <c r="DRA889" s="122"/>
      <c r="DRB889" s="122"/>
      <c r="DRC889" s="122"/>
      <c r="DRD889" s="122"/>
      <c r="DRE889" s="122"/>
      <c r="DRF889" s="122"/>
      <c r="DRG889" s="122"/>
      <c r="DRH889" s="122"/>
      <c r="DRI889" s="122"/>
      <c r="DRJ889" s="122"/>
      <c r="DRK889" s="122"/>
      <c r="DRL889" s="122"/>
      <c r="DRM889" s="122"/>
      <c r="DRN889" s="122"/>
      <c r="DRO889" s="122"/>
      <c r="DRP889" s="122"/>
      <c r="DRQ889" s="122"/>
      <c r="DRR889" s="122"/>
      <c r="DRS889" s="122"/>
      <c r="DRT889" s="122"/>
      <c r="DRU889" s="122"/>
      <c r="DRV889" s="122"/>
      <c r="DRW889" s="122"/>
      <c r="DRX889" s="122"/>
      <c r="DRY889" s="122"/>
      <c r="DRZ889" s="122"/>
      <c r="DSA889" s="122"/>
      <c r="DSB889" s="122"/>
      <c r="DSC889" s="122"/>
      <c r="DSD889" s="122"/>
      <c r="DSE889" s="122"/>
      <c r="DSF889" s="122"/>
      <c r="DSG889" s="122"/>
      <c r="DSH889" s="122"/>
      <c r="DSI889" s="122"/>
      <c r="DSJ889" s="122"/>
      <c r="DSK889" s="122"/>
      <c r="DSL889" s="122"/>
      <c r="DSM889" s="122"/>
      <c r="DSN889" s="122"/>
      <c r="DSO889" s="122"/>
      <c r="DSP889" s="122"/>
      <c r="DSQ889" s="122"/>
      <c r="DSR889" s="122"/>
      <c r="DSS889" s="122"/>
      <c r="DST889" s="122"/>
      <c r="DSU889" s="122"/>
      <c r="DSV889" s="122"/>
      <c r="DSW889" s="122"/>
      <c r="DSX889" s="122"/>
      <c r="DSY889" s="122"/>
      <c r="DSZ889" s="122"/>
      <c r="DTA889" s="122"/>
      <c r="DTB889" s="122"/>
      <c r="DTC889" s="122"/>
      <c r="DTD889" s="122"/>
      <c r="DTE889" s="122"/>
      <c r="DTF889" s="122"/>
      <c r="DTG889" s="122"/>
      <c r="DTH889" s="122"/>
      <c r="DTI889" s="122"/>
      <c r="DTJ889" s="122"/>
      <c r="DTK889" s="122"/>
      <c r="DTL889" s="122"/>
      <c r="DTM889" s="122"/>
      <c r="DTN889" s="122"/>
      <c r="DTO889" s="122"/>
      <c r="DTP889" s="122"/>
      <c r="DTQ889" s="122"/>
      <c r="DTR889" s="122"/>
      <c r="DTS889" s="122"/>
      <c r="DTT889" s="122"/>
      <c r="DTU889" s="122"/>
      <c r="DTV889" s="122"/>
      <c r="DTW889" s="122"/>
      <c r="DTX889" s="122"/>
      <c r="DTY889" s="122"/>
      <c r="DTZ889" s="122"/>
      <c r="DUA889" s="122"/>
      <c r="DUB889" s="122"/>
      <c r="DUC889" s="122"/>
      <c r="DUD889" s="122"/>
      <c r="DUE889" s="122"/>
      <c r="DUF889" s="122"/>
      <c r="DUG889" s="122"/>
      <c r="DUH889" s="122"/>
      <c r="DUI889" s="122"/>
      <c r="DUJ889" s="122"/>
      <c r="DUK889" s="122"/>
      <c r="DUL889" s="122"/>
      <c r="DUM889" s="122"/>
      <c r="DUN889" s="122"/>
      <c r="DUO889" s="122"/>
      <c r="DUP889" s="122"/>
      <c r="DUQ889" s="122"/>
      <c r="DUR889" s="122"/>
      <c r="DUS889" s="122"/>
      <c r="DUT889" s="122"/>
      <c r="DUU889" s="122"/>
      <c r="DUV889" s="122"/>
      <c r="DUW889" s="122"/>
      <c r="DUX889" s="122"/>
      <c r="DUY889" s="122"/>
      <c r="DUZ889" s="122"/>
      <c r="DVA889" s="122"/>
      <c r="DVB889" s="122"/>
      <c r="DVC889" s="122"/>
      <c r="DVD889" s="122"/>
      <c r="DVE889" s="122"/>
      <c r="DVF889" s="122"/>
      <c r="DVG889" s="122"/>
      <c r="DVH889" s="122"/>
      <c r="DVI889" s="122"/>
      <c r="DVJ889" s="122"/>
      <c r="DVK889" s="122"/>
      <c r="DVL889" s="122"/>
      <c r="DVM889" s="122"/>
      <c r="DVN889" s="122"/>
      <c r="DVO889" s="122"/>
      <c r="DVP889" s="122"/>
      <c r="DVQ889" s="122"/>
      <c r="DVR889" s="122"/>
      <c r="DVS889" s="122"/>
      <c r="DVT889" s="122"/>
      <c r="DVU889" s="122"/>
      <c r="DVV889" s="122"/>
      <c r="DVW889" s="122"/>
      <c r="DVX889" s="122"/>
      <c r="DVY889" s="122"/>
      <c r="DVZ889" s="122"/>
      <c r="DWA889" s="122"/>
      <c r="DWB889" s="122"/>
      <c r="DWC889" s="122"/>
      <c r="DWD889" s="122"/>
      <c r="DWE889" s="122"/>
      <c r="DWF889" s="122"/>
      <c r="DWG889" s="122"/>
      <c r="DWH889" s="122"/>
      <c r="DWI889" s="122"/>
      <c r="DWJ889" s="122"/>
      <c r="DWK889" s="122"/>
      <c r="DWL889" s="122"/>
      <c r="DWM889" s="122"/>
      <c r="DWN889" s="122"/>
      <c r="DWO889" s="122"/>
      <c r="DWP889" s="122"/>
      <c r="DWQ889" s="122"/>
      <c r="DWR889" s="122"/>
      <c r="DWS889" s="122"/>
      <c r="DWT889" s="122"/>
      <c r="DWU889" s="122"/>
      <c r="DWV889" s="122"/>
      <c r="DWW889" s="122"/>
      <c r="DWX889" s="122"/>
      <c r="DWY889" s="122"/>
      <c r="DWZ889" s="122"/>
      <c r="DXA889" s="122"/>
      <c r="DXB889" s="122"/>
      <c r="DXC889" s="122"/>
      <c r="DXD889" s="122"/>
      <c r="DXE889" s="122"/>
      <c r="DXF889" s="122"/>
      <c r="DXG889" s="122"/>
      <c r="DXH889" s="122"/>
      <c r="DXI889" s="122"/>
      <c r="DXJ889" s="122"/>
      <c r="DXK889" s="122"/>
      <c r="DXL889" s="122"/>
      <c r="DXM889" s="122"/>
      <c r="DXN889" s="122"/>
      <c r="DXO889" s="122"/>
      <c r="DXP889" s="122"/>
      <c r="DXQ889" s="122"/>
      <c r="DXR889" s="122"/>
      <c r="DXS889" s="122"/>
      <c r="DXT889" s="122"/>
      <c r="DXU889" s="122"/>
      <c r="DXV889" s="122"/>
      <c r="DXW889" s="122"/>
      <c r="DXX889" s="122"/>
      <c r="DXY889" s="122"/>
      <c r="DXZ889" s="122"/>
      <c r="DYA889" s="122"/>
      <c r="DYB889" s="122"/>
      <c r="DYC889" s="122"/>
      <c r="DYD889" s="122"/>
      <c r="DYE889" s="122"/>
      <c r="DYF889" s="122"/>
      <c r="DYG889" s="122"/>
      <c r="DYH889" s="122"/>
      <c r="DYI889" s="122"/>
      <c r="DYJ889" s="122"/>
      <c r="DYK889" s="122"/>
      <c r="DYL889" s="122"/>
      <c r="DYM889" s="122"/>
      <c r="DYN889" s="122"/>
      <c r="DYO889" s="122"/>
      <c r="DYP889" s="122"/>
      <c r="DYQ889" s="122"/>
      <c r="DYR889" s="122"/>
      <c r="DYS889" s="122"/>
      <c r="DYT889" s="122"/>
      <c r="DYU889" s="122"/>
      <c r="DYV889" s="122"/>
      <c r="DYW889" s="122"/>
      <c r="DYX889" s="122"/>
      <c r="DYY889" s="122"/>
      <c r="DYZ889" s="122"/>
      <c r="DZA889" s="122"/>
      <c r="DZB889" s="122"/>
      <c r="DZC889" s="122"/>
      <c r="DZD889" s="122"/>
      <c r="DZE889" s="122"/>
      <c r="DZF889" s="122"/>
      <c r="DZG889" s="122"/>
      <c r="DZH889" s="122"/>
      <c r="DZI889" s="122"/>
      <c r="DZJ889" s="122"/>
      <c r="DZK889" s="122"/>
      <c r="DZL889" s="122"/>
      <c r="DZM889" s="122"/>
      <c r="DZN889" s="122"/>
      <c r="DZO889" s="122"/>
      <c r="DZP889" s="122"/>
      <c r="DZQ889" s="122"/>
      <c r="DZR889" s="122"/>
      <c r="DZS889" s="122"/>
      <c r="DZT889" s="122"/>
      <c r="DZU889" s="122"/>
      <c r="DZV889" s="122"/>
      <c r="DZW889" s="122"/>
      <c r="DZX889" s="122"/>
      <c r="DZY889" s="122"/>
      <c r="DZZ889" s="122"/>
      <c r="EAA889" s="122"/>
      <c r="EAB889" s="122"/>
      <c r="EAC889" s="122"/>
      <c r="EAD889" s="122"/>
      <c r="EAE889" s="122"/>
      <c r="EAF889" s="122"/>
      <c r="EAG889" s="122"/>
      <c r="EAH889" s="122"/>
      <c r="EAI889" s="122"/>
      <c r="EAJ889" s="122"/>
      <c r="EAK889" s="122"/>
      <c r="EAL889" s="122"/>
      <c r="EAM889" s="122"/>
      <c r="EAN889" s="122"/>
      <c r="EAO889" s="122"/>
      <c r="EAP889" s="122"/>
      <c r="EAQ889" s="122"/>
      <c r="EAR889" s="122"/>
      <c r="EAS889" s="122"/>
      <c r="EAT889" s="122"/>
      <c r="EAU889" s="122"/>
      <c r="EAV889" s="122"/>
      <c r="EAW889" s="122"/>
      <c r="EAX889" s="122"/>
      <c r="EAY889" s="122"/>
      <c r="EAZ889" s="122"/>
      <c r="EBA889" s="122"/>
      <c r="EBB889" s="122"/>
      <c r="EBC889" s="122"/>
      <c r="EBD889" s="122"/>
      <c r="EBE889" s="122"/>
      <c r="EBF889" s="122"/>
      <c r="EBG889" s="122"/>
      <c r="EBH889" s="122"/>
      <c r="EBI889" s="122"/>
      <c r="EBJ889" s="122"/>
      <c r="EBK889" s="122"/>
      <c r="EBL889" s="122"/>
      <c r="EBM889" s="122"/>
      <c r="EBN889" s="122"/>
      <c r="EBO889" s="122"/>
      <c r="EBP889" s="122"/>
      <c r="EBQ889" s="122"/>
      <c r="EBR889" s="122"/>
      <c r="EBS889" s="122"/>
      <c r="EBT889" s="122"/>
      <c r="EBU889" s="122"/>
      <c r="EBV889" s="122"/>
      <c r="EBW889" s="122"/>
      <c r="EBX889" s="122"/>
      <c r="EBY889" s="122"/>
      <c r="EBZ889" s="122"/>
      <c r="ECA889" s="122"/>
      <c r="ECB889" s="122"/>
      <c r="ECC889" s="122"/>
      <c r="ECD889" s="122"/>
      <c r="ECE889" s="122"/>
      <c r="ECF889" s="122"/>
      <c r="ECG889" s="122"/>
      <c r="ECH889" s="122"/>
      <c r="ECI889" s="122"/>
      <c r="ECJ889" s="122"/>
      <c r="ECK889" s="122"/>
      <c r="ECL889" s="122"/>
      <c r="ECM889" s="122"/>
      <c r="ECN889" s="122"/>
      <c r="ECO889" s="122"/>
      <c r="ECP889" s="122"/>
      <c r="ECQ889" s="122"/>
      <c r="ECR889" s="122"/>
      <c r="ECS889" s="122"/>
      <c r="ECT889" s="122"/>
      <c r="ECU889" s="122"/>
      <c r="ECV889" s="122"/>
      <c r="ECW889" s="122"/>
      <c r="ECX889" s="122"/>
      <c r="ECY889" s="122"/>
      <c r="ECZ889" s="122"/>
      <c r="EDA889" s="122"/>
      <c r="EDB889" s="122"/>
      <c r="EDC889" s="122"/>
      <c r="EDD889" s="122"/>
      <c r="EDE889" s="122"/>
      <c r="EDF889" s="122"/>
      <c r="EDG889" s="122"/>
      <c r="EDH889" s="122"/>
      <c r="EDI889" s="122"/>
      <c r="EDJ889" s="122"/>
      <c r="EDK889" s="122"/>
      <c r="EDL889" s="122"/>
      <c r="EDM889" s="122"/>
      <c r="EDN889" s="122"/>
      <c r="EDO889" s="122"/>
      <c r="EDP889" s="122"/>
      <c r="EDQ889" s="122"/>
      <c r="EDR889" s="122"/>
      <c r="EDS889" s="122"/>
      <c r="EDT889" s="122"/>
      <c r="EDU889" s="122"/>
      <c r="EDV889" s="122"/>
      <c r="EDW889" s="122"/>
      <c r="EDX889" s="122"/>
      <c r="EDY889" s="122"/>
      <c r="EDZ889" s="122"/>
      <c r="EEA889" s="122"/>
      <c r="EEB889" s="122"/>
      <c r="EEC889" s="122"/>
      <c r="EED889" s="122"/>
      <c r="EEE889" s="122"/>
      <c r="EEF889" s="122"/>
      <c r="EEG889" s="122"/>
      <c r="EEH889" s="122"/>
      <c r="EEI889" s="122"/>
      <c r="EEJ889" s="122"/>
      <c r="EEK889" s="122"/>
      <c r="EEL889" s="122"/>
      <c r="EEM889" s="122"/>
      <c r="EEN889" s="122"/>
      <c r="EEO889" s="122"/>
      <c r="EEP889" s="122"/>
      <c r="EEQ889" s="122"/>
      <c r="EER889" s="122"/>
      <c r="EES889" s="122"/>
      <c r="EET889" s="122"/>
      <c r="EEU889" s="122"/>
      <c r="EEV889" s="122"/>
      <c r="EEW889" s="122"/>
      <c r="EEX889" s="122"/>
      <c r="EEY889" s="122"/>
      <c r="EEZ889" s="122"/>
      <c r="EFA889" s="122"/>
      <c r="EFB889" s="122"/>
      <c r="EFC889" s="122"/>
      <c r="EFD889" s="122"/>
      <c r="EFE889" s="122"/>
      <c r="EFF889" s="122"/>
      <c r="EFG889" s="122"/>
      <c r="EFH889" s="122"/>
      <c r="EFI889" s="122"/>
      <c r="EFJ889" s="122"/>
      <c r="EFK889" s="122"/>
      <c r="EFL889" s="122"/>
      <c r="EFM889" s="122"/>
      <c r="EFN889" s="122"/>
      <c r="EFO889" s="122"/>
      <c r="EFP889" s="122"/>
      <c r="EFQ889" s="122"/>
      <c r="EFR889" s="122"/>
      <c r="EFS889" s="122"/>
      <c r="EFT889" s="122"/>
      <c r="EFU889" s="122"/>
      <c r="EFV889" s="122"/>
      <c r="EFW889" s="122"/>
      <c r="EFX889" s="122"/>
      <c r="EFY889" s="122"/>
      <c r="EFZ889" s="122"/>
      <c r="EGA889" s="122"/>
      <c r="EGB889" s="122"/>
      <c r="EGC889" s="122"/>
      <c r="EGD889" s="122"/>
      <c r="EGE889" s="122"/>
      <c r="EGF889" s="122"/>
      <c r="EGG889" s="122"/>
      <c r="EGH889" s="122"/>
      <c r="EGI889" s="122"/>
      <c r="EGJ889" s="122"/>
      <c r="EGK889" s="122"/>
      <c r="EGL889" s="122"/>
      <c r="EGM889" s="122"/>
      <c r="EGN889" s="122"/>
      <c r="EGO889" s="122"/>
      <c r="EGP889" s="122"/>
      <c r="EGQ889" s="122"/>
      <c r="EGR889" s="122"/>
      <c r="EGS889" s="122"/>
      <c r="EGT889" s="122"/>
      <c r="EGU889" s="122"/>
      <c r="EGV889" s="122"/>
      <c r="EGW889" s="122"/>
      <c r="EGX889" s="122"/>
      <c r="EGY889" s="122"/>
      <c r="EGZ889" s="122"/>
      <c r="EHA889" s="122"/>
      <c r="EHB889" s="122"/>
      <c r="EHC889" s="122"/>
      <c r="EHD889" s="122"/>
      <c r="EHE889" s="122"/>
      <c r="EHF889" s="122"/>
      <c r="EHG889" s="122"/>
      <c r="EHH889" s="122"/>
      <c r="EHI889" s="122"/>
      <c r="EHJ889" s="122"/>
      <c r="EHK889" s="122"/>
      <c r="EHL889" s="122"/>
      <c r="EHM889" s="122"/>
      <c r="EHN889" s="122"/>
      <c r="EHO889" s="122"/>
      <c r="EHP889" s="122"/>
      <c r="EHQ889" s="122"/>
      <c r="EHR889" s="122"/>
      <c r="EHS889" s="122"/>
      <c r="EHT889" s="122"/>
      <c r="EHU889" s="122"/>
      <c r="EHV889" s="122"/>
      <c r="EHW889" s="122"/>
      <c r="EHX889" s="122"/>
      <c r="EHY889" s="122"/>
      <c r="EHZ889" s="122"/>
      <c r="EIA889" s="122"/>
      <c r="EIB889" s="122"/>
      <c r="EIC889" s="122"/>
      <c r="EID889" s="122"/>
      <c r="EIE889" s="122"/>
      <c r="EIF889" s="122"/>
      <c r="EIG889" s="122"/>
      <c r="EIH889" s="122"/>
      <c r="EII889" s="122"/>
      <c r="EIJ889" s="122"/>
      <c r="EIK889" s="122"/>
      <c r="EIL889" s="122"/>
      <c r="EIM889" s="122"/>
      <c r="EIN889" s="122"/>
      <c r="EIO889" s="122"/>
      <c r="EIP889" s="122"/>
      <c r="EIQ889" s="122"/>
      <c r="EIR889" s="122"/>
      <c r="EIS889" s="122"/>
      <c r="EIT889" s="122"/>
      <c r="EIU889" s="122"/>
      <c r="EIV889" s="122"/>
      <c r="EIW889" s="122"/>
      <c r="EIX889" s="122"/>
      <c r="EIY889" s="122"/>
      <c r="EIZ889" s="122"/>
      <c r="EJA889" s="122"/>
      <c r="EJB889" s="122"/>
      <c r="EJC889" s="122"/>
      <c r="EJD889" s="122"/>
      <c r="EJE889" s="122"/>
      <c r="EJF889" s="122"/>
      <c r="EJG889" s="122"/>
      <c r="EJH889" s="122"/>
      <c r="EJI889" s="122"/>
      <c r="EJJ889" s="122"/>
      <c r="EJK889" s="122"/>
      <c r="EJL889" s="122"/>
      <c r="EJM889" s="122"/>
      <c r="EJN889" s="122"/>
      <c r="EJO889" s="122"/>
      <c r="EJP889" s="122"/>
      <c r="EJQ889" s="122"/>
      <c r="EJR889" s="122"/>
      <c r="EJS889" s="122"/>
      <c r="EJT889" s="122"/>
      <c r="EJU889" s="122"/>
      <c r="EJV889" s="122"/>
      <c r="EJW889" s="122"/>
      <c r="EJX889" s="122"/>
      <c r="EJY889" s="122"/>
      <c r="EJZ889" s="122"/>
      <c r="EKA889" s="122"/>
      <c r="EKB889" s="122"/>
      <c r="EKC889" s="122"/>
      <c r="EKD889" s="122"/>
      <c r="EKE889" s="122"/>
      <c r="EKF889" s="122"/>
      <c r="EKG889" s="122"/>
      <c r="EKH889" s="122"/>
      <c r="EKI889" s="122"/>
      <c r="EKJ889" s="122"/>
      <c r="EKK889" s="122"/>
      <c r="EKL889" s="122"/>
      <c r="EKM889" s="122"/>
      <c r="EKN889" s="122"/>
      <c r="EKO889" s="122"/>
      <c r="EKP889" s="122"/>
      <c r="EKQ889" s="122"/>
      <c r="EKR889" s="122"/>
      <c r="EKS889" s="122"/>
      <c r="EKT889" s="122"/>
      <c r="EKU889" s="122"/>
      <c r="EKV889" s="122"/>
      <c r="EKW889" s="122"/>
      <c r="EKX889" s="122"/>
      <c r="EKY889" s="122"/>
      <c r="EKZ889" s="122"/>
      <c r="ELA889" s="122"/>
      <c r="ELB889" s="122"/>
      <c r="ELC889" s="122"/>
      <c r="ELD889" s="122"/>
      <c r="ELE889" s="122"/>
      <c r="ELF889" s="122"/>
      <c r="ELG889" s="122"/>
      <c r="ELH889" s="122"/>
      <c r="ELI889" s="122"/>
      <c r="ELJ889" s="122"/>
      <c r="ELK889" s="122"/>
      <c r="ELL889" s="122"/>
      <c r="ELM889" s="122"/>
      <c r="ELN889" s="122"/>
      <c r="ELO889" s="122"/>
      <c r="ELP889" s="122"/>
      <c r="ELQ889" s="122"/>
      <c r="ELR889" s="122"/>
      <c r="ELS889" s="122"/>
      <c r="ELT889" s="122"/>
      <c r="ELU889" s="122"/>
      <c r="ELV889" s="122"/>
      <c r="ELW889" s="122"/>
      <c r="ELX889" s="122"/>
      <c r="ELY889" s="122"/>
      <c r="ELZ889" s="122"/>
      <c r="EMA889" s="122"/>
      <c r="EMB889" s="122"/>
      <c r="EMC889" s="122"/>
      <c r="EMD889" s="122"/>
      <c r="EME889" s="122"/>
      <c r="EMF889" s="122"/>
      <c r="EMG889" s="122"/>
      <c r="EMH889" s="122"/>
      <c r="EMI889" s="122"/>
      <c r="EMJ889" s="122"/>
      <c r="EMK889" s="122"/>
      <c r="EML889" s="122"/>
      <c r="EMM889" s="122"/>
      <c r="EMN889" s="122"/>
      <c r="EMO889" s="122"/>
      <c r="EMP889" s="122"/>
      <c r="EMQ889" s="122"/>
      <c r="EMR889" s="122"/>
      <c r="EMS889" s="122"/>
      <c r="EMT889" s="122"/>
      <c r="EMU889" s="122"/>
      <c r="EMV889" s="122"/>
      <c r="EMW889" s="122"/>
      <c r="EMX889" s="122"/>
      <c r="EMY889" s="122"/>
      <c r="EMZ889" s="122"/>
      <c r="ENA889" s="122"/>
      <c r="ENB889" s="122"/>
      <c r="ENC889" s="122"/>
      <c r="END889" s="122"/>
      <c r="ENE889" s="122"/>
      <c r="ENF889" s="122"/>
      <c r="ENG889" s="122"/>
      <c r="ENH889" s="122"/>
      <c r="ENI889" s="122"/>
      <c r="ENJ889" s="122"/>
      <c r="ENK889" s="122"/>
      <c r="ENL889" s="122"/>
      <c r="ENM889" s="122"/>
      <c r="ENN889" s="122"/>
      <c r="ENO889" s="122"/>
      <c r="ENP889" s="122"/>
      <c r="ENQ889" s="122"/>
      <c r="ENR889" s="122"/>
      <c r="ENS889" s="122"/>
      <c r="ENT889" s="122"/>
      <c r="ENU889" s="122"/>
      <c r="ENV889" s="122"/>
      <c r="ENW889" s="122"/>
      <c r="ENX889" s="122"/>
      <c r="ENY889" s="122"/>
      <c r="ENZ889" s="122"/>
      <c r="EOA889" s="122"/>
      <c r="EOB889" s="122"/>
      <c r="EOC889" s="122"/>
      <c r="EOD889" s="122"/>
      <c r="EOE889" s="122"/>
      <c r="EOF889" s="122"/>
      <c r="EOG889" s="122"/>
      <c r="EOH889" s="122"/>
      <c r="EOI889" s="122"/>
      <c r="EOJ889" s="122"/>
      <c r="EOK889" s="122"/>
      <c r="EOL889" s="122"/>
      <c r="EOM889" s="122"/>
      <c r="EON889" s="122"/>
      <c r="EOO889" s="122"/>
      <c r="EOP889" s="122"/>
      <c r="EOQ889" s="122"/>
      <c r="EOR889" s="122"/>
      <c r="EOS889" s="122"/>
      <c r="EOT889" s="122"/>
      <c r="EOU889" s="122"/>
      <c r="EOV889" s="122"/>
      <c r="EOW889" s="122"/>
      <c r="EOX889" s="122"/>
      <c r="EOY889" s="122"/>
      <c r="EOZ889" s="122"/>
      <c r="EPA889" s="122"/>
      <c r="EPB889" s="122"/>
      <c r="EPC889" s="122"/>
      <c r="EPD889" s="122"/>
      <c r="EPE889" s="122"/>
      <c r="EPF889" s="122"/>
      <c r="EPG889" s="122"/>
      <c r="EPH889" s="122"/>
      <c r="EPI889" s="122"/>
      <c r="EPJ889" s="122"/>
      <c r="EPK889" s="122"/>
      <c r="EPL889" s="122"/>
      <c r="EPM889" s="122"/>
      <c r="EPN889" s="122"/>
      <c r="EPO889" s="122"/>
      <c r="EPP889" s="122"/>
      <c r="EPQ889" s="122"/>
      <c r="EPR889" s="122"/>
      <c r="EPS889" s="122"/>
      <c r="EPT889" s="122"/>
      <c r="EPU889" s="122"/>
      <c r="EPV889" s="122"/>
      <c r="EPW889" s="122"/>
      <c r="EPX889" s="122"/>
      <c r="EPY889" s="122"/>
      <c r="EPZ889" s="122"/>
      <c r="EQA889" s="122"/>
      <c r="EQB889" s="122"/>
      <c r="EQC889" s="122"/>
      <c r="EQD889" s="122"/>
      <c r="EQE889" s="122"/>
      <c r="EQF889" s="122"/>
      <c r="EQG889" s="122"/>
      <c r="EQH889" s="122"/>
      <c r="EQI889" s="122"/>
      <c r="EQJ889" s="122"/>
      <c r="EQK889" s="122"/>
      <c r="EQL889" s="122"/>
      <c r="EQM889" s="122"/>
      <c r="EQN889" s="122"/>
      <c r="EQO889" s="122"/>
      <c r="EQP889" s="122"/>
      <c r="EQQ889" s="122"/>
      <c r="EQR889" s="122"/>
      <c r="EQS889" s="122"/>
      <c r="EQT889" s="122"/>
      <c r="EQU889" s="122"/>
      <c r="EQV889" s="122"/>
      <c r="EQW889" s="122"/>
      <c r="EQX889" s="122"/>
      <c r="EQY889" s="122"/>
      <c r="EQZ889" s="122"/>
      <c r="ERA889" s="122"/>
      <c r="ERB889" s="122"/>
      <c r="ERC889" s="122"/>
      <c r="ERD889" s="122"/>
      <c r="ERE889" s="122"/>
      <c r="ERF889" s="122"/>
      <c r="ERG889" s="122"/>
      <c r="ERH889" s="122"/>
      <c r="ERI889" s="122"/>
      <c r="ERJ889" s="122"/>
      <c r="ERK889" s="122"/>
      <c r="ERL889" s="122"/>
      <c r="ERM889" s="122"/>
      <c r="ERN889" s="122"/>
      <c r="ERO889" s="122"/>
      <c r="ERP889" s="122"/>
      <c r="ERQ889" s="122"/>
      <c r="ERR889" s="122"/>
      <c r="ERS889" s="122"/>
      <c r="ERT889" s="122"/>
      <c r="ERU889" s="122"/>
      <c r="ERV889" s="122"/>
      <c r="ERW889" s="122"/>
      <c r="ERX889" s="122"/>
      <c r="ERY889" s="122"/>
      <c r="ERZ889" s="122"/>
      <c r="ESA889" s="122"/>
      <c r="ESB889" s="122"/>
      <c r="ESC889" s="122"/>
      <c r="ESD889" s="122"/>
      <c r="ESE889" s="122"/>
      <c r="ESF889" s="122"/>
      <c r="ESG889" s="122"/>
      <c r="ESH889" s="122"/>
      <c r="ESI889" s="122"/>
      <c r="ESJ889" s="122"/>
      <c r="ESK889" s="122"/>
      <c r="ESL889" s="122"/>
      <c r="ESM889" s="122"/>
      <c r="ESN889" s="122"/>
      <c r="ESO889" s="122"/>
      <c r="ESP889" s="122"/>
      <c r="ESQ889" s="122"/>
      <c r="ESR889" s="122"/>
      <c r="ESS889" s="122"/>
      <c r="EST889" s="122"/>
      <c r="ESU889" s="122"/>
      <c r="ESV889" s="122"/>
      <c r="ESW889" s="122"/>
      <c r="ESX889" s="122"/>
      <c r="ESY889" s="122"/>
      <c r="ESZ889" s="122"/>
      <c r="ETA889" s="122"/>
      <c r="ETB889" s="122"/>
      <c r="ETC889" s="122"/>
      <c r="ETD889" s="122"/>
      <c r="ETE889" s="122"/>
      <c r="ETF889" s="122"/>
      <c r="ETG889" s="122"/>
      <c r="ETH889" s="122"/>
      <c r="ETI889" s="122"/>
      <c r="ETJ889" s="122"/>
      <c r="ETK889" s="122"/>
      <c r="ETL889" s="122"/>
      <c r="ETM889" s="122"/>
      <c r="ETN889" s="122"/>
      <c r="ETO889" s="122"/>
      <c r="ETP889" s="122"/>
      <c r="ETQ889" s="122"/>
      <c r="ETR889" s="122"/>
      <c r="ETS889" s="122"/>
      <c r="ETT889" s="122"/>
      <c r="ETU889" s="122"/>
      <c r="ETV889" s="122"/>
      <c r="ETW889" s="122"/>
      <c r="ETX889" s="122"/>
      <c r="ETY889" s="122"/>
      <c r="ETZ889" s="122"/>
      <c r="EUA889" s="122"/>
      <c r="EUB889" s="122"/>
      <c r="EUC889" s="122"/>
      <c r="EUD889" s="122"/>
      <c r="EUE889" s="122"/>
      <c r="EUF889" s="122"/>
      <c r="EUG889" s="122"/>
      <c r="EUH889" s="122"/>
      <c r="EUI889" s="122"/>
      <c r="EUJ889" s="122"/>
      <c r="EUK889" s="122"/>
      <c r="EUL889" s="122"/>
      <c r="EUM889" s="122"/>
      <c r="EUN889" s="122"/>
      <c r="EUO889" s="122"/>
      <c r="EUP889" s="122"/>
      <c r="EUQ889" s="122"/>
      <c r="EUR889" s="122"/>
      <c r="EUS889" s="122"/>
      <c r="EUT889" s="122"/>
      <c r="EUU889" s="122"/>
      <c r="EUV889" s="122"/>
      <c r="EUW889" s="122"/>
      <c r="EUX889" s="122"/>
      <c r="EUY889" s="122"/>
      <c r="EUZ889" s="122"/>
      <c r="EVA889" s="122"/>
      <c r="EVB889" s="122"/>
      <c r="EVC889" s="122"/>
      <c r="EVD889" s="122"/>
      <c r="EVE889" s="122"/>
      <c r="EVF889" s="122"/>
      <c r="EVG889" s="122"/>
      <c r="EVH889" s="122"/>
      <c r="EVI889" s="122"/>
      <c r="EVJ889" s="122"/>
      <c r="EVK889" s="122"/>
      <c r="EVL889" s="122"/>
      <c r="EVM889" s="122"/>
      <c r="EVN889" s="122"/>
      <c r="EVO889" s="122"/>
      <c r="EVP889" s="122"/>
      <c r="EVQ889" s="122"/>
      <c r="EVR889" s="122"/>
      <c r="EVS889" s="122"/>
      <c r="EVT889" s="122"/>
      <c r="EVU889" s="122"/>
      <c r="EVV889" s="122"/>
      <c r="EVW889" s="122"/>
      <c r="EVX889" s="122"/>
      <c r="EVY889" s="122"/>
      <c r="EVZ889" s="122"/>
      <c r="EWA889" s="122"/>
      <c r="EWB889" s="122"/>
      <c r="EWC889" s="122"/>
      <c r="EWD889" s="122"/>
      <c r="EWE889" s="122"/>
      <c r="EWF889" s="122"/>
      <c r="EWG889" s="122"/>
      <c r="EWH889" s="122"/>
      <c r="EWI889" s="122"/>
      <c r="EWJ889" s="122"/>
      <c r="EWK889" s="122"/>
      <c r="EWL889" s="122"/>
      <c r="EWM889" s="122"/>
      <c r="EWN889" s="122"/>
      <c r="EWO889" s="122"/>
      <c r="EWP889" s="122"/>
      <c r="EWQ889" s="122"/>
      <c r="EWR889" s="122"/>
      <c r="EWS889" s="122"/>
      <c r="EWT889" s="122"/>
      <c r="EWU889" s="122"/>
      <c r="EWV889" s="122"/>
      <c r="EWW889" s="122"/>
      <c r="EWX889" s="122"/>
      <c r="EWY889" s="122"/>
      <c r="EWZ889" s="122"/>
      <c r="EXA889" s="122"/>
      <c r="EXB889" s="122"/>
      <c r="EXC889" s="122"/>
      <c r="EXD889" s="122"/>
      <c r="EXE889" s="122"/>
      <c r="EXF889" s="122"/>
      <c r="EXG889" s="122"/>
      <c r="EXH889" s="122"/>
      <c r="EXI889" s="122"/>
      <c r="EXJ889" s="122"/>
      <c r="EXK889" s="122"/>
      <c r="EXL889" s="122"/>
      <c r="EXM889" s="122"/>
      <c r="EXN889" s="122"/>
      <c r="EXO889" s="122"/>
      <c r="EXP889" s="122"/>
      <c r="EXQ889" s="122"/>
      <c r="EXR889" s="122"/>
      <c r="EXS889" s="122"/>
      <c r="EXT889" s="122"/>
      <c r="EXU889" s="122"/>
      <c r="EXV889" s="122"/>
      <c r="EXW889" s="122"/>
      <c r="EXX889" s="122"/>
      <c r="EXY889" s="122"/>
      <c r="EXZ889" s="122"/>
      <c r="EYA889" s="122"/>
      <c r="EYB889" s="122"/>
      <c r="EYC889" s="122"/>
      <c r="EYD889" s="122"/>
      <c r="EYE889" s="122"/>
      <c r="EYF889" s="122"/>
      <c r="EYG889" s="122"/>
      <c r="EYH889" s="122"/>
      <c r="EYI889" s="122"/>
      <c r="EYJ889" s="122"/>
      <c r="EYK889" s="122"/>
      <c r="EYL889" s="122"/>
      <c r="EYM889" s="122"/>
      <c r="EYN889" s="122"/>
      <c r="EYO889" s="122"/>
      <c r="EYP889" s="122"/>
      <c r="EYQ889" s="122"/>
      <c r="EYR889" s="122"/>
      <c r="EYS889" s="122"/>
      <c r="EYT889" s="122"/>
      <c r="EYU889" s="122"/>
      <c r="EYV889" s="122"/>
      <c r="EYW889" s="122"/>
      <c r="EYX889" s="122"/>
      <c r="EYY889" s="122"/>
      <c r="EYZ889" s="122"/>
      <c r="EZA889" s="122"/>
      <c r="EZB889" s="122"/>
      <c r="EZC889" s="122"/>
      <c r="EZD889" s="122"/>
      <c r="EZE889" s="122"/>
      <c r="EZF889" s="122"/>
      <c r="EZG889" s="122"/>
      <c r="EZH889" s="122"/>
      <c r="EZI889" s="122"/>
      <c r="EZJ889" s="122"/>
      <c r="EZK889" s="122"/>
      <c r="EZL889" s="122"/>
      <c r="EZM889" s="122"/>
      <c r="EZN889" s="122"/>
      <c r="EZO889" s="122"/>
      <c r="EZP889" s="122"/>
      <c r="EZQ889" s="122"/>
      <c r="EZR889" s="122"/>
      <c r="EZS889" s="122"/>
      <c r="EZT889" s="122"/>
      <c r="EZU889" s="122"/>
      <c r="EZV889" s="122"/>
      <c r="EZW889" s="122"/>
      <c r="EZX889" s="122"/>
      <c r="EZY889" s="122"/>
      <c r="EZZ889" s="122"/>
      <c r="FAA889" s="122"/>
      <c r="FAB889" s="122"/>
      <c r="FAC889" s="122"/>
      <c r="FAD889" s="122"/>
      <c r="FAE889" s="122"/>
      <c r="FAF889" s="122"/>
      <c r="FAG889" s="122"/>
      <c r="FAH889" s="122"/>
      <c r="FAI889" s="122"/>
      <c r="FAJ889" s="122"/>
      <c r="FAK889" s="122"/>
      <c r="FAL889" s="122"/>
      <c r="FAM889" s="122"/>
      <c r="FAN889" s="122"/>
      <c r="FAO889" s="122"/>
      <c r="FAP889" s="122"/>
      <c r="FAQ889" s="122"/>
      <c r="FAR889" s="122"/>
      <c r="FAS889" s="122"/>
      <c r="FAT889" s="122"/>
      <c r="FAU889" s="122"/>
      <c r="FAV889" s="122"/>
      <c r="FAW889" s="122"/>
      <c r="FAX889" s="122"/>
      <c r="FAY889" s="122"/>
      <c r="FAZ889" s="122"/>
      <c r="FBA889" s="122"/>
      <c r="FBB889" s="122"/>
      <c r="FBC889" s="122"/>
      <c r="FBD889" s="122"/>
      <c r="FBE889" s="122"/>
      <c r="FBF889" s="122"/>
      <c r="FBG889" s="122"/>
      <c r="FBH889" s="122"/>
      <c r="FBI889" s="122"/>
      <c r="FBJ889" s="122"/>
      <c r="FBK889" s="122"/>
      <c r="FBL889" s="122"/>
      <c r="FBM889" s="122"/>
      <c r="FBN889" s="122"/>
      <c r="FBO889" s="122"/>
      <c r="FBP889" s="122"/>
      <c r="FBQ889" s="122"/>
      <c r="FBR889" s="122"/>
      <c r="FBS889" s="122"/>
      <c r="FBT889" s="122"/>
      <c r="FBU889" s="122"/>
      <c r="FBV889" s="122"/>
      <c r="FBW889" s="122"/>
      <c r="FBX889" s="122"/>
      <c r="FBY889" s="122"/>
      <c r="FBZ889" s="122"/>
      <c r="FCA889" s="122"/>
      <c r="FCB889" s="122"/>
      <c r="FCC889" s="122"/>
      <c r="FCD889" s="122"/>
      <c r="FCE889" s="122"/>
      <c r="FCF889" s="122"/>
      <c r="FCG889" s="122"/>
      <c r="FCH889" s="122"/>
      <c r="FCI889" s="122"/>
      <c r="FCJ889" s="122"/>
      <c r="FCK889" s="122"/>
      <c r="FCL889" s="122"/>
      <c r="FCM889" s="122"/>
      <c r="FCN889" s="122"/>
      <c r="FCO889" s="122"/>
      <c r="FCP889" s="122"/>
      <c r="FCQ889" s="122"/>
      <c r="FCR889" s="122"/>
      <c r="FCS889" s="122"/>
      <c r="FCT889" s="122"/>
      <c r="FCU889" s="122"/>
      <c r="FCV889" s="122"/>
      <c r="FCW889" s="122"/>
      <c r="FCX889" s="122"/>
      <c r="FCY889" s="122"/>
      <c r="FCZ889" s="122"/>
      <c r="FDA889" s="122"/>
      <c r="FDB889" s="122"/>
      <c r="FDC889" s="122"/>
      <c r="FDD889" s="122"/>
      <c r="FDE889" s="122"/>
      <c r="FDF889" s="122"/>
      <c r="FDG889" s="122"/>
      <c r="FDH889" s="122"/>
      <c r="FDI889" s="122"/>
      <c r="FDJ889" s="122"/>
      <c r="FDK889" s="122"/>
      <c r="FDL889" s="122"/>
      <c r="FDM889" s="122"/>
      <c r="FDN889" s="122"/>
      <c r="FDO889" s="122"/>
      <c r="FDP889" s="122"/>
      <c r="FDQ889" s="122"/>
      <c r="FDR889" s="122"/>
      <c r="FDS889" s="122"/>
      <c r="FDT889" s="122"/>
      <c r="FDU889" s="122"/>
      <c r="FDV889" s="122"/>
      <c r="FDW889" s="122"/>
      <c r="FDX889" s="122"/>
      <c r="FDY889" s="122"/>
      <c r="FDZ889" s="122"/>
      <c r="FEA889" s="122"/>
      <c r="FEB889" s="122"/>
      <c r="FEC889" s="122"/>
      <c r="FED889" s="122"/>
      <c r="FEE889" s="122"/>
      <c r="FEF889" s="122"/>
      <c r="FEG889" s="122"/>
      <c r="FEH889" s="122"/>
      <c r="FEI889" s="122"/>
      <c r="FEJ889" s="122"/>
      <c r="FEK889" s="122"/>
      <c r="FEL889" s="122"/>
      <c r="FEM889" s="122"/>
      <c r="FEN889" s="122"/>
      <c r="FEO889" s="122"/>
      <c r="FEP889" s="122"/>
      <c r="FEQ889" s="122"/>
      <c r="FER889" s="122"/>
      <c r="FES889" s="122"/>
      <c r="FET889" s="122"/>
      <c r="FEU889" s="122"/>
      <c r="FEV889" s="122"/>
      <c r="FEW889" s="122"/>
      <c r="FEX889" s="122"/>
      <c r="FEY889" s="122"/>
      <c r="FEZ889" s="122"/>
      <c r="FFA889" s="122"/>
      <c r="FFB889" s="122"/>
      <c r="FFC889" s="122"/>
      <c r="FFD889" s="122"/>
      <c r="FFE889" s="122"/>
      <c r="FFF889" s="122"/>
      <c r="FFG889" s="122"/>
      <c r="FFH889" s="122"/>
      <c r="FFI889" s="122"/>
      <c r="FFJ889" s="122"/>
      <c r="FFK889" s="122"/>
      <c r="FFL889" s="122"/>
      <c r="FFM889" s="122"/>
      <c r="FFN889" s="122"/>
      <c r="FFO889" s="122"/>
      <c r="FFP889" s="122"/>
      <c r="FFQ889" s="122"/>
      <c r="FFR889" s="122"/>
      <c r="FFS889" s="122"/>
      <c r="FFT889" s="122"/>
      <c r="FFU889" s="122"/>
      <c r="FFV889" s="122"/>
      <c r="FFW889" s="122"/>
      <c r="FFX889" s="122"/>
      <c r="FFY889" s="122"/>
      <c r="FFZ889" s="122"/>
      <c r="FGA889" s="122"/>
      <c r="FGB889" s="122"/>
      <c r="FGC889" s="122"/>
      <c r="FGD889" s="122"/>
      <c r="FGE889" s="122"/>
      <c r="FGF889" s="122"/>
      <c r="FGG889" s="122"/>
      <c r="FGH889" s="122"/>
      <c r="FGI889" s="122"/>
      <c r="FGJ889" s="122"/>
      <c r="FGK889" s="122"/>
      <c r="FGL889" s="122"/>
      <c r="FGM889" s="122"/>
      <c r="FGN889" s="122"/>
      <c r="FGO889" s="122"/>
      <c r="FGP889" s="122"/>
      <c r="FGQ889" s="122"/>
      <c r="FGR889" s="122"/>
      <c r="FGS889" s="122"/>
      <c r="FGT889" s="122"/>
      <c r="FGU889" s="122"/>
      <c r="FGV889" s="122"/>
      <c r="FGW889" s="122"/>
      <c r="FGX889" s="122"/>
      <c r="FGY889" s="122"/>
      <c r="FGZ889" s="122"/>
      <c r="FHA889" s="122"/>
      <c r="FHB889" s="122"/>
      <c r="FHC889" s="122"/>
      <c r="FHD889" s="122"/>
      <c r="FHE889" s="122"/>
      <c r="FHF889" s="122"/>
      <c r="FHG889" s="122"/>
      <c r="FHH889" s="122"/>
      <c r="FHI889" s="122"/>
      <c r="FHJ889" s="122"/>
      <c r="FHK889" s="122"/>
      <c r="FHL889" s="122"/>
      <c r="FHM889" s="122"/>
      <c r="FHN889" s="122"/>
      <c r="FHO889" s="122"/>
      <c r="FHP889" s="122"/>
      <c r="FHQ889" s="122"/>
      <c r="FHR889" s="122"/>
      <c r="FHS889" s="122"/>
      <c r="FHT889" s="122"/>
      <c r="FHU889" s="122"/>
      <c r="FHV889" s="122"/>
      <c r="FHW889" s="122"/>
      <c r="FHX889" s="122"/>
      <c r="FHY889" s="122"/>
      <c r="FHZ889" s="122"/>
      <c r="FIA889" s="122"/>
      <c r="FIB889" s="122"/>
      <c r="FIC889" s="122"/>
      <c r="FID889" s="122"/>
      <c r="FIE889" s="122"/>
      <c r="FIF889" s="122"/>
      <c r="FIG889" s="122"/>
      <c r="FIH889" s="122"/>
      <c r="FII889" s="122"/>
      <c r="FIJ889" s="122"/>
      <c r="FIK889" s="122"/>
      <c r="FIL889" s="122"/>
      <c r="FIM889" s="122"/>
      <c r="FIN889" s="122"/>
      <c r="FIO889" s="122"/>
      <c r="FIP889" s="122"/>
      <c r="FIQ889" s="122"/>
      <c r="FIR889" s="122"/>
      <c r="FIS889" s="122"/>
      <c r="FIT889" s="122"/>
      <c r="FIU889" s="122"/>
      <c r="FIV889" s="122"/>
      <c r="FIW889" s="122"/>
      <c r="FIX889" s="122"/>
      <c r="FIY889" s="122"/>
      <c r="FIZ889" s="122"/>
      <c r="FJA889" s="122"/>
      <c r="FJB889" s="122"/>
      <c r="FJC889" s="122"/>
      <c r="FJD889" s="122"/>
      <c r="FJE889" s="122"/>
      <c r="FJF889" s="122"/>
      <c r="FJG889" s="122"/>
      <c r="FJH889" s="122"/>
      <c r="FJI889" s="122"/>
      <c r="FJJ889" s="122"/>
      <c r="FJK889" s="122"/>
      <c r="FJL889" s="122"/>
      <c r="FJM889" s="122"/>
      <c r="FJN889" s="122"/>
      <c r="FJO889" s="122"/>
      <c r="FJP889" s="122"/>
      <c r="FJQ889" s="122"/>
      <c r="FJR889" s="122"/>
      <c r="FJS889" s="122"/>
      <c r="FJT889" s="122"/>
      <c r="FJU889" s="122"/>
      <c r="FJV889" s="122"/>
      <c r="FJW889" s="122"/>
      <c r="FJX889" s="122"/>
      <c r="FJY889" s="122"/>
      <c r="FJZ889" s="122"/>
      <c r="FKA889" s="122"/>
      <c r="FKB889" s="122"/>
      <c r="FKC889" s="122"/>
      <c r="FKD889" s="122"/>
      <c r="FKE889" s="122"/>
      <c r="FKF889" s="122"/>
      <c r="FKG889" s="122"/>
      <c r="FKH889" s="122"/>
      <c r="FKI889" s="122"/>
      <c r="FKJ889" s="122"/>
      <c r="FKK889" s="122"/>
      <c r="FKL889" s="122"/>
      <c r="FKM889" s="122"/>
      <c r="FKN889" s="122"/>
      <c r="FKO889" s="122"/>
      <c r="FKP889" s="122"/>
      <c r="FKQ889" s="122"/>
      <c r="FKR889" s="122"/>
      <c r="FKS889" s="122"/>
      <c r="FKT889" s="122"/>
      <c r="FKU889" s="122"/>
      <c r="FKV889" s="122"/>
      <c r="FKW889" s="122"/>
      <c r="FKX889" s="122"/>
      <c r="FKY889" s="122"/>
      <c r="FKZ889" s="122"/>
      <c r="FLA889" s="122"/>
      <c r="FLB889" s="122"/>
      <c r="FLC889" s="122"/>
      <c r="FLD889" s="122"/>
      <c r="FLE889" s="122"/>
      <c r="FLF889" s="122"/>
      <c r="FLG889" s="122"/>
      <c r="FLH889" s="122"/>
      <c r="FLI889" s="122"/>
      <c r="FLJ889" s="122"/>
      <c r="FLK889" s="122"/>
      <c r="FLL889" s="122"/>
      <c r="FLM889" s="122"/>
      <c r="FLN889" s="122"/>
      <c r="FLO889" s="122"/>
      <c r="FLP889" s="122"/>
      <c r="FLQ889" s="122"/>
      <c r="FLR889" s="122"/>
      <c r="FLS889" s="122"/>
      <c r="FLT889" s="122"/>
      <c r="FLU889" s="122"/>
      <c r="FLV889" s="122"/>
      <c r="FLW889" s="122"/>
      <c r="FLX889" s="122"/>
      <c r="FLY889" s="122"/>
      <c r="FLZ889" s="122"/>
      <c r="FMA889" s="122"/>
      <c r="FMB889" s="122"/>
      <c r="FMC889" s="122"/>
      <c r="FMD889" s="122"/>
      <c r="FME889" s="122"/>
      <c r="FMF889" s="122"/>
      <c r="FMG889" s="122"/>
      <c r="FMH889" s="122"/>
      <c r="FMI889" s="122"/>
      <c r="FMJ889" s="122"/>
      <c r="FMK889" s="122"/>
      <c r="FML889" s="122"/>
      <c r="FMM889" s="122"/>
      <c r="FMN889" s="122"/>
      <c r="FMO889" s="122"/>
      <c r="FMP889" s="122"/>
      <c r="FMQ889" s="122"/>
      <c r="FMR889" s="122"/>
      <c r="FMS889" s="122"/>
      <c r="FMT889" s="122"/>
      <c r="FMU889" s="122"/>
      <c r="FMV889" s="122"/>
      <c r="FMW889" s="122"/>
      <c r="FMX889" s="122"/>
      <c r="FMY889" s="122"/>
      <c r="FMZ889" s="122"/>
      <c r="FNA889" s="122"/>
      <c r="FNB889" s="122"/>
      <c r="FNC889" s="122"/>
      <c r="FND889" s="122"/>
      <c r="FNE889" s="122"/>
      <c r="FNF889" s="122"/>
      <c r="FNG889" s="122"/>
      <c r="FNH889" s="122"/>
      <c r="FNI889" s="122"/>
      <c r="FNJ889" s="122"/>
      <c r="FNK889" s="122"/>
      <c r="FNL889" s="122"/>
      <c r="FNM889" s="122"/>
      <c r="FNN889" s="122"/>
      <c r="FNO889" s="122"/>
      <c r="FNP889" s="122"/>
      <c r="FNQ889" s="122"/>
      <c r="FNR889" s="122"/>
      <c r="FNS889" s="122"/>
      <c r="FNT889" s="122"/>
      <c r="FNU889" s="122"/>
      <c r="FNV889" s="122"/>
      <c r="FNW889" s="122"/>
      <c r="FNX889" s="122"/>
      <c r="FNY889" s="122"/>
      <c r="FNZ889" s="122"/>
      <c r="FOA889" s="122"/>
      <c r="FOB889" s="122"/>
      <c r="FOC889" s="122"/>
      <c r="FOD889" s="122"/>
      <c r="FOE889" s="122"/>
      <c r="FOF889" s="122"/>
      <c r="FOG889" s="122"/>
      <c r="FOH889" s="122"/>
      <c r="FOI889" s="122"/>
      <c r="FOJ889" s="122"/>
      <c r="FOK889" s="122"/>
      <c r="FOL889" s="122"/>
      <c r="FOM889" s="122"/>
      <c r="FON889" s="122"/>
      <c r="FOO889" s="122"/>
      <c r="FOP889" s="122"/>
      <c r="FOQ889" s="122"/>
      <c r="FOR889" s="122"/>
      <c r="FOS889" s="122"/>
      <c r="FOT889" s="122"/>
      <c r="FOU889" s="122"/>
      <c r="FOV889" s="122"/>
      <c r="FOW889" s="122"/>
      <c r="FOX889" s="122"/>
      <c r="FOY889" s="122"/>
      <c r="FOZ889" s="122"/>
      <c r="FPA889" s="122"/>
      <c r="FPB889" s="122"/>
      <c r="FPC889" s="122"/>
      <c r="FPD889" s="122"/>
      <c r="FPE889" s="122"/>
      <c r="FPF889" s="122"/>
      <c r="FPG889" s="122"/>
      <c r="FPH889" s="122"/>
      <c r="FPI889" s="122"/>
      <c r="FPJ889" s="122"/>
      <c r="FPK889" s="122"/>
      <c r="FPL889" s="122"/>
      <c r="FPM889" s="122"/>
      <c r="FPN889" s="122"/>
      <c r="FPO889" s="122"/>
      <c r="FPP889" s="122"/>
      <c r="FPQ889" s="122"/>
      <c r="FPR889" s="122"/>
      <c r="FPS889" s="122"/>
      <c r="FPT889" s="122"/>
      <c r="FPU889" s="122"/>
      <c r="FPV889" s="122"/>
      <c r="FPW889" s="122"/>
      <c r="FPX889" s="122"/>
      <c r="FPY889" s="122"/>
      <c r="FPZ889" s="122"/>
      <c r="FQA889" s="122"/>
      <c r="FQB889" s="122"/>
      <c r="FQC889" s="122"/>
      <c r="FQD889" s="122"/>
      <c r="FQE889" s="122"/>
      <c r="FQF889" s="122"/>
      <c r="FQG889" s="122"/>
      <c r="FQH889" s="122"/>
      <c r="FQI889" s="122"/>
      <c r="FQJ889" s="122"/>
      <c r="FQK889" s="122"/>
      <c r="FQL889" s="122"/>
      <c r="FQM889" s="122"/>
      <c r="FQN889" s="122"/>
      <c r="FQO889" s="122"/>
      <c r="FQP889" s="122"/>
      <c r="FQQ889" s="122"/>
      <c r="FQR889" s="122"/>
      <c r="FQS889" s="122"/>
      <c r="FQT889" s="122"/>
      <c r="FQU889" s="122"/>
      <c r="FQV889" s="122"/>
      <c r="FQW889" s="122"/>
      <c r="FQX889" s="122"/>
      <c r="FQY889" s="122"/>
      <c r="FQZ889" s="122"/>
      <c r="FRA889" s="122"/>
      <c r="FRB889" s="122"/>
      <c r="FRC889" s="122"/>
      <c r="FRD889" s="122"/>
      <c r="FRE889" s="122"/>
      <c r="FRF889" s="122"/>
      <c r="FRG889" s="122"/>
      <c r="FRH889" s="122"/>
      <c r="FRI889" s="122"/>
      <c r="FRJ889" s="122"/>
      <c r="FRK889" s="122"/>
      <c r="FRL889" s="122"/>
      <c r="FRM889" s="122"/>
      <c r="FRN889" s="122"/>
      <c r="FRO889" s="122"/>
      <c r="FRP889" s="122"/>
      <c r="FRQ889" s="122"/>
      <c r="FRR889" s="122"/>
      <c r="FRS889" s="122"/>
      <c r="FRT889" s="122"/>
      <c r="FRU889" s="122"/>
      <c r="FRV889" s="122"/>
      <c r="FRW889" s="122"/>
      <c r="FRX889" s="122"/>
      <c r="FRY889" s="122"/>
      <c r="FRZ889" s="122"/>
      <c r="FSA889" s="122"/>
      <c r="FSB889" s="122"/>
      <c r="FSC889" s="122"/>
      <c r="FSD889" s="122"/>
      <c r="FSE889" s="122"/>
      <c r="FSF889" s="122"/>
      <c r="FSG889" s="122"/>
      <c r="FSH889" s="122"/>
      <c r="FSI889" s="122"/>
      <c r="FSJ889" s="122"/>
      <c r="FSK889" s="122"/>
      <c r="FSL889" s="122"/>
      <c r="FSM889" s="122"/>
      <c r="FSN889" s="122"/>
      <c r="FSO889" s="122"/>
      <c r="FSP889" s="122"/>
      <c r="FSQ889" s="122"/>
      <c r="FSR889" s="122"/>
      <c r="FSS889" s="122"/>
      <c r="FST889" s="122"/>
      <c r="FSU889" s="122"/>
      <c r="FSV889" s="122"/>
      <c r="FSW889" s="122"/>
      <c r="FSX889" s="122"/>
      <c r="FSY889" s="122"/>
      <c r="FSZ889" s="122"/>
      <c r="FTA889" s="122"/>
      <c r="FTB889" s="122"/>
      <c r="FTC889" s="122"/>
      <c r="FTD889" s="122"/>
      <c r="FTE889" s="122"/>
      <c r="FTF889" s="122"/>
      <c r="FTG889" s="122"/>
      <c r="FTH889" s="122"/>
      <c r="FTI889" s="122"/>
      <c r="FTJ889" s="122"/>
      <c r="FTK889" s="122"/>
      <c r="FTL889" s="122"/>
      <c r="FTM889" s="122"/>
      <c r="FTN889" s="122"/>
      <c r="FTO889" s="122"/>
      <c r="FTP889" s="122"/>
      <c r="FTQ889" s="122"/>
      <c r="FTR889" s="122"/>
      <c r="FTS889" s="122"/>
      <c r="FTT889" s="122"/>
      <c r="FTU889" s="122"/>
      <c r="FTV889" s="122"/>
      <c r="FTW889" s="122"/>
      <c r="FTX889" s="122"/>
      <c r="FTY889" s="122"/>
      <c r="FTZ889" s="122"/>
      <c r="FUA889" s="122"/>
      <c r="FUB889" s="122"/>
      <c r="FUC889" s="122"/>
      <c r="FUD889" s="122"/>
      <c r="FUE889" s="122"/>
      <c r="FUF889" s="122"/>
      <c r="FUG889" s="122"/>
      <c r="FUH889" s="122"/>
      <c r="FUI889" s="122"/>
      <c r="FUJ889" s="122"/>
      <c r="FUK889" s="122"/>
      <c r="FUL889" s="122"/>
      <c r="FUM889" s="122"/>
      <c r="FUN889" s="122"/>
      <c r="FUO889" s="122"/>
      <c r="FUP889" s="122"/>
      <c r="FUQ889" s="122"/>
      <c r="FUR889" s="122"/>
      <c r="FUS889" s="122"/>
      <c r="FUT889" s="122"/>
      <c r="FUU889" s="122"/>
      <c r="FUV889" s="122"/>
      <c r="FUW889" s="122"/>
      <c r="FUX889" s="122"/>
      <c r="FUY889" s="122"/>
      <c r="FUZ889" s="122"/>
      <c r="FVA889" s="122"/>
      <c r="FVB889" s="122"/>
      <c r="FVC889" s="122"/>
      <c r="FVD889" s="122"/>
      <c r="FVE889" s="122"/>
      <c r="FVF889" s="122"/>
      <c r="FVG889" s="122"/>
      <c r="FVH889" s="122"/>
      <c r="FVI889" s="122"/>
      <c r="FVJ889" s="122"/>
      <c r="FVK889" s="122"/>
      <c r="FVL889" s="122"/>
      <c r="FVM889" s="122"/>
      <c r="FVN889" s="122"/>
      <c r="FVO889" s="122"/>
      <c r="FVP889" s="122"/>
      <c r="FVQ889" s="122"/>
      <c r="FVR889" s="122"/>
      <c r="FVS889" s="122"/>
      <c r="FVT889" s="122"/>
      <c r="FVU889" s="122"/>
      <c r="FVV889" s="122"/>
      <c r="FVW889" s="122"/>
      <c r="FVX889" s="122"/>
      <c r="FVY889" s="122"/>
      <c r="FVZ889" s="122"/>
      <c r="FWA889" s="122"/>
      <c r="FWB889" s="122"/>
      <c r="FWC889" s="122"/>
      <c r="FWD889" s="122"/>
      <c r="FWE889" s="122"/>
      <c r="FWF889" s="122"/>
      <c r="FWG889" s="122"/>
      <c r="FWH889" s="122"/>
      <c r="FWI889" s="122"/>
      <c r="FWJ889" s="122"/>
      <c r="FWK889" s="122"/>
      <c r="FWL889" s="122"/>
      <c r="FWM889" s="122"/>
      <c r="FWN889" s="122"/>
      <c r="FWO889" s="122"/>
      <c r="FWP889" s="122"/>
      <c r="FWQ889" s="122"/>
      <c r="FWR889" s="122"/>
      <c r="FWS889" s="122"/>
      <c r="FWT889" s="122"/>
      <c r="FWU889" s="122"/>
      <c r="FWV889" s="122"/>
      <c r="FWW889" s="122"/>
      <c r="FWX889" s="122"/>
      <c r="FWY889" s="122"/>
      <c r="FWZ889" s="122"/>
      <c r="FXA889" s="122"/>
      <c r="FXB889" s="122"/>
      <c r="FXC889" s="122"/>
      <c r="FXD889" s="122"/>
      <c r="FXE889" s="122"/>
      <c r="FXF889" s="122"/>
      <c r="FXG889" s="122"/>
      <c r="FXH889" s="122"/>
      <c r="FXI889" s="122"/>
      <c r="FXJ889" s="122"/>
      <c r="FXK889" s="122"/>
      <c r="FXL889" s="122"/>
      <c r="FXM889" s="122"/>
      <c r="FXN889" s="122"/>
      <c r="FXO889" s="122"/>
      <c r="FXP889" s="122"/>
      <c r="FXQ889" s="122"/>
      <c r="FXR889" s="122"/>
      <c r="FXS889" s="122"/>
      <c r="FXT889" s="122"/>
      <c r="FXU889" s="122"/>
      <c r="FXV889" s="122"/>
      <c r="FXW889" s="122"/>
      <c r="FXX889" s="122"/>
      <c r="FXY889" s="122"/>
      <c r="FXZ889" s="122"/>
      <c r="FYA889" s="122"/>
      <c r="FYB889" s="122"/>
      <c r="FYC889" s="122"/>
      <c r="FYD889" s="122"/>
      <c r="FYE889" s="122"/>
      <c r="FYF889" s="122"/>
      <c r="FYG889" s="122"/>
      <c r="FYH889" s="122"/>
      <c r="FYI889" s="122"/>
      <c r="FYJ889" s="122"/>
      <c r="FYK889" s="122"/>
      <c r="FYL889" s="122"/>
      <c r="FYM889" s="122"/>
      <c r="FYN889" s="122"/>
      <c r="FYO889" s="122"/>
      <c r="FYP889" s="122"/>
      <c r="FYQ889" s="122"/>
      <c r="FYR889" s="122"/>
      <c r="FYS889" s="122"/>
      <c r="FYT889" s="122"/>
      <c r="FYU889" s="122"/>
      <c r="FYV889" s="122"/>
      <c r="FYW889" s="122"/>
      <c r="FYX889" s="122"/>
      <c r="FYY889" s="122"/>
      <c r="FYZ889" s="122"/>
      <c r="FZA889" s="122"/>
      <c r="FZB889" s="122"/>
      <c r="FZC889" s="122"/>
      <c r="FZD889" s="122"/>
      <c r="FZE889" s="122"/>
      <c r="FZF889" s="122"/>
      <c r="FZG889" s="122"/>
      <c r="FZH889" s="122"/>
      <c r="FZI889" s="122"/>
      <c r="FZJ889" s="122"/>
      <c r="FZK889" s="122"/>
      <c r="FZL889" s="122"/>
      <c r="FZM889" s="122"/>
      <c r="FZN889" s="122"/>
      <c r="FZO889" s="122"/>
      <c r="FZP889" s="122"/>
      <c r="FZQ889" s="122"/>
      <c r="FZR889" s="122"/>
      <c r="FZS889" s="122"/>
      <c r="FZT889" s="122"/>
      <c r="FZU889" s="122"/>
      <c r="FZV889" s="122"/>
      <c r="FZW889" s="122"/>
      <c r="FZX889" s="122"/>
      <c r="FZY889" s="122"/>
      <c r="FZZ889" s="122"/>
      <c r="GAA889" s="122"/>
      <c r="GAB889" s="122"/>
      <c r="GAC889" s="122"/>
      <c r="GAD889" s="122"/>
      <c r="GAE889" s="122"/>
      <c r="GAF889" s="122"/>
      <c r="GAG889" s="122"/>
      <c r="GAH889" s="122"/>
      <c r="GAI889" s="122"/>
      <c r="GAJ889" s="122"/>
      <c r="GAK889" s="122"/>
      <c r="GAL889" s="122"/>
      <c r="GAM889" s="122"/>
      <c r="GAN889" s="122"/>
      <c r="GAO889" s="122"/>
      <c r="GAP889" s="122"/>
      <c r="GAQ889" s="122"/>
      <c r="GAR889" s="122"/>
      <c r="GAS889" s="122"/>
      <c r="GAT889" s="122"/>
      <c r="GAU889" s="122"/>
      <c r="GAV889" s="122"/>
      <c r="GAW889" s="122"/>
      <c r="GAX889" s="122"/>
      <c r="GAY889" s="122"/>
      <c r="GAZ889" s="122"/>
      <c r="GBA889" s="122"/>
      <c r="GBB889" s="122"/>
      <c r="GBC889" s="122"/>
      <c r="GBD889" s="122"/>
      <c r="GBE889" s="122"/>
      <c r="GBF889" s="122"/>
      <c r="GBG889" s="122"/>
      <c r="GBH889" s="122"/>
      <c r="GBI889" s="122"/>
      <c r="GBJ889" s="122"/>
      <c r="GBK889" s="122"/>
      <c r="GBL889" s="122"/>
      <c r="GBM889" s="122"/>
      <c r="GBN889" s="122"/>
      <c r="GBO889" s="122"/>
      <c r="GBP889" s="122"/>
      <c r="GBQ889" s="122"/>
      <c r="GBR889" s="122"/>
      <c r="GBS889" s="122"/>
      <c r="GBT889" s="122"/>
      <c r="GBU889" s="122"/>
      <c r="GBV889" s="122"/>
      <c r="GBW889" s="122"/>
      <c r="GBX889" s="122"/>
      <c r="GBY889" s="122"/>
      <c r="GBZ889" s="122"/>
      <c r="GCA889" s="122"/>
      <c r="GCB889" s="122"/>
      <c r="GCC889" s="122"/>
      <c r="GCD889" s="122"/>
      <c r="GCE889" s="122"/>
      <c r="GCF889" s="122"/>
      <c r="GCG889" s="122"/>
      <c r="GCH889" s="122"/>
      <c r="GCI889" s="122"/>
      <c r="GCJ889" s="122"/>
      <c r="GCK889" s="122"/>
      <c r="GCL889" s="122"/>
      <c r="GCM889" s="122"/>
      <c r="GCN889" s="122"/>
      <c r="GCO889" s="122"/>
      <c r="GCP889" s="122"/>
      <c r="GCQ889" s="122"/>
      <c r="GCR889" s="122"/>
      <c r="GCS889" s="122"/>
      <c r="GCT889" s="122"/>
      <c r="GCU889" s="122"/>
      <c r="GCV889" s="122"/>
      <c r="GCW889" s="122"/>
      <c r="GCX889" s="122"/>
      <c r="GCY889" s="122"/>
      <c r="GCZ889" s="122"/>
      <c r="GDA889" s="122"/>
      <c r="GDB889" s="122"/>
      <c r="GDC889" s="122"/>
      <c r="GDD889" s="122"/>
      <c r="GDE889" s="122"/>
      <c r="GDF889" s="122"/>
      <c r="GDG889" s="122"/>
      <c r="GDH889" s="122"/>
      <c r="GDI889" s="122"/>
      <c r="GDJ889" s="122"/>
      <c r="GDK889" s="122"/>
      <c r="GDL889" s="122"/>
      <c r="GDM889" s="122"/>
      <c r="GDN889" s="122"/>
      <c r="GDO889" s="122"/>
      <c r="GDP889" s="122"/>
      <c r="GDQ889" s="122"/>
      <c r="GDR889" s="122"/>
      <c r="GDS889" s="122"/>
      <c r="GDT889" s="122"/>
      <c r="GDU889" s="122"/>
      <c r="GDV889" s="122"/>
      <c r="GDW889" s="122"/>
      <c r="GDX889" s="122"/>
      <c r="GDY889" s="122"/>
      <c r="GDZ889" s="122"/>
      <c r="GEA889" s="122"/>
      <c r="GEB889" s="122"/>
      <c r="GEC889" s="122"/>
      <c r="GED889" s="122"/>
      <c r="GEE889" s="122"/>
      <c r="GEF889" s="122"/>
      <c r="GEG889" s="122"/>
      <c r="GEH889" s="122"/>
      <c r="GEI889" s="122"/>
      <c r="GEJ889" s="122"/>
      <c r="GEK889" s="122"/>
      <c r="GEL889" s="122"/>
      <c r="GEM889" s="122"/>
      <c r="GEN889" s="122"/>
      <c r="GEO889" s="122"/>
      <c r="GEP889" s="122"/>
      <c r="GEQ889" s="122"/>
      <c r="GER889" s="122"/>
      <c r="GES889" s="122"/>
      <c r="GET889" s="122"/>
      <c r="GEU889" s="122"/>
      <c r="GEV889" s="122"/>
      <c r="GEW889" s="122"/>
      <c r="GEX889" s="122"/>
      <c r="GEY889" s="122"/>
      <c r="GEZ889" s="122"/>
      <c r="GFA889" s="122"/>
      <c r="GFB889" s="122"/>
      <c r="GFC889" s="122"/>
      <c r="GFD889" s="122"/>
      <c r="GFE889" s="122"/>
      <c r="GFF889" s="122"/>
      <c r="GFG889" s="122"/>
      <c r="GFH889" s="122"/>
      <c r="GFI889" s="122"/>
      <c r="GFJ889" s="122"/>
      <c r="GFK889" s="122"/>
      <c r="GFL889" s="122"/>
      <c r="GFM889" s="122"/>
      <c r="GFN889" s="122"/>
      <c r="GFO889" s="122"/>
      <c r="GFP889" s="122"/>
      <c r="GFQ889" s="122"/>
      <c r="GFR889" s="122"/>
      <c r="GFS889" s="122"/>
      <c r="GFT889" s="122"/>
      <c r="GFU889" s="122"/>
      <c r="GFV889" s="122"/>
      <c r="GFW889" s="122"/>
      <c r="GFX889" s="122"/>
      <c r="GFY889" s="122"/>
      <c r="GFZ889" s="122"/>
      <c r="GGA889" s="122"/>
      <c r="GGB889" s="122"/>
      <c r="GGC889" s="122"/>
      <c r="GGD889" s="122"/>
      <c r="GGE889" s="122"/>
      <c r="GGF889" s="122"/>
      <c r="GGG889" s="122"/>
      <c r="GGH889" s="122"/>
      <c r="GGI889" s="122"/>
      <c r="GGJ889" s="122"/>
      <c r="GGK889" s="122"/>
      <c r="GGL889" s="122"/>
      <c r="GGM889" s="122"/>
      <c r="GGN889" s="122"/>
      <c r="GGO889" s="122"/>
      <c r="GGP889" s="122"/>
      <c r="GGQ889" s="122"/>
      <c r="GGR889" s="122"/>
      <c r="GGS889" s="122"/>
      <c r="GGT889" s="122"/>
      <c r="GGU889" s="122"/>
      <c r="GGV889" s="122"/>
      <c r="GGW889" s="122"/>
      <c r="GGX889" s="122"/>
      <c r="GGY889" s="122"/>
      <c r="GGZ889" s="122"/>
      <c r="GHA889" s="122"/>
      <c r="GHB889" s="122"/>
      <c r="GHC889" s="122"/>
      <c r="GHD889" s="122"/>
      <c r="GHE889" s="122"/>
      <c r="GHF889" s="122"/>
      <c r="GHG889" s="122"/>
      <c r="GHH889" s="122"/>
      <c r="GHI889" s="122"/>
      <c r="GHJ889" s="122"/>
      <c r="GHK889" s="122"/>
      <c r="GHL889" s="122"/>
      <c r="GHM889" s="122"/>
      <c r="GHN889" s="122"/>
      <c r="GHO889" s="122"/>
      <c r="GHP889" s="122"/>
      <c r="GHQ889" s="122"/>
      <c r="GHR889" s="122"/>
      <c r="GHS889" s="122"/>
      <c r="GHT889" s="122"/>
      <c r="GHU889" s="122"/>
      <c r="GHV889" s="122"/>
      <c r="GHW889" s="122"/>
      <c r="GHX889" s="122"/>
      <c r="GHY889" s="122"/>
      <c r="GHZ889" s="122"/>
      <c r="GIA889" s="122"/>
      <c r="GIB889" s="122"/>
      <c r="GIC889" s="122"/>
      <c r="GID889" s="122"/>
      <c r="GIE889" s="122"/>
      <c r="GIF889" s="122"/>
      <c r="GIG889" s="122"/>
      <c r="GIH889" s="122"/>
      <c r="GII889" s="122"/>
      <c r="GIJ889" s="122"/>
      <c r="GIK889" s="122"/>
      <c r="GIL889" s="122"/>
      <c r="GIM889" s="122"/>
      <c r="GIN889" s="122"/>
      <c r="GIO889" s="122"/>
      <c r="GIP889" s="122"/>
      <c r="GIQ889" s="122"/>
      <c r="GIR889" s="122"/>
      <c r="GIS889" s="122"/>
      <c r="GIT889" s="122"/>
      <c r="GIU889" s="122"/>
      <c r="GIV889" s="122"/>
      <c r="GIW889" s="122"/>
      <c r="GIX889" s="122"/>
      <c r="GIY889" s="122"/>
      <c r="GIZ889" s="122"/>
      <c r="GJA889" s="122"/>
      <c r="GJB889" s="122"/>
      <c r="GJC889" s="122"/>
      <c r="GJD889" s="122"/>
      <c r="GJE889" s="122"/>
      <c r="GJF889" s="122"/>
      <c r="GJG889" s="122"/>
      <c r="GJH889" s="122"/>
      <c r="GJI889" s="122"/>
      <c r="GJJ889" s="122"/>
      <c r="GJK889" s="122"/>
      <c r="GJL889" s="122"/>
      <c r="GJM889" s="122"/>
      <c r="GJN889" s="122"/>
      <c r="GJO889" s="122"/>
      <c r="GJP889" s="122"/>
      <c r="GJQ889" s="122"/>
      <c r="GJR889" s="122"/>
      <c r="GJS889" s="122"/>
      <c r="GJT889" s="122"/>
      <c r="GJU889" s="122"/>
      <c r="GJV889" s="122"/>
      <c r="GJW889" s="122"/>
      <c r="GJX889" s="122"/>
      <c r="GJY889" s="122"/>
      <c r="GJZ889" s="122"/>
      <c r="GKA889" s="122"/>
      <c r="GKB889" s="122"/>
      <c r="GKC889" s="122"/>
      <c r="GKD889" s="122"/>
      <c r="GKE889" s="122"/>
      <c r="GKF889" s="122"/>
      <c r="GKG889" s="122"/>
      <c r="GKH889" s="122"/>
      <c r="GKI889" s="122"/>
      <c r="GKJ889" s="122"/>
      <c r="GKK889" s="122"/>
      <c r="GKL889" s="122"/>
      <c r="GKM889" s="122"/>
      <c r="GKN889" s="122"/>
      <c r="GKO889" s="122"/>
      <c r="GKP889" s="122"/>
      <c r="GKQ889" s="122"/>
      <c r="GKR889" s="122"/>
      <c r="GKS889" s="122"/>
      <c r="GKT889" s="122"/>
      <c r="GKU889" s="122"/>
      <c r="GKV889" s="122"/>
      <c r="GKW889" s="122"/>
      <c r="GKX889" s="122"/>
      <c r="GKY889" s="122"/>
      <c r="GKZ889" s="122"/>
      <c r="GLA889" s="122"/>
      <c r="GLB889" s="122"/>
      <c r="GLC889" s="122"/>
      <c r="GLD889" s="122"/>
      <c r="GLE889" s="122"/>
      <c r="GLF889" s="122"/>
      <c r="GLG889" s="122"/>
      <c r="GLH889" s="122"/>
      <c r="GLI889" s="122"/>
      <c r="GLJ889" s="122"/>
      <c r="GLK889" s="122"/>
      <c r="GLL889" s="122"/>
      <c r="GLM889" s="122"/>
      <c r="GLN889" s="122"/>
      <c r="GLO889" s="122"/>
      <c r="GLP889" s="122"/>
      <c r="GLQ889" s="122"/>
      <c r="GLR889" s="122"/>
      <c r="GLS889" s="122"/>
      <c r="GLT889" s="122"/>
      <c r="GLU889" s="122"/>
      <c r="GLV889" s="122"/>
      <c r="GLW889" s="122"/>
      <c r="GLX889" s="122"/>
      <c r="GLY889" s="122"/>
      <c r="GLZ889" s="122"/>
      <c r="GMA889" s="122"/>
      <c r="GMB889" s="122"/>
      <c r="GMC889" s="122"/>
      <c r="GMD889" s="122"/>
      <c r="GME889" s="122"/>
      <c r="GMF889" s="122"/>
      <c r="GMG889" s="122"/>
      <c r="GMH889" s="122"/>
      <c r="GMI889" s="122"/>
      <c r="GMJ889" s="122"/>
      <c r="GMK889" s="122"/>
      <c r="GML889" s="122"/>
      <c r="GMM889" s="122"/>
      <c r="GMN889" s="122"/>
      <c r="GMO889" s="122"/>
      <c r="GMP889" s="122"/>
      <c r="GMQ889" s="122"/>
      <c r="GMR889" s="122"/>
      <c r="GMS889" s="122"/>
      <c r="GMT889" s="122"/>
      <c r="GMU889" s="122"/>
      <c r="GMV889" s="122"/>
      <c r="GMW889" s="122"/>
      <c r="GMX889" s="122"/>
      <c r="GMY889" s="122"/>
      <c r="GMZ889" s="122"/>
      <c r="GNA889" s="122"/>
      <c r="GNB889" s="122"/>
      <c r="GNC889" s="122"/>
      <c r="GND889" s="122"/>
      <c r="GNE889" s="122"/>
      <c r="GNF889" s="122"/>
      <c r="GNG889" s="122"/>
      <c r="GNH889" s="122"/>
      <c r="GNI889" s="122"/>
      <c r="GNJ889" s="122"/>
      <c r="GNK889" s="122"/>
      <c r="GNL889" s="122"/>
      <c r="GNM889" s="122"/>
      <c r="GNN889" s="122"/>
      <c r="GNO889" s="122"/>
      <c r="GNP889" s="122"/>
      <c r="GNQ889" s="122"/>
      <c r="GNR889" s="122"/>
      <c r="GNS889" s="122"/>
      <c r="GNT889" s="122"/>
      <c r="GNU889" s="122"/>
      <c r="GNV889" s="122"/>
      <c r="GNW889" s="122"/>
      <c r="GNX889" s="122"/>
      <c r="GNY889" s="122"/>
      <c r="GNZ889" s="122"/>
      <c r="GOA889" s="122"/>
      <c r="GOB889" s="122"/>
      <c r="GOC889" s="122"/>
      <c r="GOD889" s="122"/>
      <c r="GOE889" s="122"/>
      <c r="GOF889" s="122"/>
      <c r="GOG889" s="122"/>
      <c r="GOH889" s="122"/>
      <c r="GOI889" s="122"/>
      <c r="GOJ889" s="122"/>
      <c r="GOK889" s="122"/>
      <c r="GOL889" s="122"/>
      <c r="GOM889" s="122"/>
      <c r="GON889" s="122"/>
      <c r="GOO889" s="122"/>
      <c r="GOP889" s="122"/>
      <c r="GOQ889" s="122"/>
      <c r="GOR889" s="122"/>
      <c r="GOS889" s="122"/>
      <c r="GOT889" s="122"/>
      <c r="GOU889" s="122"/>
      <c r="GOV889" s="122"/>
      <c r="GOW889" s="122"/>
      <c r="GOX889" s="122"/>
      <c r="GOY889" s="122"/>
      <c r="GOZ889" s="122"/>
      <c r="GPA889" s="122"/>
      <c r="GPB889" s="122"/>
      <c r="GPC889" s="122"/>
      <c r="GPD889" s="122"/>
      <c r="GPE889" s="122"/>
      <c r="GPF889" s="122"/>
      <c r="GPG889" s="122"/>
      <c r="GPH889" s="122"/>
      <c r="GPI889" s="122"/>
      <c r="GPJ889" s="122"/>
      <c r="GPK889" s="122"/>
      <c r="GPL889" s="122"/>
      <c r="GPM889" s="122"/>
      <c r="GPN889" s="122"/>
      <c r="GPO889" s="122"/>
      <c r="GPP889" s="122"/>
      <c r="GPQ889" s="122"/>
      <c r="GPR889" s="122"/>
      <c r="GPS889" s="122"/>
      <c r="GPT889" s="122"/>
      <c r="GPU889" s="122"/>
      <c r="GPV889" s="122"/>
      <c r="GPW889" s="122"/>
      <c r="GPX889" s="122"/>
      <c r="GPY889" s="122"/>
      <c r="GPZ889" s="122"/>
      <c r="GQA889" s="122"/>
      <c r="GQB889" s="122"/>
      <c r="GQC889" s="122"/>
      <c r="GQD889" s="122"/>
      <c r="GQE889" s="122"/>
      <c r="GQF889" s="122"/>
      <c r="GQG889" s="122"/>
      <c r="GQH889" s="122"/>
      <c r="GQI889" s="122"/>
      <c r="GQJ889" s="122"/>
      <c r="GQK889" s="122"/>
      <c r="GQL889" s="122"/>
      <c r="GQM889" s="122"/>
      <c r="GQN889" s="122"/>
      <c r="GQO889" s="122"/>
      <c r="GQP889" s="122"/>
      <c r="GQQ889" s="122"/>
      <c r="GQR889" s="122"/>
      <c r="GQS889" s="122"/>
      <c r="GQT889" s="122"/>
      <c r="GQU889" s="122"/>
      <c r="GQV889" s="122"/>
      <c r="GQW889" s="122"/>
      <c r="GQX889" s="122"/>
      <c r="GQY889" s="122"/>
      <c r="GQZ889" s="122"/>
      <c r="GRA889" s="122"/>
      <c r="GRB889" s="122"/>
      <c r="GRC889" s="122"/>
      <c r="GRD889" s="122"/>
      <c r="GRE889" s="122"/>
      <c r="GRF889" s="122"/>
      <c r="GRG889" s="122"/>
      <c r="GRH889" s="122"/>
      <c r="GRI889" s="122"/>
      <c r="GRJ889" s="122"/>
      <c r="GRK889" s="122"/>
      <c r="GRL889" s="122"/>
      <c r="GRM889" s="122"/>
      <c r="GRN889" s="122"/>
      <c r="GRO889" s="122"/>
      <c r="GRP889" s="122"/>
      <c r="GRQ889" s="122"/>
      <c r="GRR889" s="122"/>
      <c r="GRS889" s="122"/>
      <c r="GRT889" s="122"/>
      <c r="GRU889" s="122"/>
      <c r="GRV889" s="122"/>
      <c r="GRW889" s="122"/>
      <c r="GRX889" s="122"/>
      <c r="GRY889" s="122"/>
      <c r="GRZ889" s="122"/>
      <c r="GSA889" s="122"/>
      <c r="GSB889" s="122"/>
      <c r="GSC889" s="122"/>
      <c r="GSD889" s="122"/>
      <c r="GSE889" s="122"/>
      <c r="GSF889" s="122"/>
      <c r="GSG889" s="122"/>
      <c r="GSH889" s="122"/>
      <c r="GSI889" s="122"/>
      <c r="GSJ889" s="122"/>
      <c r="GSK889" s="122"/>
      <c r="GSL889" s="122"/>
      <c r="GSM889" s="122"/>
      <c r="GSN889" s="122"/>
      <c r="GSO889" s="122"/>
      <c r="GSP889" s="122"/>
      <c r="GSQ889" s="122"/>
      <c r="GSR889" s="122"/>
      <c r="GSS889" s="122"/>
      <c r="GST889" s="122"/>
      <c r="GSU889" s="122"/>
      <c r="GSV889" s="122"/>
      <c r="GSW889" s="122"/>
      <c r="GSX889" s="122"/>
      <c r="GSY889" s="122"/>
      <c r="GSZ889" s="122"/>
      <c r="GTA889" s="122"/>
      <c r="GTB889" s="122"/>
      <c r="GTC889" s="122"/>
      <c r="GTD889" s="122"/>
      <c r="GTE889" s="122"/>
      <c r="GTF889" s="122"/>
      <c r="GTG889" s="122"/>
      <c r="GTH889" s="122"/>
      <c r="GTI889" s="122"/>
      <c r="GTJ889" s="122"/>
      <c r="GTK889" s="122"/>
      <c r="GTL889" s="122"/>
      <c r="GTM889" s="122"/>
      <c r="GTN889" s="122"/>
      <c r="GTO889" s="122"/>
      <c r="GTP889" s="122"/>
      <c r="GTQ889" s="122"/>
      <c r="GTR889" s="122"/>
      <c r="GTS889" s="122"/>
      <c r="GTT889" s="122"/>
      <c r="GTU889" s="122"/>
      <c r="GTV889" s="122"/>
      <c r="GTW889" s="122"/>
      <c r="GTX889" s="122"/>
      <c r="GTY889" s="122"/>
      <c r="GTZ889" s="122"/>
      <c r="GUA889" s="122"/>
      <c r="GUB889" s="122"/>
      <c r="GUC889" s="122"/>
      <c r="GUD889" s="122"/>
      <c r="GUE889" s="122"/>
      <c r="GUF889" s="122"/>
      <c r="GUG889" s="122"/>
      <c r="GUH889" s="122"/>
      <c r="GUI889" s="122"/>
      <c r="GUJ889" s="122"/>
      <c r="GUK889" s="122"/>
      <c r="GUL889" s="122"/>
      <c r="GUM889" s="122"/>
      <c r="GUN889" s="122"/>
      <c r="GUO889" s="122"/>
      <c r="GUP889" s="122"/>
      <c r="GUQ889" s="122"/>
      <c r="GUR889" s="122"/>
      <c r="GUS889" s="122"/>
      <c r="GUT889" s="122"/>
      <c r="GUU889" s="122"/>
      <c r="GUV889" s="122"/>
      <c r="GUW889" s="122"/>
      <c r="GUX889" s="122"/>
      <c r="GUY889" s="122"/>
      <c r="GUZ889" s="122"/>
      <c r="GVA889" s="122"/>
      <c r="GVB889" s="122"/>
      <c r="GVC889" s="122"/>
      <c r="GVD889" s="122"/>
      <c r="GVE889" s="122"/>
      <c r="GVF889" s="122"/>
      <c r="GVG889" s="122"/>
      <c r="GVH889" s="122"/>
      <c r="GVI889" s="122"/>
      <c r="GVJ889" s="122"/>
      <c r="GVK889" s="122"/>
      <c r="GVL889" s="122"/>
      <c r="GVM889" s="122"/>
      <c r="GVN889" s="122"/>
      <c r="GVO889" s="122"/>
      <c r="GVP889" s="122"/>
      <c r="GVQ889" s="122"/>
      <c r="GVR889" s="122"/>
      <c r="GVS889" s="122"/>
      <c r="GVT889" s="122"/>
      <c r="GVU889" s="122"/>
      <c r="GVV889" s="122"/>
      <c r="GVW889" s="122"/>
      <c r="GVX889" s="122"/>
      <c r="GVY889" s="122"/>
      <c r="GVZ889" s="122"/>
      <c r="GWA889" s="122"/>
      <c r="GWB889" s="122"/>
      <c r="GWC889" s="122"/>
      <c r="GWD889" s="122"/>
      <c r="GWE889" s="122"/>
      <c r="GWF889" s="122"/>
      <c r="GWG889" s="122"/>
      <c r="GWH889" s="122"/>
      <c r="GWI889" s="122"/>
      <c r="GWJ889" s="122"/>
      <c r="GWK889" s="122"/>
      <c r="GWL889" s="122"/>
      <c r="GWM889" s="122"/>
      <c r="GWN889" s="122"/>
      <c r="GWO889" s="122"/>
      <c r="GWP889" s="122"/>
      <c r="GWQ889" s="122"/>
      <c r="GWR889" s="122"/>
      <c r="GWS889" s="122"/>
      <c r="GWT889" s="122"/>
      <c r="GWU889" s="122"/>
      <c r="GWV889" s="122"/>
      <c r="GWW889" s="122"/>
      <c r="GWX889" s="122"/>
      <c r="GWY889" s="122"/>
      <c r="GWZ889" s="122"/>
      <c r="GXA889" s="122"/>
      <c r="GXB889" s="122"/>
      <c r="GXC889" s="122"/>
      <c r="GXD889" s="122"/>
      <c r="GXE889" s="122"/>
      <c r="GXF889" s="122"/>
      <c r="GXG889" s="122"/>
      <c r="GXH889" s="122"/>
      <c r="GXI889" s="122"/>
      <c r="GXJ889" s="122"/>
      <c r="GXK889" s="122"/>
      <c r="GXL889" s="122"/>
      <c r="GXM889" s="122"/>
      <c r="GXN889" s="122"/>
      <c r="GXO889" s="122"/>
      <c r="GXP889" s="122"/>
      <c r="GXQ889" s="122"/>
      <c r="GXR889" s="122"/>
      <c r="GXS889" s="122"/>
      <c r="GXT889" s="122"/>
      <c r="GXU889" s="122"/>
      <c r="GXV889" s="122"/>
      <c r="GXW889" s="122"/>
      <c r="GXX889" s="122"/>
      <c r="GXY889" s="122"/>
      <c r="GXZ889" s="122"/>
      <c r="GYA889" s="122"/>
      <c r="GYB889" s="122"/>
      <c r="GYC889" s="122"/>
      <c r="GYD889" s="122"/>
      <c r="GYE889" s="122"/>
      <c r="GYF889" s="122"/>
      <c r="GYG889" s="122"/>
      <c r="GYH889" s="122"/>
      <c r="GYI889" s="122"/>
      <c r="GYJ889" s="122"/>
      <c r="GYK889" s="122"/>
      <c r="GYL889" s="122"/>
      <c r="GYM889" s="122"/>
      <c r="GYN889" s="122"/>
      <c r="GYO889" s="122"/>
      <c r="GYP889" s="122"/>
      <c r="GYQ889" s="122"/>
      <c r="GYR889" s="122"/>
      <c r="GYS889" s="122"/>
      <c r="GYT889" s="122"/>
      <c r="GYU889" s="122"/>
      <c r="GYV889" s="122"/>
      <c r="GYW889" s="122"/>
      <c r="GYX889" s="122"/>
      <c r="GYY889" s="122"/>
      <c r="GYZ889" s="122"/>
      <c r="GZA889" s="122"/>
      <c r="GZB889" s="122"/>
      <c r="GZC889" s="122"/>
      <c r="GZD889" s="122"/>
      <c r="GZE889" s="122"/>
      <c r="GZF889" s="122"/>
      <c r="GZG889" s="122"/>
      <c r="GZH889" s="122"/>
      <c r="GZI889" s="122"/>
      <c r="GZJ889" s="122"/>
      <c r="GZK889" s="122"/>
      <c r="GZL889" s="122"/>
      <c r="GZM889" s="122"/>
      <c r="GZN889" s="122"/>
      <c r="GZO889" s="122"/>
      <c r="GZP889" s="122"/>
      <c r="GZQ889" s="122"/>
      <c r="GZR889" s="122"/>
      <c r="GZS889" s="122"/>
      <c r="GZT889" s="122"/>
      <c r="GZU889" s="122"/>
      <c r="GZV889" s="122"/>
      <c r="GZW889" s="122"/>
      <c r="GZX889" s="122"/>
      <c r="GZY889" s="122"/>
      <c r="GZZ889" s="122"/>
      <c r="HAA889" s="122"/>
      <c r="HAB889" s="122"/>
      <c r="HAC889" s="122"/>
      <c r="HAD889" s="122"/>
      <c r="HAE889" s="122"/>
      <c r="HAF889" s="122"/>
      <c r="HAG889" s="122"/>
      <c r="HAH889" s="122"/>
      <c r="HAI889" s="122"/>
      <c r="HAJ889" s="122"/>
      <c r="HAK889" s="122"/>
      <c r="HAL889" s="122"/>
      <c r="HAM889" s="122"/>
      <c r="HAN889" s="122"/>
      <c r="HAO889" s="122"/>
      <c r="HAP889" s="122"/>
      <c r="HAQ889" s="122"/>
      <c r="HAR889" s="122"/>
      <c r="HAS889" s="122"/>
      <c r="HAT889" s="122"/>
      <c r="HAU889" s="122"/>
      <c r="HAV889" s="122"/>
      <c r="HAW889" s="122"/>
      <c r="HAX889" s="122"/>
      <c r="HAY889" s="122"/>
      <c r="HAZ889" s="122"/>
      <c r="HBA889" s="122"/>
      <c r="HBB889" s="122"/>
      <c r="HBC889" s="122"/>
      <c r="HBD889" s="122"/>
      <c r="HBE889" s="122"/>
      <c r="HBF889" s="122"/>
      <c r="HBG889" s="122"/>
      <c r="HBH889" s="122"/>
      <c r="HBI889" s="122"/>
      <c r="HBJ889" s="122"/>
      <c r="HBK889" s="122"/>
      <c r="HBL889" s="122"/>
      <c r="HBM889" s="122"/>
      <c r="HBN889" s="122"/>
      <c r="HBO889" s="122"/>
      <c r="HBP889" s="122"/>
      <c r="HBQ889" s="122"/>
      <c r="HBR889" s="122"/>
      <c r="HBS889" s="122"/>
      <c r="HBT889" s="122"/>
      <c r="HBU889" s="122"/>
      <c r="HBV889" s="122"/>
      <c r="HBW889" s="122"/>
      <c r="HBX889" s="122"/>
      <c r="HBY889" s="122"/>
      <c r="HBZ889" s="122"/>
      <c r="HCA889" s="122"/>
      <c r="HCB889" s="122"/>
      <c r="HCC889" s="122"/>
      <c r="HCD889" s="122"/>
      <c r="HCE889" s="122"/>
      <c r="HCF889" s="122"/>
      <c r="HCG889" s="122"/>
      <c r="HCH889" s="122"/>
      <c r="HCI889" s="122"/>
      <c r="HCJ889" s="122"/>
      <c r="HCK889" s="122"/>
      <c r="HCL889" s="122"/>
      <c r="HCM889" s="122"/>
      <c r="HCN889" s="122"/>
      <c r="HCO889" s="122"/>
      <c r="HCP889" s="122"/>
      <c r="HCQ889" s="122"/>
      <c r="HCR889" s="122"/>
      <c r="HCS889" s="122"/>
      <c r="HCT889" s="122"/>
      <c r="HCU889" s="122"/>
      <c r="HCV889" s="122"/>
      <c r="HCW889" s="122"/>
      <c r="HCX889" s="122"/>
      <c r="HCY889" s="122"/>
      <c r="HCZ889" s="122"/>
      <c r="HDA889" s="122"/>
      <c r="HDB889" s="122"/>
      <c r="HDC889" s="122"/>
      <c r="HDD889" s="122"/>
      <c r="HDE889" s="122"/>
      <c r="HDF889" s="122"/>
      <c r="HDG889" s="122"/>
      <c r="HDH889" s="122"/>
      <c r="HDI889" s="122"/>
      <c r="HDJ889" s="122"/>
      <c r="HDK889" s="122"/>
      <c r="HDL889" s="122"/>
      <c r="HDM889" s="122"/>
      <c r="HDN889" s="122"/>
      <c r="HDO889" s="122"/>
      <c r="HDP889" s="122"/>
      <c r="HDQ889" s="122"/>
      <c r="HDR889" s="122"/>
      <c r="HDS889" s="122"/>
      <c r="HDT889" s="122"/>
      <c r="HDU889" s="122"/>
      <c r="HDV889" s="122"/>
      <c r="HDW889" s="122"/>
      <c r="HDX889" s="122"/>
      <c r="HDY889" s="122"/>
      <c r="HDZ889" s="122"/>
      <c r="HEA889" s="122"/>
      <c r="HEB889" s="122"/>
      <c r="HEC889" s="122"/>
      <c r="HED889" s="122"/>
      <c r="HEE889" s="122"/>
      <c r="HEF889" s="122"/>
      <c r="HEG889" s="122"/>
      <c r="HEH889" s="122"/>
      <c r="HEI889" s="122"/>
      <c r="HEJ889" s="122"/>
      <c r="HEK889" s="122"/>
      <c r="HEL889" s="122"/>
      <c r="HEM889" s="122"/>
      <c r="HEN889" s="122"/>
      <c r="HEO889" s="122"/>
      <c r="HEP889" s="122"/>
      <c r="HEQ889" s="122"/>
      <c r="HER889" s="122"/>
      <c r="HES889" s="122"/>
      <c r="HET889" s="122"/>
      <c r="HEU889" s="122"/>
      <c r="HEV889" s="122"/>
      <c r="HEW889" s="122"/>
      <c r="HEX889" s="122"/>
      <c r="HEY889" s="122"/>
      <c r="HEZ889" s="122"/>
      <c r="HFA889" s="122"/>
      <c r="HFB889" s="122"/>
      <c r="HFC889" s="122"/>
      <c r="HFD889" s="122"/>
      <c r="HFE889" s="122"/>
      <c r="HFF889" s="122"/>
      <c r="HFG889" s="122"/>
      <c r="HFH889" s="122"/>
      <c r="HFI889" s="122"/>
      <c r="HFJ889" s="122"/>
      <c r="HFK889" s="122"/>
      <c r="HFL889" s="122"/>
      <c r="HFM889" s="122"/>
      <c r="HFN889" s="122"/>
      <c r="HFO889" s="122"/>
      <c r="HFP889" s="122"/>
      <c r="HFQ889" s="122"/>
      <c r="HFR889" s="122"/>
      <c r="HFS889" s="122"/>
      <c r="HFT889" s="122"/>
      <c r="HFU889" s="122"/>
      <c r="HFV889" s="122"/>
      <c r="HFW889" s="122"/>
      <c r="HFX889" s="122"/>
      <c r="HFY889" s="122"/>
      <c r="HFZ889" s="122"/>
      <c r="HGA889" s="122"/>
      <c r="HGB889" s="122"/>
      <c r="HGC889" s="122"/>
      <c r="HGD889" s="122"/>
      <c r="HGE889" s="122"/>
      <c r="HGF889" s="122"/>
      <c r="HGG889" s="122"/>
      <c r="HGH889" s="122"/>
      <c r="HGI889" s="122"/>
      <c r="HGJ889" s="122"/>
      <c r="HGK889" s="122"/>
      <c r="HGL889" s="122"/>
      <c r="HGM889" s="122"/>
      <c r="HGN889" s="122"/>
      <c r="HGO889" s="122"/>
      <c r="HGP889" s="122"/>
      <c r="HGQ889" s="122"/>
      <c r="HGR889" s="122"/>
      <c r="HGS889" s="122"/>
      <c r="HGT889" s="122"/>
      <c r="HGU889" s="122"/>
      <c r="HGV889" s="122"/>
      <c r="HGW889" s="122"/>
      <c r="HGX889" s="122"/>
      <c r="HGY889" s="122"/>
      <c r="HGZ889" s="122"/>
      <c r="HHA889" s="122"/>
      <c r="HHB889" s="122"/>
      <c r="HHC889" s="122"/>
      <c r="HHD889" s="122"/>
      <c r="HHE889" s="122"/>
      <c r="HHF889" s="122"/>
      <c r="HHG889" s="122"/>
      <c r="HHH889" s="122"/>
      <c r="HHI889" s="122"/>
      <c r="HHJ889" s="122"/>
      <c r="HHK889" s="122"/>
      <c r="HHL889" s="122"/>
      <c r="HHM889" s="122"/>
      <c r="HHN889" s="122"/>
      <c r="HHO889" s="122"/>
      <c r="HHP889" s="122"/>
      <c r="HHQ889" s="122"/>
      <c r="HHR889" s="122"/>
      <c r="HHS889" s="122"/>
      <c r="HHT889" s="122"/>
      <c r="HHU889" s="122"/>
      <c r="HHV889" s="122"/>
      <c r="HHW889" s="122"/>
      <c r="HHX889" s="122"/>
      <c r="HHY889" s="122"/>
      <c r="HHZ889" s="122"/>
      <c r="HIA889" s="122"/>
      <c r="HIB889" s="122"/>
      <c r="HIC889" s="122"/>
      <c r="HID889" s="122"/>
      <c r="HIE889" s="122"/>
      <c r="HIF889" s="122"/>
      <c r="HIG889" s="122"/>
      <c r="HIH889" s="122"/>
      <c r="HII889" s="122"/>
      <c r="HIJ889" s="122"/>
      <c r="HIK889" s="122"/>
      <c r="HIL889" s="122"/>
      <c r="HIM889" s="122"/>
      <c r="HIN889" s="122"/>
      <c r="HIO889" s="122"/>
      <c r="HIP889" s="122"/>
      <c r="HIQ889" s="122"/>
      <c r="HIR889" s="122"/>
      <c r="HIS889" s="122"/>
      <c r="HIT889" s="122"/>
      <c r="HIU889" s="122"/>
      <c r="HIV889" s="122"/>
      <c r="HIW889" s="122"/>
      <c r="HIX889" s="122"/>
      <c r="HIY889" s="122"/>
      <c r="HIZ889" s="122"/>
      <c r="HJA889" s="122"/>
      <c r="HJB889" s="122"/>
      <c r="HJC889" s="122"/>
      <c r="HJD889" s="122"/>
      <c r="HJE889" s="122"/>
      <c r="HJF889" s="122"/>
      <c r="HJG889" s="122"/>
      <c r="HJH889" s="122"/>
      <c r="HJI889" s="122"/>
      <c r="HJJ889" s="122"/>
      <c r="HJK889" s="122"/>
      <c r="HJL889" s="122"/>
      <c r="HJM889" s="122"/>
      <c r="HJN889" s="122"/>
      <c r="HJO889" s="122"/>
      <c r="HJP889" s="122"/>
      <c r="HJQ889" s="122"/>
      <c r="HJR889" s="122"/>
      <c r="HJS889" s="122"/>
      <c r="HJT889" s="122"/>
      <c r="HJU889" s="122"/>
      <c r="HJV889" s="122"/>
      <c r="HJW889" s="122"/>
      <c r="HJX889" s="122"/>
      <c r="HJY889" s="122"/>
      <c r="HJZ889" s="122"/>
      <c r="HKA889" s="122"/>
      <c r="HKB889" s="122"/>
      <c r="HKC889" s="122"/>
      <c r="HKD889" s="122"/>
      <c r="HKE889" s="122"/>
      <c r="HKF889" s="122"/>
      <c r="HKG889" s="122"/>
      <c r="HKH889" s="122"/>
      <c r="HKI889" s="122"/>
      <c r="HKJ889" s="122"/>
      <c r="HKK889" s="122"/>
      <c r="HKL889" s="122"/>
      <c r="HKM889" s="122"/>
      <c r="HKN889" s="122"/>
      <c r="HKO889" s="122"/>
      <c r="HKP889" s="122"/>
      <c r="HKQ889" s="122"/>
      <c r="HKR889" s="122"/>
      <c r="HKS889" s="122"/>
      <c r="HKT889" s="122"/>
      <c r="HKU889" s="122"/>
      <c r="HKV889" s="122"/>
      <c r="HKW889" s="122"/>
      <c r="HKX889" s="122"/>
      <c r="HKY889" s="122"/>
      <c r="HKZ889" s="122"/>
      <c r="HLA889" s="122"/>
      <c r="HLB889" s="122"/>
      <c r="HLC889" s="122"/>
      <c r="HLD889" s="122"/>
      <c r="HLE889" s="122"/>
      <c r="HLF889" s="122"/>
      <c r="HLG889" s="122"/>
      <c r="HLH889" s="122"/>
      <c r="HLI889" s="122"/>
      <c r="HLJ889" s="122"/>
      <c r="HLK889" s="122"/>
      <c r="HLL889" s="122"/>
      <c r="HLM889" s="122"/>
      <c r="HLN889" s="122"/>
      <c r="HLO889" s="122"/>
      <c r="HLP889" s="122"/>
      <c r="HLQ889" s="122"/>
      <c r="HLR889" s="122"/>
      <c r="HLS889" s="122"/>
      <c r="HLT889" s="122"/>
      <c r="HLU889" s="122"/>
      <c r="HLV889" s="122"/>
      <c r="HLW889" s="122"/>
      <c r="HLX889" s="122"/>
      <c r="HLY889" s="122"/>
      <c r="HLZ889" s="122"/>
      <c r="HMA889" s="122"/>
      <c r="HMB889" s="122"/>
      <c r="HMC889" s="122"/>
      <c r="HMD889" s="122"/>
      <c r="HME889" s="122"/>
      <c r="HMF889" s="122"/>
      <c r="HMG889" s="122"/>
      <c r="HMH889" s="122"/>
      <c r="HMI889" s="122"/>
      <c r="HMJ889" s="122"/>
      <c r="HMK889" s="122"/>
      <c r="HML889" s="122"/>
      <c r="HMM889" s="122"/>
      <c r="HMN889" s="122"/>
      <c r="HMO889" s="122"/>
      <c r="HMP889" s="122"/>
      <c r="HMQ889" s="122"/>
      <c r="HMR889" s="122"/>
      <c r="HMS889" s="122"/>
      <c r="HMT889" s="122"/>
      <c r="HMU889" s="122"/>
      <c r="HMV889" s="122"/>
      <c r="HMW889" s="122"/>
      <c r="HMX889" s="122"/>
      <c r="HMY889" s="122"/>
      <c r="HMZ889" s="122"/>
      <c r="HNA889" s="122"/>
      <c r="HNB889" s="122"/>
      <c r="HNC889" s="122"/>
      <c r="HND889" s="122"/>
      <c r="HNE889" s="122"/>
      <c r="HNF889" s="122"/>
      <c r="HNG889" s="122"/>
      <c r="HNH889" s="122"/>
      <c r="HNI889" s="122"/>
      <c r="HNJ889" s="122"/>
      <c r="HNK889" s="122"/>
      <c r="HNL889" s="122"/>
      <c r="HNM889" s="122"/>
      <c r="HNN889" s="122"/>
      <c r="HNO889" s="122"/>
      <c r="HNP889" s="122"/>
      <c r="HNQ889" s="122"/>
      <c r="HNR889" s="122"/>
      <c r="HNS889" s="122"/>
      <c r="HNT889" s="122"/>
      <c r="HNU889" s="122"/>
      <c r="HNV889" s="122"/>
      <c r="HNW889" s="122"/>
      <c r="HNX889" s="122"/>
      <c r="HNY889" s="122"/>
      <c r="HNZ889" s="122"/>
      <c r="HOA889" s="122"/>
      <c r="HOB889" s="122"/>
      <c r="HOC889" s="122"/>
      <c r="HOD889" s="122"/>
      <c r="HOE889" s="122"/>
      <c r="HOF889" s="122"/>
      <c r="HOG889" s="122"/>
      <c r="HOH889" s="122"/>
      <c r="HOI889" s="122"/>
      <c r="HOJ889" s="122"/>
      <c r="HOK889" s="122"/>
      <c r="HOL889" s="122"/>
      <c r="HOM889" s="122"/>
      <c r="HON889" s="122"/>
      <c r="HOO889" s="122"/>
      <c r="HOP889" s="122"/>
      <c r="HOQ889" s="122"/>
      <c r="HOR889" s="122"/>
      <c r="HOS889" s="122"/>
      <c r="HOT889" s="122"/>
      <c r="HOU889" s="122"/>
      <c r="HOV889" s="122"/>
      <c r="HOW889" s="122"/>
      <c r="HOX889" s="122"/>
      <c r="HOY889" s="122"/>
      <c r="HOZ889" s="122"/>
      <c r="HPA889" s="122"/>
      <c r="HPB889" s="122"/>
      <c r="HPC889" s="122"/>
      <c r="HPD889" s="122"/>
      <c r="HPE889" s="122"/>
      <c r="HPF889" s="122"/>
      <c r="HPG889" s="122"/>
      <c r="HPH889" s="122"/>
      <c r="HPI889" s="122"/>
      <c r="HPJ889" s="122"/>
      <c r="HPK889" s="122"/>
      <c r="HPL889" s="122"/>
      <c r="HPM889" s="122"/>
      <c r="HPN889" s="122"/>
      <c r="HPO889" s="122"/>
      <c r="HPP889" s="122"/>
      <c r="HPQ889" s="122"/>
      <c r="HPR889" s="122"/>
      <c r="HPS889" s="122"/>
      <c r="HPT889" s="122"/>
      <c r="HPU889" s="122"/>
      <c r="HPV889" s="122"/>
      <c r="HPW889" s="122"/>
      <c r="HPX889" s="122"/>
      <c r="HPY889" s="122"/>
      <c r="HPZ889" s="122"/>
      <c r="HQA889" s="122"/>
      <c r="HQB889" s="122"/>
      <c r="HQC889" s="122"/>
      <c r="HQD889" s="122"/>
      <c r="HQE889" s="122"/>
      <c r="HQF889" s="122"/>
      <c r="HQG889" s="122"/>
      <c r="HQH889" s="122"/>
      <c r="HQI889" s="122"/>
      <c r="HQJ889" s="122"/>
      <c r="HQK889" s="122"/>
      <c r="HQL889" s="122"/>
      <c r="HQM889" s="122"/>
      <c r="HQN889" s="122"/>
      <c r="HQO889" s="122"/>
      <c r="HQP889" s="122"/>
      <c r="HQQ889" s="122"/>
      <c r="HQR889" s="122"/>
      <c r="HQS889" s="122"/>
      <c r="HQT889" s="122"/>
      <c r="HQU889" s="122"/>
      <c r="HQV889" s="122"/>
      <c r="HQW889" s="122"/>
      <c r="HQX889" s="122"/>
      <c r="HQY889" s="122"/>
      <c r="HQZ889" s="122"/>
      <c r="HRA889" s="122"/>
      <c r="HRB889" s="122"/>
      <c r="HRC889" s="122"/>
      <c r="HRD889" s="122"/>
      <c r="HRE889" s="122"/>
      <c r="HRF889" s="122"/>
      <c r="HRG889" s="122"/>
      <c r="HRH889" s="122"/>
      <c r="HRI889" s="122"/>
      <c r="HRJ889" s="122"/>
      <c r="HRK889" s="122"/>
      <c r="HRL889" s="122"/>
      <c r="HRM889" s="122"/>
      <c r="HRN889" s="122"/>
      <c r="HRO889" s="122"/>
      <c r="HRP889" s="122"/>
      <c r="HRQ889" s="122"/>
      <c r="HRR889" s="122"/>
      <c r="HRS889" s="122"/>
      <c r="HRT889" s="122"/>
      <c r="HRU889" s="122"/>
      <c r="HRV889" s="122"/>
      <c r="HRW889" s="122"/>
      <c r="HRX889" s="122"/>
      <c r="HRY889" s="122"/>
      <c r="HRZ889" s="122"/>
      <c r="HSA889" s="122"/>
      <c r="HSB889" s="122"/>
      <c r="HSC889" s="122"/>
      <c r="HSD889" s="122"/>
      <c r="HSE889" s="122"/>
      <c r="HSF889" s="122"/>
      <c r="HSG889" s="122"/>
      <c r="HSH889" s="122"/>
      <c r="HSI889" s="122"/>
      <c r="HSJ889" s="122"/>
      <c r="HSK889" s="122"/>
      <c r="HSL889" s="122"/>
      <c r="HSM889" s="122"/>
      <c r="HSN889" s="122"/>
      <c r="HSO889" s="122"/>
      <c r="HSP889" s="122"/>
      <c r="HSQ889" s="122"/>
      <c r="HSR889" s="122"/>
      <c r="HSS889" s="122"/>
      <c r="HST889" s="122"/>
      <c r="HSU889" s="122"/>
      <c r="HSV889" s="122"/>
      <c r="HSW889" s="122"/>
      <c r="HSX889" s="122"/>
      <c r="HSY889" s="122"/>
      <c r="HSZ889" s="122"/>
      <c r="HTA889" s="122"/>
      <c r="HTB889" s="122"/>
      <c r="HTC889" s="122"/>
      <c r="HTD889" s="122"/>
      <c r="HTE889" s="122"/>
      <c r="HTF889" s="122"/>
      <c r="HTG889" s="122"/>
      <c r="HTH889" s="122"/>
      <c r="HTI889" s="122"/>
      <c r="HTJ889" s="122"/>
      <c r="HTK889" s="122"/>
      <c r="HTL889" s="122"/>
      <c r="HTM889" s="122"/>
      <c r="HTN889" s="122"/>
      <c r="HTO889" s="122"/>
      <c r="HTP889" s="122"/>
      <c r="HTQ889" s="122"/>
      <c r="HTR889" s="122"/>
      <c r="HTS889" s="122"/>
      <c r="HTT889" s="122"/>
      <c r="HTU889" s="122"/>
      <c r="HTV889" s="122"/>
      <c r="HTW889" s="122"/>
      <c r="HTX889" s="122"/>
      <c r="HTY889" s="122"/>
      <c r="HTZ889" s="122"/>
      <c r="HUA889" s="122"/>
      <c r="HUB889" s="122"/>
      <c r="HUC889" s="122"/>
      <c r="HUD889" s="122"/>
      <c r="HUE889" s="122"/>
      <c r="HUF889" s="122"/>
      <c r="HUG889" s="122"/>
      <c r="HUH889" s="122"/>
      <c r="HUI889" s="122"/>
      <c r="HUJ889" s="122"/>
      <c r="HUK889" s="122"/>
      <c r="HUL889" s="122"/>
      <c r="HUM889" s="122"/>
      <c r="HUN889" s="122"/>
      <c r="HUO889" s="122"/>
      <c r="HUP889" s="122"/>
      <c r="HUQ889" s="122"/>
      <c r="HUR889" s="122"/>
      <c r="HUS889" s="122"/>
      <c r="HUT889" s="122"/>
      <c r="HUU889" s="122"/>
      <c r="HUV889" s="122"/>
      <c r="HUW889" s="122"/>
      <c r="HUX889" s="122"/>
      <c r="HUY889" s="122"/>
      <c r="HUZ889" s="122"/>
      <c r="HVA889" s="122"/>
      <c r="HVB889" s="122"/>
      <c r="HVC889" s="122"/>
      <c r="HVD889" s="122"/>
      <c r="HVE889" s="122"/>
      <c r="HVF889" s="122"/>
      <c r="HVG889" s="122"/>
      <c r="HVH889" s="122"/>
      <c r="HVI889" s="122"/>
      <c r="HVJ889" s="122"/>
      <c r="HVK889" s="122"/>
      <c r="HVL889" s="122"/>
      <c r="HVM889" s="122"/>
      <c r="HVN889" s="122"/>
      <c r="HVO889" s="122"/>
      <c r="HVP889" s="122"/>
      <c r="HVQ889" s="122"/>
      <c r="HVR889" s="122"/>
      <c r="HVS889" s="122"/>
      <c r="HVT889" s="122"/>
      <c r="HVU889" s="122"/>
      <c r="HVV889" s="122"/>
      <c r="HVW889" s="122"/>
      <c r="HVX889" s="122"/>
      <c r="HVY889" s="122"/>
      <c r="HVZ889" s="122"/>
      <c r="HWA889" s="122"/>
      <c r="HWB889" s="122"/>
      <c r="HWC889" s="122"/>
      <c r="HWD889" s="122"/>
      <c r="HWE889" s="122"/>
      <c r="HWF889" s="122"/>
      <c r="HWG889" s="122"/>
      <c r="HWH889" s="122"/>
      <c r="HWI889" s="122"/>
      <c r="HWJ889" s="122"/>
      <c r="HWK889" s="122"/>
      <c r="HWL889" s="122"/>
      <c r="HWM889" s="122"/>
      <c r="HWN889" s="122"/>
      <c r="HWO889" s="122"/>
      <c r="HWP889" s="122"/>
      <c r="HWQ889" s="122"/>
      <c r="HWR889" s="122"/>
      <c r="HWS889" s="122"/>
      <c r="HWT889" s="122"/>
      <c r="HWU889" s="122"/>
      <c r="HWV889" s="122"/>
      <c r="HWW889" s="122"/>
      <c r="HWX889" s="122"/>
      <c r="HWY889" s="122"/>
      <c r="HWZ889" s="122"/>
      <c r="HXA889" s="122"/>
      <c r="HXB889" s="122"/>
      <c r="HXC889" s="122"/>
      <c r="HXD889" s="122"/>
      <c r="HXE889" s="122"/>
      <c r="HXF889" s="122"/>
      <c r="HXG889" s="122"/>
      <c r="HXH889" s="122"/>
      <c r="HXI889" s="122"/>
      <c r="HXJ889" s="122"/>
      <c r="HXK889" s="122"/>
      <c r="HXL889" s="122"/>
      <c r="HXM889" s="122"/>
      <c r="HXN889" s="122"/>
      <c r="HXO889" s="122"/>
      <c r="HXP889" s="122"/>
      <c r="HXQ889" s="122"/>
      <c r="HXR889" s="122"/>
      <c r="HXS889" s="122"/>
      <c r="HXT889" s="122"/>
      <c r="HXU889" s="122"/>
      <c r="HXV889" s="122"/>
      <c r="HXW889" s="122"/>
      <c r="HXX889" s="122"/>
      <c r="HXY889" s="122"/>
      <c r="HXZ889" s="122"/>
      <c r="HYA889" s="122"/>
      <c r="HYB889" s="122"/>
      <c r="HYC889" s="122"/>
      <c r="HYD889" s="122"/>
      <c r="HYE889" s="122"/>
      <c r="HYF889" s="122"/>
      <c r="HYG889" s="122"/>
      <c r="HYH889" s="122"/>
      <c r="HYI889" s="122"/>
      <c r="HYJ889" s="122"/>
      <c r="HYK889" s="122"/>
      <c r="HYL889" s="122"/>
      <c r="HYM889" s="122"/>
      <c r="HYN889" s="122"/>
      <c r="HYO889" s="122"/>
      <c r="HYP889" s="122"/>
      <c r="HYQ889" s="122"/>
      <c r="HYR889" s="122"/>
      <c r="HYS889" s="122"/>
      <c r="HYT889" s="122"/>
      <c r="HYU889" s="122"/>
      <c r="HYV889" s="122"/>
      <c r="HYW889" s="122"/>
      <c r="HYX889" s="122"/>
      <c r="HYY889" s="122"/>
      <c r="HYZ889" s="122"/>
      <c r="HZA889" s="122"/>
      <c r="HZB889" s="122"/>
      <c r="HZC889" s="122"/>
      <c r="HZD889" s="122"/>
      <c r="HZE889" s="122"/>
      <c r="HZF889" s="122"/>
      <c r="HZG889" s="122"/>
      <c r="HZH889" s="122"/>
      <c r="HZI889" s="122"/>
      <c r="HZJ889" s="122"/>
      <c r="HZK889" s="122"/>
      <c r="HZL889" s="122"/>
      <c r="HZM889" s="122"/>
      <c r="HZN889" s="122"/>
      <c r="HZO889" s="122"/>
      <c r="HZP889" s="122"/>
      <c r="HZQ889" s="122"/>
      <c r="HZR889" s="122"/>
      <c r="HZS889" s="122"/>
      <c r="HZT889" s="122"/>
      <c r="HZU889" s="122"/>
      <c r="HZV889" s="122"/>
      <c r="HZW889" s="122"/>
      <c r="HZX889" s="122"/>
      <c r="HZY889" s="122"/>
      <c r="HZZ889" s="122"/>
      <c r="IAA889" s="122"/>
      <c r="IAB889" s="122"/>
      <c r="IAC889" s="122"/>
      <c r="IAD889" s="122"/>
      <c r="IAE889" s="122"/>
      <c r="IAF889" s="122"/>
      <c r="IAG889" s="122"/>
      <c r="IAH889" s="122"/>
      <c r="IAI889" s="122"/>
      <c r="IAJ889" s="122"/>
      <c r="IAK889" s="122"/>
      <c r="IAL889" s="122"/>
      <c r="IAM889" s="122"/>
      <c r="IAN889" s="122"/>
      <c r="IAO889" s="122"/>
      <c r="IAP889" s="122"/>
      <c r="IAQ889" s="122"/>
      <c r="IAR889" s="122"/>
      <c r="IAS889" s="122"/>
      <c r="IAT889" s="122"/>
      <c r="IAU889" s="122"/>
      <c r="IAV889" s="122"/>
      <c r="IAW889" s="122"/>
      <c r="IAX889" s="122"/>
      <c r="IAY889" s="122"/>
      <c r="IAZ889" s="122"/>
      <c r="IBA889" s="122"/>
      <c r="IBB889" s="122"/>
      <c r="IBC889" s="122"/>
      <c r="IBD889" s="122"/>
      <c r="IBE889" s="122"/>
      <c r="IBF889" s="122"/>
      <c r="IBG889" s="122"/>
      <c r="IBH889" s="122"/>
      <c r="IBI889" s="122"/>
      <c r="IBJ889" s="122"/>
      <c r="IBK889" s="122"/>
      <c r="IBL889" s="122"/>
      <c r="IBM889" s="122"/>
      <c r="IBN889" s="122"/>
      <c r="IBO889" s="122"/>
      <c r="IBP889" s="122"/>
      <c r="IBQ889" s="122"/>
      <c r="IBR889" s="122"/>
      <c r="IBS889" s="122"/>
      <c r="IBT889" s="122"/>
      <c r="IBU889" s="122"/>
      <c r="IBV889" s="122"/>
      <c r="IBW889" s="122"/>
      <c r="IBX889" s="122"/>
      <c r="IBY889" s="122"/>
      <c r="IBZ889" s="122"/>
      <c r="ICA889" s="122"/>
      <c r="ICB889" s="122"/>
      <c r="ICC889" s="122"/>
      <c r="ICD889" s="122"/>
      <c r="ICE889" s="122"/>
      <c r="ICF889" s="122"/>
      <c r="ICG889" s="122"/>
      <c r="ICH889" s="122"/>
      <c r="ICI889" s="122"/>
      <c r="ICJ889" s="122"/>
      <c r="ICK889" s="122"/>
      <c r="ICL889" s="122"/>
      <c r="ICM889" s="122"/>
      <c r="ICN889" s="122"/>
      <c r="ICO889" s="122"/>
      <c r="ICP889" s="122"/>
      <c r="ICQ889" s="122"/>
      <c r="ICR889" s="122"/>
      <c r="ICS889" s="122"/>
      <c r="ICT889" s="122"/>
      <c r="ICU889" s="122"/>
      <c r="ICV889" s="122"/>
      <c r="ICW889" s="122"/>
      <c r="ICX889" s="122"/>
      <c r="ICY889" s="122"/>
      <c r="ICZ889" s="122"/>
      <c r="IDA889" s="122"/>
      <c r="IDB889" s="122"/>
      <c r="IDC889" s="122"/>
      <c r="IDD889" s="122"/>
      <c r="IDE889" s="122"/>
      <c r="IDF889" s="122"/>
      <c r="IDG889" s="122"/>
      <c r="IDH889" s="122"/>
      <c r="IDI889" s="122"/>
      <c r="IDJ889" s="122"/>
      <c r="IDK889" s="122"/>
      <c r="IDL889" s="122"/>
      <c r="IDM889" s="122"/>
      <c r="IDN889" s="122"/>
      <c r="IDO889" s="122"/>
      <c r="IDP889" s="122"/>
      <c r="IDQ889" s="122"/>
      <c r="IDR889" s="122"/>
      <c r="IDS889" s="122"/>
      <c r="IDT889" s="122"/>
      <c r="IDU889" s="122"/>
      <c r="IDV889" s="122"/>
      <c r="IDW889" s="122"/>
      <c r="IDX889" s="122"/>
      <c r="IDY889" s="122"/>
      <c r="IDZ889" s="122"/>
      <c r="IEA889" s="122"/>
      <c r="IEB889" s="122"/>
      <c r="IEC889" s="122"/>
      <c r="IED889" s="122"/>
      <c r="IEE889" s="122"/>
      <c r="IEF889" s="122"/>
      <c r="IEG889" s="122"/>
      <c r="IEH889" s="122"/>
      <c r="IEI889" s="122"/>
      <c r="IEJ889" s="122"/>
      <c r="IEK889" s="122"/>
      <c r="IEL889" s="122"/>
      <c r="IEM889" s="122"/>
      <c r="IEN889" s="122"/>
      <c r="IEO889" s="122"/>
      <c r="IEP889" s="122"/>
      <c r="IEQ889" s="122"/>
      <c r="IER889" s="122"/>
      <c r="IES889" s="122"/>
      <c r="IET889" s="122"/>
      <c r="IEU889" s="122"/>
      <c r="IEV889" s="122"/>
      <c r="IEW889" s="122"/>
      <c r="IEX889" s="122"/>
      <c r="IEY889" s="122"/>
      <c r="IEZ889" s="122"/>
      <c r="IFA889" s="122"/>
      <c r="IFB889" s="122"/>
      <c r="IFC889" s="122"/>
      <c r="IFD889" s="122"/>
      <c r="IFE889" s="122"/>
      <c r="IFF889" s="122"/>
      <c r="IFG889" s="122"/>
      <c r="IFH889" s="122"/>
      <c r="IFI889" s="122"/>
      <c r="IFJ889" s="122"/>
      <c r="IFK889" s="122"/>
      <c r="IFL889" s="122"/>
      <c r="IFM889" s="122"/>
      <c r="IFN889" s="122"/>
      <c r="IFO889" s="122"/>
      <c r="IFP889" s="122"/>
      <c r="IFQ889" s="122"/>
      <c r="IFR889" s="122"/>
      <c r="IFS889" s="122"/>
      <c r="IFT889" s="122"/>
      <c r="IFU889" s="122"/>
      <c r="IFV889" s="122"/>
      <c r="IFW889" s="122"/>
      <c r="IFX889" s="122"/>
      <c r="IFY889" s="122"/>
      <c r="IFZ889" s="122"/>
      <c r="IGA889" s="122"/>
      <c r="IGB889" s="122"/>
      <c r="IGC889" s="122"/>
      <c r="IGD889" s="122"/>
      <c r="IGE889" s="122"/>
      <c r="IGF889" s="122"/>
      <c r="IGG889" s="122"/>
      <c r="IGH889" s="122"/>
      <c r="IGI889" s="122"/>
      <c r="IGJ889" s="122"/>
      <c r="IGK889" s="122"/>
      <c r="IGL889" s="122"/>
      <c r="IGM889" s="122"/>
      <c r="IGN889" s="122"/>
      <c r="IGO889" s="122"/>
      <c r="IGP889" s="122"/>
      <c r="IGQ889" s="122"/>
      <c r="IGR889" s="122"/>
      <c r="IGS889" s="122"/>
      <c r="IGT889" s="122"/>
      <c r="IGU889" s="122"/>
      <c r="IGV889" s="122"/>
      <c r="IGW889" s="122"/>
      <c r="IGX889" s="122"/>
      <c r="IGY889" s="122"/>
      <c r="IGZ889" s="122"/>
      <c r="IHA889" s="122"/>
      <c r="IHB889" s="122"/>
      <c r="IHC889" s="122"/>
      <c r="IHD889" s="122"/>
      <c r="IHE889" s="122"/>
      <c r="IHF889" s="122"/>
      <c r="IHG889" s="122"/>
      <c r="IHH889" s="122"/>
      <c r="IHI889" s="122"/>
      <c r="IHJ889" s="122"/>
      <c r="IHK889" s="122"/>
      <c r="IHL889" s="122"/>
      <c r="IHM889" s="122"/>
      <c r="IHN889" s="122"/>
      <c r="IHO889" s="122"/>
      <c r="IHP889" s="122"/>
      <c r="IHQ889" s="122"/>
      <c r="IHR889" s="122"/>
      <c r="IHS889" s="122"/>
      <c r="IHT889" s="122"/>
      <c r="IHU889" s="122"/>
      <c r="IHV889" s="122"/>
      <c r="IHW889" s="122"/>
      <c r="IHX889" s="122"/>
      <c r="IHY889" s="122"/>
      <c r="IHZ889" s="122"/>
      <c r="IIA889" s="122"/>
      <c r="IIB889" s="122"/>
      <c r="IIC889" s="122"/>
      <c r="IID889" s="122"/>
      <c r="IIE889" s="122"/>
      <c r="IIF889" s="122"/>
      <c r="IIG889" s="122"/>
      <c r="IIH889" s="122"/>
      <c r="III889" s="122"/>
      <c r="IIJ889" s="122"/>
      <c r="IIK889" s="122"/>
      <c r="IIL889" s="122"/>
      <c r="IIM889" s="122"/>
      <c r="IIN889" s="122"/>
      <c r="IIO889" s="122"/>
      <c r="IIP889" s="122"/>
      <c r="IIQ889" s="122"/>
      <c r="IIR889" s="122"/>
      <c r="IIS889" s="122"/>
      <c r="IIT889" s="122"/>
      <c r="IIU889" s="122"/>
      <c r="IIV889" s="122"/>
      <c r="IIW889" s="122"/>
      <c r="IIX889" s="122"/>
      <c r="IIY889" s="122"/>
      <c r="IIZ889" s="122"/>
      <c r="IJA889" s="122"/>
      <c r="IJB889" s="122"/>
      <c r="IJC889" s="122"/>
      <c r="IJD889" s="122"/>
      <c r="IJE889" s="122"/>
      <c r="IJF889" s="122"/>
      <c r="IJG889" s="122"/>
      <c r="IJH889" s="122"/>
      <c r="IJI889" s="122"/>
      <c r="IJJ889" s="122"/>
      <c r="IJK889" s="122"/>
      <c r="IJL889" s="122"/>
      <c r="IJM889" s="122"/>
      <c r="IJN889" s="122"/>
      <c r="IJO889" s="122"/>
      <c r="IJP889" s="122"/>
      <c r="IJQ889" s="122"/>
      <c r="IJR889" s="122"/>
      <c r="IJS889" s="122"/>
      <c r="IJT889" s="122"/>
      <c r="IJU889" s="122"/>
      <c r="IJV889" s="122"/>
      <c r="IJW889" s="122"/>
      <c r="IJX889" s="122"/>
      <c r="IJY889" s="122"/>
      <c r="IJZ889" s="122"/>
      <c r="IKA889" s="122"/>
      <c r="IKB889" s="122"/>
      <c r="IKC889" s="122"/>
      <c r="IKD889" s="122"/>
      <c r="IKE889" s="122"/>
      <c r="IKF889" s="122"/>
      <c r="IKG889" s="122"/>
      <c r="IKH889" s="122"/>
      <c r="IKI889" s="122"/>
      <c r="IKJ889" s="122"/>
      <c r="IKK889" s="122"/>
      <c r="IKL889" s="122"/>
      <c r="IKM889" s="122"/>
      <c r="IKN889" s="122"/>
      <c r="IKO889" s="122"/>
      <c r="IKP889" s="122"/>
      <c r="IKQ889" s="122"/>
      <c r="IKR889" s="122"/>
      <c r="IKS889" s="122"/>
      <c r="IKT889" s="122"/>
      <c r="IKU889" s="122"/>
      <c r="IKV889" s="122"/>
      <c r="IKW889" s="122"/>
      <c r="IKX889" s="122"/>
      <c r="IKY889" s="122"/>
      <c r="IKZ889" s="122"/>
      <c r="ILA889" s="122"/>
      <c r="ILB889" s="122"/>
      <c r="ILC889" s="122"/>
      <c r="ILD889" s="122"/>
      <c r="ILE889" s="122"/>
      <c r="ILF889" s="122"/>
      <c r="ILG889" s="122"/>
      <c r="ILH889" s="122"/>
      <c r="ILI889" s="122"/>
      <c r="ILJ889" s="122"/>
      <c r="ILK889" s="122"/>
      <c r="ILL889" s="122"/>
      <c r="ILM889" s="122"/>
      <c r="ILN889" s="122"/>
      <c r="ILO889" s="122"/>
      <c r="ILP889" s="122"/>
      <c r="ILQ889" s="122"/>
      <c r="ILR889" s="122"/>
      <c r="ILS889" s="122"/>
      <c r="ILT889" s="122"/>
      <c r="ILU889" s="122"/>
      <c r="ILV889" s="122"/>
      <c r="ILW889" s="122"/>
      <c r="ILX889" s="122"/>
      <c r="ILY889" s="122"/>
      <c r="ILZ889" s="122"/>
      <c r="IMA889" s="122"/>
      <c r="IMB889" s="122"/>
      <c r="IMC889" s="122"/>
      <c r="IMD889" s="122"/>
      <c r="IME889" s="122"/>
      <c r="IMF889" s="122"/>
      <c r="IMG889" s="122"/>
      <c r="IMH889" s="122"/>
      <c r="IMI889" s="122"/>
      <c r="IMJ889" s="122"/>
      <c r="IMK889" s="122"/>
      <c r="IML889" s="122"/>
      <c r="IMM889" s="122"/>
      <c r="IMN889" s="122"/>
      <c r="IMO889" s="122"/>
      <c r="IMP889" s="122"/>
      <c r="IMQ889" s="122"/>
      <c r="IMR889" s="122"/>
      <c r="IMS889" s="122"/>
      <c r="IMT889" s="122"/>
      <c r="IMU889" s="122"/>
      <c r="IMV889" s="122"/>
      <c r="IMW889" s="122"/>
      <c r="IMX889" s="122"/>
      <c r="IMY889" s="122"/>
      <c r="IMZ889" s="122"/>
      <c r="INA889" s="122"/>
      <c r="INB889" s="122"/>
      <c r="INC889" s="122"/>
      <c r="IND889" s="122"/>
      <c r="INE889" s="122"/>
      <c r="INF889" s="122"/>
      <c r="ING889" s="122"/>
      <c r="INH889" s="122"/>
      <c r="INI889" s="122"/>
      <c r="INJ889" s="122"/>
      <c r="INK889" s="122"/>
      <c r="INL889" s="122"/>
      <c r="INM889" s="122"/>
      <c r="INN889" s="122"/>
      <c r="INO889" s="122"/>
      <c r="INP889" s="122"/>
      <c r="INQ889" s="122"/>
      <c r="INR889" s="122"/>
      <c r="INS889" s="122"/>
      <c r="INT889" s="122"/>
      <c r="INU889" s="122"/>
      <c r="INV889" s="122"/>
      <c r="INW889" s="122"/>
      <c r="INX889" s="122"/>
      <c r="INY889" s="122"/>
      <c r="INZ889" s="122"/>
      <c r="IOA889" s="122"/>
      <c r="IOB889" s="122"/>
      <c r="IOC889" s="122"/>
      <c r="IOD889" s="122"/>
      <c r="IOE889" s="122"/>
      <c r="IOF889" s="122"/>
      <c r="IOG889" s="122"/>
      <c r="IOH889" s="122"/>
      <c r="IOI889" s="122"/>
      <c r="IOJ889" s="122"/>
      <c r="IOK889" s="122"/>
      <c r="IOL889" s="122"/>
      <c r="IOM889" s="122"/>
      <c r="ION889" s="122"/>
      <c r="IOO889" s="122"/>
      <c r="IOP889" s="122"/>
      <c r="IOQ889" s="122"/>
      <c r="IOR889" s="122"/>
      <c r="IOS889" s="122"/>
      <c r="IOT889" s="122"/>
      <c r="IOU889" s="122"/>
      <c r="IOV889" s="122"/>
      <c r="IOW889" s="122"/>
      <c r="IOX889" s="122"/>
      <c r="IOY889" s="122"/>
      <c r="IOZ889" s="122"/>
      <c r="IPA889" s="122"/>
      <c r="IPB889" s="122"/>
      <c r="IPC889" s="122"/>
      <c r="IPD889" s="122"/>
      <c r="IPE889" s="122"/>
      <c r="IPF889" s="122"/>
      <c r="IPG889" s="122"/>
      <c r="IPH889" s="122"/>
      <c r="IPI889" s="122"/>
      <c r="IPJ889" s="122"/>
      <c r="IPK889" s="122"/>
      <c r="IPL889" s="122"/>
      <c r="IPM889" s="122"/>
      <c r="IPN889" s="122"/>
      <c r="IPO889" s="122"/>
      <c r="IPP889" s="122"/>
      <c r="IPQ889" s="122"/>
      <c r="IPR889" s="122"/>
      <c r="IPS889" s="122"/>
      <c r="IPT889" s="122"/>
      <c r="IPU889" s="122"/>
      <c r="IPV889" s="122"/>
      <c r="IPW889" s="122"/>
      <c r="IPX889" s="122"/>
      <c r="IPY889" s="122"/>
      <c r="IPZ889" s="122"/>
      <c r="IQA889" s="122"/>
      <c r="IQB889" s="122"/>
      <c r="IQC889" s="122"/>
      <c r="IQD889" s="122"/>
      <c r="IQE889" s="122"/>
      <c r="IQF889" s="122"/>
      <c r="IQG889" s="122"/>
      <c r="IQH889" s="122"/>
      <c r="IQI889" s="122"/>
      <c r="IQJ889" s="122"/>
      <c r="IQK889" s="122"/>
      <c r="IQL889" s="122"/>
      <c r="IQM889" s="122"/>
      <c r="IQN889" s="122"/>
      <c r="IQO889" s="122"/>
      <c r="IQP889" s="122"/>
      <c r="IQQ889" s="122"/>
      <c r="IQR889" s="122"/>
      <c r="IQS889" s="122"/>
      <c r="IQT889" s="122"/>
      <c r="IQU889" s="122"/>
      <c r="IQV889" s="122"/>
      <c r="IQW889" s="122"/>
      <c r="IQX889" s="122"/>
      <c r="IQY889" s="122"/>
      <c r="IQZ889" s="122"/>
      <c r="IRA889" s="122"/>
      <c r="IRB889" s="122"/>
      <c r="IRC889" s="122"/>
      <c r="IRD889" s="122"/>
      <c r="IRE889" s="122"/>
      <c r="IRF889" s="122"/>
      <c r="IRG889" s="122"/>
      <c r="IRH889" s="122"/>
      <c r="IRI889" s="122"/>
      <c r="IRJ889" s="122"/>
      <c r="IRK889" s="122"/>
      <c r="IRL889" s="122"/>
      <c r="IRM889" s="122"/>
      <c r="IRN889" s="122"/>
      <c r="IRO889" s="122"/>
      <c r="IRP889" s="122"/>
      <c r="IRQ889" s="122"/>
      <c r="IRR889" s="122"/>
      <c r="IRS889" s="122"/>
      <c r="IRT889" s="122"/>
      <c r="IRU889" s="122"/>
      <c r="IRV889" s="122"/>
      <c r="IRW889" s="122"/>
      <c r="IRX889" s="122"/>
      <c r="IRY889" s="122"/>
      <c r="IRZ889" s="122"/>
      <c r="ISA889" s="122"/>
      <c r="ISB889" s="122"/>
      <c r="ISC889" s="122"/>
      <c r="ISD889" s="122"/>
      <c r="ISE889" s="122"/>
      <c r="ISF889" s="122"/>
      <c r="ISG889" s="122"/>
      <c r="ISH889" s="122"/>
      <c r="ISI889" s="122"/>
      <c r="ISJ889" s="122"/>
      <c r="ISK889" s="122"/>
      <c r="ISL889" s="122"/>
      <c r="ISM889" s="122"/>
      <c r="ISN889" s="122"/>
      <c r="ISO889" s="122"/>
      <c r="ISP889" s="122"/>
      <c r="ISQ889" s="122"/>
      <c r="ISR889" s="122"/>
      <c r="ISS889" s="122"/>
      <c r="IST889" s="122"/>
      <c r="ISU889" s="122"/>
      <c r="ISV889" s="122"/>
      <c r="ISW889" s="122"/>
      <c r="ISX889" s="122"/>
      <c r="ISY889" s="122"/>
      <c r="ISZ889" s="122"/>
      <c r="ITA889" s="122"/>
      <c r="ITB889" s="122"/>
      <c r="ITC889" s="122"/>
      <c r="ITD889" s="122"/>
      <c r="ITE889" s="122"/>
      <c r="ITF889" s="122"/>
      <c r="ITG889" s="122"/>
      <c r="ITH889" s="122"/>
      <c r="ITI889" s="122"/>
      <c r="ITJ889" s="122"/>
      <c r="ITK889" s="122"/>
      <c r="ITL889" s="122"/>
      <c r="ITM889" s="122"/>
      <c r="ITN889" s="122"/>
      <c r="ITO889" s="122"/>
      <c r="ITP889" s="122"/>
      <c r="ITQ889" s="122"/>
      <c r="ITR889" s="122"/>
      <c r="ITS889" s="122"/>
      <c r="ITT889" s="122"/>
      <c r="ITU889" s="122"/>
      <c r="ITV889" s="122"/>
      <c r="ITW889" s="122"/>
      <c r="ITX889" s="122"/>
      <c r="ITY889" s="122"/>
      <c r="ITZ889" s="122"/>
      <c r="IUA889" s="122"/>
      <c r="IUB889" s="122"/>
      <c r="IUC889" s="122"/>
      <c r="IUD889" s="122"/>
      <c r="IUE889" s="122"/>
      <c r="IUF889" s="122"/>
      <c r="IUG889" s="122"/>
      <c r="IUH889" s="122"/>
      <c r="IUI889" s="122"/>
      <c r="IUJ889" s="122"/>
      <c r="IUK889" s="122"/>
      <c r="IUL889" s="122"/>
      <c r="IUM889" s="122"/>
      <c r="IUN889" s="122"/>
      <c r="IUO889" s="122"/>
      <c r="IUP889" s="122"/>
      <c r="IUQ889" s="122"/>
      <c r="IUR889" s="122"/>
      <c r="IUS889" s="122"/>
      <c r="IUT889" s="122"/>
      <c r="IUU889" s="122"/>
      <c r="IUV889" s="122"/>
      <c r="IUW889" s="122"/>
      <c r="IUX889" s="122"/>
      <c r="IUY889" s="122"/>
      <c r="IUZ889" s="122"/>
      <c r="IVA889" s="122"/>
      <c r="IVB889" s="122"/>
      <c r="IVC889" s="122"/>
      <c r="IVD889" s="122"/>
      <c r="IVE889" s="122"/>
      <c r="IVF889" s="122"/>
      <c r="IVG889" s="122"/>
      <c r="IVH889" s="122"/>
      <c r="IVI889" s="122"/>
      <c r="IVJ889" s="122"/>
      <c r="IVK889" s="122"/>
      <c r="IVL889" s="122"/>
      <c r="IVM889" s="122"/>
      <c r="IVN889" s="122"/>
      <c r="IVO889" s="122"/>
      <c r="IVP889" s="122"/>
      <c r="IVQ889" s="122"/>
      <c r="IVR889" s="122"/>
      <c r="IVS889" s="122"/>
      <c r="IVT889" s="122"/>
      <c r="IVU889" s="122"/>
      <c r="IVV889" s="122"/>
      <c r="IVW889" s="122"/>
      <c r="IVX889" s="122"/>
      <c r="IVY889" s="122"/>
      <c r="IVZ889" s="122"/>
      <c r="IWA889" s="122"/>
      <c r="IWB889" s="122"/>
      <c r="IWC889" s="122"/>
      <c r="IWD889" s="122"/>
      <c r="IWE889" s="122"/>
      <c r="IWF889" s="122"/>
      <c r="IWG889" s="122"/>
      <c r="IWH889" s="122"/>
      <c r="IWI889" s="122"/>
      <c r="IWJ889" s="122"/>
      <c r="IWK889" s="122"/>
      <c r="IWL889" s="122"/>
      <c r="IWM889" s="122"/>
      <c r="IWN889" s="122"/>
      <c r="IWO889" s="122"/>
      <c r="IWP889" s="122"/>
      <c r="IWQ889" s="122"/>
      <c r="IWR889" s="122"/>
      <c r="IWS889" s="122"/>
      <c r="IWT889" s="122"/>
      <c r="IWU889" s="122"/>
      <c r="IWV889" s="122"/>
      <c r="IWW889" s="122"/>
      <c r="IWX889" s="122"/>
      <c r="IWY889" s="122"/>
      <c r="IWZ889" s="122"/>
      <c r="IXA889" s="122"/>
      <c r="IXB889" s="122"/>
      <c r="IXC889" s="122"/>
      <c r="IXD889" s="122"/>
      <c r="IXE889" s="122"/>
      <c r="IXF889" s="122"/>
      <c r="IXG889" s="122"/>
      <c r="IXH889" s="122"/>
      <c r="IXI889" s="122"/>
      <c r="IXJ889" s="122"/>
      <c r="IXK889" s="122"/>
      <c r="IXL889" s="122"/>
      <c r="IXM889" s="122"/>
      <c r="IXN889" s="122"/>
      <c r="IXO889" s="122"/>
      <c r="IXP889" s="122"/>
      <c r="IXQ889" s="122"/>
      <c r="IXR889" s="122"/>
      <c r="IXS889" s="122"/>
      <c r="IXT889" s="122"/>
      <c r="IXU889" s="122"/>
      <c r="IXV889" s="122"/>
      <c r="IXW889" s="122"/>
      <c r="IXX889" s="122"/>
      <c r="IXY889" s="122"/>
      <c r="IXZ889" s="122"/>
      <c r="IYA889" s="122"/>
      <c r="IYB889" s="122"/>
      <c r="IYC889" s="122"/>
      <c r="IYD889" s="122"/>
      <c r="IYE889" s="122"/>
      <c r="IYF889" s="122"/>
      <c r="IYG889" s="122"/>
      <c r="IYH889" s="122"/>
      <c r="IYI889" s="122"/>
      <c r="IYJ889" s="122"/>
      <c r="IYK889" s="122"/>
      <c r="IYL889" s="122"/>
      <c r="IYM889" s="122"/>
      <c r="IYN889" s="122"/>
      <c r="IYO889" s="122"/>
      <c r="IYP889" s="122"/>
      <c r="IYQ889" s="122"/>
      <c r="IYR889" s="122"/>
      <c r="IYS889" s="122"/>
      <c r="IYT889" s="122"/>
      <c r="IYU889" s="122"/>
      <c r="IYV889" s="122"/>
      <c r="IYW889" s="122"/>
      <c r="IYX889" s="122"/>
      <c r="IYY889" s="122"/>
      <c r="IYZ889" s="122"/>
      <c r="IZA889" s="122"/>
      <c r="IZB889" s="122"/>
      <c r="IZC889" s="122"/>
      <c r="IZD889" s="122"/>
      <c r="IZE889" s="122"/>
      <c r="IZF889" s="122"/>
      <c r="IZG889" s="122"/>
      <c r="IZH889" s="122"/>
      <c r="IZI889" s="122"/>
      <c r="IZJ889" s="122"/>
      <c r="IZK889" s="122"/>
      <c r="IZL889" s="122"/>
      <c r="IZM889" s="122"/>
      <c r="IZN889" s="122"/>
      <c r="IZO889" s="122"/>
      <c r="IZP889" s="122"/>
      <c r="IZQ889" s="122"/>
      <c r="IZR889" s="122"/>
      <c r="IZS889" s="122"/>
      <c r="IZT889" s="122"/>
      <c r="IZU889" s="122"/>
      <c r="IZV889" s="122"/>
      <c r="IZW889" s="122"/>
      <c r="IZX889" s="122"/>
      <c r="IZY889" s="122"/>
      <c r="IZZ889" s="122"/>
      <c r="JAA889" s="122"/>
      <c r="JAB889" s="122"/>
      <c r="JAC889" s="122"/>
      <c r="JAD889" s="122"/>
      <c r="JAE889" s="122"/>
      <c r="JAF889" s="122"/>
      <c r="JAG889" s="122"/>
      <c r="JAH889" s="122"/>
      <c r="JAI889" s="122"/>
      <c r="JAJ889" s="122"/>
      <c r="JAK889" s="122"/>
      <c r="JAL889" s="122"/>
      <c r="JAM889" s="122"/>
      <c r="JAN889" s="122"/>
      <c r="JAO889" s="122"/>
      <c r="JAP889" s="122"/>
      <c r="JAQ889" s="122"/>
      <c r="JAR889" s="122"/>
      <c r="JAS889" s="122"/>
      <c r="JAT889" s="122"/>
      <c r="JAU889" s="122"/>
      <c r="JAV889" s="122"/>
      <c r="JAW889" s="122"/>
      <c r="JAX889" s="122"/>
      <c r="JAY889" s="122"/>
      <c r="JAZ889" s="122"/>
      <c r="JBA889" s="122"/>
      <c r="JBB889" s="122"/>
      <c r="JBC889" s="122"/>
      <c r="JBD889" s="122"/>
      <c r="JBE889" s="122"/>
      <c r="JBF889" s="122"/>
      <c r="JBG889" s="122"/>
      <c r="JBH889" s="122"/>
      <c r="JBI889" s="122"/>
      <c r="JBJ889" s="122"/>
      <c r="JBK889" s="122"/>
      <c r="JBL889" s="122"/>
      <c r="JBM889" s="122"/>
      <c r="JBN889" s="122"/>
      <c r="JBO889" s="122"/>
      <c r="JBP889" s="122"/>
      <c r="JBQ889" s="122"/>
      <c r="JBR889" s="122"/>
      <c r="JBS889" s="122"/>
      <c r="JBT889" s="122"/>
      <c r="JBU889" s="122"/>
      <c r="JBV889" s="122"/>
      <c r="JBW889" s="122"/>
      <c r="JBX889" s="122"/>
      <c r="JBY889" s="122"/>
      <c r="JBZ889" s="122"/>
      <c r="JCA889" s="122"/>
      <c r="JCB889" s="122"/>
      <c r="JCC889" s="122"/>
      <c r="JCD889" s="122"/>
      <c r="JCE889" s="122"/>
      <c r="JCF889" s="122"/>
      <c r="JCG889" s="122"/>
      <c r="JCH889" s="122"/>
      <c r="JCI889" s="122"/>
      <c r="JCJ889" s="122"/>
      <c r="JCK889" s="122"/>
      <c r="JCL889" s="122"/>
      <c r="JCM889" s="122"/>
      <c r="JCN889" s="122"/>
      <c r="JCO889" s="122"/>
      <c r="JCP889" s="122"/>
      <c r="JCQ889" s="122"/>
      <c r="JCR889" s="122"/>
      <c r="JCS889" s="122"/>
      <c r="JCT889" s="122"/>
      <c r="JCU889" s="122"/>
      <c r="JCV889" s="122"/>
      <c r="JCW889" s="122"/>
      <c r="JCX889" s="122"/>
      <c r="JCY889" s="122"/>
      <c r="JCZ889" s="122"/>
      <c r="JDA889" s="122"/>
      <c r="JDB889" s="122"/>
      <c r="JDC889" s="122"/>
      <c r="JDD889" s="122"/>
      <c r="JDE889" s="122"/>
      <c r="JDF889" s="122"/>
      <c r="JDG889" s="122"/>
      <c r="JDH889" s="122"/>
      <c r="JDI889" s="122"/>
      <c r="JDJ889" s="122"/>
      <c r="JDK889" s="122"/>
      <c r="JDL889" s="122"/>
      <c r="JDM889" s="122"/>
      <c r="JDN889" s="122"/>
      <c r="JDO889" s="122"/>
      <c r="JDP889" s="122"/>
      <c r="JDQ889" s="122"/>
      <c r="JDR889" s="122"/>
      <c r="JDS889" s="122"/>
      <c r="JDT889" s="122"/>
      <c r="JDU889" s="122"/>
      <c r="JDV889" s="122"/>
      <c r="JDW889" s="122"/>
      <c r="JDX889" s="122"/>
      <c r="JDY889" s="122"/>
      <c r="JDZ889" s="122"/>
      <c r="JEA889" s="122"/>
      <c r="JEB889" s="122"/>
      <c r="JEC889" s="122"/>
      <c r="JED889" s="122"/>
      <c r="JEE889" s="122"/>
      <c r="JEF889" s="122"/>
      <c r="JEG889" s="122"/>
      <c r="JEH889" s="122"/>
      <c r="JEI889" s="122"/>
      <c r="JEJ889" s="122"/>
      <c r="JEK889" s="122"/>
      <c r="JEL889" s="122"/>
      <c r="JEM889" s="122"/>
      <c r="JEN889" s="122"/>
      <c r="JEO889" s="122"/>
      <c r="JEP889" s="122"/>
      <c r="JEQ889" s="122"/>
      <c r="JER889" s="122"/>
      <c r="JES889" s="122"/>
      <c r="JET889" s="122"/>
      <c r="JEU889" s="122"/>
      <c r="JEV889" s="122"/>
      <c r="JEW889" s="122"/>
      <c r="JEX889" s="122"/>
      <c r="JEY889" s="122"/>
      <c r="JEZ889" s="122"/>
      <c r="JFA889" s="122"/>
      <c r="JFB889" s="122"/>
      <c r="JFC889" s="122"/>
      <c r="JFD889" s="122"/>
      <c r="JFE889" s="122"/>
      <c r="JFF889" s="122"/>
      <c r="JFG889" s="122"/>
      <c r="JFH889" s="122"/>
      <c r="JFI889" s="122"/>
      <c r="JFJ889" s="122"/>
      <c r="JFK889" s="122"/>
      <c r="JFL889" s="122"/>
      <c r="JFM889" s="122"/>
      <c r="JFN889" s="122"/>
      <c r="JFO889" s="122"/>
      <c r="JFP889" s="122"/>
      <c r="JFQ889" s="122"/>
      <c r="JFR889" s="122"/>
      <c r="JFS889" s="122"/>
      <c r="JFT889" s="122"/>
      <c r="JFU889" s="122"/>
      <c r="JFV889" s="122"/>
      <c r="JFW889" s="122"/>
      <c r="JFX889" s="122"/>
      <c r="JFY889" s="122"/>
      <c r="JFZ889" s="122"/>
      <c r="JGA889" s="122"/>
      <c r="JGB889" s="122"/>
      <c r="JGC889" s="122"/>
      <c r="JGD889" s="122"/>
      <c r="JGE889" s="122"/>
      <c r="JGF889" s="122"/>
      <c r="JGG889" s="122"/>
      <c r="JGH889" s="122"/>
      <c r="JGI889" s="122"/>
      <c r="JGJ889" s="122"/>
      <c r="JGK889" s="122"/>
      <c r="JGL889" s="122"/>
      <c r="JGM889" s="122"/>
      <c r="JGN889" s="122"/>
      <c r="JGO889" s="122"/>
      <c r="JGP889" s="122"/>
      <c r="JGQ889" s="122"/>
      <c r="JGR889" s="122"/>
      <c r="JGS889" s="122"/>
      <c r="JGT889" s="122"/>
      <c r="JGU889" s="122"/>
      <c r="JGV889" s="122"/>
      <c r="JGW889" s="122"/>
      <c r="JGX889" s="122"/>
      <c r="JGY889" s="122"/>
      <c r="JGZ889" s="122"/>
      <c r="JHA889" s="122"/>
      <c r="JHB889" s="122"/>
      <c r="JHC889" s="122"/>
      <c r="JHD889" s="122"/>
      <c r="JHE889" s="122"/>
      <c r="JHF889" s="122"/>
      <c r="JHG889" s="122"/>
      <c r="JHH889" s="122"/>
      <c r="JHI889" s="122"/>
      <c r="JHJ889" s="122"/>
      <c r="JHK889" s="122"/>
      <c r="JHL889" s="122"/>
      <c r="JHM889" s="122"/>
      <c r="JHN889" s="122"/>
      <c r="JHO889" s="122"/>
      <c r="JHP889" s="122"/>
      <c r="JHQ889" s="122"/>
      <c r="JHR889" s="122"/>
      <c r="JHS889" s="122"/>
      <c r="JHT889" s="122"/>
      <c r="JHU889" s="122"/>
      <c r="JHV889" s="122"/>
      <c r="JHW889" s="122"/>
      <c r="JHX889" s="122"/>
      <c r="JHY889" s="122"/>
      <c r="JHZ889" s="122"/>
      <c r="JIA889" s="122"/>
      <c r="JIB889" s="122"/>
      <c r="JIC889" s="122"/>
      <c r="JID889" s="122"/>
      <c r="JIE889" s="122"/>
      <c r="JIF889" s="122"/>
      <c r="JIG889" s="122"/>
      <c r="JIH889" s="122"/>
      <c r="JII889" s="122"/>
      <c r="JIJ889" s="122"/>
      <c r="JIK889" s="122"/>
      <c r="JIL889" s="122"/>
      <c r="JIM889" s="122"/>
      <c r="JIN889" s="122"/>
      <c r="JIO889" s="122"/>
      <c r="JIP889" s="122"/>
      <c r="JIQ889" s="122"/>
      <c r="JIR889" s="122"/>
      <c r="JIS889" s="122"/>
      <c r="JIT889" s="122"/>
      <c r="JIU889" s="122"/>
      <c r="JIV889" s="122"/>
      <c r="JIW889" s="122"/>
      <c r="JIX889" s="122"/>
      <c r="JIY889" s="122"/>
      <c r="JIZ889" s="122"/>
      <c r="JJA889" s="122"/>
      <c r="JJB889" s="122"/>
      <c r="JJC889" s="122"/>
      <c r="JJD889" s="122"/>
      <c r="JJE889" s="122"/>
      <c r="JJF889" s="122"/>
      <c r="JJG889" s="122"/>
      <c r="JJH889" s="122"/>
      <c r="JJI889" s="122"/>
      <c r="JJJ889" s="122"/>
      <c r="JJK889" s="122"/>
      <c r="JJL889" s="122"/>
      <c r="JJM889" s="122"/>
      <c r="JJN889" s="122"/>
      <c r="JJO889" s="122"/>
      <c r="JJP889" s="122"/>
      <c r="JJQ889" s="122"/>
      <c r="JJR889" s="122"/>
      <c r="JJS889" s="122"/>
      <c r="JJT889" s="122"/>
      <c r="JJU889" s="122"/>
      <c r="JJV889" s="122"/>
      <c r="JJW889" s="122"/>
      <c r="JJX889" s="122"/>
      <c r="JJY889" s="122"/>
      <c r="JJZ889" s="122"/>
      <c r="JKA889" s="122"/>
      <c r="JKB889" s="122"/>
      <c r="JKC889" s="122"/>
      <c r="JKD889" s="122"/>
      <c r="JKE889" s="122"/>
      <c r="JKF889" s="122"/>
      <c r="JKG889" s="122"/>
      <c r="JKH889" s="122"/>
      <c r="JKI889" s="122"/>
      <c r="JKJ889" s="122"/>
      <c r="JKK889" s="122"/>
      <c r="JKL889" s="122"/>
      <c r="JKM889" s="122"/>
      <c r="JKN889" s="122"/>
      <c r="JKO889" s="122"/>
      <c r="JKP889" s="122"/>
      <c r="JKQ889" s="122"/>
      <c r="JKR889" s="122"/>
      <c r="JKS889" s="122"/>
      <c r="JKT889" s="122"/>
      <c r="JKU889" s="122"/>
      <c r="JKV889" s="122"/>
      <c r="JKW889" s="122"/>
      <c r="JKX889" s="122"/>
      <c r="JKY889" s="122"/>
      <c r="JKZ889" s="122"/>
      <c r="JLA889" s="122"/>
      <c r="JLB889" s="122"/>
      <c r="JLC889" s="122"/>
      <c r="JLD889" s="122"/>
      <c r="JLE889" s="122"/>
      <c r="JLF889" s="122"/>
      <c r="JLG889" s="122"/>
      <c r="JLH889" s="122"/>
      <c r="JLI889" s="122"/>
      <c r="JLJ889" s="122"/>
      <c r="JLK889" s="122"/>
      <c r="JLL889" s="122"/>
      <c r="JLM889" s="122"/>
      <c r="JLN889" s="122"/>
      <c r="JLO889" s="122"/>
      <c r="JLP889" s="122"/>
      <c r="JLQ889" s="122"/>
      <c r="JLR889" s="122"/>
      <c r="JLS889" s="122"/>
      <c r="JLT889" s="122"/>
      <c r="JLU889" s="122"/>
      <c r="JLV889" s="122"/>
      <c r="JLW889" s="122"/>
      <c r="JLX889" s="122"/>
      <c r="JLY889" s="122"/>
      <c r="JLZ889" s="122"/>
      <c r="JMA889" s="122"/>
      <c r="JMB889" s="122"/>
      <c r="JMC889" s="122"/>
      <c r="JMD889" s="122"/>
      <c r="JME889" s="122"/>
      <c r="JMF889" s="122"/>
      <c r="JMG889" s="122"/>
      <c r="JMH889" s="122"/>
      <c r="JMI889" s="122"/>
      <c r="JMJ889" s="122"/>
      <c r="JMK889" s="122"/>
      <c r="JML889" s="122"/>
      <c r="JMM889" s="122"/>
      <c r="JMN889" s="122"/>
      <c r="JMO889" s="122"/>
      <c r="JMP889" s="122"/>
      <c r="JMQ889" s="122"/>
      <c r="JMR889" s="122"/>
      <c r="JMS889" s="122"/>
      <c r="JMT889" s="122"/>
      <c r="JMU889" s="122"/>
      <c r="JMV889" s="122"/>
      <c r="JMW889" s="122"/>
      <c r="JMX889" s="122"/>
      <c r="JMY889" s="122"/>
      <c r="JMZ889" s="122"/>
      <c r="JNA889" s="122"/>
      <c r="JNB889" s="122"/>
      <c r="JNC889" s="122"/>
      <c r="JND889" s="122"/>
      <c r="JNE889" s="122"/>
      <c r="JNF889" s="122"/>
      <c r="JNG889" s="122"/>
      <c r="JNH889" s="122"/>
      <c r="JNI889" s="122"/>
      <c r="JNJ889" s="122"/>
      <c r="JNK889" s="122"/>
      <c r="JNL889" s="122"/>
      <c r="JNM889" s="122"/>
      <c r="JNN889" s="122"/>
      <c r="JNO889" s="122"/>
      <c r="JNP889" s="122"/>
      <c r="JNQ889" s="122"/>
      <c r="JNR889" s="122"/>
      <c r="JNS889" s="122"/>
      <c r="JNT889" s="122"/>
      <c r="JNU889" s="122"/>
      <c r="JNV889" s="122"/>
      <c r="JNW889" s="122"/>
      <c r="JNX889" s="122"/>
      <c r="JNY889" s="122"/>
      <c r="JNZ889" s="122"/>
      <c r="JOA889" s="122"/>
      <c r="JOB889" s="122"/>
      <c r="JOC889" s="122"/>
      <c r="JOD889" s="122"/>
      <c r="JOE889" s="122"/>
      <c r="JOF889" s="122"/>
      <c r="JOG889" s="122"/>
      <c r="JOH889" s="122"/>
      <c r="JOI889" s="122"/>
      <c r="JOJ889" s="122"/>
      <c r="JOK889" s="122"/>
      <c r="JOL889" s="122"/>
      <c r="JOM889" s="122"/>
      <c r="JON889" s="122"/>
      <c r="JOO889" s="122"/>
      <c r="JOP889" s="122"/>
      <c r="JOQ889" s="122"/>
      <c r="JOR889" s="122"/>
      <c r="JOS889" s="122"/>
      <c r="JOT889" s="122"/>
      <c r="JOU889" s="122"/>
      <c r="JOV889" s="122"/>
      <c r="JOW889" s="122"/>
      <c r="JOX889" s="122"/>
      <c r="JOY889" s="122"/>
      <c r="JOZ889" s="122"/>
      <c r="JPA889" s="122"/>
      <c r="JPB889" s="122"/>
      <c r="JPC889" s="122"/>
      <c r="JPD889" s="122"/>
      <c r="JPE889" s="122"/>
      <c r="JPF889" s="122"/>
      <c r="JPG889" s="122"/>
      <c r="JPH889" s="122"/>
      <c r="JPI889" s="122"/>
      <c r="JPJ889" s="122"/>
      <c r="JPK889" s="122"/>
      <c r="JPL889" s="122"/>
      <c r="JPM889" s="122"/>
      <c r="JPN889" s="122"/>
      <c r="JPO889" s="122"/>
      <c r="JPP889" s="122"/>
      <c r="JPQ889" s="122"/>
      <c r="JPR889" s="122"/>
      <c r="JPS889" s="122"/>
      <c r="JPT889" s="122"/>
      <c r="JPU889" s="122"/>
      <c r="JPV889" s="122"/>
      <c r="JPW889" s="122"/>
      <c r="JPX889" s="122"/>
      <c r="JPY889" s="122"/>
      <c r="JPZ889" s="122"/>
      <c r="JQA889" s="122"/>
      <c r="JQB889" s="122"/>
      <c r="JQC889" s="122"/>
      <c r="JQD889" s="122"/>
      <c r="JQE889" s="122"/>
      <c r="JQF889" s="122"/>
      <c r="JQG889" s="122"/>
      <c r="JQH889" s="122"/>
      <c r="JQI889" s="122"/>
      <c r="JQJ889" s="122"/>
      <c r="JQK889" s="122"/>
      <c r="JQL889" s="122"/>
      <c r="JQM889" s="122"/>
      <c r="JQN889" s="122"/>
      <c r="JQO889" s="122"/>
      <c r="JQP889" s="122"/>
      <c r="JQQ889" s="122"/>
      <c r="JQR889" s="122"/>
      <c r="JQS889" s="122"/>
      <c r="JQT889" s="122"/>
      <c r="JQU889" s="122"/>
      <c r="JQV889" s="122"/>
      <c r="JQW889" s="122"/>
      <c r="JQX889" s="122"/>
      <c r="JQY889" s="122"/>
      <c r="JQZ889" s="122"/>
      <c r="JRA889" s="122"/>
      <c r="JRB889" s="122"/>
      <c r="JRC889" s="122"/>
      <c r="JRD889" s="122"/>
      <c r="JRE889" s="122"/>
      <c r="JRF889" s="122"/>
      <c r="JRG889" s="122"/>
      <c r="JRH889" s="122"/>
      <c r="JRI889" s="122"/>
      <c r="JRJ889" s="122"/>
      <c r="JRK889" s="122"/>
      <c r="JRL889" s="122"/>
      <c r="JRM889" s="122"/>
      <c r="JRN889" s="122"/>
      <c r="JRO889" s="122"/>
      <c r="JRP889" s="122"/>
      <c r="JRQ889" s="122"/>
      <c r="JRR889" s="122"/>
      <c r="JRS889" s="122"/>
      <c r="JRT889" s="122"/>
      <c r="JRU889" s="122"/>
      <c r="JRV889" s="122"/>
      <c r="JRW889" s="122"/>
      <c r="JRX889" s="122"/>
      <c r="JRY889" s="122"/>
      <c r="JRZ889" s="122"/>
      <c r="JSA889" s="122"/>
      <c r="JSB889" s="122"/>
      <c r="JSC889" s="122"/>
      <c r="JSD889" s="122"/>
      <c r="JSE889" s="122"/>
      <c r="JSF889" s="122"/>
      <c r="JSG889" s="122"/>
      <c r="JSH889" s="122"/>
      <c r="JSI889" s="122"/>
      <c r="JSJ889" s="122"/>
      <c r="JSK889" s="122"/>
      <c r="JSL889" s="122"/>
      <c r="JSM889" s="122"/>
      <c r="JSN889" s="122"/>
      <c r="JSO889" s="122"/>
      <c r="JSP889" s="122"/>
      <c r="JSQ889" s="122"/>
      <c r="JSR889" s="122"/>
      <c r="JSS889" s="122"/>
      <c r="JST889" s="122"/>
      <c r="JSU889" s="122"/>
      <c r="JSV889" s="122"/>
      <c r="JSW889" s="122"/>
      <c r="JSX889" s="122"/>
      <c r="JSY889" s="122"/>
      <c r="JSZ889" s="122"/>
      <c r="JTA889" s="122"/>
      <c r="JTB889" s="122"/>
      <c r="JTC889" s="122"/>
      <c r="JTD889" s="122"/>
      <c r="JTE889" s="122"/>
      <c r="JTF889" s="122"/>
      <c r="JTG889" s="122"/>
      <c r="JTH889" s="122"/>
      <c r="JTI889" s="122"/>
      <c r="JTJ889" s="122"/>
      <c r="JTK889" s="122"/>
      <c r="JTL889" s="122"/>
      <c r="JTM889" s="122"/>
      <c r="JTN889" s="122"/>
      <c r="JTO889" s="122"/>
      <c r="JTP889" s="122"/>
      <c r="JTQ889" s="122"/>
      <c r="JTR889" s="122"/>
      <c r="JTS889" s="122"/>
      <c r="JTT889" s="122"/>
      <c r="JTU889" s="122"/>
      <c r="JTV889" s="122"/>
      <c r="JTW889" s="122"/>
      <c r="JTX889" s="122"/>
      <c r="JTY889" s="122"/>
      <c r="JTZ889" s="122"/>
      <c r="JUA889" s="122"/>
      <c r="JUB889" s="122"/>
      <c r="JUC889" s="122"/>
      <c r="JUD889" s="122"/>
      <c r="JUE889" s="122"/>
      <c r="JUF889" s="122"/>
      <c r="JUG889" s="122"/>
      <c r="JUH889" s="122"/>
      <c r="JUI889" s="122"/>
      <c r="JUJ889" s="122"/>
      <c r="JUK889" s="122"/>
      <c r="JUL889" s="122"/>
      <c r="JUM889" s="122"/>
      <c r="JUN889" s="122"/>
      <c r="JUO889" s="122"/>
      <c r="JUP889" s="122"/>
      <c r="JUQ889" s="122"/>
      <c r="JUR889" s="122"/>
      <c r="JUS889" s="122"/>
      <c r="JUT889" s="122"/>
      <c r="JUU889" s="122"/>
      <c r="JUV889" s="122"/>
      <c r="JUW889" s="122"/>
      <c r="JUX889" s="122"/>
      <c r="JUY889" s="122"/>
      <c r="JUZ889" s="122"/>
      <c r="JVA889" s="122"/>
      <c r="JVB889" s="122"/>
      <c r="JVC889" s="122"/>
      <c r="JVD889" s="122"/>
      <c r="JVE889" s="122"/>
      <c r="JVF889" s="122"/>
      <c r="JVG889" s="122"/>
      <c r="JVH889" s="122"/>
      <c r="JVI889" s="122"/>
      <c r="JVJ889" s="122"/>
      <c r="JVK889" s="122"/>
      <c r="JVL889" s="122"/>
      <c r="JVM889" s="122"/>
      <c r="JVN889" s="122"/>
      <c r="JVO889" s="122"/>
      <c r="JVP889" s="122"/>
      <c r="JVQ889" s="122"/>
      <c r="JVR889" s="122"/>
      <c r="JVS889" s="122"/>
      <c r="JVT889" s="122"/>
      <c r="JVU889" s="122"/>
      <c r="JVV889" s="122"/>
      <c r="JVW889" s="122"/>
      <c r="JVX889" s="122"/>
      <c r="JVY889" s="122"/>
      <c r="JVZ889" s="122"/>
      <c r="JWA889" s="122"/>
      <c r="JWB889" s="122"/>
      <c r="JWC889" s="122"/>
      <c r="JWD889" s="122"/>
      <c r="JWE889" s="122"/>
      <c r="JWF889" s="122"/>
      <c r="JWG889" s="122"/>
      <c r="JWH889" s="122"/>
      <c r="JWI889" s="122"/>
      <c r="JWJ889" s="122"/>
      <c r="JWK889" s="122"/>
      <c r="JWL889" s="122"/>
      <c r="JWM889" s="122"/>
      <c r="JWN889" s="122"/>
      <c r="JWO889" s="122"/>
      <c r="JWP889" s="122"/>
      <c r="JWQ889" s="122"/>
      <c r="JWR889" s="122"/>
      <c r="JWS889" s="122"/>
      <c r="JWT889" s="122"/>
      <c r="JWU889" s="122"/>
      <c r="JWV889" s="122"/>
      <c r="JWW889" s="122"/>
      <c r="JWX889" s="122"/>
      <c r="JWY889" s="122"/>
      <c r="JWZ889" s="122"/>
      <c r="JXA889" s="122"/>
      <c r="JXB889" s="122"/>
      <c r="JXC889" s="122"/>
      <c r="JXD889" s="122"/>
      <c r="JXE889" s="122"/>
      <c r="JXF889" s="122"/>
      <c r="JXG889" s="122"/>
      <c r="JXH889" s="122"/>
      <c r="JXI889" s="122"/>
      <c r="JXJ889" s="122"/>
      <c r="JXK889" s="122"/>
      <c r="JXL889" s="122"/>
      <c r="JXM889" s="122"/>
      <c r="JXN889" s="122"/>
      <c r="JXO889" s="122"/>
      <c r="JXP889" s="122"/>
      <c r="JXQ889" s="122"/>
      <c r="JXR889" s="122"/>
      <c r="JXS889" s="122"/>
      <c r="JXT889" s="122"/>
      <c r="JXU889" s="122"/>
      <c r="JXV889" s="122"/>
      <c r="JXW889" s="122"/>
      <c r="JXX889" s="122"/>
      <c r="JXY889" s="122"/>
      <c r="JXZ889" s="122"/>
      <c r="JYA889" s="122"/>
      <c r="JYB889" s="122"/>
      <c r="JYC889" s="122"/>
      <c r="JYD889" s="122"/>
      <c r="JYE889" s="122"/>
      <c r="JYF889" s="122"/>
      <c r="JYG889" s="122"/>
      <c r="JYH889" s="122"/>
      <c r="JYI889" s="122"/>
      <c r="JYJ889" s="122"/>
      <c r="JYK889" s="122"/>
      <c r="JYL889" s="122"/>
      <c r="JYM889" s="122"/>
      <c r="JYN889" s="122"/>
      <c r="JYO889" s="122"/>
      <c r="JYP889" s="122"/>
      <c r="JYQ889" s="122"/>
      <c r="JYR889" s="122"/>
      <c r="JYS889" s="122"/>
      <c r="JYT889" s="122"/>
      <c r="JYU889" s="122"/>
      <c r="JYV889" s="122"/>
      <c r="JYW889" s="122"/>
      <c r="JYX889" s="122"/>
      <c r="JYY889" s="122"/>
      <c r="JYZ889" s="122"/>
      <c r="JZA889" s="122"/>
      <c r="JZB889" s="122"/>
      <c r="JZC889" s="122"/>
      <c r="JZD889" s="122"/>
      <c r="JZE889" s="122"/>
      <c r="JZF889" s="122"/>
      <c r="JZG889" s="122"/>
      <c r="JZH889" s="122"/>
      <c r="JZI889" s="122"/>
      <c r="JZJ889" s="122"/>
      <c r="JZK889" s="122"/>
      <c r="JZL889" s="122"/>
      <c r="JZM889" s="122"/>
      <c r="JZN889" s="122"/>
      <c r="JZO889" s="122"/>
      <c r="JZP889" s="122"/>
      <c r="JZQ889" s="122"/>
      <c r="JZR889" s="122"/>
      <c r="JZS889" s="122"/>
      <c r="JZT889" s="122"/>
      <c r="JZU889" s="122"/>
      <c r="JZV889" s="122"/>
      <c r="JZW889" s="122"/>
      <c r="JZX889" s="122"/>
      <c r="JZY889" s="122"/>
      <c r="JZZ889" s="122"/>
      <c r="KAA889" s="122"/>
      <c r="KAB889" s="122"/>
      <c r="KAC889" s="122"/>
      <c r="KAD889" s="122"/>
      <c r="KAE889" s="122"/>
      <c r="KAF889" s="122"/>
      <c r="KAG889" s="122"/>
      <c r="KAH889" s="122"/>
      <c r="KAI889" s="122"/>
      <c r="KAJ889" s="122"/>
      <c r="KAK889" s="122"/>
      <c r="KAL889" s="122"/>
      <c r="KAM889" s="122"/>
      <c r="KAN889" s="122"/>
      <c r="KAO889" s="122"/>
      <c r="KAP889" s="122"/>
      <c r="KAQ889" s="122"/>
      <c r="KAR889" s="122"/>
      <c r="KAS889" s="122"/>
      <c r="KAT889" s="122"/>
      <c r="KAU889" s="122"/>
      <c r="KAV889" s="122"/>
      <c r="KAW889" s="122"/>
      <c r="KAX889" s="122"/>
      <c r="KAY889" s="122"/>
      <c r="KAZ889" s="122"/>
      <c r="KBA889" s="122"/>
      <c r="KBB889" s="122"/>
      <c r="KBC889" s="122"/>
      <c r="KBD889" s="122"/>
      <c r="KBE889" s="122"/>
      <c r="KBF889" s="122"/>
      <c r="KBG889" s="122"/>
      <c r="KBH889" s="122"/>
      <c r="KBI889" s="122"/>
      <c r="KBJ889" s="122"/>
      <c r="KBK889" s="122"/>
      <c r="KBL889" s="122"/>
      <c r="KBM889" s="122"/>
      <c r="KBN889" s="122"/>
      <c r="KBO889" s="122"/>
      <c r="KBP889" s="122"/>
      <c r="KBQ889" s="122"/>
      <c r="KBR889" s="122"/>
      <c r="KBS889" s="122"/>
      <c r="KBT889" s="122"/>
      <c r="KBU889" s="122"/>
      <c r="KBV889" s="122"/>
      <c r="KBW889" s="122"/>
      <c r="KBX889" s="122"/>
      <c r="KBY889" s="122"/>
      <c r="KBZ889" s="122"/>
      <c r="KCA889" s="122"/>
      <c r="KCB889" s="122"/>
      <c r="KCC889" s="122"/>
      <c r="KCD889" s="122"/>
      <c r="KCE889" s="122"/>
      <c r="KCF889" s="122"/>
      <c r="KCG889" s="122"/>
      <c r="KCH889" s="122"/>
      <c r="KCI889" s="122"/>
      <c r="KCJ889" s="122"/>
      <c r="KCK889" s="122"/>
      <c r="KCL889" s="122"/>
      <c r="KCM889" s="122"/>
      <c r="KCN889" s="122"/>
      <c r="KCO889" s="122"/>
      <c r="KCP889" s="122"/>
      <c r="KCQ889" s="122"/>
      <c r="KCR889" s="122"/>
      <c r="KCS889" s="122"/>
      <c r="KCT889" s="122"/>
      <c r="KCU889" s="122"/>
      <c r="KCV889" s="122"/>
      <c r="KCW889" s="122"/>
      <c r="KCX889" s="122"/>
      <c r="KCY889" s="122"/>
      <c r="KCZ889" s="122"/>
      <c r="KDA889" s="122"/>
      <c r="KDB889" s="122"/>
      <c r="KDC889" s="122"/>
      <c r="KDD889" s="122"/>
      <c r="KDE889" s="122"/>
      <c r="KDF889" s="122"/>
      <c r="KDG889" s="122"/>
      <c r="KDH889" s="122"/>
      <c r="KDI889" s="122"/>
      <c r="KDJ889" s="122"/>
      <c r="KDK889" s="122"/>
      <c r="KDL889" s="122"/>
      <c r="KDM889" s="122"/>
      <c r="KDN889" s="122"/>
      <c r="KDO889" s="122"/>
      <c r="KDP889" s="122"/>
      <c r="KDQ889" s="122"/>
      <c r="KDR889" s="122"/>
      <c r="KDS889" s="122"/>
      <c r="KDT889" s="122"/>
      <c r="KDU889" s="122"/>
      <c r="KDV889" s="122"/>
      <c r="KDW889" s="122"/>
      <c r="KDX889" s="122"/>
      <c r="KDY889" s="122"/>
      <c r="KDZ889" s="122"/>
      <c r="KEA889" s="122"/>
      <c r="KEB889" s="122"/>
      <c r="KEC889" s="122"/>
      <c r="KED889" s="122"/>
      <c r="KEE889" s="122"/>
      <c r="KEF889" s="122"/>
      <c r="KEG889" s="122"/>
      <c r="KEH889" s="122"/>
      <c r="KEI889" s="122"/>
      <c r="KEJ889" s="122"/>
      <c r="KEK889" s="122"/>
      <c r="KEL889" s="122"/>
      <c r="KEM889" s="122"/>
      <c r="KEN889" s="122"/>
      <c r="KEO889" s="122"/>
      <c r="KEP889" s="122"/>
      <c r="KEQ889" s="122"/>
      <c r="KER889" s="122"/>
      <c r="KES889" s="122"/>
      <c r="KET889" s="122"/>
      <c r="KEU889" s="122"/>
      <c r="KEV889" s="122"/>
      <c r="KEW889" s="122"/>
      <c r="KEX889" s="122"/>
      <c r="KEY889" s="122"/>
      <c r="KEZ889" s="122"/>
      <c r="KFA889" s="122"/>
      <c r="KFB889" s="122"/>
      <c r="KFC889" s="122"/>
      <c r="KFD889" s="122"/>
      <c r="KFE889" s="122"/>
      <c r="KFF889" s="122"/>
      <c r="KFG889" s="122"/>
      <c r="KFH889" s="122"/>
      <c r="KFI889" s="122"/>
      <c r="KFJ889" s="122"/>
      <c r="KFK889" s="122"/>
      <c r="KFL889" s="122"/>
      <c r="KFM889" s="122"/>
      <c r="KFN889" s="122"/>
      <c r="KFO889" s="122"/>
      <c r="KFP889" s="122"/>
      <c r="KFQ889" s="122"/>
      <c r="KFR889" s="122"/>
      <c r="KFS889" s="122"/>
      <c r="KFT889" s="122"/>
      <c r="KFU889" s="122"/>
      <c r="KFV889" s="122"/>
      <c r="KFW889" s="122"/>
      <c r="KFX889" s="122"/>
      <c r="KFY889" s="122"/>
      <c r="KFZ889" s="122"/>
      <c r="KGA889" s="122"/>
      <c r="KGB889" s="122"/>
      <c r="KGC889" s="122"/>
      <c r="KGD889" s="122"/>
      <c r="KGE889" s="122"/>
      <c r="KGF889" s="122"/>
      <c r="KGG889" s="122"/>
      <c r="KGH889" s="122"/>
      <c r="KGI889" s="122"/>
      <c r="KGJ889" s="122"/>
      <c r="KGK889" s="122"/>
      <c r="KGL889" s="122"/>
      <c r="KGM889" s="122"/>
      <c r="KGN889" s="122"/>
      <c r="KGO889" s="122"/>
      <c r="KGP889" s="122"/>
      <c r="KGQ889" s="122"/>
      <c r="KGR889" s="122"/>
      <c r="KGS889" s="122"/>
      <c r="KGT889" s="122"/>
      <c r="KGU889" s="122"/>
      <c r="KGV889" s="122"/>
      <c r="KGW889" s="122"/>
      <c r="KGX889" s="122"/>
      <c r="KGY889" s="122"/>
      <c r="KGZ889" s="122"/>
      <c r="KHA889" s="122"/>
      <c r="KHB889" s="122"/>
      <c r="KHC889" s="122"/>
      <c r="KHD889" s="122"/>
      <c r="KHE889" s="122"/>
      <c r="KHF889" s="122"/>
      <c r="KHG889" s="122"/>
      <c r="KHH889" s="122"/>
      <c r="KHI889" s="122"/>
      <c r="KHJ889" s="122"/>
      <c r="KHK889" s="122"/>
      <c r="KHL889" s="122"/>
      <c r="KHM889" s="122"/>
      <c r="KHN889" s="122"/>
      <c r="KHO889" s="122"/>
      <c r="KHP889" s="122"/>
      <c r="KHQ889" s="122"/>
      <c r="KHR889" s="122"/>
      <c r="KHS889" s="122"/>
      <c r="KHT889" s="122"/>
      <c r="KHU889" s="122"/>
      <c r="KHV889" s="122"/>
      <c r="KHW889" s="122"/>
      <c r="KHX889" s="122"/>
      <c r="KHY889" s="122"/>
      <c r="KHZ889" s="122"/>
      <c r="KIA889" s="122"/>
      <c r="KIB889" s="122"/>
      <c r="KIC889" s="122"/>
      <c r="KID889" s="122"/>
      <c r="KIE889" s="122"/>
      <c r="KIF889" s="122"/>
      <c r="KIG889" s="122"/>
      <c r="KIH889" s="122"/>
      <c r="KII889" s="122"/>
      <c r="KIJ889" s="122"/>
      <c r="KIK889" s="122"/>
      <c r="KIL889" s="122"/>
      <c r="KIM889" s="122"/>
      <c r="KIN889" s="122"/>
      <c r="KIO889" s="122"/>
      <c r="KIP889" s="122"/>
      <c r="KIQ889" s="122"/>
      <c r="KIR889" s="122"/>
      <c r="KIS889" s="122"/>
      <c r="KIT889" s="122"/>
      <c r="KIU889" s="122"/>
      <c r="KIV889" s="122"/>
      <c r="KIW889" s="122"/>
      <c r="KIX889" s="122"/>
      <c r="KIY889" s="122"/>
      <c r="KIZ889" s="122"/>
      <c r="KJA889" s="122"/>
      <c r="KJB889" s="122"/>
      <c r="KJC889" s="122"/>
      <c r="KJD889" s="122"/>
      <c r="KJE889" s="122"/>
      <c r="KJF889" s="122"/>
      <c r="KJG889" s="122"/>
      <c r="KJH889" s="122"/>
      <c r="KJI889" s="122"/>
      <c r="KJJ889" s="122"/>
      <c r="KJK889" s="122"/>
      <c r="KJL889" s="122"/>
      <c r="KJM889" s="122"/>
      <c r="KJN889" s="122"/>
      <c r="KJO889" s="122"/>
      <c r="KJP889" s="122"/>
      <c r="KJQ889" s="122"/>
      <c r="KJR889" s="122"/>
      <c r="KJS889" s="122"/>
      <c r="KJT889" s="122"/>
      <c r="KJU889" s="122"/>
      <c r="KJV889" s="122"/>
      <c r="KJW889" s="122"/>
      <c r="KJX889" s="122"/>
      <c r="KJY889" s="122"/>
      <c r="KJZ889" s="122"/>
      <c r="KKA889" s="122"/>
      <c r="KKB889" s="122"/>
      <c r="KKC889" s="122"/>
      <c r="KKD889" s="122"/>
      <c r="KKE889" s="122"/>
      <c r="KKF889" s="122"/>
      <c r="KKG889" s="122"/>
      <c r="KKH889" s="122"/>
      <c r="KKI889" s="122"/>
      <c r="KKJ889" s="122"/>
      <c r="KKK889" s="122"/>
      <c r="KKL889" s="122"/>
      <c r="KKM889" s="122"/>
      <c r="KKN889" s="122"/>
      <c r="KKO889" s="122"/>
      <c r="KKP889" s="122"/>
      <c r="KKQ889" s="122"/>
      <c r="KKR889" s="122"/>
      <c r="KKS889" s="122"/>
      <c r="KKT889" s="122"/>
      <c r="KKU889" s="122"/>
      <c r="KKV889" s="122"/>
      <c r="KKW889" s="122"/>
      <c r="KKX889" s="122"/>
      <c r="KKY889" s="122"/>
      <c r="KKZ889" s="122"/>
      <c r="KLA889" s="122"/>
      <c r="KLB889" s="122"/>
      <c r="KLC889" s="122"/>
      <c r="KLD889" s="122"/>
      <c r="KLE889" s="122"/>
      <c r="KLF889" s="122"/>
      <c r="KLG889" s="122"/>
      <c r="KLH889" s="122"/>
      <c r="KLI889" s="122"/>
      <c r="KLJ889" s="122"/>
      <c r="KLK889" s="122"/>
      <c r="KLL889" s="122"/>
      <c r="KLM889" s="122"/>
      <c r="KLN889" s="122"/>
      <c r="KLO889" s="122"/>
      <c r="KLP889" s="122"/>
      <c r="KLQ889" s="122"/>
      <c r="KLR889" s="122"/>
      <c r="KLS889" s="122"/>
      <c r="KLT889" s="122"/>
      <c r="KLU889" s="122"/>
      <c r="KLV889" s="122"/>
      <c r="KLW889" s="122"/>
      <c r="KLX889" s="122"/>
      <c r="KLY889" s="122"/>
      <c r="KLZ889" s="122"/>
      <c r="KMA889" s="122"/>
      <c r="KMB889" s="122"/>
      <c r="KMC889" s="122"/>
      <c r="KMD889" s="122"/>
      <c r="KME889" s="122"/>
      <c r="KMF889" s="122"/>
      <c r="KMG889" s="122"/>
      <c r="KMH889" s="122"/>
      <c r="KMI889" s="122"/>
      <c r="KMJ889" s="122"/>
      <c r="KMK889" s="122"/>
      <c r="KML889" s="122"/>
      <c r="KMM889" s="122"/>
      <c r="KMN889" s="122"/>
      <c r="KMO889" s="122"/>
      <c r="KMP889" s="122"/>
      <c r="KMQ889" s="122"/>
      <c r="KMR889" s="122"/>
      <c r="KMS889" s="122"/>
      <c r="KMT889" s="122"/>
      <c r="KMU889" s="122"/>
      <c r="KMV889" s="122"/>
      <c r="KMW889" s="122"/>
      <c r="KMX889" s="122"/>
      <c r="KMY889" s="122"/>
      <c r="KMZ889" s="122"/>
      <c r="KNA889" s="122"/>
      <c r="KNB889" s="122"/>
      <c r="KNC889" s="122"/>
      <c r="KND889" s="122"/>
      <c r="KNE889" s="122"/>
      <c r="KNF889" s="122"/>
      <c r="KNG889" s="122"/>
      <c r="KNH889" s="122"/>
      <c r="KNI889" s="122"/>
      <c r="KNJ889" s="122"/>
      <c r="KNK889" s="122"/>
      <c r="KNL889" s="122"/>
      <c r="KNM889" s="122"/>
      <c r="KNN889" s="122"/>
      <c r="KNO889" s="122"/>
      <c r="KNP889" s="122"/>
      <c r="KNQ889" s="122"/>
      <c r="KNR889" s="122"/>
      <c r="KNS889" s="122"/>
      <c r="KNT889" s="122"/>
      <c r="KNU889" s="122"/>
      <c r="KNV889" s="122"/>
      <c r="KNW889" s="122"/>
      <c r="KNX889" s="122"/>
      <c r="KNY889" s="122"/>
      <c r="KNZ889" s="122"/>
      <c r="KOA889" s="122"/>
      <c r="KOB889" s="122"/>
      <c r="KOC889" s="122"/>
      <c r="KOD889" s="122"/>
      <c r="KOE889" s="122"/>
      <c r="KOF889" s="122"/>
      <c r="KOG889" s="122"/>
      <c r="KOH889" s="122"/>
      <c r="KOI889" s="122"/>
      <c r="KOJ889" s="122"/>
      <c r="KOK889" s="122"/>
      <c r="KOL889" s="122"/>
      <c r="KOM889" s="122"/>
      <c r="KON889" s="122"/>
      <c r="KOO889" s="122"/>
      <c r="KOP889" s="122"/>
      <c r="KOQ889" s="122"/>
      <c r="KOR889" s="122"/>
      <c r="KOS889" s="122"/>
      <c r="KOT889" s="122"/>
      <c r="KOU889" s="122"/>
      <c r="KOV889" s="122"/>
      <c r="KOW889" s="122"/>
      <c r="KOX889" s="122"/>
      <c r="KOY889" s="122"/>
      <c r="KOZ889" s="122"/>
      <c r="KPA889" s="122"/>
      <c r="KPB889" s="122"/>
      <c r="KPC889" s="122"/>
      <c r="KPD889" s="122"/>
      <c r="KPE889" s="122"/>
      <c r="KPF889" s="122"/>
      <c r="KPG889" s="122"/>
      <c r="KPH889" s="122"/>
      <c r="KPI889" s="122"/>
      <c r="KPJ889" s="122"/>
      <c r="KPK889" s="122"/>
      <c r="KPL889" s="122"/>
      <c r="KPM889" s="122"/>
      <c r="KPN889" s="122"/>
      <c r="KPO889" s="122"/>
      <c r="KPP889" s="122"/>
      <c r="KPQ889" s="122"/>
      <c r="KPR889" s="122"/>
      <c r="KPS889" s="122"/>
      <c r="KPT889" s="122"/>
      <c r="KPU889" s="122"/>
      <c r="KPV889" s="122"/>
      <c r="KPW889" s="122"/>
      <c r="KPX889" s="122"/>
      <c r="KPY889" s="122"/>
      <c r="KPZ889" s="122"/>
      <c r="KQA889" s="122"/>
      <c r="KQB889" s="122"/>
      <c r="KQC889" s="122"/>
      <c r="KQD889" s="122"/>
      <c r="KQE889" s="122"/>
      <c r="KQF889" s="122"/>
      <c r="KQG889" s="122"/>
      <c r="KQH889" s="122"/>
      <c r="KQI889" s="122"/>
      <c r="KQJ889" s="122"/>
      <c r="KQK889" s="122"/>
      <c r="KQL889" s="122"/>
      <c r="KQM889" s="122"/>
      <c r="KQN889" s="122"/>
      <c r="KQO889" s="122"/>
      <c r="KQP889" s="122"/>
      <c r="KQQ889" s="122"/>
      <c r="KQR889" s="122"/>
      <c r="KQS889" s="122"/>
      <c r="KQT889" s="122"/>
      <c r="KQU889" s="122"/>
      <c r="KQV889" s="122"/>
      <c r="KQW889" s="122"/>
      <c r="KQX889" s="122"/>
      <c r="KQY889" s="122"/>
      <c r="KQZ889" s="122"/>
      <c r="KRA889" s="122"/>
      <c r="KRB889" s="122"/>
      <c r="KRC889" s="122"/>
      <c r="KRD889" s="122"/>
      <c r="KRE889" s="122"/>
      <c r="KRF889" s="122"/>
      <c r="KRG889" s="122"/>
      <c r="KRH889" s="122"/>
      <c r="KRI889" s="122"/>
      <c r="KRJ889" s="122"/>
      <c r="KRK889" s="122"/>
      <c r="KRL889" s="122"/>
      <c r="KRM889" s="122"/>
      <c r="KRN889" s="122"/>
      <c r="KRO889" s="122"/>
      <c r="KRP889" s="122"/>
      <c r="KRQ889" s="122"/>
      <c r="KRR889" s="122"/>
      <c r="KRS889" s="122"/>
      <c r="KRT889" s="122"/>
      <c r="KRU889" s="122"/>
      <c r="KRV889" s="122"/>
      <c r="KRW889" s="122"/>
      <c r="KRX889" s="122"/>
      <c r="KRY889" s="122"/>
      <c r="KRZ889" s="122"/>
      <c r="KSA889" s="122"/>
      <c r="KSB889" s="122"/>
      <c r="KSC889" s="122"/>
      <c r="KSD889" s="122"/>
      <c r="KSE889" s="122"/>
      <c r="KSF889" s="122"/>
      <c r="KSG889" s="122"/>
      <c r="KSH889" s="122"/>
      <c r="KSI889" s="122"/>
      <c r="KSJ889" s="122"/>
      <c r="KSK889" s="122"/>
      <c r="KSL889" s="122"/>
      <c r="KSM889" s="122"/>
      <c r="KSN889" s="122"/>
      <c r="KSO889" s="122"/>
      <c r="KSP889" s="122"/>
      <c r="KSQ889" s="122"/>
      <c r="KSR889" s="122"/>
      <c r="KSS889" s="122"/>
      <c r="KST889" s="122"/>
      <c r="KSU889" s="122"/>
      <c r="KSV889" s="122"/>
      <c r="KSW889" s="122"/>
      <c r="KSX889" s="122"/>
      <c r="KSY889" s="122"/>
      <c r="KSZ889" s="122"/>
      <c r="KTA889" s="122"/>
      <c r="KTB889" s="122"/>
      <c r="KTC889" s="122"/>
      <c r="KTD889" s="122"/>
      <c r="KTE889" s="122"/>
      <c r="KTF889" s="122"/>
      <c r="KTG889" s="122"/>
      <c r="KTH889" s="122"/>
      <c r="KTI889" s="122"/>
      <c r="KTJ889" s="122"/>
      <c r="KTK889" s="122"/>
      <c r="KTL889" s="122"/>
      <c r="KTM889" s="122"/>
      <c r="KTN889" s="122"/>
      <c r="KTO889" s="122"/>
      <c r="KTP889" s="122"/>
      <c r="KTQ889" s="122"/>
      <c r="KTR889" s="122"/>
      <c r="KTS889" s="122"/>
      <c r="KTT889" s="122"/>
      <c r="KTU889" s="122"/>
      <c r="KTV889" s="122"/>
      <c r="KTW889" s="122"/>
      <c r="KTX889" s="122"/>
      <c r="KTY889" s="122"/>
      <c r="KTZ889" s="122"/>
      <c r="KUA889" s="122"/>
      <c r="KUB889" s="122"/>
      <c r="KUC889" s="122"/>
      <c r="KUD889" s="122"/>
      <c r="KUE889" s="122"/>
      <c r="KUF889" s="122"/>
      <c r="KUG889" s="122"/>
      <c r="KUH889" s="122"/>
      <c r="KUI889" s="122"/>
      <c r="KUJ889" s="122"/>
      <c r="KUK889" s="122"/>
      <c r="KUL889" s="122"/>
      <c r="KUM889" s="122"/>
      <c r="KUN889" s="122"/>
      <c r="KUO889" s="122"/>
      <c r="KUP889" s="122"/>
      <c r="KUQ889" s="122"/>
      <c r="KUR889" s="122"/>
      <c r="KUS889" s="122"/>
      <c r="KUT889" s="122"/>
      <c r="KUU889" s="122"/>
      <c r="KUV889" s="122"/>
      <c r="KUW889" s="122"/>
      <c r="KUX889" s="122"/>
      <c r="KUY889" s="122"/>
      <c r="KUZ889" s="122"/>
      <c r="KVA889" s="122"/>
      <c r="KVB889" s="122"/>
      <c r="KVC889" s="122"/>
      <c r="KVD889" s="122"/>
      <c r="KVE889" s="122"/>
      <c r="KVF889" s="122"/>
      <c r="KVG889" s="122"/>
      <c r="KVH889" s="122"/>
      <c r="KVI889" s="122"/>
      <c r="KVJ889" s="122"/>
      <c r="KVK889" s="122"/>
      <c r="KVL889" s="122"/>
      <c r="KVM889" s="122"/>
      <c r="KVN889" s="122"/>
      <c r="KVO889" s="122"/>
      <c r="KVP889" s="122"/>
      <c r="KVQ889" s="122"/>
      <c r="KVR889" s="122"/>
      <c r="KVS889" s="122"/>
      <c r="KVT889" s="122"/>
      <c r="KVU889" s="122"/>
      <c r="KVV889" s="122"/>
      <c r="KVW889" s="122"/>
      <c r="KVX889" s="122"/>
      <c r="KVY889" s="122"/>
      <c r="KVZ889" s="122"/>
      <c r="KWA889" s="122"/>
      <c r="KWB889" s="122"/>
      <c r="KWC889" s="122"/>
      <c r="KWD889" s="122"/>
      <c r="KWE889" s="122"/>
      <c r="KWF889" s="122"/>
      <c r="KWG889" s="122"/>
      <c r="KWH889" s="122"/>
      <c r="KWI889" s="122"/>
      <c r="KWJ889" s="122"/>
      <c r="KWK889" s="122"/>
      <c r="KWL889" s="122"/>
      <c r="KWM889" s="122"/>
      <c r="KWN889" s="122"/>
      <c r="KWO889" s="122"/>
      <c r="KWP889" s="122"/>
      <c r="KWQ889" s="122"/>
      <c r="KWR889" s="122"/>
      <c r="KWS889" s="122"/>
      <c r="KWT889" s="122"/>
      <c r="KWU889" s="122"/>
      <c r="KWV889" s="122"/>
      <c r="KWW889" s="122"/>
      <c r="KWX889" s="122"/>
      <c r="KWY889" s="122"/>
      <c r="KWZ889" s="122"/>
      <c r="KXA889" s="122"/>
      <c r="KXB889" s="122"/>
      <c r="KXC889" s="122"/>
      <c r="KXD889" s="122"/>
      <c r="KXE889" s="122"/>
      <c r="KXF889" s="122"/>
      <c r="KXG889" s="122"/>
      <c r="KXH889" s="122"/>
      <c r="KXI889" s="122"/>
      <c r="KXJ889" s="122"/>
      <c r="KXK889" s="122"/>
      <c r="KXL889" s="122"/>
      <c r="KXM889" s="122"/>
      <c r="KXN889" s="122"/>
      <c r="KXO889" s="122"/>
      <c r="KXP889" s="122"/>
      <c r="KXQ889" s="122"/>
      <c r="KXR889" s="122"/>
      <c r="KXS889" s="122"/>
      <c r="KXT889" s="122"/>
      <c r="KXU889" s="122"/>
      <c r="KXV889" s="122"/>
      <c r="KXW889" s="122"/>
      <c r="KXX889" s="122"/>
      <c r="KXY889" s="122"/>
      <c r="KXZ889" s="122"/>
      <c r="KYA889" s="122"/>
      <c r="KYB889" s="122"/>
      <c r="KYC889" s="122"/>
      <c r="KYD889" s="122"/>
      <c r="KYE889" s="122"/>
      <c r="KYF889" s="122"/>
      <c r="KYG889" s="122"/>
      <c r="KYH889" s="122"/>
      <c r="KYI889" s="122"/>
      <c r="KYJ889" s="122"/>
      <c r="KYK889" s="122"/>
      <c r="KYL889" s="122"/>
      <c r="KYM889" s="122"/>
      <c r="KYN889" s="122"/>
      <c r="KYO889" s="122"/>
      <c r="KYP889" s="122"/>
      <c r="KYQ889" s="122"/>
      <c r="KYR889" s="122"/>
      <c r="KYS889" s="122"/>
      <c r="KYT889" s="122"/>
      <c r="KYU889" s="122"/>
      <c r="KYV889" s="122"/>
      <c r="KYW889" s="122"/>
      <c r="KYX889" s="122"/>
      <c r="KYY889" s="122"/>
      <c r="KYZ889" s="122"/>
      <c r="KZA889" s="122"/>
      <c r="KZB889" s="122"/>
      <c r="KZC889" s="122"/>
      <c r="KZD889" s="122"/>
      <c r="KZE889" s="122"/>
      <c r="KZF889" s="122"/>
      <c r="KZG889" s="122"/>
      <c r="KZH889" s="122"/>
      <c r="KZI889" s="122"/>
      <c r="KZJ889" s="122"/>
      <c r="KZK889" s="122"/>
      <c r="KZL889" s="122"/>
      <c r="KZM889" s="122"/>
      <c r="KZN889" s="122"/>
      <c r="KZO889" s="122"/>
      <c r="KZP889" s="122"/>
      <c r="KZQ889" s="122"/>
      <c r="KZR889" s="122"/>
      <c r="KZS889" s="122"/>
      <c r="KZT889" s="122"/>
      <c r="KZU889" s="122"/>
      <c r="KZV889" s="122"/>
      <c r="KZW889" s="122"/>
      <c r="KZX889" s="122"/>
      <c r="KZY889" s="122"/>
      <c r="KZZ889" s="122"/>
      <c r="LAA889" s="122"/>
      <c r="LAB889" s="122"/>
      <c r="LAC889" s="122"/>
      <c r="LAD889" s="122"/>
      <c r="LAE889" s="122"/>
      <c r="LAF889" s="122"/>
      <c r="LAG889" s="122"/>
      <c r="LAH889" s="122"/>
      <c r="LAI889" s="122"/>
      <c r="LAJ889" s="122"/>
      <c r="LAK889" s="122"/>
      <c r="LAL889" s="122"/>
      <c r="LAM889" s="122"/>
      <c r="LAN889" s="122"/>
      <c r="LAO889" s="122"/>
      <c r="LAP889" s="122"/>
      <c r="LAQ889" s="122"/>
      <c r="LAR889" s="122"/>
      <c r="LAS889" s="122"/>
      <c r="LAT889" s="122"/>
      <c r="LAU889" s="122"/>
      <c r="LAV889" s="122"/>
      <c r="LAW889" s="122"/>
      <c r="LAX889" s="122"/>
      <c r="LAY889" s="122"/>
      <c r="LAZ889" s="122"/>
      <c r="LBA889" s="122"/>
      <c r="LBB889" s="122"/>
      <c r="LBC889" s="122"/>
      <c r="LBD889" s="122"/>
      <c r="LBE889" s="122"/>
      <c r="LBF889" s="122"/>
      <c r="LBG889" s="122"/>
      <c r="LBH889" s="122"/>
      <c r="LBI889" s="122"/>
      <c r="LBJ889" s="122"/>
      <c r="LBK889" s="122"/>
      <c r="LBL889" s="122"/>
      <c r="LBM889" s="122"/>
      <c r="LBN889" s="122"/>
      <c r="LBO889" s="122"/>
      <c r="LBP889" s="122"/>
      <c r="LBQ889" s="122"/>
      <c r="LBR889" s="122"/>
      <c r="LBS889" s="122"/>
      <c r="LBT889" s="122"/>
      <c r="LBU889" s="122"/>
      <c r="LBV889" s="122"/>
      <c r="LBW889" s="122"/>
      <c r="LBX889" s="122"/>
      <c r="LBY889" s="122"/>
      <c r="LBZ889" s="122"/>
      <c r="LCA889" s="122"/>
      <c r="LCB889" s="122"/>
      <c r="LCC889" s="122"/>
      <c r="LCD889" s="122"/>
      <c r="LCE889" s="122"/>
      <c r="LCF889" s="122"/>
      <c r="LCG889" s="122"/>
      <c r="LCH889" s="122"/>
      <c r="LCI889" s="122"/>
      <c r="LCJ889" s="122"/>
      <c r="LCK889" s="122"/>
      <c r="LCL889" s="122"/>
      <c r="LCM889" s="122"/>
      <c r="LCN889" s="122"/>
      <c r="LCO889" s="122"/>
      <c r="LCP889" s="122"/>
      <c r="LCQ889" s="122"/>
      <c r="LCR889" s="122"/>
      <c r="LCS889" s="122"/>
      <c r="LCT889" s="122"/>
      <c r="LCU889" s="122"/>
      <c r="LCV889" s="122"/>
      <c r="LCW889" s="122"/>
      <c r="LCX889" s="122"/>
      <c r="LCY889" s="122"/>
      <c r="LCZ889" s="122"/>
      <c r="LDA889" s="122"/>
      <c r="LDB889" s="122"/>
      <c r="LDC889" s="122"/>
      <c r="LDD889" s="122"/>
      <c r="LDE889" s="122"/>
      <c r="LDF889" s="122"/>
      <c r="LDG889" s="122"/>
      <c r="LDH889" s="122"/>
      <c r="LDI889" s="122"/>
      <c r="LDJ889" s="122"/>
      <c r="LDK889" s="122"/>
      <c r="LDL889" s="122"/>
      <c r="LDM889" s="122"/>
      <c r="LDN889" s="122"/>
      <c r="LDO889" s="122"/>
      <c r="LDP889" s="122"/>
      <c r="LDQ889" s="122"/>
      <c r="LDR889" s="122"/>
      <c r="LDS889" s="122"/>
      <c r="LDT889" s="122"/>
      <c r="LDU889" s="122"/>
      <c r="LDV889" s="122"/>
      <c r="LDW889" s="122"/>
      <c r="LDX889" s="122"/>
      <c r="LDY889" s="122"/>
      <c r="LDZ889" s="122"/>
      <c r="LEA889" s="122"/>
      <c r="LEB889" s="122"/>
      <c r="LEC889" s="122"/>
      <c r="LED889" s="122"/>
      <c r="LEE889" s="122"/>
      <c r="LEF889" s="122"/>
      <c r="LEG889" s="122"/>
      <c r="LEH889" s="122"/>
      <c r="LEI889" s="122"/>
      <c r="LEJ889" s="122"/>
      <c r="LEK889" s="122"/>
      <c r="LEL889" s="122"/>
      <c r="LEM889" s="122"/>
      <c r="LEN889" s="122"/>
      <c r="LEO889" s="122"/>
      <c r="LEP889" s="122"/>
      <c r="LEQ889" s="122"/>
      <c r="LER889" s="122"/>
      <c r="LES889" s="122"/>
      <c r="LET889" s="122"/>
      <c r="LEU889" s="122"/>
      <c r="LEV889" s="122"/>
      <c r="LEW889" s="122"/>
      <c r="LEX889" s="122"/>
      <c r="LEY889" s="122"/>
      <c r="LEZ889" s="122"/>
      <c r="LFA889" s="122"/>
      <c r="LFB889" s="122"/>
      <c r="LFC889" s="122"/>
      <c r="LFD889" s="122"/>
      <c r="LFE889" s="122"/>
      <c r="LFF889" s="122"/>
      <c r="LFG889" s="122"/>
      <c r="LFH889" s="122"/>
      <c r="LFI889" s="122"/>
      <c r="LFJ889" s="122"/>
      <c r="LFK889" s="122"/>
      <c r="LFL889" s="122"/>
      <c r="LFM889" s="122"/>
      <c r="LFN889" s="122"/>
      <c r="LFO889" s="122"/>
      <c r="LFP889" s="122"/>
      <c r="LFQ889" s="122"/>
      <c r="LFR889" s="122"/>
      <c r="LFS889" s="122"/>
      <c r="LFT889" s="122"/>
      <c r="LFU889" s="122"/>
      <c r="LFV889" s="122"/>
      <c r="LFW889" s="122"/>
      <c r="LFX889" s="122"/>
      <c r="LFY889" s="122"/>
      <c r="LFZ889" s="122"/>
      <c r="LGA889" s="122"/>
      <c r="LGB889" s="122"/>
      <c r="LGC889" s="122"/>
      <c r="LGD889" s="122"/>
      <c r="LGE889" s="122"/>
      <c r="LGF889" s="122"/>
      <c r="LGG889" s="122"/>
      <c r="LGH889" s="122"/>
      <c r="LGI889" s="122"/>
      <c r="LGJ889" s="122"/>
      <c r="LGK889" s="122"/>
      <c r="LGL889" s="122"/>
      <c r="LGM889" s="122"/>
      <c r="LGN889" s="122"/>
      <c r="LGO889" s="122"/>
      <c r="LGP889" s="122"/>
      <c r="LGQ889" s="122"/>
      <c r="LGR889" s="122"/>
      <c r="LGS889" s="122"/>
      <c r="LGT889" s="122"/>
      <c r="LGU889" s="122"/>
      <c r="LGV889" s="122"/>
      <c r="LGW889" s="122"/>
      <c r="LGX889" s="122"/>
      <c r="LGY889" s="122"/>
      <c r="LGZ889" s="122"/>
      <c r="LHA889" s="122"/>
      <c r="LHB889" s="122"/>
      <c r="LHC889" s="122"/>
      <c r="LHD889" s="122"/>
      <c r="LHE889" s="122"/>
      <c r="LHF889" s="122"/>
      <c r="LHG889" s="122"/>
      <c r="LHH889" s="122"/>
      <c r="LHI889" s="122"/>
      <c r="LHJ889" s="122"/>
      <c r="LHK889" s="122"/>
      <c r="LHL889" s="122"/>
      <c r="LHM889" s="122"/>
      <c r="LHN889" s="122"/>
      <c r="LHO889" s="122"/>
      <c r="LHP889" s="122"/>
      <c r="LHQ889" s="122"/>
      <c r="LHR889" s="122"/>
      <c r="LHS889" s="122"/>
      <c r="LHT889" s="122"/>
      <c r="LHU889" s="122"/>
      <c r="LHV889" s="122"/>
      <c r="LHW889" s="122"/>
      <c r="LHX889" s="122"/>
      <c r="LHY889" s="122"/>
      <c r="LHZ889" s="122"/>
      <c r="LIA889" s="122"/>
      <c r="LIB889" s="122"/>
      <c r="LIC889" s="122"/>
      <c r="LID889" s="122"/>
      <c r="LIE889" s="122"/>
      <c r="LIF889" s="122"/>
      <c r="LIG889" s="122"/>
      <c r="LIH889" s="122"/>
      <c r="LII889" s="122"/>
      <c r="LIJ889" s="122"/>
      <c r="LIK889" s="122"/>
      <c r="LIL889" s="122"/>
      <c r="LIM889" s="122"/>
      <c r="LIN889" s="122"/>
      <c r="LIO889" s="122"/>
      <c r="LIP889" s="122"/>
      <c r="LIQ889" s="122"/>
      <c r="LIR889" s="122"/>
      <c r="LIS889" s="122"/>
      <c r="LIT889" s="122"/>
      <c r="LIU889" s="122"/>
      <c r="LIV889" s="122"/>
      <c r="LIW889" s="122"/>
      <c r="LIX889" s="122"/>
      <c r="LIY889" s="122"/>
      <c r="LIZ889" s="122"/>
      <c r="LJA889" s="122"/>
      <c r="LJB889" s="122"/>
      <c r="LJC889" s="122"/>
      <c r="LJD889" s="122"/>
      <c r="LJE889" s="122"/>
      <c r="LJF889" s="122"/>
      <c r="LJG889" s="122"/>
      <c r="LJH889" s="122"/>
      <c r="LJI889" s="122"/>
      <c r="LJJ889" s="122"/>
      <c r="LJK889" s="122"/>
      <c r="LJL889" s="122"/>
      <c r="LJM889" s="122"/>
      <c r="LJN889" s="122"/>
      <c r="LJO889" s="122"/>
      <c r="LJP889" s="122"/>
      <c r="LJQ889" s="122"/>
      <c r="LJR889" s="122"/>
      <c r="LJS889" s="122"/>
      <c r="LJT889" s="122"/>
      <c r="LJU889" s="122"/>
      <c r="LJV889" s="122"/>
      <c r="LJW889" s="122"/>
      <c r="LJX889" s="122"/>
      <c r="LJY889" s="122"/>
      <c r="LJZ889" s="122"/>
      <c r="LKA889" s="122"/>
      <c r="LKB889" s="122"/>
      <c r="LKC889" s="122"/>
      <c r="LKD889" s="122"/>
      <c r="LKE889" s="122"/>
      <c r="LKF889" s="122"/>
      <c r="LKG889" s="122"/>
      <c r="LKH889" s="122"/>
      <c r="LKI889" s="122"/>
      <c r="LKJ889" s="122"/>
      <c r="LKK889" s="122"/>
      <c r="LKL889" s="122"/>
      <c r="LKM889" s="122"/>
      <c r="LKN889" s="122"/>
      <c r="LKO889" s="122"/>
      <c r="LKP889" s="122"/>
      <c r="LKQ889" s="122"/>
      <c r="LKR889" s="122"/>
      <c r="LKS889" s="122"/>
      <c r="LKT889" s="122"/>
      <c r="LKU889" s="122"/>
      <c r="LKV889" s="122"/>
      <c r="LKW889" s="122"/>
      <c r="LKX889" s="122"/>
      <c r="LKY889" s="122"/>
      <c r="LKZ889" s="122"/>
      <c r="LLA889" s="122"/>
      <c r="LLB889" s="122"/>
      <c r="LLC889" s="122"/>
      <c r="LLD889" s="122"/>
      <c r="LLE889" s="122"/>
      <c r="LLF889" s="122"/>
      <c r="LLG889" s="122"/>
      <c r="LLH889" s="122"/>
      <c r="LLI889" s="122"/>
      <c r="LLJ889" s="122"/>
      <c r="LLK889" s="122"/>
      <c r="LLL889" s="122"/>
      <c r="LLM889" s="122"/>
      <c r="LLN889" s="122"/>
      <c r="LLO889" s="122"/>
      <c r="LLP889" s="122"/>
      <c r="LLQ889" s="122"/>
      <c r="LLR889" s="122"/>
      <c r="LLS889" s="122"/>
      <c r="LLT889" s="122"/>
      <c r="LLU889" s="122"/>
      <c r="LLV889" s="122"/>
      <c r="LLW889" s="122"/>
      <c r="LLX889" s="122"/>
      <c r="LLY889" s="122"/>
      <c r="LLZ889" s="122"/>
      <c r="LMA889" s="122"/>
      <c r="LMB889" s="122"/>
      <c r="LMC889" s="122"/>
      <c r="LMD889" s="122"/>
      <c r="LME889" s="122"/>
      <c r="LMF889" s="122"/>
      <c r="LMG889" s="122"/>
      <c r="LMH889" s="122"/>
      <c r="LMI889" s="122"/>
      <c r="LMJ889" s="122"/>
      <c r="LMK889" s="122"/>
      <c r="LML889" s="122"/>
      <c r="LMM889" s="122"/>
      <c r="LMN889" s="122"/>
      <c r="LMO889" s="122"/>
      <c r="LMP889" s="122"/>
      <c r="LMQ889" s="122"/>
      <c r="LMR889" s="122"/>
      <c r="LMS889" s="122"/>
      <c r="LMT889" s="122"/>
      <c r="LMU889" s="122"/>
      <c r="LMV889" s="122"/>
      <c r="LMW889" s="122"/>
      <c r="LMX889" s="122"/>
      <c r="LMY889" s="122"/>
      <c r="LMZ889" s="122"/>
      <c r="LNA889" s="122"/>
      <c r="LNB889" s="122"/>
      <c r="LNC889" s="122"/>
      <c r="LND889" s="122"/>
      <c r="LNE889" s="122"/>
      <c r="LNF889" s="122"/>
      <c r="LNG889" s="122"/>
      <c r="LNH889" s="122"/>
      <c r="LNI889" s="122"/>
      <c r="LNJ889" s="122"/>
      <c r="LNK889" s="122"/>
      <c r="LNL889" s="122"/>
      <c r="LNM889" s="122"/>
      <c r="LNN889" s="122"/>
      <c r="LNO889" s="122"/>
      <c r="LNP889" s="122"/>
      <c r="LNQ889" s="122"/>
      <c r="LNR889" s="122"/>
      <c r="LNS889" s="122"/>
      <c r="LNT889" s="122"/>
      <c r="LNU889" s="122"/>
      <c r="LNV889" s="122"/>
      <c r="LNW889" s="122"/>
      <c r="LNX889" s="122"/>
      <c r="LNY889" s="122"/>
      <c r="LNZ889" s="122"/>
      <c r="LOA889" s="122"/>
      <c r="LOB889" s="122"/>
      <c r="LOC889" s="122"/>
      <c r="LOD889" s="122"/>
      <c r="LOE889" s="122"/>
      <c r="LOF889" s="122"/>
      <c r="LOG889" s="122"/>
      <c r="LOH889" s="122"/>
      <c r="LOI889" s="122"/>
      <c r="LOJ889" s="122"/>
      <c r="LOK889" s="122"/>
      <c r="LOL889" s="122"/>
      <c r="LOM889" s="122"/>
      <c r="LON889" s="122"/>
      <c r="LOO889" s="122"/>
      <c r="LOP889" s="122"/>
      <c r="LOQ889" s="122"/>
      <c r="LOR889" s="122"/>
      <c r="LOS889" s="122"/>
      <c r="LOT889" s="122"/>
      <c r="LOU889" s="122"/>
      <c r="LOV889" s="122"/>
      <c r="LOW889" s="122"/>
      <c r="LOX889" s="122"/>
      <c r="LOY889" s="122"/>
      <c r="LOZ889" s="122"/>
      <c r="LPA889" s="122"/>
      <c r="LPB889" s="122"/>
      <c r="LPC889" s="122"/>
      <c r="LPD889" s="122"/>
      <c r="LPE889" s="122"/>
      <c r="LPF889" s="122"/>
      <c r="LPG889" s="122"/>
      <c r="LPH889" s="122"/>
      <c r="LPI889" s="122"/>
      <c r="LPJ889" s="122"/>
      <c r="LPK889" s="122"/>
      <c r="LPL889" s="122"/>
      <c r="LPM889" s="122"/>
      <c r="LPN889" s="122"/>
      <c r="LPO889" s="122"/>
      <c r="LPP889" s="122"/>
      <c r="LPQ889" s="122"/>
      <c r="LPR889" s="122"/>
      <c r="LPS889" s="122"/>
      <c r="LPT889" s="122"/>
      <c r="LPU889" s="122"/>
      <c r="LPV889" s="122"/>
      <c r="LPW889" s="122"/>
      <c r="LPX889" s="122"/>
      <c r="LPY889" s="122"/>
      <c r="LPZ889" s="122"/>
      <c r="LQA889" s="122"/>
      <c r="LQB889" s="122"/>
      <c r="LQC889" s="122"/>
      <c r="LQD889" s="122"/>
      <c r="LQE889" s="122"/>
      <c r="LQF889" s="122"/>
      <c r="LQG889" s="122"/>
      <c r="LQH889" s="122"/>
      <c r="LQI889" s="122"/>
      <c r="LQJ889" s="122"/>
      <c r="LQK889" s="122"/>
      <c r="LQL889" s="122"/>
      <c r="LQM889" s="122"/>
      <c r="LQN889" s="122"/>
      <c r="LQO889" s="122"/>
      <c r="LQP889" s="122"/>
      <c r="LQQ889" s="122"/>
      <c r="LQR889" s="122"/>
      <c r="LQS889" s="122"/>
      <c r="LQT889" s="122"/>
      <c r="LQU889" s="122"/>
      <c r="LQV889" s="122"/>
      <c r="LQW889" s="122"/>
      <c r="LQX889" s="122"/>
      <c r="LQY889" s="122"/>
      <c r="LQZ889" s="122"/>
      <c r="LRA889" s="122"/>
      <c r="LRB889" s="122"/>
      <c r="LRC889" s="122"/>
      <c r="LRD889" s="122"/>
      <c r="LRE889" s="122"/>
      <c r="LRF889" s="122"/>
      <c r="LRG889" s="122"/>
      <c r="LRH889" s="122"/>
      <c r="LRI889" s="122"/>
      <c r="LRJ889" s="122"/>
      <c r="LRK889" s="122"/>
      <c r="LRL889" s="122"/>
      <c r="LRM889" s="122"/>
      <c r="LRN889" s="122"/>
      <c r="LRO889" s="122"/>
      <c r="LRP889" s="122"/>
      <c r="LRQ889" s="122"/>
      <c r="LRR889" s="122"/>
      <c r="LRS889" s="122"/>
      <c r="LRT889" s="122"/>
      <c r="LRU889" s="122"/>
      <c r="LRV889" s="122"/>
      <c r="LRW889" s="122"/>
      <c r="LRX889" s="122"/>
      <c r="LRY889" s="122"/>
      <c r="LRZ889" s="122"/>
      <c r="LSA889" s="122"/>
      <c r="LSB889" s="122"/>
      <c r="LSC889" s="122"/>
      <c r="LSD889" s="122"/>
      <c r="LSE889" s="122"/>
      <c r="LSF889" s="122"/>
      <c r="LSG889" s="122"/>
      <c r="LSH889" s="122"/>
      <c r="LSI889" s="122"/>
      <c r="LSJ889" s="122"/>
      <c r="LSK889" s="122"/>
      <c r="LSL889" s="122"/>
      <c r="LSM889" s="122"/>
      <c r="LSN889" s="122"/>
      <c r="LSO889" s="122"/>
      <c r="LSP889" s="122"/>
      <c r="LSQ889" s="122"/>
      <c r="LSR889" s="122"/>
      <c r="LSS889" s="122"/>
      <c r="LST889" s="122"/>
      <c r="LSU889" s="122"/>
      <c r="LSV889" s="122"/>
      <c r="LSW889" s="122"/>
      <c r="LSX889" s="122"/>
      <c r="LSY889" s="122"/>
      <c r="LSZ889" s="122"/>
      <c r="LTA889" s="122"/>
      <c r="LTB889" s="122"/>
      <c r="LTC889" s="122"/>
      <c r="LTD889" s="122"/>
      <c r="LTE889" s="122"/>
      <c r="LTF889" s="122"/>
      <c r="LTG889" s="122"/>
      <c r="LTH889" s="122"/>
      <c r="LTI889" s="122"/>
      <c r="LTJ889" s="122"/>
      <c r="LTK889" s="122"/>
      <c r="LTL889" s="122"/>
      <c r="LTM889" s="122"/>
      <c r="LTN889" s="122"/>
      <c r="LTO889" s="122"/>
      <c r="LTP889" s="122"/>
      <c r="LTQ889" s="122"/>
      <c r="LTR889" s="122"/>
      <c r="LTS889" s="122"/>
      <c r="LTT889" s="122"/>
      <c r="LTU889" s="122"/>
      <c r="LTV889" s="122"/>
      <c r="LTW889" s="122"/>
      <c r="LTX889" s="122"/>
      <c r="LTY889" s="122"/>
      <c r="LTZ889" s="122"/>
      <c r="LUA889" s="122"/>
      <c r="LUB889" s="122"/>
      <c r="LUC889" s="122"/>
      <c r="LUD889" s="122"/>
      <c r="LUE889" s="122"/>
      <c r="LUF889" s="122"/>
      <c r="LUG889" s="122"/>
      <c r="LUH889" s="122"/>
      <c r="LUI889" s="122"/>
      <c r="LUJ889" s="122"/>
      <c r="LUK889" s="122"/>
      <c r="LUL889" s="122"/>
      <c r="LUM889" s="122"/>
      <c r="LUN889" s="122"/>
      <c r="LUO889" s="122"/>
      <c r="LUP889" s="122"/>
      <c r="LUQ889" s="122"/>
      <c r="LUR889" s="122"/>
      <c r="LUS889" s="122"/>
      <c r="LUT889" s="122"/>
      <c r="LUU889" s="122"/>
      <c r="LUV889" s="122"/>
      <c r="LUW889" s="122"/>
      <c r="LUX889" s="122"/>
      <c r="LUY889" s="122"/>
      <c r="LUZ889" s="122"/>
      <c r="LVA889" s="122"/>
      <c r="LVB889" s="122"/>
      <c r="LVC889" s="122"/>
      <c r="LVD889" s="122"/>
      <c r="LVE889" s="122"/>
      <c r="LVF889" s="122"/>
      <c r="LVG889" s="122"/>
      <c r="LVH889" s="122"/>
      <c r="LVI889" s="122"/>
      <c r="LVJ889" s="122"/>
      <c r="LVK889" s="122"/>
      <c r="LVL889" s="122"/>
      <c r="LVM889" s="122"/>
      <c r="LVN889" s="122"/>
      <c r="LVO889" s="122"/>
      <c r="LVP889" s="122"/>
      <c r="LVQ889" s="122"/>
      <c r="LVR889" s="122"/>
      <c r="LVS889" s="122"/>
      <c r="LVT889" s="122"/>
      <c r="LVU889" s="122"/>
      <c r="LVV889" s="122"/>
      <c r="LVW889" s="122"/>
      <c r="LVX889" s="122"/>
      <c r="LVY889" s="122"/>
      <c r="LVZ889" s="122"/>
      <c r="LWA889" s="122"/>
      <c r="LWB889" s="122"/>
      <c r="LWC889" s="122"/>
      <c r="LWD889" s="122"/>
      <c r="LWE889" s="122"/>
      <c r="LWF889" s="122"/>
      <c r="LWG889" s="122"/>
      <c r="LWH889" s="122"/>
      <c r="LWI889" s="122"/>
      <c r="LWJ889" s="122"/>
      <c r="LWK889" s="122"/>
      <c r="LWL889" s="122"/>
      <c r="LWM889" s="122"/>
      <c r="LWN889" s="122"/>
      <c r="LWO889" s="122"/>
      <c r="LWP889" s="122"/>
      <c r="LWQ889" s="122"/>
      <c r="LWR889" s="122"/>
      <c r="LWS889" s="122"/>
      <c r="LWT889" s="122"/>
      <c r="LWU889" s="122"/>
      <c r="LWV889" s="122"/>
      <c r="LWW889" s="122"/>
      <c r="LWX889" s="122"/>
      <c r="LWY889" s="122"/>
      <c r="LWZ889" s="122"/>
      <c r="LXA889" s="122"/>
      <c r="LXB889" s="122"/>
      <c r="LXC889" s="122"/>
      <c r="LXD889" s="122"/>
      <c r="LXE889" s="122"/>
      <c r="LXF889" s="122"/>
      <c r="LXG889" s="122"/>
      <c r="LXH889" s="122"/>
      <c r="LXI889" s="122"/>
      <c r="LXJ889" s="122"/>
      <c r="LXK889" s="122"/>
      <c r="LXL889" s="122"/>
      <c r="LXM889" s="122"/>
      <c r="LXN889" s="122"/>
      <c r="LXO889" s="122"/>
      <c r="LXP889" s="122"/>
      <c r="LXQ889" s="122"/>
      <c r="LXR889" s="122"/>
      <c r="LXS889" s="122"/>
      <c r="LXT889" s="122"/>
      <c r="LXU889" s="122"/>
      <c r="LXV889" s="122"/>
      <c r="LXW889" s="122"/>
      <c r="LXX889" s="122"/>
      <c r="LXY889" s="122"/>
      <c r="LXZ889" s="122"/>
      <c r="LYA889" s="122"/>
      <c r="LYB889" s="122"/>
      <c r="LYC889" s="122"/>
      <c r="LYD889" s="122"/>
      <c r="LYE889" s="122"/>
      <c r="LYF889" s="122"/>
      <c r="LYG889" s="122"/>
      <c r="LYH889" s="122"/>
      <c r="LYI889" s="122"/>
      <c r="LYJ889" s="122"/>
      <c r="LYK889" s="122"/>
      <c r="LYL889" s="122"/>
      <c r="LYM889" s="122"/>
      <c r="LYN889" s="122"/>
      <c r="LYO889" s="122"/>
      <c r="LYP889" s="122"/>
      <c r="LYQ889" s="122"/>
      <c r="LYR889" s="122"/>
      <c r="LYS889" s="122"/>
      <c r="LYT889" s="122"/>
      <c r="LYU889" s="122"/>
      <c r="LYV889" s="122"/>
      <c r="LYW889" s="122"/>
      <c r="LYX889" s="122"/>
      <c r="LYY889" s="122"/>
      <c r="LYZ889" s="122"/>
      <c r="LZA889" s="122"/>
      <c r="LZB889" s="122"/>
      <c r="LZC889" s="122"/>
      <c r="LZD889" s="122"/>
      <c r="LZE889" s="122"/>
      <c r="LZF889" s="122"/>
      <c r="LZG889" s="122"/>
      <c r="LZH889" s="122"/>
      <c r="LZI889" s="122"/>
      <c r="LZJ889" s="122"/>
      <c r="LZK889" s="122"/>
      <c r="LZL889" s="122"/>
      <c r="LZM889" s="122"/>
      <c r="LZN889" s="122"/>
      <c r="LZO889" s="122"/>
      <c r="LZP889" s="122"/>
      <c r="LZQ889" s="122"/>
      <c r="LZR889" s="122"/>
      <c r="LZS889" s="122"/>
      <c r="LZT889" s="122"/>
      <c r="LZU889" s="122"/>
      <c r="LZV889" s="122"/>
      <c r="LZW889" s="122"/>
      <c r="LZX889" s="122"/>
      <c r="LZY889" s="122"/>
      <c r="LZZ889" s="122"/>
      <c r="MAA889" s="122"/>
      <c r="MAB889" s="122"/>
      <c r="MAC889" s="122"/>
      <c r="MAD889" s="122"/>
      <c r="MAE889" s="122"/>
      <c r="MAF889" s="122"/>
      <c r="MAG889" s="122"/>
      <c r="MAH889" s="122"/>
      <c r="MAI889" s="122"/>
      <c r="MAJ889" s="122"/>
      <c r="MAK889" s="122"/>
      <c r="MAL889" s="122"/>
      <c r="MAM889" s="122"/>
      <c r="MAN889" s="122"/>
      <c r="MAO889" s="122"/>
      <c r="MAP889" s="122"/>
      <c r="MAQ889" s="122"/>
      <c r="MAR889" s="122"/>
      <c r="MAS889" s="122"/>
      <c r="MAT889" s="122"/>
      <c r="MAU889" s="122"/>
      <c r="MAV889" s="122"/>
      <c r="MAW889" s="122"/>
      <c r="MAX889" s="122"/>
      <c r="MAY889" s="122"/>
      <c r="MAZ889" s="122"/>
      <c r="MBA889" s="122"/>
      <c r="MBB889" s="122"/>
      <c r="MBC889" s="122"/>
      <c r="MBD889" s="122"/>
      <c r="MBE889" s="122"/>
      <c r="MBF889" s="122"/>
      <c r="MBG889" s="122"/>
      <c r="MBH889" s="122"/>
      <c r="MBI889" s="122"/>
      <c r="MBJ889" s="122"/>
      <c r="MBK889" s="122"/>
      <c r="MBL889" s="122"/>
      <c r="MBM889" s="122"/>
      <c r="MBN889" s="122"/>
      <c r="MBO889" s="122"/>
      <c r="MBP889" s="122"/>
      <c r="MBQ889" s="122"/>
      <c r="MBR889" s="122"/>
      <c r="MBS889" s="122"/>
      <c r="MBT889" s="122"/>
      <c r="MBU889" s="122"/>
      <c r="MBV889" s="122"/>
      <c r="MBW889" s="122"/>
      <c r="MBX889" s="122"/>
      <c r="MBY889" s="122"/>
      <c r="MBZ889" s="122"/>
      <c r="MCA889" s="122"/>
      <c r="MCB889" s="122"/>
      <c r="MCC889" s="122"/>
      <c r="MCD889" s="122"/>
      <c r="MCE889" s="122"/>
      <c r="MCF889" s="122"/>
      <c r="MCG889" s="122"/>
      <c r="MCH889" s="122"/>
      <c r="MCI889" s="122"/>
      <c r="MCJ889" s="122"/>
      <c r="MCK889" s="122"/>
      <c r="MCL889" s="122"/>
      <c r="MCM889" s="122"/>
      <c r="MCN889" s="122"/>
      <c r="MCO889" s="122"/>
      <c r="MCP889" s="122"/>
      <c r="MCQ889" s="122"/>
      <c r="MCR889" s="122"/>
      <c r="MCS889" s="122"/>
      <c r="MCT889" s="122"/>
      <c r="MCU889" s="122"/>
      <c r="MCV889" s="122"/>
      <c r="MCW889" s="122"/>
      <c r="MCX889" s="122"/>
      <c r="MCY889" s="122"/>
      <c r="MCZ889" s="122"/>
      <c r="MDA889" s="122"/>
      <c r="MDB889" s="122"/>
      <c r="MDC889" s="122"/>
      <c r="MDD889" s="122"/>
      <c r="MDE889" s="122"/>
      <c r="MDF889" s="122"/>
      <c r="MDG889" s="122"/>
      <c r="MDH889" s="122"/>
      <c r="MDI889" s="122"/>
      <c r="MDJ889" s="122"/>
      <c r="MDK889" s="122"/>
      <c r="MDL889" s="122"/>
      <c r="MDM889" s="122"/>
      <c r="MDN889" s="122"/>
      <c r="MDO889" s="122"/>
      <c r="MDP889" s="122"/>
      <c r="MDQ889" s="122"/>
      <c r="MDR889" s="122"/>
      <c r="MDS889" s="122"/>
      <c r="MDT889" s="122"/>
      <c r="MDU889" s="122"/>
      <c r="MDV889" s="122"/>
      <c r="MDW889" s="122"/>
      <c r="MDX889" s="122"/>
      <c r="MDY889" s="122"/>
      <c r="MDZ889" s="122"/>
      <c r="MEA889" s="122"/>
      <c r="MEB889" s="122"/>
      <c r="MEC889" s="122"/>
      <c r="MED889" s="122"/>
      <c r="MEE889" s="122"/>
      <c r="MEF889" s="122"/>
      <c r="MEG889" s="122"/>
      <c r="MEH889" s="122"/>
      <c r="MEI889" s="122"/>
      <c r="MEJ889" s="122"/>
      <c r="MEK889" s="122"/>
      <c r="MEL889" s="122"/>
      <c r="MEM889" s="122"/>
      <c r="MEN889" s="122"/>
      <c r="MEO889" s="122"/>
      <c r="MEP889" s="122"/>
      <c r="MEQ889" s="122"/>
      <c r="MER889" s="122"/>
      <c r="MES889" s="122"/>
      <c r="MET889" s="122"/>
      <c r="MEU889" s="122"/>
      <c r="MEV889" s="122"/>
      <c r="MEW889" s="122"/>
      <c r="MEX889" s="122"/>
      <c r="MEY889" s="122"/>
      <c r="MEZ889" s="122"/>
      <c r="MFA889" s="122"/>
      <c r="MFB889" s="122"/>
      <c r="MFC889" s="122"/>
      <c r="MFD889" s="122"/>
      <c r="MFE889" s="122"/>
      <c r="MFF889" s="122"/>
      <c r="MFG889" s="122"/>
      <c r="MFH889" s="122"/>
      <c r="MFI889" s="122"/>
      <c r="MFJ889" s="122"/>
      <c r="MFK889" s="122"/>
      <c r="MFL889" s="122"/>
      <c r="MFM889" s="122"/>
      <c r="MFN889" s="122"/>
      <c r="MFO889" s="122"/>
      <c r="MFP889" s="122"/>
      <c r="MFQ889" s="122"/>
      <c r="MFR889" s="122"/>
      <c r="MFS889" s="122"/>
      <c r="MFT889" s="122"/>
      <c r="MFU889" s="122"/>
      <c r="MFV889" s="122"/>
      <c r="MFW889" s="122"/>
      <c r="MFX889" s="122"/>
      <c r="MFY889" s="122"/>
      <c r="MFZ889" s="122"/>
      <c r="MGA889" s="122"/>
      <c r="MGB889" s="122"/>
      <c r="MGC889" s="122"/>
      <c r="MGD889" s="122"/>
      <c r="MGE889" s="122"/>
      <c r="MGF889" s="122"/>
      <c r="MGG889" s="122"/>
      <c r="MGH889" s="122"/>
      <c r="MGI889" s="122"/>
      <c r="MGJ889" s="122"/>
      <c r="MGK889" s="122"/>
      <c r="MGL889" s="122"/>
      <c r="MGM889" s="122"/>
      <c r="MGN889" s="122"/>
      <c r="MGO889" s="122"/>
      <c r="MGP889" s="122"/>
      <c r="MGQ889" s="122"/>
      <c r="MGR889" s="122"/>
      <c r="MGS889" s="122"/>
      <c r="MGT889" s="122"/>
      <c r="MGU889" s="122"/>
      <c r="MGV889" s="122"/>
      <c r="MGW889" s="122"/>
      <c r="MGX889" s="122"/>
      <c r="MGY889" s="122"/>
      <c r="MGZ889" s="122"/>
      <c r="MHA889" s="122"/>
      <c r="MHB889" s="122"/>
      <c r="MHC889" s="122"/>
      <c r="MHD889" s="122"/>
      <c r="MHE889" s="122"/>
      <c r="MHF889" s="122"/>
      <c r="MHG889" s="122"/>
      <c r="MHH889" s="122"/>
      <c r="MHI889" s="122"/>
      <c r="MHJ889" s="122"/>
      <c r="MHK889" s="122"/>
      <c r="MHL889" s="122"/>
      <c r="MHM889" s="122"/>
      <c r="MHN889" s="122"/>
      <c r="MHO889" s="122"/>
      <c r="MHP889" s="122"/>
      <c r="MHQ889" s="122"/>
      <c r="MHR889" s="122"/>
      <c r="MHS889" s="122"/>
      <c r="MHT889" s="122"/>
      <c r="MHU889" s="122"/>
      <c r="MHV889" s="122"/>
      <c r="MHW889" s="122"/>
      <c r="MHX889" s="122"/>
      <c r="MHY889" s="122"/>
      <c r="MHZ889" s="122"/>
      <c r="MIA889" s="122"/>
      <c r="MIB889" s="122"/>
      <c r="MIC889" s="122"/>
      <c r="MID889" s="122"/>
      <c r="MIE889" s="122"/>
      <c r="MIF889" s="122"/>
      <c r="MIG889" s="122"/>
      <c r="MIH889" s="122"/>
      <c r="MII889" s="122"/>
      <c r="MIJ889" s="122"/>
      <c r="MIK889" s="122"/>
      <c r="MIL889" s="122"/>
      <c r="MIM889" s="122"/>
      <c r="MIN889" s="122"/>
      <c r="MIO889" s="122"/>
      <c r="MIP889" s="122"/>
      <c r="MIQ889" s="122"/>
      <c r="MIR889" s="122"/>
      <c r="MIS889" s="122"/>
      <c r="MIT889" s="122"/>
      <c r="MIU889" s="122"/>
      <c r="MIV889" s="122"/>
      <c r="MIW889" s="122"/>
      <c r="MIX889" s="122"/>
      <c r="MIY889" s="122"/>
      <c r="MIZ889" s="122"/>
      <c r="MJA889" s="122"/>
      <c r="MJB889" s="122"/>
      <c r="MJC889" s="122"/>
      <c r="MJD889" s="122"/>
      <c r="MJE889" s="122"/>
      <c r="MJF889" s="122"/>
      <c r="MJG889" s="122"/>
      <c r="MJH889" s="122"/>
      <c r="MJI889" s="122"/>
      <c r="MJJ889" s="122"/>
      <c r="MJK889" s="122"/>
      <c r="MJL889" s="122"/>
      <c r="MJM889" s="122"/>
      <c r="MJN889" s="122"/>
      <c r="MJO889" s="122"/>
      <c r="MJP889" s="122"/>
      <c r="MJQ889" s="122"/>
      <c r="MJR889" s="122"/>
      <c r="MJS889" s="122"/>
      <c r="MJT889" s="122"/>
      <c r="MJU889" s="122"/>
      <c r="MJV889" s="122"/>
      <c r="MJW889" s="122"/>
      <c r="MJX889" s="122"/>
      <c r="MJY889" s="122"/>
      <c r="MJZ889" s="122"/>
      <c r="MKA889" s="122"/>
      <c r="MKB889" s="122"/>
      <c r="MKC889" s="122"/>
      <c r="MKD889" s="122"/>
      <c r="MKE889" s="122"/>
      <c r="MKF889" s="122"/>
      <c r="MKG889" s="122"/>
      <c r="MKH889" s="122"/>
      <c r="MKI889" s="122"/>
      <c r="MKJ889" s="122"/>
      <c r="MKK889" s="122"/>
      <c r="MKL889" s="122"/>
      <c r="MKM889" s="122"/>
      <c r="MKN889" s="122"/>
      <c r="MKO889" s="122"/>
      <c r="MKP889" s="122"/>
      <c r="MKQ889" s="122"/>
      <c r="MKR889" s="122"/>
      <c r="MKS889" s="122"/>
      <c r="MKT889" s="122"/>
      <c r="MKU889" s="122"/>
      <c r="MKV889" s="122"/>
      <c r="MKW889" s="122"/>
      <c r="MKX889" s="122"/>
      <c r="MKY889" s="122"/>
      <c r="MKZ889" s="122"/>
      <c r="MLA889" s="122"/>
      <c r="MLB889" s="122"/>
      <c r="MLC889" s="122"/>
      <c r="MLD889" s="122"/>
      <c r="MLE889" s="122"/>
      <c r="MLF889" s="122"/>
      <c r="MLG889" s="122"/>
      <c r="MLH889" s="122"/>
      <c r="MLI889" s="122"/>
      <c r="MLJ889" s="122"/>
      <c r="MLK889" s="122"/>
      <c r="MLL889" s="122"/>
      <c r="MLM889" s="122"/>
      <c r="MLN889" s="122"/>
      <c r="MLO889" s="122"/>
      <c r="MLP889" s="122"/>
      <c r="MLQ889" s="122"/>
      <c r="MLR889" s="122"/>
      <c r="MLS889" s="122"/>
      <c r="MLT889" s="122"/>
      <c r="MLU889" s="122"/>
      <c r="MLV889" s="122"/>
      <c r="MLW889" s="122"/>
      <c r="MLX889" s="122"/>
      <c r="MLY889" s="122"/>
      <c r="MLZ889" s="122"/>
      <c r="MMA889" s="122"/>
      <c r="MMB889" s="122"/>
      <c r="MMC889" s="122"/>
      <c r="MMD889" s="122"/>
      <c r="MME889" s="122"/>
      <c r="MMF889" s="122"/>
      <c r="MMG889" s="122"/>
      <c r="MMH889" s="122"/>
      <c r="MMI889" s="122"/>
      <c r="MMJ889" s="122"/>
      <c r="MMK889" s="122"/>
      <c r="MML889" s="122"/>
      <c r="MMM889" s="122"/>
      <c r="MMN889" s="122"/>
      <c r="MMO889" s="122"/>
      <c r="MMP889" s="122"/>
      <c r="MMQ889" s="122"/>
      <c r="MMR889" s="122"/>
      <c r="MMS889" s="122"/>
      <c r="MMT889" s="122"/>
      <c r="MMU889" s="122"/>
      <c r="MMV889" s="122"/>
      <c r="MMW889" s="122"/>
      <c r="MMX889" s="122"/>
      <c r="MMY889" s="122"/>
      <c r="MMZ889" s="122"/>
      <c r="MNA889" s="122"/>
      <c r="MNB889" s="122"/>
      <c r="MNC889" s="122"/>
      <c r="MND889" s="122"/>
      <c r="MNE889" s="122"/>
      <c r="MNF889" s="122"/>
      <c r="MNG889" s="122"/>
      <c r="MNH889" s="122"/>
      <c r="MNI889" s="122"/>
      <c r="MNJ889" s="122"/>
      <c r="MNK889" s="122"/>
      <c r="MNL889" s="122"/>
      <c r="MNM889" s="122"/>
      <c r="MNN889" s="122"/>
      <c r="MNO889" s="122"/>
      <c r="MNP889" s="122"/>
      <c r="MNQ889" s="122"/>
      <c r="MNR889" s="122"/>
      <c r="MNS889" s="122"/>
      <c r="MNT889" s="122"/>
      <c r="MNU889" s="122"/>
      <c r="MNV889" s="122"/>
      <c r="MNW889" s="122"/>
      <c r="MNX889" s="122"/>
      <c r="MNY889" s="122"/>
      <c r="MNZ889" s="122"/>
      <c r="MOA889" s="122"/>
      <c r="MOB889" s="122"/>
      <c r="MOC889" s="122"/>
      <c r="MOD889" s="122"/>
      <c r="MOE889" s="122"/>
      <c r="MOF889" s="122"/>
      <c r="MOG889" s="122"/>
      <c r="MOH889" s="122"/>
      <c r="MOI889" s="122"/>
      <c r="MOJ889" s="122"/>
      <c r="MOK889" s="122"/>
      <c r="MOL889" s="122"/>
      <c r="MOM889" s="122"/>
      <c r="MON889" s="122"/>
      <c r="MOO889" s="122"/>
      <c r="MOP889" s="122"/>
      <c r="MOQ889" s="122"/>
      <c r="MOR889" s="122"/>
      <c r="MOS889" s="122"/>
      <c r="MOT889" s="122"/>
      <c r="MOU889" s="122"/>
      <c r="MOV889" s="122"/>
      <c r="MOW889" s="122"/>
      <c r="MOX889" s="122"/>
      <c r="MOY889" s="122"/>
      <c r="MOZ889" s="122"/>
      <c r="MPA889" s="122"/>
      <c r="MPB889" s="122"/>
      <c r="MPC889" s="122"/>
      <c r="MPD889" s="122"/>
      <c r="MPE889" s="122"/>
      <c r="MPF889" s="122"/>
      <c r="MPG889" s="122"/>
      <c r="MPH889" s="122"/>
      <c r="MPI889" s="122"/>
      <c r="MPJ889" s="122"/>
      <c r="MPK889" s="122"/>
      <c r="MPL889" s="122"/>
      <c r="MPM889" s="122"/>
      <c r="MPN889" s="122"/>
      <c r="MPO889" s="122"/>
      <c r="MPP889" s="122"/>
      <c r="MPQ889" s="122"/>
      <c r="MPR889" s="122"/>
      <c r="MPS889" s="122"/>
      <c r="MPT889" s="122"/>
      <c r="MPU889" s="122"/>
      <c r="MPV889" s="122"/>
      <c r="MPW889" s="122"/>
      <c r="MPX889" s="122"/>
      <c r="MPY889" s="122"/>
      <c r="MPZ889" s="122"/>
      <c r="MQA889" s="122"/>
      <c r="MQB889" s="122"/>
      <c r="MQC889" s="122"/>
      <c r="MQD889" s="122"/>
      <c r="MQE889" s="122"/>
      <c r="MQF889" s="122"/>
      <c r="MQG889" s="122"/>
      <c r="MQH889" s="122"/>
      <c r="MQI889" s="122"/>
      <c r="MQJ889" s="122"/>
      <c r="MQK889" s="122"/>
      <c r="MQL889" s="122"/>
      <c r="MQM889" s="122"/>
      <c r="MQN889" s="122"/>
      <c r="MQO889" s="122"/>
      <c r="MQP889" s="122"/>
      <c r="MQQ889" s="122"/>
      <c r="MQR889" s="122"/>
      <c r="MQS889" s="122"/>
      <c r="MQT889" s="122"/>
      <c r="MQU889" s="122"/>
      <c r="MQV889" s="122"/>
      <c r="MQW889" s="122"/>
      <c r="MQX889" s="122"/>
      <c r="MQY889" s="122"/>
      <c r="MQZ889" s="122"/>
      <c r="MRA889" s="122"/>
      <c r="MRB889" s="122"/>
      <c r="MRC889" s="122"/>
      <c r="MRD889" s="122"/>
      <c r="MRE889" s="122"/>
      <c r="MRF889" s="122"/>
      <c r="MRG889" s="122"/>
      <c r="MRH889" s="122"/>
      <c r="MRI889" s="122"/>
      <c r="MRJ889" s="122"/>
      <c r="MRK889" s="122"/>
      <c r="MRL889" s="122"/>
      <c r="MRM889" s="122"/>
      <c r="MRN889" s="122"/>
      <c r="MRO889" s="122"/>
      <c r="MRP889" s="122"/>
      <c r="MRQ889" s="122"/>
      <c r="MRR889" s="122"/>
      <c r="MRS889" s="122"/>
      <c r="MRT889" s="122"/>
      <c r="MRU889" s="122"/>
      <c r="MRV889" s="122"/>
      <c r="MRW889" s="122"/>
      <c r="MRX889" s="122"/>
      <c r="MRY889" s="122"/>
      <c r="MRZ889" s="122"/>
      <c r="MSA889" s="122"/>
      <c r="MSB889" s="122"/>
      <c r="MSC889" s="122"/>
      <c r="MSD889" s="122"/>
      <c r="MSE889" s="122"/>
      <c r="MSF889" s="122"/>
      <c r="MSG889" s="122"/>
      <c r="MSH889" s="122"/>
      <c r="MSI889" s="122"/>
      <c r="MSJ889" s="122"/>
      <c r="MSK889" s="122"/>
      <c r="MSL889" s="122"/>
      <c r="MSM889" s="122"/>
      <c r="MSN889" s="122"/>
      <c r="MSO889" s="122"/>
      <c r="MSP889" s="122"/>
      <c r="MSQ889" s="122"/>
      <c r="MSR889" s="122"/>
      <c r="MSS889" s="122"/>
      <c r="MST889" s="122"/>
      <c r="MSU889" s="122"/>
      <c r="MSV889" s="122"/>
      <c r="MSW889" s="122"/>
      <c r="MSX889" s="122"/>
      <c r="MSY889" s="122"/>
      <c r="MSZ889" s="122"/>
      <c r="MTA889" s="122"/>
      <c r="MTB889" s="122"/>
      <c r="MTC889" s="122"/>
      <c r="MTD889" s="122"/>
      <c r="MTE889" s="122"/>
      <c r="MTF889" s="122"/>
      <c r="MTG889" s="122"/>
      <c r="MTH889" s="122"/>
      <c r="MTI889" s="122"/>
      <c r="MTJ889" s="122"/>
      <c r="MTK889" s="122"/>
      <c r="MTL889" s="122"/>
      <c r="MTM889" s="122"/>
      <c r="MTN889" s="122"/>
      <c r="MTO889" s="122"/>
      <c r="MTP889" s="122"/>
      <c r="MTQ889" s="122"/>
      <c r="MTR889" s="122"/>
      <c r="MTS889" s="122"/>
      <c r="MTT889" s="122"/>
      <c r="MTU889" s="122"/>
      <c r="MTV889" s="122"/>
      <c r="MTW889" s="122"/>
      <c r="MTX889" s="122"/>
      <c r="MTY889" s="122"/>
      <c r="MTZ889" s="122"/>
      <c r="MUA889" s="122"/>
      <c r="MUB889" s="122"/>
      <c r="MUC889" s="122"/>
      <c r="MUD889" s="122"/>
      <c r="MUE889" s="122"/>
      <c r="MUF889" s="122"/>
      <c r="MUG889" s="122"/>
      <c r="MUH889" s="122"/>
      <c r="MUI889" s="122"/>
      <c r="MUJ889" s="122"/>
      <c r="MUK889" s="122"/>
      <c r="MUL889" s="122"/>
      <c r="MUM889" s="122"/>
      <c r="MUN889" s="122"/>
      <c r="MUO889" s="122"/>
      <c r="MUP889" s="122"/>
      <c r="MUQ889" s="122"/>
      <c r="MUR889" s="122"/>
      <c r="MUS889" s="122"/>
      <c r="MUT889" s="122"/>
      <c r="MUU889" s="122"/>
      <c r="MUV889" s="122"/>
      <c r="MUW889" s="122"/>
      <c r="MUX889" s="122"/>
      <c r="MUY889" s="122"/>
      <c r="MUZ889" s="122"/>
      <c r="MVA889" s="122"/>
      <c r="MVB889" s="122"/>
      <c r="MVC889" s="122"/>
      <c r="MVD889" s="122"/>
      <c r="MVE889" s="122"/>
      <c r="MVF889" s="122"/>
      <c r="MVG889" s="122"/>
      <c r="MVH889" s="122"/>
      <c r="MVI889" s="122"/>
      <c r="MVJ889" s="122"/>
      <c r="MVK889" s="122"/>
      <c r="MVL889" s="122"/>
      <c r="MVM889" s="122"/>
      <c r="MVN889" s="122"/>
      <c r="MVO889" s="122"/>
      <c r="MVP889" s="122"/>
      <c r="MVQ889" s="122"/>
      <c r="MVR889" s="122"/>
      <c r="MVS889" s="122"/>
      <c r="MVT889" s="122"/>
      <c r="MVU889" s="122"/>
      <c r="MVV889" s="122"/>
      <c r="MVW889" s="122"/>
      <c r="MVX889" s="122"/>
      <c r="MVY889" s="122"/>
      <c r="MVZ889" s="122"/>
      <c r="MWA889" s="122"/>
      <c r="MWB889" s="122"/>
      <c r="MWC889" s="122"/>
      <c r="MWD889" s="122"/>
      <c r="MWE889" s="122"/>
      <c r="MWF889" s="122"/>
      <c r="MWG889" s="122"/>
      <c r="MWH889" s="122"/>
      <c r="MWI889" s="122"/>
      <c r="MWJ889" s="122"/>
      <c r="MWK889" s="122"/>
      <c r="MWL889" s="122"/>
      <c r="MWM889" s="122"/>
      <c r="MWN889" s="122"/>
      <c r="MWO889" s="122"/>
      <c r="MWP889" s="122"/>
      <c r="MWQ889" s="122"/>
      <c r="MWR889" s="122"/>
      <c r="MWS889" s="122"/>
      <c r="MWT889" s="122"/>
      <c r="MWU889" s="122"/>
      <c r="MWV889" s="122"/>
      <c r="MWW889" s="122"/>
      <c r="MWX889" s="122"/>
      <c r="MWY889" s="122"/>
      <c r="MWZ889" s="122"/>
      <c r="MXA889" s="122"/>
      <c r="MXB889" s="122"/>
      <c r="MXC889" s="122"/>
      <c r="MXD889" s="122"/>
      <c r="MXE889" s="122"/>
      <c r="MXF889" s="122"/>
      <c r="MXG889" s="122"/>
      <c r="MXH889" s="122"/>
      <c r="MXI889" s="122"/>
      <c r="MXJ889" s="122"/>
      <c r="MXK889" s="122"/>
      <c r="MXL889" s="122"/>
      <c r="MXM889" s="122"/>
      <c r="MXN889" s="122"/>
      <c r="MXO889" s="122"/>
      <c r="MXP889" s="122"/>
      <c r="MXQ889" s="122"/>
      <c r="MXR889" s="122"/>
      <c r="MXS889" s="122"/>
      <c r="MXT889" s="122"/>
      <c r="MXU889" s="122"/>
      <c r="MXV889" s="122"/>
      <c r="MXW889" s="122"/>
      <c r="MXX889" s="122"/>
      <c r="MXY889" s="122"/>
      <c r="MXZ889" s="122"/>
      <c r="MYA889" s="122"/>
      <c r="MYB889" s="122"/>
      <c r="MYC889" s="122"/>
      <c r="MYD889" s="122"/>
      <c r="MYE889" s="122"/>
      <c r="MYF889" s="122"/>
      <c r="MYG889" s="122"/>
      <c r="MYH889" s="122"/>
      <c r="MYI889" s="122"/>
      <c r="MYJ889" s="122"/>
      <c r="MYK889" s="122"/>
      <c r="MYL889" s="122"/>
      <c r="MYM889" s="122"/>
      <c r="MYN889" s="122"/>
      <c r="MYO889" s="122"/>
      <c r="MYP889" s="122"/>
      <c r="MYQ889" s="122"/>
      <c r="MYR889" s="122"/>
      <c r="MYS889" s="122"/>
      <c r="MYT889" s="122"/>
      <c r="MYU889" s="122"/>
      <c r="MYV889" s="122"/>
      <c r="MYW889" s="122"/>
      <c r="MYX889" s="122"/>
      <c r="MYY889" s="122"/>
      <c r="MYZ889" s="122"/>
      <c r="MZA889" s="122"/>
      <c r="MZB889" s="122"/>
      <c r="MZC889" s="122"/>
      <c r="MZD889" s="122"/>
      <c r="MZE889" s="122"/>
      <c r="MZF889" s="122"/>
      <c r="MZG889" s="122"/>
      <c r="MZH889" s="122"/>
      <c r="MZI889" s="122"/>
      <c r="MZJ889" s="122"/>
      <c r="MZK889" s="122"/>
      <c r="MZL889" s="122"/>
      <c r="MZM889" s="122"/>
      <c r="MZN889" s="122"/>
      <c r="MZO889" s="122"/>
      <c r="MZP889" s="122"/>
      <c r="MZQ889" s="122"/>
      <c r="MZR889" s="122"/>
      <c r="MZS889" s="122"/>
      <c r="MZT889" s="122"/>
      <c r="MZU889" s="122"/>
      <c r="MZV889" s="122"/>
      <c r="MZW889" s="122"/>
      <c r="MZX889" s="122"/>
      <c r="MZY889" s="122"/>
      <c r="MZZ889" s="122"/>
      <c r="NAA889" s="122"/>
      <c r="NAB889" s="122"/>
      <c r="NAC889" s="122"/>
      <c r="NAD889" s="122"/>
      <c r="NAE889" s="122"/>
      <c r="NAF889" s="122"/>
      <c r="NAG889" s="122"/>
      <c r="NAH889" s="122"/>
      <c r="NAI889" s="122"/>
      <c r="NAJ889" s="122"/>
      <c r="NAK889" s="122"/>
      <c r="NAL889" s="122"/>
      <c r="NAM889" s="122"/>
      <c r="NAN889" s="122"/>
      <c r="NAO889" s="122"/>
      <c r="NAP889" s="122"/>
      <c r="NAQ889" s="122"/>
      <c r="NAR889" s="122"/>
      <c r="NAS889" s="122"/>
      <c r="NAT889" s="122"/>
      <c r="NAU889" s="122"/>
      <c r="NAV889" s="122"/>
      <c r="NAW889" s="122"/>
      <c r="NAX889" s="122"/>
      <c r="NAY889" s="122"/>
      <c r="NAZ889" s="122"/>
      <c r="NBA889" s="122"/>
      <c r="NBB889" s="122"/>
      <c r="NBC889" s="122"/>
      <c r="NBD889" s="122"/>
      <c r="NBE889" s="122"/>
      <c r="NBF889" s="122"/>
      <c r="NBG889" s="122"/>
      <c r="NBH889" s="122"/>
      <c r="NBI889" s="122"/>
      <c r="NBJ889" s="122"/>
      <c r="NBK889" s="122"/>
      <c r="NBL889" s="122"/>
      <c r="NBM889" s="122"/>
      <c r="NBN889" s="122"/>
      <c r="NBO889" s="122"/>
      <c r="NBP889" s="122"/>
      <c r="NBQ889" s="122"/>
      <c r="NBR889" s="122"/>
      <c r="NBS889" s="122"/>
      <c r="NBT889" s="122"/>
      <c r="NBU889" s="122"/>
      <c r="NBV889" s="122"/>
      <c r="NBW889" s="122"/>
      <c r="NBX889" s="122"/>
      <c r="NBY889" s="122"/>
      <c r="NBZ889" s="122"/>
      <c r="NCA889" s="122"/>
      <c r="NCB889" s="122"/>
      <c r="NCC889" s="122"/>
      <c r="NCD889" s="122"/>
      <c r="NCE889" s="122"/>
      <c r="NCF889" s="122"/>
      <c r="NCG889" s="122"/>
      <c r="NCH889" s="122"/>
      <c r="NCI889" s="122"/>
      <c r="NCJ889" s="122"/>
      <c r="NCK889" s="122"/>
      <c r="NCL889" s="122"/>
      <c r="NCM889" s="122"/>
      <c r="NCN889" s="122"/>
      <c r="NCO889" s="122"/>
      <c r="NCP889" s="122"/>
      <c r="NCQ889" s="122"/>
      <c r="NCR889" s="122"/>
      <c r="NCS889" s="122"/>
      <c r="NCT889" s="122"/>
      <c r="NCU889" s="122"/>
      <c r="NCV889" s="122"/>
      <c r="NCW889" s="122"/>
      <c r="NCX889" s="122"/>
      <c r="NCY889" s="122"/>
      <c r="NCZ889" s="122"/>
      <c r="NDA889" s="122"/>
      <c r="NDB889" s="122"/>
      <c r="NDC889" s="122"/>
      <c r="NDD889" s="122"/>
      <c r="NDE889" s="122"/>
      <c r="NDF889" s="122"/>
      <c r="NDG889" s="122"/>
      <c r="NDH889" s="122"/>
      <c r="NDI889" s="122"/>
      <c r="NDJ889" s="122"/>
      <c r="NDK889" s="122"/>
      <c r="NDL889" s="122"/>
      <c r="NDM889" s="122"/>
      <c r="NDN889" s="122"/>
      <c r="NDO889" s="122"/>
      <c r="NDP889" s="122"/>
      <c r="NDQ889" s="122"/>
      <c r="NDR889" s="122"/>
      <c r="NDS889" s="122"/>
      <c r="NDT889" s="122"/>
      <c r="NDU889" s="122"/>
      <c r="NDV889" s="122"/>
      <c r="NDW889" s="122"/>
      <c r="NDX889" s="122"/>
      <c r="NDY889" s="122"/>
      <c r="NDZ889" s="122"/>
      <c r="NEA889" s="122"/>
      <c r="NEB889" s="122"/>
      <c r="NEC889" s="122"/>
      <c r="NED889" s="122"/>
      <c r="NEE889" s="122"/>
      <c r="NEF889" s="122"/>
      <c r="NEG889" s="122"/>
      <c r="NEH889" s="122"/>
      <c r="NEI889" s="122"/>
      <c r="NEJ889" s="122"/>
      <c r="NEK889" s="122"/>
      <c r="NEL889" s="122"/>
      <c r="NEM889" s="122"/>
      <c r="NEN889" s="122"/>
      <c r="NEO889" s="122"/>
      <c r="NEP889" s="122"/>
      <c r="NEQ889" s="122"/>
      <c r="NER889" s="122"/>
      <c r="NES889" s="122"/>
      <c r="NET889" s="122"/>
      <c r="NEU889" s="122"/>
      <c r="NEV889" s="122"/>
      <c r="NEW889" s="122"/>
      <c r="NEX889" s="122"/>
      <c r="NEY889" s="122"/>
      <c r="NEZ889" s="122"/>
      <c r="NFA889" s="122"/>
      <c r="NFB889" s="122"/>
      <c r="NFC889" s="122"/>
      <c r="NFD889" s="122"/>
      <c r="NFE889" s="122"/>
      <c r="NFF889" s="122"/>
      <c r="NFG889" s="122"/>
      <c r="NFH889" s="122"/>
      <c r="NFI889" s="122"/>
      <c r="NFJ889" s="122"/>
      <c r="NFK889" s="122"/>
      <c r="NFL889" s="122"/>
      <c r="NFM889" s="122"/>
      <c r="NFN889" s="122"/>
      <c r="NFO889" s="122"/>
      <c r="NFP889" s="122"/>
      <c r="NFQ889" s="122"/>
      <c r="NFR889" s="122"/>
      <c r="NFS889" s="122"/>
      <c r="NFT889" s="122"/>
      <c r="NFU889" s="122"/>
      <c r="NFV889" s="122"/>
      <c r="NFW889" s="122"/>
      <c r="NFX889" s="122"/>
      <c r="NFY889" s="122"/>
      <c r="NFZ889" s="122"/>
      <c r="NGA889" s="122"/>
      <c r="NGB889" s="122"/>
      <c r="NGC889" s="122"/>
      <c r="NGD889" s="122"/>
      <c r="NGE889" s="122"/>
      <c r="NGF889" s="122"/>
      <c r="NGG889" s="122"/>
      <c r="NGH889" s="122"/>
      <c r="NGI889" s="122"/>
      <c r="NGJ889" s="122"/>
      <c r="NGK889" s="122"/>
      <c r="NGL889" s="122"/>
      <c r="NGM889" s="122"/>
      <c r="NGN889" s="122"/>
      <c r="NGO889" s="122"/>
      <c r="NGP889" s="122"/>
      <c r="NGQ889" s="122"/>
      <c r="NGR889" s="122"/>
      <c r="NGS889" s="122"/>
      <c r="NGT889" s="122"/>
      <c r="NGU889" s="122"/>
      <c r="NGV889" s="122"/>
      <c r="NGW889" s="122"/>
      <c r="NGX889" s="122"/>
      <c r="NGY889" s="122"/>
      <c r="NGZ889" s="122"/>
      <c r="NHA889" s="122"/>
      <c r="NHB889" s="122"/>
      <c r="NHC889" s="122"/>
      <c r="NHD889" s="122"/>
      <c r="NHE889" s="122"/>
      <c r="NHF889" s="122"/>
      <c r="NHG889" s="122"/>
      <c r="NHH889" s="122"/>
      <c r="NHI889" s="122"/>
      <c r="NHJ889" s="122"/>
      <c r="NHK889" s="122"/>
      <c r="NHL889" s="122"/>
      <c r="NHM889" s="122"/>
      <c r="NHN889" s="122"/>
      <c r="NHO889" s="122"/>
      <c r="NHP889" s="122"/>
      <c r="NHQ889" s="122"/>
      <c r="NHR889" s="122"/>
      <c r="NHS889" s="122"/>
      <c r="NHT889" s="122"/>
      <c r="NHU889" s="122"/>
      <c r="NHV889" s="122"/>
      <c r="NHW889" s="122"/>
      <c r="NHX889" s="122"/>
      <c r="NHY889" s="122"/>
      <c r="NHZ889" s="122"/>
      <c r="NIA889" s="122"/>
      <c r="NIB889" s="122"/>
      <c r="NIC889" s="122"/>
      <c r="NID889" s="122"/>
      <c r="NIE889" s="122"/>
      <c r="NIF889" s="122"/>
      <c r="NIG889" s="122"/>
      <c r="NIH889" s="122"/>
      <c r="NII889" s="122"/>
      <c r="NIJ889" s="122"/>
      <c r="NIK889" s="122"/>
      <c r="NIL889" s="122"/>
      <c r="NIM889" s="122"/>
      <c r="NIN889" s="122"/>
      <c r="NIO889" s="122"/>
      <c r="NIP889" s="122"/>
      <c r="NIQ889" s="122"/>
      <c r="NIR889" s="122"/>
      <c r="NIS889" s="122"/>
      <c r="NIT889" s="122"/>
      <c r="NIU889" s="122"/>
      <c r="NIV889" s="122"/>
      <c r="NIW889" s="122"/>
      <c r="NIX889" s="122"/>
      <c r="NIY889" s="122"/>
      <c r="NIZ889" s="122"/>
      <c r="NJA889" s="122"/>
      <c r="NJB889" s="122"/>
      <c r="NJC889" s="122"/>
      <c r="NJD889" s="122"/>
      <c r="NJE889" s="122"/>
      <c r="NJF889" s="122"/>
      <c r="NJG889" s="122"/>
      <c r="NJH889" s="122"/>
      <c r="NJI889" s="122"/>
      <c r="NJJ889" s="122"/>
      <c r="NJK889" s="122"/>
      <c r="NJL889" s="122"/>
      <c r="NJM889" s="122"/>
      <c r="NJN889" s="122"/>
      <c r="NJO889" s="122"/>
      <c r="NJP889" s="122"/>
      <c r="NJQ889" s="122"/>
      <c r="NJR889" s="122"/>
      <c r="NJS889" s="122"/>
      <c r="NJT889" s="122"/>
      <c r="NJU889" s="122"/>
      <c r="NJV889" s="122"/>
      <c r="NJW889" s="122"/>
      <c r="NJX889" s="122"/>
      <c r="NJY889" s="122"/>
      <c r="NJZ889" s="122"/>
      <c r="NKA889" s="122"/>
      <c r="NKB889" s="122"/>
      <c r="NKC889" s="122"/>
      <c r="NKD889" s="122"/>
      <c r="NKE889" s="122"/>
      <c r="NKF889" s="122"/>
      <c r="NKG889" s="122"/>
      <c r="NKH889" s="122"/>
      <c r="NKI889" s="122"/>
      <c r="NKJ889" s="122"/>
      <c r="NKK889" s="122"/>
      <c r="NKL889" s="122"/>
      <c r="NKM889" s="122"/>
      <c r="NKN889" s="122"/>
      <c r="NKO889" s="122"/>
      <c r="NKP889" s="122"/>
      <c r="NKQ889" s="122"/>
      <c r="NKR889" s="122"/>
      <c r="NKS889" s="122"/>
      <c r="NKT889" s="122"/>
      <c r="NKU889" s="122"/>
      <c r="NKV889" s="122"/>
      <c r="NKW889" s="122"/>
      <c r="NKX889" s="122"/>
      <c r="NKY889" s="122"/>
      <c r="NKZ889" s="122"/>
      <c r="NLA889" s="122"/>
      <c r="NLB889" s="122"/>
      <c r="NLC889" s="122"/>
      <c r="NLD889" s="122"/>
      <c r="NLE889" s="122"/>
      <c r="NLF889" s="122"/>
      <c r="NLG889" s="122"/>
      <c r="NLH889" s="122"/>
      <c r="NLI889" s="122"/>
      <c r="NLJ889" s="122"/>
      <c r="NLK889" s="122"/>
      <c r="NLL889" s="122"/>
      <c r="NLM889" s="122"/>
      <c r="NLN889" s="122"/>
      <c r="NLO889" s="122"/>
      <c r="NLP889" s="122"/>
      <c r="NLQ889" s="122"/>
      <c r="NLR889" s="122"/>
      <c r="NLS889" s="122"/>
      <c r="NLT889" s="122"/>
      <c r="NLU889" s="122"/>
      <c r="NLV889" s="122"/>
      <c r="NLW889" s="122"/>
      <c r="NLX889" s="122"/>
      <c r="NLY889" s="122"/>
      <c r="NLZ889" s="122"/>
      <c r="NMA889" s="122"/>
      <c r="NMB889" s="122"/>
      <c r="NMC889" s="122"/>
      <c r="NMD889" s="122"/>
      <c r="NME889" s="122"/>
      <c r="NMF889" s="122"/>
      <c r="NMG889" s="122"/>
      <c r="NMH889" s="122"/>
      <c r="NMI889" s="122"/>
      <c r="NMJ889" s="122"/>
      <c r="NMK889" s="122"/>
      <c r="NML889" s="122"/>
      <c r="NMM889" s="122"/>
      <c r="NMN889" s="122"/>
      <c r="NMO889" s="122"/>
      <c r="NMP889" s="122"/>
      <c r="NMQ889" s="122"/>
      <c r="NMR889" s="122"/>
      <c r="NMS889" s="122"/>
      <c r="NMT889" s="122"/>
      <c r="NMU889" s="122"/>
      <c r="NMV889" s="122"/>
      <c r="NMW889" s="122"/>
      <c r="NMX889" s="122"/>
      <c r="NMY889" s="122"/>
      <c r="NMZ889" s="122"/>
      <c r="NNA889" s="122"/>
      <c r="NNB889" s="122"/>
      <c r="NNC889" s="122"/>
      <c r="NND889" s="122"/>
      <c r="NNE889" s="122"/>
      <c r="NNF889" s="122"/>
      <c r="NNG889" s="122"/>
      <c r="NNH889" s="122"/>
      <c r="NNI889" s="122"/>
      <c r="NNJ889" s="122"/>
      <c r="NNK889" s="122"/>
      <c r="NNL889" s="122"/>
      <c r="NNM889" s="122"/>
      <c r="NNN889" s="122"/>
      <c r="NNO889" s="122"/>
      <c r="NNP889" s="122"/>
      <c r="NNQ889" s="122"/>
      <c r="NNR889" s="122"/>
      <c r="NNS889" s="122"/>
      <c r="NNT889" s="122"/>
      <c r="NNU889" s="122"/>
      <c r="NNV889" s="122"/>
      <c r="NNW889" s="122"/>
      <c r="NNX889" s="122"/>
      <c r="NNY889" s="122"/>
      <c r="NNZ889" s="122"/>
      <c r="NOA889" s="122"/>
      <c r="NOB889" s="122"/>
      <c r="NOC889" s="122"/>
      <c r="NOD889" s="122"/>
      <c r="NOE889" s="122"/>
      <c r="NOF889" s="122"/>
      <c r="NOG889" s="122"/>
      <c r="NOH889" s="122"/>
      <c r="NOI889" s="122"/>
      <c r="NOJ889" s="122"/>
      <c r="NOK889" s="122"/>
      <c r="NOL889" s="122"/>
      <c r="NOM889" s="122"/>
      <c r="NON889" s="122"/>
      <c r="NOO889" s="122"/>
      <c r="NOP889" s="122"/>
      <c r="NOQ889" s="122"/>
      <c r="NOR889" s="122"/>
      <c r="NOS889" s="122"/>
      <c r="NOT889" s="122"/>
      <c r="NOU889" s="122"/>
      <c r="NOV889" s="122"/>
      <c r="NOW889" s="122"/>
      <c r="NOX889" s="122"/>
      <c r="NOY889" s="122"/>
      <c r="NOZ889" s="122"/>
      <c r="NPA889" s="122"/>
      <c r="NPB889" s="122"/>
      <c r="NPC889" s="122"/>
      <c r="NPD889" s="122"/>
      <c r="NPE889" s="122"/>
      <c r="NPF889" s="122"/>
      <c r="NPG889" s="122"/>
      <c r="NPH889" s="122"/>
      <c r="NPI889" s="122"/>
      <c r="NPJ889" s="122"/>
      <c r="NPK889" s="122"/>
      <c r="NPL889" s="122"/>
      <c r="NPM889" s="122"/>
      <c r="NPN889" s="122"/>
      <c r="NPO889" s="122"/>
      <c r="NPP889" s="122"/>
      <c r="NPQ889" s="122"/>
      <c r="NPR889" s="122"/>
      <c r="NPS889" s="122"/>
      <c r="NPT889" s="122"/>
      <c r="NPU889" s="122"/>
      <c r="NPV889" s="122"/>
      <c r="NPW889" s="122"/>
      <c r="NPX889" s="122"/>
      <c r="NPY889" s="122"/>
      <c r="NPZ889" s="122"/>
      <c r="NQA889" s="122"/>
      <c r="NQB889" s="122"/>
      <c r="NQC889" s="122"/>
      <c r="NQD889" s="122"/>
      <c r="NQE889" s="122"/>
      <c r="NQF889" s="122"/>
      <c r="NQG889" s="122"/>
      <c r="NQH889" s="122"/>
      <c r="NQI889" s="122"/>
      <c r="NQJ889" s="122"/>
      <c r="NQK889" s="122"/>
      <c r="NQL889" s="122"/>
      <c r="NQM889" s="122"/>
      <c r="NQN889" s="122"/>
      <c r="NQO889" s="122"/>
      <c r="NQP889" s="122"/>
      <c r="NQQ889" s="122"/>
      <c r="NQR889" s="122"/>
      <c r="NQS889" s="122"/>
      <c r="NQT889" s="122"/>
      <c r="NQU889" s="122"/>
      <c r="NQV889" s="122"/>
      <c r="NQW889" s="122"/>
      <c r="NQX889" s="122"/>
      <c r="NQY889" s="122"/>
      <c r="NQZ889" s="122"/>
      <c r="NRA889" s="122"/>
      <c r="NRB889" s="122"/>
      <c r="NRC889" s="122"/>
      <c r="NRD889" s="122"/>
      <c r="NRE889" s="122"/>
      <c r="NRF889" s="122"/>
      <c r="NRG889" s="122"/>
      <c r="NRH889" s="122"/>
      <c r="NRI889" s="122"/>
      <c r="NRJ889" s="122"/>
      <c r="NRK889" s="122"/>
      <c r="NRL889" s="122"/>
      <c r="NRM889" s="122"/>
      <c r="NRN889" s="122"/>
      <c r="NRO889" s="122"/>
      <c r="NRP889" s="122"/>
      <c r="NRQ889" s="122"/>
      <c r="NRR889" s="122"/>
      <c r="NRS889" s="122"/>
      <c r="NRT889" s="122"/>
      <c r="NRU889" s="122"/>
      <c r="NRV889" s="122"/>
      <c r="NRW889" s="122"/>
      <c r="NRX889" s="122"/>
      <c r="NRY889" s="122"/>
      <c r="NRZ889" s="122"/>
      <c r="NSA889" s="122"/>
      <c r="NSB889" s="122"/>
      <c r="NSC889" s="122"/>
      <c r="NSD889" s="122"/>
      <c r="NSE889" s="122"/>
      <c r="NSF889" s="122"/>
      <c r="NSG889" s="122"/>
      <c r="NSH889" s="122"/>
      <c r="NSI889" s="122"/>
      <c r="NSJ889" s="122"/>
      <c r="NSK889" s="122"/>
      <c r="NSL889" s="122"/>
      <c r="NSM889" s="122"/>
      <c r="NSN889" s="122"/>
      <c r="NSO889" s="122"/>
      <c r="NSP889" s="122"/>
      <c r="NSQ889" s="122"/>
      <c r="NSR889" s="122"/>
      <c r="NSS889" s="122"/>
      <c r="NST889" s="122"/>
      <c r="NSU889" s="122"/>
      <c r="NSV889" s="122"/>
      <c r="NSW889" s="122"/>
      <c r="NSX889" s="122"/>
      <c r="NSY889" s="122"/>
      <c r="NSZ889" s="122"/>
      <c r="NTA889" s="122"/>
      <c r="NTB889" s="122"/>
      <c r="NTC889" s="122"/>
      <c r="NTD889" s="122"/>
      <c r="NTE889" s="122"/>
      <c r="NTF889" s="122"/>
      <c r="NTG889" s="122"/>
      <c r="NTH889" s="122"/>
      <c r="NTI889" s="122"/>
      <c r="NTJ889" s="122"/>
      <c r="NTK889" s="122"/>
      <c r="NTL889" s="122"/>
      <c r="NTM889" s="122"/>
      <c r="NTN889" s="122"/>
      <c r="NTO889" s="122"/>
      <c r="NTP889" s="122"/>
      <c r="NTQ889" s="122"/>
      <c r="NTR889" s="122"/>
      <c r="NTS889" s="122"/>
      <c r="NTT889" s="122"/>
      <c r="NTU889" s="122"/>
      <c r="NTV889" s="122"/>
      <c r="NTW889" s="122"/>
      <c r="NTX889" s="122"/>
      <c r="NTY889" s="122"/>
      <c r="NTZ889" s="122"/>
      <c r="NUA889" s="122"/>
      <c r="NUB889" s="122"/>
      <c r="NUC889" s="122"/>
      <c r="NUD889" s="122"/>
      <c r="NUE889" s="122"/>
      <c r="NUF889" s="122"/>
      <c r="NUG889" s="122"/>
      <c r="NUH889" s="122"/>
      <c r="NUI889" s="122"/>
      <c r="NUJ889" s="122"/>
      <c r="NUK889" s="122"/>
      <c r="NUL889" s="122"/>
      <c r="NUM889" s="122"/>
      <c r="NUN889" s="122"/>
      <c r="NUO889" s="122"/>
      <c r="NUP889" s="122"/>
      <c r="NUQ889" s="122"/>
      <c r="NUR889" s="122"/>
      <c r="NUS889" s="122"/>
      <c r="NUT889" s="122"/>
      <c r="NUU889" s="122"/>
      <c r="NUV889" s="122"/>
      <c r="NUW889" s="122"/>
      <c r="NUX889" s="122"/>
      <c r="NUY889" s="122"/>
      <c r="NUZ889" s="122"/>
      <c r="NVA889" s="122"/>
      <c r="NVB889" s="122"/>
      <c r="NVC889" s="122"/>
      <c r="NVD889" s="122"/>
      <c r="NVE889" s="122"/>
      <c r="NVF889" s="122"/>
      <c r="NVG889" s="122"/>
      <c r="NVH889" s="122"/>
      <c r="NVI889" s="122"/>
      <c r="NVJ889" s="122"/>
      <c r="NVK889" s="122"/>
      <c r="NVL889" s="122"/>
      <c r="NVM889" s="122"/>
      <c r="NVN889" s="122"/>
      <c r="NVO889" s="122"/>
      <c r="NVP889" s="122"/>
      <c r="NVQ889" s="122"/>
      <c r="NVR889" s="122"/>
      <c r="NVS889" s="122"/>
      <c r="NVT889" s="122"/>
      <c r="NVU889" s="122"/>
      <c r="NVV889" s="122"/>
      <c r="NVW889" s="122"/>
      <c r="NVX889" s="122"/>
      <c r="NVY889" s="122"/>
      <c r="NVZ889" s="122"/>
      <c r="NWA889" s="122"/>
      <c r="NWB889" s="122"/>
      <c r="NWC889" s="122"/>
      <c r="NWD889" s="122"/>
      <c r="NWE889" s="122"/>
      <c r="NWF889" s="122"/>
      <c r="NWG889" s="122"/>
      <c r="NWH889" s="122"/>
      <c r="NWI889" s="122"/>
      <c r="NWJ889" s="122"/>
      <c r="NWK889" s="122"/>
      <c r="NWL889" s="122"/>
      <c r="NWM889" s="122"/>
      <c r="NWN889" s="122"/>
      <c r="NWO889" s="122"/>
      <c r="NWP889" s="122"/>
      <c r="NWQ889" s="122"/>
      <c r="NWR889" s="122"/>
      <c r="NWS889" s="122"/>
      <c r="NWT889" s="122"/>
      <c r="NWU889" s="122"/>
      <c r="NWV889" s="122"/>
      <c r="NWW889" s="122"/>
      <c r="NWX889" s="122"/>
      <c r="NWY889" s="122"/>
      <c r="NWZ889" s="122"/>
      <c r="NXA889" s="122"/>
      <c r="NXB889" s="122"/>
      <c r="NXC889" s="122"/>
      <c r="NXD889" s="122"/>
      <c r="NXE889" s="122"/>
      <c r="NXF889" s="122"/>
      <c r="NXG889" s="122"/>
      <c r="NXH889" s="122"/>
      <c r="NXI889" s="122"/>
      <c r="NXJ889" s="122"/>
      <c r="NXK889" s="122"/>
      <c r="NXL889" s="122"/>
      <c r="NXM889" s="122"/>
      <c r="NXN889" s="122"/>
      <c r="NXO889" s="122"/>
      <c r="NXP889" s="122"/>
      <c r="NXQ889" s="122"/>
      <c r="NXR889" s="122"/>
      <c r="NXS889" s="122"/>
      <c r="NXT889" s="122"/>
      <c r="NXU889" s="122"/>
      <c r="NXV889" s="122"/>
      <c r="NXW889" s="122"/>
      <c r="NXX889" s="122"/>
      <c r="NXY889" s="122"/>
      <c r="NXZ889" s="122"/>
      <c r="NYA889" s="122"/>
      <c r="NYB889" s="122"/>
      <c r="NYC889" s="122"/>
      <c r="NYD889" s="122"/>
      <c r="NYE889" s="122"/>
      <c r="NYF889" s="122"/>
      <c r="NYG889" s="122"/>
      <c r="NYH889" s="122"/>
      <c r="NYI889" s="122"/>
      <c r="NYJ889" s="122"/>
      <c r="NYK889" s="122"/>
      <c r="NYL889" s="122"/>
      <c r="NYM889" s="122"/>
      <c r="NYN889" s="122"/>
      <c r="NYO889" s="122"/>
      <c r="NYP889" s="122"/>
      <c r="NYQ889" s="122"/>
      <c r="NYR889" s="122"/>
      <c r="NYS889" s="122"/>
      <c r="NYT889" s="122"/>
      <c r="NYU889" s="122"/>
      <c r="NYV889" s="122"/>
      <c r="NYW889" s="122"/>
      <c r="NYX889" s="122"/>
      <c r="NYY889" s="122"/>
      <c r="NYZ889" s="122"/>
      <c r="NZA889" s="122"/>
      <c r="NZB889" s="122"/>
      <c r="NZC889" s="122"/>
      <c r="NZD889" s="122"/>
      <c r="NZE889" s="122"/>
      <c r="NZF889" s="122"/>
      <c r="NZG889" s="122"/>
      <c r="NZH889" s="122"/>
      <c r="NZI889" s="122"/>
      <c r="NZJ889" s="122"/>
      <c r="NZK889" s="122"/>
      <c r="NZL889" s="122"/>
      <c r="NZM889" s="122"/>
      <c r="NZN889" s="122"/>
      <c r="NZO889" s="122"/>
      <c r="NZP889" s="122"/>
      <c r="NZQ889" s="122"/>
      <c r="NZR889" s="122"/>
      <c r="NZS889" s="122"/>
      <c r="NZT889" s="122"/>
      <c r="NZU889" s="122"/>
      <c r="NZV889" s="122"/>
      <c r="NZW889" s="122"/>
      <c r="NZX889" s="122"/>
      <c r="NZY889" s="122"/>
      <c r="NZZ889" s="122"/>
      <c r="OAA889" s="122"/>
      <c r="OAB889" s="122"/>
      <c r="OAC889" s="122"/>
      <c r="OAD889" s="122"/>
      <c r="OAE889" s="122"/>
      <c r="OAF889" s="122"/>
      <c r="OAG889" s="122"/>
      <c r="OAH889" s="122"/>
      <c r="OAI889" s="122"/>
      <c r="OAJ889" s="122"/>
      <c r="OAK889" s="122"/>
      <c r="OAL889" s="122"/>
      <c r="OAM889" s="122"/>
      <c r="OAN889" s="122"/>
      <c r="OAO889" s="122"/>
      <c r="OAP889" s="122"/>
      <c r="OAQ889" s="122"/>
      <c r="OAR889" s="122"/>
      <c r="OAS889" s="122"/>
      <c r="OAT889" s="122"/>
      <c r="OAU889" s="122"/>
      <c r="OAV889" s="122"/>
      <c r="OAW889" s="122"/>
      <c r="OAX889" s="122"/>
      <c r="OAY889" s="122"/>
      <c r="OAZ889" s="122"/>
      <c r="OBA889" s="122"/>
      <c r="OBB889" s="122"/>
      <c r="OBC889" s="122"/>
      <c r="OBD889" s="122"/>
      <c r="OBE889" s="122"/>
      <c r="OBF889" s="122"/>
      <c r="OBG889" s="122"/>
      <c r="OBH889" s="122"/>
      <c r="OBI889" s="122"/>
      <c r="OBJ889" s="122"/>
      <c r="OBK889" s="122"/>
      <c r="OBL889" s="122"/>
      <c r="OBM889" s="122"/>
      <c r="OBN889" s="122"/>
      <c r="OBO889" s="122"/>
      <c r="OBP889" s="122"/>
      <c r="OBQ889" s="122"/>
      <c r="OBR889" s="122"/>
      <c r="OBS889" s="122"/>
      <c r="OBT889" s="122"/>
      <c r="OBU889" s="122"/>
      <c r="OBV889" s="122"/>
      <c r="OBW889" s="122"/>
      <c r="OBX889" s="122"/>
      <c r="OBY889" s="122"/>
      <c r="OBZ889" s="122"/>
      <c r="OCA889" s="122"/>
      <c r="OCB889" s="122"/>
      <c r="OCC889" s="122"/>
      <c r="OCD889" s="122"/>
      <c r="OCE889" s="122"/>
      <c r="OCF889" s="122"/>
      <c r="OCG889" s="122"/>
      <c r="OCH889" s="122"/>
      <c r="OCI889" s="122"/>
      <c r="OCJ889" s="122"/>
      <c r="OCK889" s="122"/>
      <c r="OCL889" s="122"/>
      <c r="OCM889" s="122"/>
      <c r="OCN889" s="122"/>
      <c r="OCO889" s="122"/>
      <c r="OCP889" s="122"/>
      <c r="OCQ889" s="122"/>
      <c r="OCR889" s="122"/>
      <c r="OCS889" s="122"/>
      <c r="OCT889" s="122"/>
      <c r="OCU889" s="122"/>
      <c r="OCV889" s="122"/>
      <c r="OCW889" s="122"/>
      <c r="OCX889" s="122"/>
      <c r="OCY889" s="122"/>
      <c r="OCZ889" s="122"/>
      <c r="ODA889" s="122"/>
      <c r="ODB889" s="122"/>
      <c r="ODC889" s="122"/>
      <c r="ODD889" s="122"/>
      <c r="ODE889" s="122"/>
      <c r="ODF889" s="122"/>
      <c r="ODG889" s="122"/>
      <c r="ODH889" s="122"/>
      <c r="ODI889" s="122"/>
      <c r="ODJ889" s="122"/>
      <c r="ODK889" s="122"/>
      <c r="ODL889" s="122"/>
      <c r="ODM889" s="122"/>
      <c r="ODN889" s="122"/>
      <c r="ODO889" s="122"/>
      <c r="ODP889" s="122"/>
      <c r="ODQ889" s="122"/>
      <c r="ODR889" s="122"/>
      <c r="ODS889" s="122"/>
      <c r="ODT889" s="122"/>
      <c r="ODU889" s="122"/>
      <c r="ODV889" s="122"/>
      <c r="ODW889" s="122"/>
      <c r="ODX889" s="122"/>
      <c r="ODY889" s="122"/>
      <c r="ODZ889" s="122"/>
      <c r="OEA889" s="122"/>
      <c r="OEB889" s="122"/>
      <c r="OEC889" s="122"/>
      <c r="OED889" s="122"/>
      <c r="OEE889" s="122"/>
      <c r="OEF889" s="122"/>
      <c r="OEG889" s="122"/>
      <c r="OEH889" s="122"/>
      <c r="OEI889" s="122"/>
      <c r="OEJ889" s="122"/>
      <c r="OEK889" s="122"/>
      <c r="OEL889" s="122"/>
      <c r="OEM889" s="122"/>
      <c r="OEN889" s="122"/>
      <c r="OEO889" s="122"/>
      <c r="OEP889" s="122"/>
      <c r="OEQ889" s="122"/>
      <c r="OER889" s="122"/>
      <c r="OES889" s="122"/>
      <c r="OET889" s="122"/>
      <c r="OEU889" s="122"/>
      <c r="OEV889" s="122"/>
      <c r="OEW889" s="122"/>
      <c r="OEX889" s="122"/>
      <c r="OEY889" s="122"/>
      <c r="OEZ889" s="122"/>
      <c r="OFA889" s="122"/>
      <c r="OFB889" s="122"/>
      <c r="OFC889" s="122"/>
      <c r="OFD889" s="122"/>
      <c r="OFE889" s="122"/>
      <c r="OFF889" s="122"/>
      <c r="OFG889" s="122"/>
      <c r="OFH889" s="122"/>
      <c r="OFI889" s="122"/>
      <c r="OFJ889" s="122"/>
      <c r="OFK889" s="122"/>
      <c r="OFL889" s="122"/>
      <c r="OFM889" s="122"/>
      <c r="OFN889" s="122"/>
      <c r="OFO889" s="122"/>
      <c r="OFP889" s="122"/>
      <c r="OFQ889" s="122"/>
      <c r="OFR889" s="122"/>
      <c r="OFS889" s="122"/>
      <c r="OFT889" s="122"/>
      <c r="OFU889" s="122"/>
      <c r="OFV889" s="122"/>
      <c r="OFW889" s="122"/>
      <c r="OFX889" s="122"/>
      <c r="OFY889" s="122"/>
      <c r="OFZ889" s="122"/>
      <c r="OGA889" s="122"/>
      <c r="OGB889" s="122"/>
      <c r="OGC889" s="122"/>
      <c r="OGD889" s="122"/>
      <c r="OGE889" s="122"/>
      <c r="OGF889" s="122"/>
      <c r="OGG889" s="122"/>
      <c r="OGH889" s="122"/>
      <c r="OGI889" s="122"/>
      <c r="OGJ889" s="122"/>
      <c r="OGK889" s="122"/>
      <c r="OGL889" s="122"/>
      <c r="OGM889" s="122"/>
      <c r="OGN889" s="122"/>
      <c r="OGO889" s="122"/>
      <c r="OGP889" s="122"/>
      <c r="OGQ889" s="122"/>
      <c r="OGR889" s="122"/>
      <c r="OGS889" s="122"/>
      <c r="OGT889" s="122"/>
      <c r="OGU889" s="122"/>
      <c r="OGV889" s="122"/>
      <c r="OGW889" s="122"/>
      <c r="OGX889" s="122"/>
      <c r="OGY889" s="122"/>
      <c r="OGZ889" s="122"/>
      <c r="OHA889" s="122"/>
      <c r="OHB889" s="122"/>
      <c r="OHC889" s="122"/>
      <c r="OHD889" s="122"/>
      <c r="OHE889" s="122"/>
      <c r="OHF889" s="122"/>
      <c r="OHG889" s="122"/>
      <c r="OHH889" s="122"/>
      <c r="OHI889" s="122"/>
      <c r="OHJ889" s="122"/>
      <c r="OHK889" s="122"/>
      <c r="OHL889" s="122"/>
      <c r="OHM889" s="122"/>
      <c r="OHN889" s="122"/>
      <c r="OHO889" s="122"/>
      <c r="OHP889" s="122"/>
      <c r="OHQ889" s="122"/>
      <c r="OHR889" s="122"/>
      <c r="OHS889" s="122"/>
      <c r="OHT889" s="122"/>
      <c r="OHU889" s="122"/>
      <c r="OHV889" s="122"/>
      <c r="OHW889" s="122"/>
      <c r="OHX889" s="122"/>
      <c r="OHY889" s="122"/>
      <c r="OHZ889" s="122"/>
      <c r="OIA889" s="122"/>
      <c r="OIB889" s="122"/>
      <c r="OIC889" s="122"/>
      <c r="OID889" s="122"/>
      <c r="OIE889" s="122"/>
      <c r="OIF889" s="122"/>
      <c r="OIG889" s="122"/>
      <c r="OIH889" s="122"/>
      <c r="OII889" s="122"/>
      <c r="OIJ889" s="122"/>
      <c r="OIK889" s="122"/>
      <c r="OIL889" s="122"/>
      <c r="OIM889" s="122"/>
      <c r="OIN889" s="122"/>
      <c r="OIO889" s="122"/>
      <c r="OIP889" s="122"/>
      <c r="OIQ889" s="122"/>
      <c r="OIR889" s="122"/>
      <c r="OIS889" s="122"/>
      <c r="OIT889" s="122"/>
      <c r="OIU889" s="122"/>
      <c r="OIV889" s="122"/>
      <c r="OIW889" s="122"/>
      <c r="OIX889" s="122"/>
      <c r="OIY889" s="122"/>
      <c r="OIZ889" s="122"/>
      <c r="OJA889" s="122"/>
      <c r="OJB889" s="122"/>
      <c r="OJC889" s="122"/>
      <c r="OJD889" s="122"/>
      <c r="OJE889" s="122"/>
      <c r="OJF889" s="122"/>
      <c r="OJG889" s="122"/>
      <c r="OJH889" s="122"/>
      <c r="OJI889" s="122"/>
      <c r="OJJ889" s="122"/>
      <c r="OJK889" s="122"/>
      <c r="OJL889" s="122"/>
      <c r="OJM889" s="122"/>
      <c r="OJN889" s="122"/>
      <c r="OJO889" s="122"/>
      <c r="OJP889" s="122"/>
      <c r="OJQ889" s="122"/>
      <c r="OJR889" s="122"/>
      <c r="OJS889" s="122"/>
      <c r="OJT889" s="122"/>
      <c r="OJU889" s="122"/>
      <c r="OJV889" s="122"/>
      <c r="OJW889" s="122"/>
      <c r="OJX889" s="122"/>
      <c r="OJY889" s="122"/>
      <c r="OJZ889" s="122"/>
      <c r="OKA889" s="122"/>
      <c r="OKB889" s="122"/>
      <c r="OKC889" s="122"/>
      <c r="OKD889" s="122"/>
      <c r="OKE889" s="122"/>
      <c r="OKF889" s="122"/>
      <c r="OKG889" s="122"/>
      <c r="OKH889" s="122"/>
      <c r="OKI889" s="122"/>
      <c r="OKJ889" s="122"/>
      <c r="OKK889" s="122"/>
      <c r="OKL889" s="122"/>
      <c r="OKM889" s="122"/>
      <c r="OKN889" s="122"/>
      <c r="OKO889" s="122"/>
      <c r="OKP889" s="122"/>
      <c r="OKQ889" s="122"/>
      <c r="OKR889" s="122"/>
      <c r="OKS889" s="122"/>
      <c r="OKT889" s="122"/>
      <c r="OKU889" s="122"/>
      <c r="OKV889" s="122"/>
      <c r="OKW889" s="122"/>
      <c r="OKX889" s="122"/>
      <c r="OKY889" s="122"/>
      <c r="OKZ889" s="122"/>
      <c r="OLA889" s="122"/>
      <c r="OLB889" s="122"/>
      <c r="OLC889" s="122"/>
      <c r="OLD889" s="122"/>
      <c r="OLE889" s="122"/>
      <c r="OLF889" s="122"/>
      <c r="OLG889" s="122"/>
      <c r="OLH889" s="122"/>
      <c r="OLI889" s="122"/>
      <c r="OLJ889" s="122"/>
      <c r="OLK889" s="122"/>
      <c r="OLL889" s="122"/>
      <c r="OLM889" s="122"/>
      <c r="OLN889" s="122"/>
      <c r="OLO889" s="122"/>
      <c r="OLP889" s="122"/>
      <c r="OLQ889" s="122"/>
      <c r="OLR889" s="122"/>
      <c r="OLS889" s="122"/>
      <c r="OLT889" s="122"/>
      <c r="OLU889" s="122"/>
      <c r="OLV889" s="122"/>
      <c r="OLW889" s="122"/>
      <c r="OLX889" s="122"/>
      <c r="OLY889" s="122"/>
      <c r="OLZ889" s="122"/>
      <c r="OMA889" s="122"/>
      <c r="OMB889" s="122"/>
      <c r="OMC889" s="122"/>
      <c r="OMD889" s="122"/>
      <c r="OME889" s="122"/>
      <c r="OMF889" s="122"/>
      <c r="OMG889" s="122"/>
      <c r="OMH889" s="122"/>
      <c r="OMI889" s="122"/>
      <c r="OMJ889" s="122"/>
      <c r="OMK889" s="122"/>
      <c r="OML889" s="122"/>
      <c r="OMM889" s="122"/>
      <c r="OMN889" s="122"/>
      <c r="OMO889" s="122"/>
      <c r="OMP889" s="122"/>
      <c r="OMQ889" s="122"/>
      <c r="OMR889" s="122"/>
      <c r="OMS889" s="122"/>
      <c r="OMT889" s="122"/>
      <c r="OMU889" s="122"/>
      <c r="OMV889" s="122"/>
      <c r="OMW889" s="122"/>
      <c r="OMX889" s="122"/>
      <c r="OMY889" s="122"/>
      <c r="OMZ889" s="122"/>
      <c r="ONA889" s="122"/>
      <c r="ONB889" s="122"/>
      <c r="ONC889" s="122"/>
      <c r="OND889" s="122"/>
      <c r="ONE889" s="122"/>
      <c r="ONF889" s="122"/>
      <c r="ONG889" s="122"/>
      <c r="ONH889" s="122"/>
      <c r="ONI889" s="122"/>
      <c r="ONJ889" s="122"/>
      <c r="ONK889" s="122"/>
      <c r="ONL889" s="122"/>
      <c r="ONM889" s="122"/>
      <c r="ONN889" s="122"/>
      <c r="ONO889" s="122"/>
      <c r="ONP889" s="122"/>
      <c r="ONQ889" s="122"/>
      <c r="ONR889" s="122"/>
      <c r="ONS889" s="122"/>
      <c r="ONT889" s="122"/>
      <c r="ONU889" s="122"/>
      <c r="ONV889" s="122"/>
      <c r="ONW889" s="122"/>
      <c r="ONX889" s="122"/>
      <c r="ONY889" s="122"/>
      <c r="ONZ889" s="122"/>
      <c r="OOA889" s="122"/>
      <c r="OOB889" s="122"/>
      <c r="OOC889" s="122"/>
      <c r="OOD889" s="122"/>
      <c r="OOE889" s="122"/>
      <c r="OOF889" s="122"/>
      <c r="OOG889" s="122"/>
      <c r="OOH889" s="122"/>
      <c r="OOI889" s="122"/>
      <c r="OOJ889" s="122"/>
      <c r="OOK889" s="122"/>
      <c r="OOL889" s="122"/>
      <c r="OOM889" s="122"/>
      <c r="OON889" s="122"/>
      <c r="OOO889" s="122"/>
      <c r="OOP889" s="122"/>
      <c r="OOQ889" s="122"/>
      <c r="OOR889" s="122"/>
      <c r="OOS889" s="122"/>
      <c r="OOT889" s="122"/>
      <c r="OOU889" s="122"/>
      <c r="OOV889" s="122"/>
      <c r="OOW889" s="122"/>
      <c r="OOX889" s="122"/>
      <c r="OOY889" s="122"/>
      <c r="OOZ889" s="122"/>
      <c r="OPA889" s="122"/>
      <c r="OPB889" s="122"/>
      <c r="OPC889" s="122"/>
      <c r="OPD889" s="122"/>
      <c r="OPE889" s="122"/>
      <c r="OPF889" s="122"/>
      <c r="OPG889" s="122"/>
      <c r="OPH889" s="122"/>
      <c r="OPI889" s="122"/>
      <c r="OPJ889" s="122"/>
      <c r="OPK889" s="122"/>
      <c r="OPL889" s="122"/>
      <c r="OPM889" s="122"/>
      <c r="OPN889" s="122"/>
      <c r="OPO889" s="122"/>
      <c r="OPP889" s="122"/>
      <c r="OPQ889" s="122"/>
      <c r="OPR889" s="122"/>
      <c r="OPS889" s="122"/>
      <c r="OPT889" s="122"/>
      <c r="OPU889" s="122"/>
      <c r="OPV889" s="122"/>
      <c r="OPW889" s="122"/>
      <c r="OPX889" s="122"/>
      <c r="OPY889" s="122"/>
      <c r="OPZ889" s="122"/>
      <c r="OQA889" s="122"/>
      <c r="OQB889" s="122"/>
      <c r="OQC889" s="122"/>
      <c r="OQD889" s="122"/>
      <c r="OQE889" s="122"/>
      <c r="OQF889" s="122"/>
      <c r="OQG889" s="122"/>
      <c r="OQH889" s="122"/>
      <c r="OQI889" s="122"/>
      <c r="OQJ889" s="122"/>
      <c r="OQK889" s="122"/>
      <c r="OQL889" s="122"/>
      <c r="OQM889" s="122"/>
      <c r="OQN889" s="122"/>
      <c r="OQO889" s="122"/>
      <c r="OQP889" s="122"/>
      <c r="OQQ889" s="122"/>
      <c r="OQR889" s="122"/>
      <c r="OQS889" s="122"/>
      <c r="OQT889" s="122"/>
      <c r="OQU889" s="122"/>
      <c r="OQV889" s="122"/>
      <c r="OQW889" s="122"/>
      <c r="OQX889" s="122"/>
      <c r="OQY889" s="122"/>
      <c r="OQZ889" s="122"/>
      <c r="ORA889" s="122"/>
      <c r="ORB889" s="122"/>
      <c r="ORC889" s="122"/>
      <c r="ORD889" s="122"/>
      <c r="ORE889" s="122"/>
      <c r="ORF889" s="122"/>
      <c r="ORG889" s="122"/>
      <c r="ORH889" s="122"/>
      <c r="ORI889" s="122"/>
      <c r="ORJ889" s="122"/>
      <c r="ORK889" s="122"/>
      <c r="ORL889" s="122"/>
      <c r="ORM889" s="122"/>
      <c r="ORN889" s="122"/>
      <c r="ORO889" s="122"/>
      <c r="ORP889" s="122"/>
      <c r="ORQ889" s="122"/>
      <c r="ORR889" s="122"/>
      <c r="ORS889" s="122"/>
      <c r="ORT889" s="122"/>
      <c r="ORU889" s="122"/>
      <c r="ORV889" s="122"/>
      <c r="ORW889" s="122"/>
      <c r="ORX889" s="122"/>
      <c r="ORY889" s="122"/>
      <c r="ORZ889" s="122"/>
      <c r="OSA889" s="122"/>
      <c r="OSB889" s="122"/>
      <c r="OSC889" s="122"/>
      <c r="OSD889" s="122"/>
      <c r="OSE889" s="122"/>
      <c r="OSF889" s="122"/>
      <c r="OSG889" s="122"/>
      <c r="OSH889" s="122"/>
      <c r="OSI889" s="122"/>
      <c r="OSJ889" s="122"/>
      <c r="OSK889" s="122"/>
      <c r="OSL889" s="122"/>
      <c r="OSM889" s="122"/>
      <c r="OSN889" s="122"/>
      <c r="OSO889" s="122"/>
      <c r="OSP889" s="122"/>
      <c r="OSQ889" s="122"/>
      <c r="OSR889" s="122"/>
      <c r="OSS889" s="122"/>
      <c r="OST889" s="122"/>
      <c r="OSU889" s="122"/>
      <c r="OSV889" s="122"/>
      <c r="OSW889" s="122"/>
      <c r="OSX889" s="122"/>
      <c r="OSY889" s="122"/>
      <c r="OSZ889" s="122"/>
      <c r="OTA889" s="122"/>
      <c r="OTB889" s="122"/>
      <c r="OTC889" s="122"/>
      <c r="OTD889" s="122"/>
      <c r="OTE889" s="122"/>
      <c r="OTF889" s="122"/>
      <c r="OTG889" s="122"/>
      <c r="OTH889" s="122"/>
      <c r="OTI889" s="122"/>
      <c r="OTJ889" s="122"/>
      <c r="OTK889" s="122"/>
      <c r="OTL889" s="122"/>
      <c r="OTM889" s="122"/>
      <c r="OTN889" s="122"/>
      <c r="OTO889" s="122"/>
      <c r="OTP889" s="122"/>
      <c r="OTQ889" s="122"/>
      <c r="OTR889" s="122"/>
      <c r="OTS889" s="122"/>
      <c r="OTT889" s="122"/>
      <c r="OTU889" s="122"/>
      <c r="OTV889" s="122"/>
      <c r="OTW889" s="122"/>
      <c r="OTX889" s="122"/>
      <c r="OTY889" s="122"/>
      <c r="OTZ889" s="122"/>
      <c r="OUA889" s="122"/>
      <c r="OUB889" s="122"/>
      <c r="OUC889" s="122"/>
      <c r="OUD889" s="122"/>
      <c r="OUE889" s="122"/>
      <c r="OUF889" s="122"/>
      <c r="OUG889" s="122"/>
      <c r="OUH889" s="122"/>
      <c r="OUI889" s="122"/>
      <c r="OUJ889" s="122"/>
      <c r="OUK889" s="122"/>
      <c r="OUL889" s="122"/>
      <c r="OUM889" s="122"/>
      <c r="OUN889" s="122"/>
      <c r="OUO889" s="122"/>
      <c r="OUP889" s="122"/>
      <c r="OUQ889" s="122"/>
      <c r="OUR889" s="122"/>
      <c r="OUS889" s="122"/>
      <c r="OUT889" s="122"/>
      <c r="OUU889" s="122"/>
      <c r="OUV889" s="122"/>
      <c r="OUW889" s="122"/>
      <c r="OUX889" s="122"/>
      <c r="OUY889" s="122"/>
      <c r="OUZ889" s="122"/>
      <c r="OVA889" s="122"/>
      <c r="OVB889" s="122"/>
      <c r="OVC889" s="122"/>
      <c r="OVD889" s="122"/>
      <c r="OVE889" s="122"/>
      <c r="OVF889" s="122"/>
      <c r="OVG889" s="122"/>
      <c r="OVH889" s="122"/>
      <c r="OVI889" s="122"/>
      <c r="OVJ889" s="122"/>
      <c r="OVK889" s="122"/>
      <c r="OVL889" s="122"/>
      <c r="OVM889" s="122"/>
      <c r="OVN889" s="122"/>
      <c r="OVO889" s="122"/>
      <c r="OVP889" s="122"/>
      <c r="OVQ889" s="122"/>
      <c r="OVR889" s="122"/>
      <c r="OVS889" s="122"/>
      <c r="OVT889" s="122"/>
      <c r="OVU889" s="122"/>
      <c r="OVV889" s="122"/>
      <c r="OVW889" s="122"/>
      <c r="OVX889" s="122"/>
      <c r="OVY889" s="122"/>
      <c r="OVZ889" s="122"/>
      <c r="OWA889" s="122"/>
      <c r="OWB889" s="122"/>
      <c r="OWC889" s="122"/>
      <c r="OWD889" s="122"/>
      <c r="OWE889" s="122"/>
      <c r="OWF889" s="122"/>
      <c r="OWG889" s="122"/>
      <c r="OWH889" s="122"/>
      <c r="OWI889" s="122"/>
      <c r="OWJ889" s="122"/>
      <c r="OWK889" s="122"/>
      <c r="OWL889" s="122"/>
      <c r="OWM889" s="122"/>
      <c r="OWN889" s="122"/>
      <c r="OWO889" s="122"/>
      <c r="OWP889" s="122"/>
      <c r="OWQ889" s="122"/>
      <c r="OWR889" s="122"/>
      <c r="OWS889" s="122"/>
      <c r="OWT889" s="122"/>
      <c r="OWU889" s="122"/>
      <c r="OWV889" s="122"/>
      <c r="OWW889" s="122"/>
      <c r="OWX889" s="122"/>
      <c r="OWY889" s="122"/>
      <c r="OWZ889" s="122"/>
      <c r="OXA889" s="122"/>
      <c r="OXB889" s="122"/>
      <c r="OXC889" s="122"/>
      <c r="OXD889" s="122"/>
      <c r="OXE889" s="122"/>
      <c r="OXF889" s="122"/>
      <c r="OXG889" s="122"/>
      <c r="OXH889" s="122"/>
      <c r="OXI889" s="122"/>
      <c r="OXJ889" s="122"/>
      <c r="OXK889" s="122"/>
      <c r="OXL889" s="122"/>
      <c r="OXM889" s="122"/>
      <c r="OXN889" s="122"/>
      <c r="OXO889" s="122"/>
      <c r="OXP889" s="122"/>
      <c r="OXQ889" s="122"/>
      <c r="OXR889" s="122"/>
      <c r="OXS889" s="122"/>
      <c r="OXT889" s="122"/>
      <c r="OXU889" s="122"/>
      <c r="OXV889" s="122"/>
      <c r="OXW889" s="122"/>
      <c r="OXX889" s="122"/>
      <c r="OXY889" s="122"/>
      <c r="OXZ889" s="122"/>
      <c r="OYA889" s="122"/>
      <c r="OYB889" s="122"/>
      <c r="OYC889" s="122"/>
      <c r="OYD889" s="122"/>
      <c r="OYE889" s="122"/>
      <c r="OYF889" s="122"/>
      <c r="OYG889" s="122"/>
      <c r="OYH889" s="122"/>
      <c r="OYI889" s="122"/>
      <c r="OYJ889" s="122"/>
      <c r="OYK889" s="122"/>
      <c r="OYL889" s="122"/>
      <c r="OYM889" s="122"/>
      <c r="OYN889" s="122"/>
      <c r="OYO889" s="122"/>
      <c r="OYP889" s="122"/>
      <c r="OYQ889" s="122"/>
      <c r="OYR889" s="122"/>
      <c r="OYS889" s="122"/>
      <c r="OYT889" s="122"/>
      <c r="OYU889" s="122"/>
      <c r="OYV889" s="122"/>
      <c r="OYW889" s="122"/>
      <c r="OYX889" s="122"/>
      <c r="OYY889" s="122"/>
      <c r="OYZ889" s="122"/>
      <c r="OZA889" s="122"/>
      <c r="OZB889" s="122"/>
      <c r="OZC889" s="122"/>
      <c r="OZD889" s="122"/>
      <c r="OZE889" s="122"/>
      <c r="OZF889" s="122"/>
      <c r="OZG889" s="122"/>
      <c r="OZH889" s="122"/>
      <c r="OZI889" s="122"/>
      <c r="OZJ889" s="122"/>
      <c r="OZK889" s="122"/>
      <c r="OZL889" s="122"/>
      <c r="OZM889" s="122"/>
      <c r="OZN889" s="122"/>
      <c r="OZO889" s="122"/>
      <c r="OZP889" s="122"/>
      <c r="OZQ889" s="122"/>
      <c r="OZR889" s="122"/>
      <c r="OZS889" s="122"/>
      <c r="OZT889" s="122"/>
      <c r="OZU889" s="122"/>
      <c r="OZV889" s="122"/>
      <c r="OZW889" s="122"/>
      <c r="OZX889" s="122"/>
      <c r="OZY889" s="122"/>
      <c r="OZZ889" s="122"/>
      <c r="PAA889" s="122"/>
      <c r="PAB889" s="122"/>
      <c r="PAC889" s="122"/>
      <c r="PAD889" s="122"/>
      <c r="PAE889" s="122"/>
      <c r="PAF889" s="122"/>
      <c r="PAG889" s="122"/>
      <c r="PAH889" s="122"/>
      <c r="PAI889" s="122"/>
      <c r="PAJ889" s="122"/>
      <c r="PAK889" s="122"/>
      <c r="PAL889" s="122"/>
      <c r="PAM889" s="122"/>
      <c r="PAN889" s="122"/>
      <c r="PAO889" s="122"/>
      <c r="PAP889" s="122"/>
      <c r="PAQ889" s="122"/>
      <c r="PAR889" s="122"/>
      <c r="PAS889" s="122"/>
      <c r="PAT889" s="122"/>
      <c r="PAU889" s="122"/>
      <c r="PAV889" s="122"/>
      <c r="PAW889" s="122"/>
      <c r="PAX889" s="122"/>
      <c r="PAY889" s="122"/>
      <c r="PAZ889" s="122"/>
      <c r="PBA889" s="122"/>
      <c r="PBB889" s="122"/>
      <c r="PBC889" s="122"/>
      <c r="PBD889" s="122"/>
      <c r="PBE889" s="122"/>
      <c r="PBF889" s="122"/>
      <c r="PBG889" s="122"/>
      <c r="PBH889" s="122"/>
      <c r="PBI889" s="122"/>
      <c r="PBJ889" s="122"/>
      <c r="PBK889" s="122"/>
      <c r="PBL889" s="122"/>
      <c r="PBM889" s="122"/>
      <c r="PBN889" s="122"/>
      <c r="PBO889" s="122"/>
      <c r="PBP889" s="122"/>
      <c r="PBQ889" s="122"/>
      <c r="PBR889" s="122"/>
      <c r="PBS889" s="122"/>
      <c r="PBT889" s="122"/>
      <c r="PBU889" s="122"/>
      <c r="PBV889" s="122"/>
      <c r="PBW889" s="122"/>
      <c r="PBX889" s="122"/>
      <c r="PBY889" s="122"/>
      <c r="PBZ889" s="122"/>
      <c r="PCA889" s="122"/>
      <c r="PCB889" s="122"/>
      <c r="PCC889" s="122"/>
      <c r="PCD889" s="122"/>
      <c r="PCE889" s="122"/>
      <c r="PCF889" s="122"/>
      <c r="PCG889" s="122"/>
      <c r="PCH889" s="122"/>
      <c r="PCI889" s="122"/>
      <c r="PCJ889" s="122"/>
      <c r="PCK889" s="122"/>
      <c r="PCL889" s="122"/>
      <c r="PCM889" s="122"/>
      <c r="PCN889" s="122"/>
      <c r="PCO889" s="122"/>
      <c r="PCP889" s="122"/>
      <c r="PCQ889" s="122"/>
      <c r="PCR889" s="122"/>
      <c r="PCS889" s="122"/>
      <c r="PCT889" s="122"/>
      <c r="PCU889" s="122"/>
      <c r="PCV889" s="122"/>
      <c r="PCW889" s="122"/>
      <c r="PCX889" s="122"/>
      <c r="PCY889" s="122"/>
      <c r="PCZ889" s="122"/>
      <c r="PDA889" s="122"/>
      <c r="PDB889" s="122"/>
      <c r="PDC889" s="122"/>
      <c r="PDD889" s="122"/>
      <c r="PDE889" s="122"/>
      <c r="PDF889" s="122"/>
      <c r="PDG889" s="122"/>
      <c r="PDH889" s="122"/>
      <c r="PDI889" s="122"/>
      <c r="PDJ889" s="122"/>
      <c r="PDK889" s="122"/>
      <c r="PDL889" s="122"/>
      <c r="PDM889" s="122"/>
      <c r="PDN889" s="122"/>
      <c r="PDO889" s="122"/>
      <c r="PDP889" s="122"/>
      <c r="PDQ889" s="122"/>
      <c r="PDR889" s="122"/>
      <c r="PDS889" s="122"/>
      <c r="PDT889" s="122"/>
      <c r="PDU889" s="122"/>
      <c r="PDV889" s="122"/>
      <c r="PDW889" s="122"/>
      <c r="PDX889" s="122"/>
      <c r="PDY889" s="122"/>
      <c r="PDZ889" s="122"/>
      <c r="PEA889" s="122"/>
      <c r="PEB889" s="122"/>
      <c r="PEC889" s="122"/>
      <c r="PED889" s="122"/>
      <c r="PEE889" s="122"/>
      <c r="PEF889" s="122"/>
      <c r="PEG889" s="122"/>
      <c r="PEH889" s="122"/>
      <c r="PEI889" s="122"/>
      <c r="PEJ889" s="122"/>
      <c r="PEK889" s="122"/>
      <c r="PEL889" s="122"/>
      <c r="PEM889" s="122"/>
      <c r="PEN889" s="122"/>
      <c r="PEO889" s="122"/>
      <c r="PEP889" s="122"/>
      <c r="PEQ889" s="122"/>
      <c r="PER889" s="122"/>
      <c r="PES889" s="122"/>
      <c r="PET889" s="122"/>
      <c r="PEU889" s="122"/>
      <c r="PEV889" s="122"/>
      <c r="PEW889" s="122"/>
      <c r="PEX889" s="122"/>
      <c r="PEY889" s="122"/>
      <c r="PEZ889" s="122"/>
      <c r="PFA889" s="122"/>
      <c r="PFB889" s="122"/>
      <c r="PFC889" s="122"/>
      <c r="PFD889" s="122"/>
      <c r="PFE889" s="122"/>
      <c r="PFF889" s="122"/>
      <c r="PFG889" s="122"/>
      <c r="PFH889" s="122"/>
      <c r="PFI889" s="122"/>
      <c r="PFJ889" s="122"/>
      <c r="PFK889" s="122"/>
      <c r="PFL889" s="122"/>
      <c r="PFM889" s="122"/>
      <c r="PFN889" s="122"/>
      <c r="PFO889" s="122"/>
      <c r="PFP889" s="122"/>
      <c r="PFQ889" s="122"/>
      <c r="PFR889" s="122"/>
      <c r="PFS889" s="122"/>
      <c r="PFT889" s="122"/>
      <c r="PFU889" s="122"/>
      <c r="PFV889" s="122"/>
      <c r="PFW889" s="122"/>
      <c r="PFX889" s="122"/>
      <c r="PFY889" s="122"/>
      <c r="PFZ889" s="122"/>
      <c r="PGA889" s="122"/>
      <c r="PGB889" s="122"/>
      <c r="PGC889" s="122"/>
      <c r="PGD889" s="122"/>
      <c r="PGE889" s="122"/>
      <c r="PGF889" s="122"/>
      <c r="PGG889" s="122"/>
      <c r="PGH889" s="122"/>
      <c r="PGI889" s="122"/>
      <c r="PGJ889" s="122"/>
      <c r="PGK889" s="122"/>
      <c r="PGL889" s="122"/>
      <c r="PGM889" s="122"/>
      <c r="PGN889" s="122"/>
      <c r="PGO889" s="122"/>
      <c r="PGP889" s="122"/>
      <c r="PGQ889" s="122"/>
      <c r="PGR889" s="122"/>
      <c r="PGS889" s="122"/>
      <c r="PGT889" s="122"/>
      <c r="PGU889" s="122"/>
      <c r="PGV889" s="122"/>
      <c r="PGW889" s="122"/>
      <c r="PGX889" s="122"/>
      <c r="PGY889" s="122"/>
      <c r="PGZ889" s="122"/>
      <c r="PHA889" s="122"/>
      <c r="PHB889" s="122"/>
      <c r="PHC889" s="122"/>
      <c r="PHD889" s="122"/>
      <c r="PHE889" s="122"/>
      <c r="PHF889" s="122"/>
      <c r="PHG889" s="122"/>
      <c r="PHH889" s="122"/>
      <c r="PHI889" s="122"/>
      <c r="PHJ889" s="122"/>
      <c r="PHK889" s="122"/>
      <c r="PHL889" s="122"/>
      <c r="PHM889" s="122"/>
      <c r="PHN889" s="122"/>
      <c r="PHO889" s="122"/>
      <c r="PHP889" s="122"/>
      <c r="PHQ889" s="122"/>
      <c r="PHR889" s="122"/>
      <c r="PHS889" s="122"/>
      <c r="PHT889" s="122"/>
      <c r="PHU889" s="122"/>
      <c r="PHV889" s="122"/>
      <c r="PHW889" s="122"/>
      <c r="PHX889" s="122"/>
      <c r="PHY889" s="122"/>
      <c r="PHZ889" s="122"/>
      <c r="PIA889" s="122"/>
      <c r="PIB889" s="122"/>
      <c r="PIC889" s="122"/>
      <c r="PID889" s="122"/>
      <c r="PIE889" s="122"/>
      <c r="PIF889" s="122"/>
      <c r="PIG889" s="122"/>
      <c r="PIH889" s="122"/>
      <c r="PII889" s="122"/>
      <c r="PIJ889" s="122"/>
      <c r="PIK889" s="122"/>
      <c r="PIL889" s="122"/>
      <c r="PIM889" s="122"/>
      <c r="PIN889" s="122"/>
      <c r="PIO889" s="122"/>
      <c r="PIP889" s="122"/>
      <c r="PIQ889" s="122"/>
      <c r="PIR889" s="122"/>
      <c r="PIS889" s="122"/>
      <c r="PIT889" s="122"/>
      <c r="PIU889" s="122"/>
      <c r="PIV889" s="122"/>
      <c r="PIW889" s="122"/>
      <c r="PIX889" s="122"/>
      <c r="PIY889" s="122"/>
      <c r="PIZ889" s="122"/>
      <c r="PJA889" s="122"/>
      <c r="PJB889" s="122"/>
      <c r="PJC889" s="122"/>
      <c r="PJD889" s="122"/>
      <c r="PJE889" s="122"/>
      <c r="PJF889" s="122"/>
      <c r="PJG889" s="122"/>
      <c r="PJH889" s="122"/>
      <c r="PJI889" s="122"/>
      <c r="PJJ889" s="122"/>
      <c r="PJK889" s="122"/>
      <c r="PJL889" s="122"/>
      <c r="PJM889" s="122"/>
      <c r="PJN889" s="122"/>
      <c r="PJO889" s="122"/>
      <c r="PJP889" s="122"/>
      <c r="PJQ889" s="122"/>
      <c r="PJR889" s="122"/>
      <c r="PJS889" s="122"/>
      <c r="PJT889" s="122"/>
      <c r="PJU889" s="122"/>
      <c r="PJV889" s="122"/>
      <c r="PJW889" s="122"/>
      <c r="PJX889" s="122"/>
      <c r="PJY889" s="122"/>
      <c r="PJZ889" s="122"/>
      <c r="PKA889" s="122"/>
      <c r="PKB889" s="122"/>
      <c r="PKC889" s="122"/>
      <c r="PKD889" s="122"/>
      <c r="PKE889" s="122"/>
      <c r="PKF889" s="122"/>
      <c r="PKG889" s="122"/>
      <c r="PKH889" s="122"/>
      <c r="PKI889" s="122"/>
      <c r="PKJ889" s="122"/>
      <c r="PKK889" s="122"/>
      <c r="PKL889" s="122"/>
      <c r="PKM889" s="122"/>
      <c r="PKN889" s="122"/>
      <c r="PKO889" s="122"/>
      <c r="PKP889" s="122"/>
      <c r="PKQ889" s="122"/>
      <c r="PKR889" s="122"/>
      <c r="PKS889" s="122"/>
      <c r="PKT889" s="122"/>
      <c r="PKU889" s="122"/>
      <c r="PKV889" s="122"/>
      <c r="PKW889" s="122"/>
      <c r="PKX889" s="122"/>
      <c r="PKY889" s="122"/>
      <c r="PKZ889" s="122"/>
      <c r="PLA889" s="122"/>
      <c r="PLB889" s="122"/>
      <c r="PLC889" s="122"/>
      <c r="PLD889" s="122"/>
      <c r="PLE889" s="122"/>
      <c r="PLF889" s="122"/>
      <c r="PLG889" s="122"/>
      <c r="PLH889" s="122"/>
      <c r="PLI889" s="122"/>
      <c r="PLJ889" s="122"/>
      <c r="PLK889" s="122"/>
      <c r="PLL889" s="122"/>
      <c r="PLM889" s="122"/>
      <c r="PLN889" s="122"/>
      <c r="PLO889" s="122"/>
      <c r="PLP889" s="122"/>
      <c r="PLQ889" s="122"/>
      <c r="PLR889" s="122"/>
      <c r="PLS889" s="122"/>
      <c r="PLT889" s="122"/>
      <c r="PLU889" s="122"/>
      <c r="PLV889" s="122"/>
      <c r="PLW889" s="122"/>
      <c r="PLX889" s="122"/>
      <c r="PLY889" s="122"/>
      <c r="PLZ889" s="122"/>
      <c r="PMA889" s="122"/>
      <c r="PMB889" s="122"/>
      <c r="PMC889" s="122"/>
      <c r="PMD889" s="122"/>
      <c r="PME889" s="122"/>
      <c r="PMF889" s="122"/>
      <c r="PMG889" s="122"/>
      <c r="PMH889" s="122"/>
      <c r="PMI889" s="122"/>
      <c r="PMJ889" s="122"/>
      <c r="PMK889" s="122"/>
      <c r="PML889" s="122"/>
      <c r="PMM889" s="122"/>
      <c r="PMN889" s="122"/>
      <c r="PMO889" s="122"/>
      <c r="PMP889" s="122"/>
      <c r="PMQ889" s="122"/>
      <c r="PMR889" s="122"/>
      <c r="PMS889" s="122"/>
      <c r="PMT889" s="122"/>
      <c r="PMU889" s="122"/>
      <c r="PMV889" s="122"/>
      <c r="PMW889" s="122"/>
      <c r="PMX889" s="122"/>
      <c r="PMY889" s="122"/>
      <c r="PMZ889" s="122"/>
      <c r="PNA889" s="122"/>
      <c r="PNB889" s="122"/>
      <c r="PNC889" s="122"/>
      <c r="PND889" s="122"/>
      <c r="PNE889" s="122"/>
      <c r="PNF889" s="122"/>
      <c r="PNG889" s="122"/>
      <c r="PNH889" s="122"/>
      <c r="PNI889" s="122"/>
      <c r="PNJ889" s="122"/>
      <c r="PNK889" s="122"/>
      <c r="PNL889" s="122"/>
      <c r="PNM889" s="122"/>
      <c r="PNN889" s="122"/>
      <c r="PNO889" s="122"/>
      <c r="PNP889" s="122"/>
      <c r="PNQ889" s="122"/>
      <c r="PNR889" s="122"/>
      <c r="PNS889" s="122"/>
      <c r="PNT889" s="122"/>
      <c r="PNU889" s="122"/>
      <c r="PNV889" s="122"/>
      <c r="PNW889" s="122"/>
      <c r="PNX889" s="122"/>
      <c r="PNY889" s="122"/>
      <c r="PNZ889" s="122"/>
      <c r="POA889" s="122"/>
      <c r="POB889" s="122"/>
      <c r="POC889" s="122"/>
      <c r="POD889" s="122"/>
      <c r="POE889" s="122"/>
      <c r="POF889" s="122"/>
      <c r="POG889" s="122"/>
      <c r="POH889" s="122"/>
      <c r="POI889" s="122"/>
      <c r="POJ889" s="122"/>
      <c r="POK889" s="122"/>
      <c r="POL889" s="122"/>
      <c r="POM889" s="122"/>
      <c r="PON889" s="122"/>
      <c r="POO889" s="122"/>
      <c r="POP889" s="122"/>
      <c r="POQ889" s="122"/>
      <c r="POR889" s="122"/>
      <c r="POS889" s="122"/>
      <c r="POT889" s="122"/>
      <c r="POU889" s="122"/>
      <c r="POV889" s="122"/>
      <c r="POW889" s="122"/>
      <c r="POX889" s="122"/>
      <c r="POY889" s="122"/>
      <c r="POZ889" s="122"/>
      <c r="PPA889" s="122"/>
      <c r="PPB889" s="122"/>
      <c r="PPC889" s="122"/>
      <c r="PPD889" s="122"/>
      <c r="PPE889" s="122"/>
      <c r="PPF889" s="122"/>
      <c r="PPG889" s="122"/>
      <c r="PPH889" s="122"/>
      <c r="PPI889" s="122"/>
      <c r="PPJ889" s="122"/>
      <c r="PPK889" s="122"/>
      <c r="PPL889" s="122"/>
      <c r="PPM889" s="122"/>
      <c r="PPN889" s="122"/>
      <c r="PPO889" s="122"/>
      <c r="PPP889" s="122"/>
      <c r="PPQ889" s="122"/>
      <c r="PPR889" s="122"/>
      <c r="PPS889" s="122"/>
      <c r="PPT889" s="122"/>
      <c r="PPU889" s="122"/>
      <c r="PPV889" s="122"/>
      <c r="PPW889" s="122"/>
      <c r="PPX889" s="122"/>
      <c r="PPY889" s="122"/>
      <c r="PPZ889" s="122"/>
      <c r="PQA889" s="122"/>
      <c r="PQB889" s="122"/>
      <c r="PQC889" s="122"/>
      <c r="PQD889" s="122"/>
      <c r="PQE889" s="122"/>
      <c r="PQF889" s="122"/>
      <c r="PQG889" s="122"/>
      <c r="PQH889" s="122"/>
      <c r="PQI889" s="122"/>
      <c r="PQJ889" s="122"/>
      <c r="PQK889" s="122"/>
      <c r="PQL889" s="122"/>
      <c r="PQM889" s="122"/>
      <c r="PQN889" s="122"/>
      <c r="PQO889" s="122"/>
      <c r="PQP889" s="122"/>
      <c r="PQQ889" s="122"/>
      <c r="PQR889" s="122"/>
      <c r="PQS889" s="122"/>
      <c r="PQT889" s="122"/>
      <c r="PQU889" s="122"/>
      <c r="PQV889" s="122"/>
      <c r="PQW889" s="122"/>
      <c r="PQX889" s="122"/>
      <c r="PQY889" s="122"/>
      <c r="PQZ889" s="122"/>
      <c r="PRA889" s="122"/>
      <c r="PRB889" s="122"/>
      <c r="PRC889" s="122"/>
      <c r="PRD889" s="122"/>
      <c r="PRE889" s="122"/>
      <c r="PRF889" s="122"/>
      <c r="PRG889" s="122"/>
      <c r="PRH889" s="122"/>
      <c r="PRI889" s="122"/>
      <c r="PRJ889" s="122"/>
      <c r="PRK889" s="122"/>
      <c r="PRL889" s="122"/>
      <c r="PRM889" s="122"/>
      <c r="PRN889" s="122"/>
      <c r="PRO889" s="122"/>
      <c r="PRP889" s="122"/>
      <c r="PRQ889" s="122"/>
      <c r="PRR889" s="122"/>
      <c r="PRS889" s="122"/>
      <c r="PRT889" s="122"/>
      <c r="PRU889" s="122"/>
      <c r="PRV889" s="122"/>
      <c r="PRW889" s="122"/>
      <c r="PRX889" s="122"/>
      <c r="PRY889" s="122"/>
      <c r="PRZ889" s="122"/>
      <c r="PSA889" s="122"/>
      <c r="PSB889" s="122"/>
      <c r="PSC889" s="122"/>
      <c r="PSD889" s="122"/>
      <c r="PSE889" s="122"/>
      <c r="PSF889" s="122"/>
      <c r="PSG889" s="122"/>
      <c r="PSH889" s="122"/>
      <c r="PSI889" s="122"/>
      <c r="PSJ889" s="122"/>
      <c r="PSK889" s="122"/>
      <c r="PSL889" s="122"/>
      <c r="PSM889" s="122"/>
      <c r="PSN889" s="122"/>
      <c r="PSO889" s="122"/>
      <c r="PSP889" s="122"/>
      <c r="PSQ889" s="122"/>
      <c r="PSR889" s="122"/>
      <c r="PSS889" s="122"/>
      <c r="PST889" s="122"/>
      <c r="PSU889" s="122"/>
      <c r="PSV889" s="122"/>
      <c r="PSW889" s="122"/>
      <c r="PSX889" s="122"/>
      <c r="PSY889" s="122"/>
      <c r="PSZ889" s="122"/>
      <c r="PTA889" s="122"/>
      <c r="PTB889" s="122"/>
      <c r="PTC889" s="122"/>
      <c r="PTD889" s="122"/>
      <c r="PTE889" s="122"/>
      <c r="PTF889" s="122"/>
      <c r="PTG889" s="122"/>
      <c r="PTH889" s="122"/>
      <c r="PTI889" s="122"/>
      <c r="PTJ889" s="122"/>
      <c r="PTK889" s="122"/>
      <c r="PTL889" s="122"/>
      <c r="PTM889" s="122"/>
      <c r="PTN889" s="122"/>
      <c r="PTO889" s="122"/>
      <c r="PTP889" s="122"/>
      <c r="PTQ889" s="122"/>
      <c r="PTR889" s="122"/>
      <c r="PTS889" s="122"/>
      <c r="PTT889" s="122"/>
      <c r="PTU889" s="122"/>
      <c r="PTV889" s="122"/>
      <c r="PTW889" s="122"/>
      <c r="PTX889" s="122"/>
      <c r="PTY889" s="122"/>
      <c r="PTZ889" s="122"/>
      <c r="PUA889" s="122"/>
      <c r="PUB889" s="122"/>
      <c r="PUC889" s="122"/>
      <c r="PUD889" s="122"/>
      <c r="PUE889" s="122"/>
      <c r="PUF889" s="122"/>
      <c r="PUG889" s="122"/>
      <c r="PUH889" s="122"/>
      <c r="PUI889" s="122"/>
      <c r="PUJ889" s="122"/>
      <c r="PUK889" s="122"/>
      <c r="PUL889" s="122"/>
      <c r="PUM889" s="122"/>
      <c r="PUN889" s="122"/>
      <c r="PUO889" s="122"/>
      <c r="PUP889" s="122"/>
      <c r="PUQ889" s="122"/>
      <c r="PUR889" s="122"/>
      <c r="PUS889" s="122"/>
      <c r="PUT889" s="122"/>
      <c r="PUU889" s="122"/>
      <c r="PUV889" s="122"/>
      <c r="PUW889" s="122"/>
      <c r="PUX889" s="122"/>
      <c r="PUY889" s="122"/>
      <c r="PUZ889" s="122"/>
      <c r="PVA889" s="122"/>
      <c r="PVB889" s="122"/>
      <c r="PVC889" s="122"/>
      <c r="PVD889" s="122"/>
      <c r="PVE889" s="122"/>
      <c r="PVF889" s="122"/>
      <c r="PVG889" s="122"/>
      <c r="PVH889" s="122"/>
      <c r="PVI889" s="122"/>
      <c r="PVJ889" s="122"/>
      <c r="PVK889" s="122"/>
      <c r="PVL889" s="122"/>
      <c r="PVM889" s="122"/>
      <c r="PVN889" s="122"/>
      <c r="PVO889" s="122"/>
      <c r="PVP889" s="122"/>
      <c r="PVQ889" s="122"/>
      <c r="PVR889" s="122"/>
      <c r="PVS889" s="122"/>
      <c r="PVT889" s="122"/>
      <c r="PVU889" s="122"/>
      <c r="PVV889" s="122"/>
      <c r="PVW889" s="122"/>
      <c r="PVX889" s="122"/>
      <c r="PVY889" s="122"/>
      <c r="PVZ889" s="122"/>
      <c r="PWA889" s="122"/>
      <c r="PWB889" s="122"/>
      <c r="PWC889" s="122"/>
      <c r="PWD889" s="122"/>
      <c r="PWE889" s="122"/>
      <c r="PWF889" s="122"/>
      <c r="PWG889" s="122"/>
      <c r="PWH889" s="122"/>
      <c r="PWI889" s="122"/>
      <c r="PWJ889" s="122"/>
      <c r="PWK889" s="122"/>
      <c r="PWL889" s="122"/>
      <c r="PWM889" s="122"/>
      <c r="PWN889" s="122"/>
      <c r="PWO889" s="122"/>
      <c r="PWP889" s="122"/>
      <c r="PWQ889" s="122"/>
      <c r="PWR889" s="122"/>
      <c r="PWS889" s="122"/>
      <c r="PWT889" s="122"/>
      <c r="PWU889" s="122"/>
      <c r="PWV889" s="122"/>
      <c r="PWW889" s="122"/>
      <c r="PWX889" s="122"/>
      <c r="PWY889" s="122"/>
      <c r="PWZ889" s="122"/>
      <c r="PXA889" s="122"/>
      <c r="PXB889" s="122"/>
      <c r="PXC889" s="122"/>
      <c r="PXD889" s="122"/>
      <c r="PXE889" s="122"/>
      <c r="PXF889" s="122"/>
      <c r="PXG889" s="122"/>
      <c r="PXH889" s="122"/>
      <c r="PXI889" s="122"/>
      <c r="PXJ889" s="122"/>
      <c r="PXK889" s="122"/>
      <c r="PXL889" s="122"/>
      <c r="PXM889" s="122"/>
      <c r="PXN889" s="122"/>
      <c r="PXO889" s="122"/>
      <c r="PXP889" s="122"/>
      <c r="PXQ889" s="122"/>
      <c r="PXR889" s="122"/>
      <c r="PXS889" s="122"/>
      <c r="PXT889" s="122"/>
      <c r="PXU889" s="122"/>
      <c r="PXV889" s="122"/>
      <c r="PXW889" s="122"/>
      <c r="PXX889" s="122"/>
      <c r="PXY889" s="122"/>
      <c r="PXZ889" s="122"/>
      <c r="PYA889" s="122"/>
      <c r="PYB889" s="122"/>
      <c r="PYC889" s="122"/>
      <c r="PYD889" s="122"/>
      <c r="PYE889" s="122"/>
      <c r="PYF889" s="122"/>
      <c r="PYG889" s="122"/>
      <c r="PYH889" s="122"/>
      <c r="PYI889" s="122"/>
      <c r="PYJ889" s="122"/>
      <c r="PYK889" s="122"/>
      <c r="PYL889" s="122"/>
      <c r="PYM889" s="122"/>
      <c r="PYN889" s="122"/>
      <c r="PYO889" s="122"/>
      <c r="PYP889" s="122"/>
      <c r="PYQ889" s="122"/>
      <c r="PYR889" s="122"/>
      <c r="PYS889" s="122"/>
      <c r="PYT889" s="122"/>
      <c r="PYU889" s="122"/>
      <c r="PYV889" s="122"/>
      <c r="PYW889" s="122"/>
      <c r="PYX889" s="122"/>
      <c r="PYY889" s="122"/>
      <c r="PYZ889" s="122"/>
      <c r="PZA889" s="122"/>
      <c r="PZB889" s="122"/>
      <c r="PZC889" s="122"/>
      <c r="PZD889" s="122"/>
      <c r="PZE889" s="122"/>
      <c r="PZF889" s="122"/>
      <c r="PZG889" s="122"/>
      <c r="PZH889" s="122"/>
      <c r="PZI889" s="122"/>
      <c r="PZJ889" s="122"/>
      <c r="PZK889" s="122"/>
      <c r="PZL889" s="122"/>
      <c r="PZM889" s="122"/>
      <c r="PZN889" s="122"/>
      <c r="PZO889" s="122"/>
      <c r="PZP889" s="122"/>
      <c r="PZQ889" s="122"/>
      <c r="PZR889" s="122"/>
      <c r="PZS889" s="122"/>
      <c r="PZT889" s="122"/>
      <c r="PZU889" s="122"/>
      <c r="PZV889" s="122"/>
      <c r="PZW889" s="122"/>
      <c r="PZX889" s="122"/>
      <c r="PZY889" s="122"/>
      <c r="PZZ889" s="122"/>
      <c r="QAA889" s="122"/>
      <c r="QAB889" s="122"/>
      <c r="QAC889" s="122"/>
      <c r="QAD889" s="122"/>
      <c r="QAE889" s="122"/>
      <c r="QAF889" s="122"/>
      <c r="QAG889" s="122"/>
      <c r="QAH889" s="122"/>
      <c r="QAI889" s="122"/>
      <c r="QAJ889" s="122"/>
      <c r="QAK889" s="122"/>
      <c r="QAL889" s="122"/>
      <c r="QAM889" s="122"/>
      <c r="QAN889" s="122"/>
      <c r="QAO889" s="122"/>
      <c r="QAP889" s="122"/>
      <c r="QAQ889" s="122"/>
      <c r="QAR889" s="122"/>
      <c r="QAS889" s="122"/>
      <c r="QAT889" s="122"/>
      <c r="QAU889" s="122"/>
      <c r="QAV889" s="122"/>
      <c r="QAW889" s="122"/>
      <c r="QAX889" s="122"/>
      <c r="QAY889" s="122"/>
      <c r="QAZ889" s="122"/>
      <c r="QBA889" s="122"/>
      <c r="QBB889" s="122"/>
      <c r="QBC889" s="122"/>
      <c r="QBD889" s="122"/>
      <c r="QBE889" s="122"/>
      <c r="QBF889" s="122"/>
      <c r="QBG889" s="122"/>
      <c r="QBH889" s="122"/>
      <c r="QBI889" s="122"/>
      <c r="QBJ889" s="122"/>
      <c r="QBK889" s="122"/>
      <c r="QBL889" s="122"/>
      <c r="QBM889" s="122"/>
      <c r="QBN889" s="122"/>
      <c r="QBO889" s="122"/>
      <c r="QBP889" s="122"/>
      <c r="QBQ889" s="122"/>
      <c r="QBR889" s="122"/>
      <c r="QBS889" s="122"/>
      <c r="QBT889" s="122"/>
      <c r="QBU889" s="122"/>
      <c r="QBV889" s="122"/>
      <c r="QBW889" s="122"/>
      <c r="QBX889" s="122"/>
      <c r="QBY889" s="122"/>
      <c r="QBZ889" s="122"/>
      <c r="QCA889" s="122"/>
      <c r="QCB889" s="122"/>
      <c r="QCC889" s="122"/>
      <c r="QCD889" s="122"/>
      <c r="QCE889" s="122"/>
      <c r="QCF889" s="122"/>
      <c r="QCG889" s="122"/>
      <c r="QCH889" s="122"/>
      <c r="QCI889" s="122"/>
      <c r="QCJ889" s="122"/>
      <c r="QCK889" s="122"/>
      <c r="QCL889" s="122"/>
      <c r="QCM889" s="122"/>
      <c r="QCN889" s="122"/>
      <c r="QCO889" s="122"/>
      <c r="QCP889" s="122"/>
      <c r="QCQ889" s="122"/>
      <c r="QCR889" s="122"/>
      <c r="QCS889" s="122"/>
      <c r="QCT889" s="122"/>
      <c r="QCU889" s="122"/>
      <c r="QCV889" s="122"/>
      <c r="QCW889" s="122"/>
      <c r="QCX889" s="122"/>
      <c r="QCY889" s="122"/>
      <c r="QCZ889" s="122"/>
      <c r="QDA889" s="122"/>
      <c r="QDB889" s="122"/>
      <c r="QDC889" s="122"/>
      <c r="QDD889" s="122"/>
      <c r="QDE889" s="122"/>
      <c r="QDF889" s="122"/>
      <c r="QDG889" s="122"/>
      <c r="QDH889" s="122"/>
      <c r="QDI889" s="122"/>
      <c r="QDJ889" s="122"/>
      <c r="QDK889" s="122"/>
      <c r="QDL889" s="122"/>
      <c r="QDM889" s="122"/>
      <c r="QDN889" s="122"/>
      <c r="QDO889" s="122"/>
      <c r="QDP889" s="122"/>
      <c r="QDQ889" s="122"/>
      <c r="QDR889" s="122"/>
      <c r="QDS889" s="122"/>
      <c r="QDT889" s="122"/>
      <c r="QDU889" s="122"/>
      <c r="QDV889" s="122"/>
      <c r="QDW889" s="122"/>
      <c r="QDX889" s="122"/>
      <c r="QDY889" s="122"/>
      <c r="QDZ889" s="122"/>
      <c r="QEA889" s="122"/>
      <c r="QEB889" s="122"/>
      <c r="QEC889" s="122"/>
      <c r="QED889" s="122"/>
      <c r="QEE889" s="122"/>
      <c r="QEF889" s="122"/>
      <c r="QEG889" s="122"/>
      <c r="QEH889" s="122"/>
      <c r="QEI889" s="122"/>
      <c r="QEJ889" s="122"/>
      <c r="QEK889" s="122"/>
      <c r="QEL889" s="122"/>
      <c r="QEM889" s="122"/>
      <c r="QEN889" s="122"/>
      <c r="QEO889" s="122"/>
      <c r="QEP889" s="122"/>
      <c r="QEQ889" s="122"/>
      <c r="QER889" s="122"/>
      <c r="QES889" s="122"/>
      <c r="QET889" s="122"/>
      <c r="QEU889" s="122"/>
      <c r="QEV889" s="122"/>
      <c r="QEW889" s="122"/>
      <c r="QEX889" s="122"/>
      <c r="QEY889" s="122"/>
      <c r="QEZ889" s="122"/>
      <c r="QFA889" s="122"/>
      <c r="QFB889" s="122"/>
      <c r="QFC889" s="122"/>
      <c r="QFD889" s="122"/>
      <c r="QFE889" s="122"/>
      <c r="QFF889" s="122"/>
      <c r="QFG889" s="122"/>
      <c r="QFH889" s="122"/>
      <c r="QFI889" s="122"/>
      <c r="QFJ889" s="122"/>
      <c r="QFK889" s="122"/>
      <c r="QFL889" s="122"/>
      <c r="QFM889" s="122"/>
      <c r="QFN889" s="122"/>
      <c r="QFO889" s="122"/>
      <c r="QFP889" s="122"/>
      <c r="QFQ889" s="122"/>
      <c r="QFR889" s="122"/>
      <c r="QFS889" s="122"/>
      <c r="QFT889" s="122"/>
      <c r="QFU889" s="122"/>
      <c r="QFV889" s="122"/>
      <c r="QFW889" s="122"/>
      <c r="QFX889" s="122"/>
      <c r="QFY889" s="122"/>
      <c r="QFZ889" s="122"/>
      <c r="QGA889" s="122"/>
      <c r="QGB889" s="122"/>
      <c r="QGC889" s="122"/>
      <c r="QGD889" s="122"/>
      <c r="QGE889" s="122"/>
      <c r="QGF889" s="122"/>
      <c r="QGG889" s="122"/>
      <c r="QGH889" s="122"/>
      <c r="QGI889" s="122"/>
      <c r="QGJ889" s="122"/>
      <c r="QGK889" s="122"/>
      <c r="QGL889" s="122"/>
      <c r="QGM889" s="122"/>
      <c r="QGN889" s="122"/>
      <c r="QGO889" s="122"/>
      <c r="QGP889" s="122"/>
      <c r="QGQ889" s="122"/>
      <c r="QGR889" s="122"/>
      <c r="QGS889" s="122"/>
      <c r="QGT889" s="122"/>
      <c r="QGU889" s="122"/>
      <c r="QGV889" s="122"/>
      <c r="QGW889" s="122"/>
      <c r="QGX889" s="122"/>
      <c r="QGY889" s="122"/>
      <c r="QGZ889" s="122"/>
      <c r="QHA889" s="122"/>
      <c r="QHB889" s="122"/>
      <c r="QHC889" s="122"/>
      <c r="QHD889" s="122"/>
      <c r="QHE889" s="122"/>
      <c r="QHF889" s="122"/>
      <c r="QHG889" s="122"/>
      <c r="QHH889" s="122"/>
      <c r="QHI889" s="122"/>
      <c r="QHJ889" s="122"/>
      <c r="QHK889" s="122"/>
      <c r="QHL889" s="122"/>
      <c r="QHM889" s="122"/>
      <c r="QHN889" s="122"/>
      <c r="QHO889" s="122"/>
      <c r="QHP889" s="122"/>
      <c r="QHQ889" s="122"/>
      <c r="QHR889" s="122"/>
      <c r="QHS889" s="122"/>
      <c r="QHT889" s="122"/>
      <c r="QHU889" s="122"/>
      <c r="QHV889" s="122"/>
      <c r="QHW889" s="122"/>
      <c r="QHX889" s="122"/>
      <c r="QHY889" s="122"/>
      <c r="QHZ889" s="122"/>
      <c r="QIA889" s="122"/>
      <c r="QIB889" s="122"/>
      <c r="QIC889" s="122"/>
      <c r="QID889" s="122"/>
      <c r="QIE889" s="122"/>
      <c r="QIF889" s="122"/>
      <c r="QIG889" s="122"/>
      <c r="QIH889" s="122"/>
      <c r="QII889" s="122"/>
      <c r="QIJ889" s="122"/>
      <c r="QIK889" s="122"/>
      <c r="QIL889" s="122"/>
      <c r="QIM889" s="122"/>
      <c r="QIN889" s="122"/>
      <c r="QIO889" s="122"/>
      <c r="QIP889" s="122"/>
      <c r="QIQ889" s="122"/>
      <c r="QIR889" s="122"/>
      <c r="QIS889" s="122"/>
      <c r="QIT889" s="122"/>
      <c r="QIU889" s="122"/>
      <c r="QIV889" s="122"/>
      <c r="QIW889" s="122"/>
      <c r="QIX889" s="122"/>
      <c r="QIY889" s="122"/>
      <c r="QIZ889" s="122"/>
      <c r="QJA889" s="122"/>
      <c r="QJB889" s="122"/>
      <c r="QJC889" s="122"/>
      <c r="QJD889" s="122"/>
      <c r="QJE889" s="122"/>
      <c r="QJF889" s="122"/>
      <c r="QJG889" s="122"/>
      <c r="QJH889" s="122"/>
      <c r="QJI889" s="122"/>
      <c r="QJJ889" s="122"/>
      <c r="QJK889" s="122"/>
      <c r="QJL889" s="122"/>
      <c r="QJM889" s="122"/>
      <c r="QJN889" s="122"/>
      <c r="QJO889" s="122"/>
      <c r="QJP889" s="122"/>
      <c r="QJQ889" s="122"/>
      <c r="QJR889" s="122"/>
      <c r="QJS889" s="122"/>
      <c r="QJT889" s="122"/>
      <c r="QJU889" s="122"/>
      <c r="QJV889" s="122"/>
      <c r="QJW889" s="122"/>
      <c r="QJX889" s="122"/>
      <c r="QJY889" s="122"/>
      <c r="QJZ889" s="122"/>
      <c r="QKA889" s="122"/>
      <c r="QKB889" s="122"/>
      <c r="QKC889" s="122"/>
      <c r="QKD889" s="122"/>
      <c r="QKE889" s="122"/>
      <c r="QKF889" s="122"/>
      <c r="QKG889" s="122"/>
      <c r="QKH889" s="122"/>
      <c r="QKI889" s="122"/>
      <c r="QKJ889" s="122"/>
      <c r="QKK889" s="122"/>
      <c r="QKL889" s="122"/>
      <c r="QKM889" s="122"/>
      <c r="QKN889" s="122"/>
      <c r="QKO889" s="122"/>
      <c r="QKP889" s="122"/>
      <c r="QKQ889" s="122"/>
      <c r="QKR889" s="122"/>
      <c r="QKS889" s="122"/>
      <c r="QKT889" s="122"/>
      <c r="QKU889" s="122"/>
      <c r="QKV889" s="122"/>
      <c r="QKW889" s="122"/>
      <c r="QKX889" s="122"/>
      <c r="QKY889" s="122"/>
      <c r="QKZ889" s="122"/>
      <c r="QLA889" s="122"/>
      <c r="QLB889" s="122"/>
      <c r="QLC889" s="122"/>
      <c r="QLD889" s="122"/>
      <c r="QLE889" s="122"/>
      <c r="QLF889" s="122"/>
      <c r="QLG889" s="122"/>
      <c r="QLH889" s="122"/>
      <c r="QLI889" s="122"/>
      <c r="QLJ889" s="122"/>
      <c r="QLK889" s="122"/>
      <c r="QLL889" s="122"/>
      <c r="QLM889" s="122"/>
      <c r="QLN889" s="122"/>
      <c r="QLO889" s="122"/>
      <c r="QLP889" s="122"/>
      <c r="QLQ889" s="122"/>
      <c r="QLR889" s="122"/>
      <c r="QLS889" s="122"/>
      <c r="QLT889" s="122"/>
      <c r="QLU889" s="122"/>
      <c r="QLV889" s="122"/>
      <c r="QLW889" s="122"/>
      <c r="QLX889" s="122"/>
      <c r="QLY889" s="122"/>
      <c r="QLZ889" s="122"/>
      <c r="QMA889" s="122"/>
      <c r="QMB889" s="122"/>
      <c r="QMC889" s="122"/>
      <c r="QMD889" s="122"/>
      <c r="QME889" s="122"/>
      <c r="QMF889" s="122"/>
      <c r="QMG889" s="122"/>
      <c r="QMH889" s="122"/>
      <c r="QMI889" s="122"/>
      <c r="QMJ889" s="122"/>
      <c r="QMK889" s="122"/>
      <c r="QML889" s="122"/>
      <c r="QMM889" s="122"/>
      <c r="QMN889" s="122"/>
      <c r="QMO889" s="122"/>
      <c r="QMP889" s="122"/>
      <c r="QMQ889" s="122"/>
      <c r="QMR889" s="122"/>
      <c r="QMS889" s="122"/>
      <c r="QMT889" s="122"/>
      <c r="QMU889" s="122"/>
      <c r="QMV889" s="122"/>
      <c r="QMW889" s="122"/>
      <c r="QMX889" s="122"/>
      <c r="QMY889" s="122"/>
      <c r="QMZ889" s="122"/>
      <c r="QNA889" s="122"/>
      <c r="QNB889" s="122"/>
      <c r="QNC889" s="122"/>
      <c r="QND889" s="122"/>
      <c r="QNE889" s="122"/>
      <c r="QNF889" s="122"/>
      <c r="QNG889" s="122"/>
      <c r="QNH889" s="122"/>
      <c r="QNI889" s="122"/>
      <c r="QNJ889" s="122"/>
      <c r="QNK889" s="122"/>
      <c r="QNL889" s="122"/>
      <c r="QNM889" s="122"/>
      <c r="QNN889" s="122"/>
      <c r="QNO889" s="122"/>
      <c r="QNP889" s="122"/>
      <c r="QNQ889" s="122"/>
      <c r="QNR889" s="122"/>
      <c r="QNS889" s="122"/>
      <c r="QNT889" s="122"/>
      <c r="QNU889" s="122"/>
      <c r="QNV889" s="122"/>
      <c r="QNW889" s="122"/>
      <c r="QNX889" s="122"/>
      <c r="QNY889" s="122"/>
      <c r="QNZ889" s="122"/>
      <c r="QOA889" s="122"/>
      <c r="QOB889" s="122"/>
      <c r="QOC889" s="122"/>
      <c r="QOD889" s="122"/>
      <c r="QOE889" s="122"/>
      <c r="QOF889" s="122"/>
      <c r="QOG889" s="122"/>
      <c r="QOH889" s="122"/>
      <c r="QOI889" s="122"/>
      <c r="QOJ889" s="122"/>
      <c r="QOK889" s="122"/>
      <c r="QOL889" s="122"/>
      <c r="QOM889" s="122"/>
      <c r="QON889" s="122"/>
      <c r="QOO889" s="122"/>
      <c r="QOP889" s="122"/>
      <c r="QOQ889" s="122"/>
      <c r="QOR889" s="122"/>
      <c r="QOS889" s="122"/>
      <c r="QOT889" s="122"/>
      <c r="QOU889" s="122"/>
      <c r="QOV889" s="122"/>
      <c r="QOW889" s="122"/>
      <c r="QOX889" s="122"/>
      <c r="QOY889" s="122"/>
      <c r="QOZ889" s="122"/>
      <c r="QPA889" s="122"/>
      <c r="QPB889" s="122"/>
      <c r="QPC889" s="122"/>
      <c r="QPD889" s="122"/>
      <c r="QPE889" s="122"/>
      <c r="QPF889" s="122"/>
      <c r="QPG889" s="122"/>
      <c r="QPH889" s="122"/>
      <c r="QPI889" s="122"/>
      <c r="QPJ889" s="122"/>
      <c r="QPK889" s="122"/>
      <c r="QPL889" s="122"/>
      <c r="QPM889" s="122"/>
      <c r="QPN889" s="122"/>
      <c r="QPO889" s="122"/>
      <c r="QPP889" s="122"/>
      <c r="QPQ889" s="122"/>
      <c r="QPR889" s="122"/>
      <c r="QPS889" s="122"/>
      <c r="QPT889" s="122"/>
      <c r="QPU889" s="122"/>
      <c r="QPV889" s="122"/>
      <c r="QPW889" s="122"/>
      <c r="QPX889" s="122"/>
      <c r="QPY889" s="122"/>
      <c r="QPZ889" s="122"/>
      <c r="QQA889" s="122"/>
      <c r="QQB889" s="122"/>
      <c r="QQC889" s="122"/>
      <c r="QQD889" s="122"/>
      <c r="QQE889" s="122"/>
      <c r="QQF889" s="122"/>
      <c r="QQG889" s="122"/>
      <c r="QQH889" s="122"/>
      <c r="QQI889" s="122"/>
      <c r="QQJ889" s="122"/>
      <c r="QQK889" s="122"/>
      <c r="QQL889" s="122"/>
      <c r="QQM889" s="122"/>
      <c r="QQN889" s="122"/>
      <c r="QQO889" s="122"/>
      <c r="QQP889" s="122"/>
      <c r="QQQ889" s="122"/>
      <c r="QQR889" s="122"/>
      <c r="QQS889" s="122"/>
      <c r="QQT889" s="122"/>
      <c r="QQU889" s="122"/>
      <c r="QQV889" s="122"/>
      <c r="QQW889" s="122"/>
      <c r="QQX889" s="122"/>
      <c r="QQY889" s="122"/>
      <c r="QQZ889" s="122"/>
      <c r="QRA889" s="122"/>
      <c r="QRB889" s="122"/>
      <c r="QRC889" s="122"/>
      <c r="QRD889" s="122"/>
      <c r="QRE889" s="122"/>
      <c r="QRF889" s="122"/>
      <c r="QRG889" s="122"/>
      <c r="QRH889" s="122"/>
      <c r="QRI889" s="122"/>
      <c r="QRJ889" s="122"/>
      <c r="QRK889" s="122"/>
      <c r="QRL889" s="122"/>
      <c r="QRM889" s="122"/>
      <c r="QRN889" s="122"/>
      <c r="QRO889" s="122"/>
      <c r="QRP889" s="122"/>
      <c r="QRQ889" s="122"/>
      <c r="QRR889" s="122"/>
      <c r="QRS889" s="122"/>
      <c r="QRT889" s="122"/>
      <c r="QRU889" s="122"/>
      <c r="QRV889" s="122"/>
      <c r="QRW889" s="122"/>
      <c r="QRX889" s="122"/>
      <c r="QRY889" s="122"/>
      <c r="QRZ889" s="122"/>
      <c r="QSA889" s="122"/>
      <c r="QSB889" s="122"/>
      <c r="QSC889" s="122"/>
      <c r="QSD889" s="122"/>
      <c r="QSE889" s="122"/>
      <c r="QSF889" s="122"/>
      <c r="QSG889" s="122"/>
      <c r="QSH889" s="122"/>
      <c r="QSI889" s="122"/>
      <c r="QSJ889" s="122"/>
      <c r="QSK889" s="122"/>
      <c r="QSL889" s="122"/>
      <c r="QSM889" s="122"/>
      <c r="QSN889" s="122"/>
      <c r="QSO889" s="122"/>
      <c r="QSP889" s="122"/>
      <c r="QSQ889" s="122"/>
      <c r="QSR889" s="122"/>
      <c r="QSS889" s="122"/>
      <c r="QST889" s="122"/>
      <c r="QSU889" s="122"/>
      <c r="QSV889" s="122"/>
      <c r="QSW889" s="122"/>
      <c r="QSX889" s="122"/>
      <c r="QSY889" s="122"/>
      <c r="QSZ889" s="122"/>
      <c r="QTA889" s="122"/>
      <c r="QTB889" s="122"/>
      <c r="QTC889" s="122"/>
      <c r="QTD889" s="122"/>
      <c r="QTE889" s="122"/>
      <c r="QTF889" s="122"/>
      <c r="QTG889" s="122"/>
      <c r="QTH889" s="122"/>
      <c r="QTI889" s="122"/>
      <c r="QTJ889" s="122"/>
      <c r="QTK889" s="122"/>
      <c r="QTL889" s="122"/>
      <c r="QTM889" s="122"/>
      <c r="QTN889" s="122"/>
      <c r="QTO889" s="122"/>
      <c r="QTP889" s="122"/>
      <c r="QTQ889" s="122"/>
      <c r="QTR889" s="122"/>
      <c r="QTS889" s="122"/>
      <c r="QTT889" s="122"/>
      <c r="QTU889" s="122"/>
      <c r="QTV889" s="122"/>
      <c r="QTW889" s="122"/>
      <c r="QTX889" s="122"/>
      <c r="QTY889" s="122"/>
      <c r="QTZ889" s="122"/>
      <c r="QUA889" s="122"/>
      <c r="QUB889" s="122"/>
      <c r="QUC889" s="122"/>
      <c r="QUD889" s="122"/>
      <c r="QUE889" s="122"/>
      <c r="QUF889" s="122"/>
      <c r="QUG889" s="122"/>
      <c r="QUH889" s="122"/>
      <c r="QUI889" s="122"/>
      <c r="QUJ889" s="122"/>
      <c r="QUK889" s="122"/>
      <c r="QUL889" s="122"/>
      <c r="QUM889" s="122"/>
      <c r="QUN889" s="122"/>
      <c r="QUO889" s="122"/>
      <c r="QUP889" s="122"/>
      <c r="QUQ889" s="122"/>
      <c r="QUR889" s="122"/>
      <c r="QUS889" s="122"/>
      <c r="QUT889" s="122"/>
      <c r="QUU889" s="122"/>
      <c r="QUV889" s="122"/>
      <c r="QUW889" s="122"/>
      <c r="QUX889" s="122"/>
      <c r="QUY889" s="122"/>
      <c r="QUZ889" s="122"/>
      <c r="QVA889" s="122"/>
      <c r="QVB889" s="122"/>
      <c r="QVC889" s="122"/>
      <c r="QVD889" s="122"/>
      <c r="QVE889" s="122"/>
      <c r="QVF889" s="122"/>
      <c r="QVG889" s="122"/>
      <c r="QVH889" s="122"/>
      <c r="QVI889" s="122"/>
      <c r="QVJ889" s="122"/>
      <c r="QVK889" s="122"/>
      <c r="QVL889" s="122"/>
      <c r="QVM889" s="122"/>
      <c r="QVN889" s="122"/>
      <c r="QVO889" s="122"/>
      <c r="QVP889" s="122"/>
      <c r="QVQ889" s="122"/>
      <c r="QVR889" s="122"/>
      <c r="QVS889" s="122"/>
      <c r="QVT889" s="122"/>
      <c r="QVU889" s="122"/>
      <c r="QVV889" s="122"/>
      <c r="QVW889" s="122"/>
      <c r="QVX889" s="122"/>
      <c r="QVY889" s="122"/>
      <c r="QVZ889" s="122"/>
      <c r="QWA889" s="122"/>
      <c r="QWB889" s="122"/>
      <c r="QWC889" s="122"/>
      <c r="QWD889" s="122"/>
      <c r="QWE889" s="122"/>
      <c r="QWF889" s="122"/>
      <c r="QWG889" s="122"/>
      <c r="QWH889" s="122"/>
      <c r="QWI889" s="122"/>
      <c r="QWJ889" s="122"/>
      <c r="QWK889" s="122"/>
      <c r="QWL889" s="122"/>
      <c r="QWM889" s="122"/>
      <c r="QWN889" s="122"/>
      <c r="QWO889" s="122"/>
      <c r="QWP889" s="122"/>
      <c r="QWQ889" s="122"/>
      <c r="QWR889" s="122"/>
      <c r="QWS889" s="122"/>
      <c r="QWT889" s="122"/>
      <c r="QWU889" s="122"/>
      <c r="QWV889" s="122"/>
      <c r="QWW889" s="122"/>
      <c r="QWX889" s="122"/>
      <c r="QWY889" s="122"/>
      <c r="QWZ889" s="122"/>
      <c r="QXA889" s="122"/>
      <c r="QXB889" s="122"/>
      <c r="QXC889" s="122"/>
      <c r="QXD889" s="122"/>
      <c r="QXE889" s="122"/>
      <c r="QXF889" s="122"/>
      <c r="QXG889" s="122"/>
      <c r="QXH889" s="122"/>
      <c r="QXI889" s="122"/>
      <c r="QXJ889" s="122"/>
      <c r="QXK889" s="122"/>
      <c r="QXL889" s="122"/>
      <c r="QXM889" s="122"/>
      <c r="QXN889" s="122"/>
      <c r="QXO889" s="122"/>
      <c r="QXP889" s="122"/>
      <c r="QXQ889" s="122"/>
      <c r="QXR889" s="122"/>
      <c r="QXS889" s="122"/>
      <c r="QXT889" s="122"/>
      <c r="QXU889" s="122"/>
      <c r="QXV889" s="122"/>
      <c r="QXW889" s="122"/>
      <c r="QXX889" s="122"/>
      <c r="QXY889" s="122"/>
      <c r="QXZ889" s="122"/>
      <c r="QYA889" s="122"/>
      <c r="QYB889" s="122"/>
      <c r="QYC889" s="122"/>
      <c r="QYD889" s="122"/>
      <c r="QYE889" s="122"/>
      <c r="QYF889" s="122"/>
      <c r="QYG889" s="122"/>
      <c r="QYH889" s="122"/>
      <c r="QYI889" s="122"/>
      <c r="QYJ889" s="122"/>
      <c r="QYK889" s="122"/>
      <c r="QYL889" s="122"/>
      <c r="QYM889" s="122"/>
      <c r="QYN889" s="122"/>
      <c r="QYO889" s="122"/>
      <c r="QYP889" s="122"/>
      <c r="QYQ889" s="122"/>
      <c r="QYR889" s="122"/>
      <c r="QYS889" s="122"/>
      <c r="QYT889" s="122"/>
      <c r="QYU889" s="122"/>
      <c r="QYV889" s="122"/>
      <c r="QYW889" s="122"/>
      <c r="QYX889" s="122"/>
      <c r="QYY889" s="122"/>
      <c r="QYZ889" s="122"/>
      <c r="QZA889" s="122"/>
      <c r="QZB889" s="122"/>
      <c r="QZC889" s="122"/>
      <c r="QZD889" s="122"/>
      <c r="QZE889" s="122"/>
      <c r="QZF889" s="122"/>
      <c r="QZG889" s="122"/>
      <c r="QZH889" s="122"/>
      <c r="QZI889" s="122"/>
      <c r="QZJ889" s="122"/>
      <c r="QZK889" s="122"/>
      <c r="QZL889" s="122"/>
      <c r="QZM889" s="122"/>
      <c r="QZN889" s="122"/>
      <c r="QZO889" s="122"/>
      <c r="QZP889" s="122"/>
      <c r="QZQ889" s="122"/>
      <c r="QZR889" s="122"/>
      <c r="QZS889" s="122"/>
      <c r="QZT889" s="122"/>
      <c r="QZU889" s="122"/>
      <c r="QZV889" s="122"/>
      <c r="QZW889" s="122"/>
      <c r="QZX889" s="122"/>
      <c r="QZY889" s="122"/>
      <c r="QZZ889" s="122"/>
      <c r="RAA889" s="122"/>
      <c r="RAB889" s="122"/>
      <c r="RAC889" s="122"/>
      <c r="RAD889" s="122"/>
      <c r="RAE889" s="122"/>
      <c r="RAF889" s="122"/>
      <c r="RAG889" s="122"/>
      <c r="RAH889" s="122"/>
      <c r="RAI889" s="122"/>
      <c r="RAJ889" s="122"/>
      <c r="RAK889" s="122"/>
      <c r="RAL889" s="122"/>
      <c r="RAM889" s="122"/>
      <c r="RAN889" s="122"/>
      <c r="RAO889" s="122"/>
      <c r="RAP889" s="122"/>
      <c r="RAQ889" s="122"/>
      <c r="RAR889" s="122"/>
      <c r="RAS889" s="122"/>
      <c r="RAT889" s="122"/>
      <c r="RAU889" s="122"/>
      <c r="RAV889" s="122"/>
      <c r="RAW889" s="122"/>
      <c r="RAX889" s="122"/>
      <c r="RAY889" s="122"/>
      <c r="RAZ889" s="122"/>
      <c r="RBA889" s="122"/>
      <c r="RBB889" s="122"/>
      <c r="RBC889" s="122"/>
      <c r="RBD889" s="122"/>
      <c r="RBE889" s="122"/>
      <c r="RBF889" s="122"/>
      <c r="RBG889" s="122"/>
      <c r="RBH889" s="122"/>
      <c r="RBI889" s="122"/>
      <c r="RBJ889" s="122"/>
      <c r="RBK889" s="122"/>
      <c r="RBL889" s="122"/>
      <c r="RBM889" s="122"/>
      <c r="RBN889" s="122"/>
      <c r="RBO889" s="122"/>
      <c r="RBP889" s="122"/>
      <c r="RBQ889" s="122"/>
      <c r="RBR889" s="122"/>
      <c r="RBS889" s="122"/>
      <c r="RBT889" s="122"/>
      <c r="RBU889" s="122"/>
      <c r="RBV889" s="122"/>
      <c r="RBW889" s="122"/>
      <c r="RBX889" s="122"/>
      <c r="RBY889" s="122"/>
      <c r="RBZ889" s="122"/>
      <c r="RCA889" s="122"/>
      <c r="RCB889" s="122"/>
      <c r="RCC889" s="122"/>
      <c r="RCD889" s="122"/>
      <c r="RCE889" s="122"/>
      <c r="RCF889" s="122"/>
      <c r="RCG889" s="122"/>
      <c r="RCH889" s="122"/>
      <c r="RCI889" s="122"/>
      <c r="RCJ889" s="122"/>
      <c r="RCK889" s="122"/>
      <c r="RCL889" s="122"/>
      <c r="RCM889" s="122"/>
      <c r="RCN889" s="122"/>
      <c r="RCO889" s="122"/>
      <c r="RCP889" s="122"/>
      <c r="RCQ889" s="122"/>
      <c r="RCR889" s="122"/>
      <c r="RCS889" s="122"/>
      <c r="RCT889" s="122"/>
      <c r="RCU889" s="122"/>
      <c r="RCV889" s="122"/>
      <c r="RCW889" s="122"/>
      <c r="RCX889" s="122"/>
      <c r="RCY889" s="122"/>
      <c r="RCZ889" s="122"/>
      <c r="RDA889" s="122"/>
      <c r="RDB889" s="122"/>
      <c r="RDC889" s="122"/>
      <c r="RDD889" s="122"/>
      <c r="RDE889" s="122"/>
      <c r="RDF889" s="122"/>
      <c r="RDG889" s="122"/>
      <c r="RDH889" s="122"/>
      <c r="RDI889" s="122"/>
      <c r="RDJ889" s="122"/>
      <c r="RDK889" s="122"/>
      <c r="RDL889" s="122"/>
      <c r="RDM889" s="122"/>
      <c r="RDN889" s="122"/>
      <c r="RDO889" s="122"/>
      <c r="RDP889" s="122"/>
      <c r="RDQ889" s="122"/>
      <c r="RDR889" s="122"/>
      <c r="RDS889" s="122"/>
      <c r="RDT889" s="122"/>
      <c r="RDU889" s="122"/>
      <c r="RDV889" s="122"/>
      <c r="RDW889" s="122"/>
      <c r="RDX889" s="122"/>
      <c r="RDY889" s="122"/>
      <c r="RDZ889" s="122"/>
      <c r="REA889" s="122"/>
      <c r="REB889" s="122"/>
      <c r="REC889" s="122"/>
      <c r="RED889" s="122"/>
      <c r="REE889" s="122"/>
      <c r="REF889" s="122"/>
      <c r="REG889" s="122"/>
      <c r="REH889" s="122"/>
      <c r="REI889" s="122"/>
      <c r="REJ889" s="122"/>
      <c r="REK889" s="122"/>
      <c r="REL889" s="122"/>
      <c r="REM889" s="122"/>
      <c r="REN889" s="122"/>
      <c r="REO889" s="122"/>
      <c r="REP889" s="122"/>
      <c r="REQ889" s="122"/>
      <c r="RER889" s="122"/>
      <c r="RES889" s="122"/>
      <c r="RET889" s="122"/>
      <c r="REU889" s="122"/>
      <c r="REV889" s="122"/>
      <c r="REW889" s="122"/>
      <c r="REX889" s="122"/>
      <c r="REY889" s="122"/>
      <c r="REZ889" s="122"/>
      <c r="RFA889" s="122"/>
      <c r="RFB889" s="122"/>
      <c r="RFC889" s="122"/>
      <c r="RFD889" s="122"/>
      <c r="RFE889" s="122"/>
      <c r="RFF889" s="122"/>
      <c r="RFG889" s="122"/>
      <c r="RFH889" s="122"/>
      <c r="RFI889" s="122"/>
      <c r="RFJ889" s="122"/>
      <c r="RFK889" s="122"/>
      <c r="RFL889" s="122"/>
      <c r="RFM889" s="122"/>
      <c r="RFN889" s="122"/>
      <c r="RFO889" s="122"/>
      <c r="RFP889" s="122"/>
      <c r="RFQ889" s="122"/>
      <c r="RFR889" s="122"/>
      <c r="RFS889" s="122"/>
      <c r="RFT889" s="122"/>
      <c r="RFU889" s="122"/>
      <c r="RFV889" s="122"/>
      <c r="RFW889" s="122"/>
      <c r="RFX889" s="122"/>
      <c r="RFY889" s="122"/>
      <c r="RFZ889" s="122"/>
      <c r="RGA889" s="122"/>
      <c r="RGB889" s="122"/>
      <c r="RGC889" s="122"/>
      <c r="RGD889" s="122"/>
      <c r="RGE889" s="122"/>
      <c r="RGF889" s="122"/>
      <c r="RGG889" s="122"/>
      <c r="RGH889" s="122"/>
      <c r="RGI889" s="122"/>
      <c r="RGJ889" s="122"/>
      <c r="RGK889" s="122"/>
      <c r="RGL889" s="122"/>
      <c r="RGM889" s="122"/>
      <c r="RGN889" s="122"/>
      <c r="RGO889" s="122"/>
      <c r="RGP889" s="122"/>
      <c r="RGQ889" s="122"/>
      <c r="RGR889" s="122"/>
      <c r="RGS889" s="122"/>
      <c r="RGT889" s="122"/>
      <c r="RGU889" s="122"/>
      <c r="RGV889" s="122"/>
      <c r="RGW889" s="122"/>
      <c r="RGX889" s="122"/>
      <c r="RGY889" s="122"/>
      <c r="RGZ889" s="122"/>
      <c r="RHA889" s="122"/>
      <c r="RHB889" s="122"/>
      <c r="RHC889" s="122"/>
      <c r="RHD889" s="122"/>
      <c r="RHE889" s="122"/>
      <c r="RHF889" s="122"/>
      <c r="RHG889" s="122"/>
      <c r="RHH889" s="122"/>
      <c r="RHI889" s="122"/>
      <c r="RHJ889" s="122"/>
      <c r="RHK889" s="122"/>
      <c r="RHL889" s="122"/>
      <c r="RHM889" s="122"/>
      <c r="RHN889" s="122"/>
      <c r="RHO889" s="122"/>
      <c r="RHP889" s="122"/>
      <c r="RHQ889" s="122"/>
      <c r="RHR889" s="122"/>
      <c r="RHS889" s="122"/>
      <c r="RHT889" s="122"/>
      <c r="RHU889" s="122"/>
      <c r="RHV889" s="122"/>
      <c r="RHW889" s="122"/>
      <c r="RHX889" s="122"/>
      <c r="RHY889" s="122"/>
      <c r="RHZ889" s="122"/>
      <c r="RIA889" s="122"/>
      <c r="RIB889" s="122"/>
      <c r="RIC889" s="122"/>
      <c r="RID889" s="122"/>
      <c r="RIE889" s="122"/>
      <c r="RIF889" s="122"/>
      <c r="RIG889" s="122"/>
      <c r="RIH889" s="122"/>
      <c r="RII889" s="122"/>
      <c r="RIJ889" s="122"/>
      <c r="RIK889" s="122"/>
      <c r="RIL889" s="122"/>
      <c r="RIM889" s="122"/>
      <c r="RIN889" s="122"/>
      <c r="RIO889" s="122"/>
      <c r="RIP889" s="122"/>
      <c r="RIQ889" s="122"/>
      <c r="RIR889" s="122"/>
      <c r="RIS889" s="122"/>
      <c r="RIT889" s="122"/>
      <c r="RIU889" s="122"/>
      <c r="RIV889" s="122"/>
      <c r="RIW889" s="122"/>
      <c r="RIX889" s="122"/>
      <c r="RIY889" s="122"/>
      <c r="RIZ889" s="122"/>
      <c r="RJA889" s="122"/>
      <c r="RJB889" s="122"/>
      <c r="RJC889" s="122"/>
      <c r="RJD889" s="122"/>
      <c r="RJE889" s="122"/>
      <c r="RJF889" s="122"/>
      <c r="RJG889" s="122"/>
      <c r="RJH889" s="122"/>
      <c r="RJI889" s="122"/>
      <c r="RJJ889" s="122"/>
      <c r="RJK889" s="122"/>
      <c r="RJL889" s="122"/>
      <c r="RJM889" s="122"/>
      <c r="RJN889" s="122"/>
      <c r="RJO889" s="122"/>
      <c r="RJP889" s="122"/>
      <c r="RJQ889" s="122"/>
      <c r="RJR889" s="122"/>
      <c r="RJS889" s="122"/>
      <c r="RJT889" s="122"/>
      <c r="RJU889" s="122"/>
      <c r="RJV889" s="122"/>
      <c r="RJW889" s="122"/>
      <c r="RJX889" s="122"/>
      <c r="RJY889" s="122"/>
      <c r="RJZ889" s="122"/>
      <c r="RKA889" s="122"/>
      <c r="RKB889" s="122"/>
      <c r="RKC889" s="122"/>
      <c r="RKD889" s="122"/>
      <c r="RKE889" s="122"/>
      <c r="RKF889" s="122"/>
      <c r="RKG889" s="122"/>
      <c r="RKH889" s="122"/>
      <c r="RKI889" s="122"/>
      <c r="RKJ889" s="122"/>
      <c r="RKK889" s="122"/>
      <c r="RKL889" s="122"/>
      <c r="RKM889" s="122"/>
      <c r="RKN889" s="122"/>
      <c r="RKO889" s="122"/>
      <c r="RKP889" s="122"/>
      <c r="RKQ889" s="122"/>
      <c r="RKR889" s="122"/>
      <c r="RKS889" s="122"/>
      <c r="RKT889" s="122"/>
      <c r="RKU889" s="122"/>
      <c r="RKV889" s="122"/>
      <c r="RKW889" s="122"/>
      <c r="RKX889" s="122"/>
      <c r="RKY889" s="122"/>
      <c r="RKZ889" s="122"/>
      <c r="RLA889" s="122"/>
      <c r="RLB889" s="122"/>
      <c r="RLC889" s="122"/>
      <c r="RLD889" s="122"/>
      <c r="RLE889" s="122"/>
      <c r="RLF889" s="122"/>
      <c r="RLG889" s="122"/>
      <c r="RLH889" s="122"/>
      <c r="RLI889" s="122"/>
      <c r="RLJ889" s="122"/>
      <c r="RLK889" s="122"/>
      <c r="RLL889" s="122"/>
      <c r="RLM889" s="122"/>
      <c r="RLN889" s="122"/>
      <c r="RLO889" s="122"/>
      <c r="RLP889" s="122"/>
      <c r="RLQ889" s="122"/>
      <c r="RLR889" s="122"/>
      <c r="RLS889" s="122"/>
      <c r="RLT889" s="122"/>
      <c r="RLU889" s="122"/>
      <c r="RLV889" s="122"/>
      <c r="RLW889" s="122"/>
      <c r="RLX889" s="122"/>
      <c r="RLY889" s="122"/>
      <c r="RLZ889" s="122"/>
      <c r="RMA889" s="122"/>
      <c r="RMB889" s="122"/>
      <c r="RMC889" s="122"/>
      <c r="RMD889" s="122"/>
      <c r="RME889" s="122"/>
      <c r="RMF889" s="122"/>
      <c r="RMG889" s="122"/>
      <c r="RMH889" s="122"/>
      <c r="RMI889" s="122"/>
      <c r="RMJ889" s="122"/>
      <c r="RMK889" s="122"/>
      <c r="RML889" s="122"/>
      <c r="RMM889" s="122"/>
      <c r="RMN889" s="122"/>
      <c r="RMO889" s="122"/>
      <c r="RMP889" s="122"/>
      <c r="RMQ889" s="122"/>
      <c r="RMR889" s="122"/>
      <c r="RMS889" s="122"/>
      <c r="RMT889" s="122"/>
      <c r="RMU889" s="122"/>
      <c r="RMV889" s="122"/>
      <c r="RMW889" s="122"/>
      <c r="RMX889" s="122"/>
      <c r="RMY889" s="122"/>
      <c r="RMZ889" s="122"/>
      <c r="RNA889" s="122"/>
      <c r="RNB889" s="122"/>
      <c r="RNC889" s="122"/>
      <c r="RND889" s="122"/>
      <c r="RNE889" s="122"/>
      <c r="RNF889" s="122"/>
      <c r="RNG889" s="122"/>
      <c r="RNH889" s="122"/>
      <c r="RNI889" s="122"/>
      <c r="RNJ889" s="122"/>
      <c r="RNK889" s="122"/>
      <c r="RNL889" s="122"/>
      <c r="RNM889" s="122"/>
      <c r="RNN889" s="122"/>
      <c r="RNO889" s="122"/>
      <c r="RNP889" s="122"/>
      <c r="RNQ889" s="122"/>
      <c r="RNR889" s="122"/>
      <c r="RNS889" s="122"/>
      <c r="RNT889" s="122"/>
      <c r="RNU889" s="122"/>
      <c r="RNV889" s="122"/>
      <c r="RNW889" s="122"/>
      <c r="RNX889" s="122"/>
      <c r="RNY889" s="122"/>
      <c r="RNZ889" s="122"/>
      <c r="ROA889" s="122"/>
      <c r="ROB889" s="122"/>
      <c r="ROC889" s="122"/>
      <c r="ROD889" s="122"/>
      <c r="ROE889" s="122"/>
      <c r="ROF889" s="122"/>
      <c r="ROG889" s="122"/>
      <c r="ROH889" s="122"/>
      <c r="ROI889" s="122"/>
      <c r="ROJ889" s="122"/>
      <c r="ROK889" s="122"/>
      <c r="ROL889" s="122"/>
      <c r="ROM889" s="122"/>
      <c r="RON889" s="122"/>
      <c r="ROO889" s="122"/>
      <c r="ROP889" s="122"/>
      <c r="ROQ889" s="122"/>
      <c r="ROR889" s="122"/>
      <c r="ROS889" s="122"/>
      <c r="ROT889" s="122"/>
      <c r="ROU889" s="122"/>
      <c r="ROV889" s="122"/>
      <c r="ROW889" s="122"/>
      <c r="ROX889" s="122"/>
      <c r="ROY889" s="122"/>
      <c r="ROZ889" s="122"/>
      <c r="RPA889" s="122"/>
      <c r="RPB889" s="122"/>
      <c r="RPC889" s="122"/>
      <c r="RPD889" s="122"/>
      <c r="RPE889" s="122"/>
      <c r="RPF889" s="122"/>
      <c r="RPG889" s="122"/>
      <c r="RPH889" s="122"/>
      <c r="RPI889" s="122"/>
      <c r="RPJ889" s="122"/>
      <c r="RPK889" s="122"/>
      <c r="RPL889" s="122"/>
      <c r="RPM889" s="122"/>
      <c r="RPN889" s="122"/>
      <c r="RPO889" s="122"/>
      <c r="RPP889" s="122"/>
      <c r="RPQ889" s="122"/>
      <c r="RPR889" s="122"/>
      <c r="RPS889" s="122"/>
      <c r="RPT889" s="122"/>
      <c r="RPU889" s="122"/>
      <c r="RPV889" s="122"/>
      <c r="RPW889" s="122"/>
      <c r="RPX889" s="122"/>
      <c r="RPY889" s="122"/>
      <c r="RPZ889" s="122"/>
      <c r="RQA889" s="122"/>
      <c r="RQB889" s="122"/>
      <c r="RQC889" s="122"/>
      <c r="RQD889" s="122"/>
      <c r="RQE889" s="122"/>
      <c r="RQF889" s="122"/>
      <c r="RQG889" s="122"/>
      <c r="RQH889" s="122"/>
      <c r="RQI889" s="122"/>
      <c r="RQJ889" s="122"/>
      <c r="RQK889" s="122"/>
      <c r="RQL889" s="122"/>
      <c r="RQM889" s="122"/>
      <c r="RQN889" s="122"/>
      <c r="RQO889" s="122"/>
      <c r="RQP889" s="122"/>
      <c r="RQQ889" s="122"/>
      <c r="RQR889" s="122"/>
      <c r="RQS889" s="122"/>
      <c r="RQT889" s="122"/>
      <c r="RQU889" s="122"/>
      <c r="RQV889" s="122"/>
      <c r="RQW889" s="122"/>
      <c r="RQX889" s="122"/>
      <c r="RQY889" s="122"/>
      <c r="RQZ889" s="122"/>
      <c r="RRA889" s="122"/>
      <c r="RRB889" s="122"/>
      <c r="RRC889" s="122"/>
      <c r="RRD889" s="122"/>
      <c r="RRE889" s="122"/>
      <c r="RRF889" s="122"/>
      <c r="RRG889" s="122"/>
      <c r="RRH889" s="122"/>
      <c r="RRI889" s="122"/>
      <c r="RRJ889" s="122"/>
      <c r="RRK889" s="122"/>
      <c r="RRL889" s="122"/>
      <c r="RRM889" s="122"/>
      <c r="RRN889" s="122"/>
      <c r="RRO889" s="122"/>
      <c r="RRP889" s="122"/>
      <c r="RRQ889" s="122"/>
      <c r="RRR889" s="122"/>
      <c r="RRS889" s="122"/>
      <c r="RRT889" s="122"/>
      <c r="RRU889" s="122"/>
      <c r="RRV889" s="122"/>
      <c r="RRW889" s="122"/>
      <c r="RRX889" s="122"/>
      <c r="RRY889" s="122"/>
      <c r="RRZ889" s="122"/>
      <c r="RSA889" s="122"/>
      <c r="RSB889" s="122"/>
      <c r="RSC889" s="122"/>
      <c r="RSD889" s="122"/>
      <c r="RSE889" s="122"/>
      <c r="RSF889" s="122"/>
      <c r="RSG889" s="122"/>
      <c r="RSH889" s="122"/>
      <c r="RSI889" s="122"/>
      <c r="RSJ889" s="122"/>
      <c r="RSK889" s="122"/>
      <c r="RSL889" s="122"/>
      <c r="RSM889" s="122"/>
      <c r="RSN889" s="122"/>
      <c r="RSO889" s="122"/>
      <c r="RSP889" s="122"/>
      <c r="RSQ889" s="122"/>
      <c r="RSR889" s="122"/>
      <c r="RSS889" s="122"/>
      <c r="RST889" s="122"/>
      <c r="RSU889" s="122"/>
      <c r="RSV889" s="122"/>
      <c r="RSW889" s="122"/>
      <c r="RSX889" s="122"/>
      <c r="RSY889" s="122"/>
      <c r="RSZ889" s="122"/>
      <c r="RTA889" s="122"/>
      <c r="RTB889" s="122"/>
      <c r="RTC889" s="122"/>
      <c r="RTD889" s="122"/>
      <c r="RTE889" s="122"/>
      <c r="RTF889" s="122"/>
      <c r="RTG889" s="122"/>
      <c r="RTH889" s="122"/>
      <c r="RTI889" s="122"/>
      <c r="RTJ889" s="122"/>
      <c r="RTK889" s="122"/>
      <c r="RTL889" s="122"/>
      <c r="RTM889" s="122"/>
      <c r="RTN889" s="122"/>
      <c r="RTO889" s="122"/>
      <c r="RTP889" s="122"/>
      <c r="RTQ889" s="122"/>
      <c r="RTR889" s="122"/>
      <c r="RTS889" s="122"/>
      <c r="RTT889" s="122"/>
      <c r="RTU889" s="122"/>
      <c r="RTV889" s="122"/>
      <c r="RTW889" s="122"/>
      <c r="RTX889" s="122"/>
      <c r="RTY889" s="122"/>
      <c r="RTZ889" s="122"/>
      <c r="RUA889" s="122"/>
      <c r="RUB889" s="122"/>
      <c r="RUC889" s="122"/>
      <c r="RUD889" s="122"/>
      <c r="RUE889" s="122"/>
      <c r="RUF889" s="122"/>
      <c r="RUG889" s="122"/>
      <c r="RUH889" s="122"/>
      <c r="RUI889" s="122"/>
      <c r="RUJ889" s="122"/>
      <c r="RUK889" s="122"/>
      <c r="RUL889" s="122"/>
      <c r="RUM889" s="122"/>
      <c r="RUN889" s="122"/>
      <c r="RUO889" s="122"/>
      <c r="RUP889" s="122"/>
      <c r="RUQ889" s="122"/>
      <c r="RUR889" s="122"/>
      <c r="RUS889" s="122"/>
      <c r="RUT889" s="122"/>
      <c r="RUU889" s="122"/>
      <c r="RUV889" s="122"/>
      <c r="RUW889" s="122"/>
      <c r="RUX889" s="122"/>
      <c r="RUY889" s="122"/>
      <c r="RUZ889" s="122"/>
      <c r="RVA889" s="122"/>
      <c r="RVB889" s="122"/>
      <c r="RVC889" s="122"/>
      <c r="RVD889" s="122"/>
      <c r="RVE889" s="122"/>
      <c r="RVF889" s="122"/>
      <c r="RVG889" s="122"/>
      <c r="RVH889" s="122"/>
      <c r="RVI889" s="122"/>
      <c r="RVJ889" s="122"/>
      <c r="RVK889" s="122"/>
      <c r="RVL889" s="122"/>
      <c r="RVM889" s="122"/>
      <c r="RVN889" s="122"/>
      <c r="RVO889" s="122"/>
      <c r="RVP889" s="122"/>
      <c r="RVQ889" s="122"/>
      <c r="RVR889" s="122"/>
      <c r="RVS889" s="122"/>
      <c r="RVT889" s="122"/>
      <c r="RVU889" s="122"/>
      <c r="RVV889" s="122"/>
      <c r="RVW889" s="122"/>
      <c r="RVX889" s="122"/>
      <c r="RVY889" s="122"/>
      <c r="RVZ889" s="122"/>
      <c r="RWA889" s="122"/>
      <c r="RWB889" s="122"/>
      <c r="RWC889" s="122"/>
      <c r="RWD889" s="122"/>
      <c r="RWE889" s="122"/>
      <c r="RWF889" s="122"/>
      <c r="RWG889" s="122"/>
      <c r="RWH889" s="122"/>
      <c r="RWI889" s="122"/>
      <c r="RWJ889" s="122"/>
      <c r="RWK889" s="122"/>
      <c r="RWL889" s="122"/>
      <c r="RWM889" s="122"/>
      <c r="RWN889" s="122"/>
      <c r="RWO889" s="122"/>
      <c r="RWP889" s="122"/>
      <c r="RWQ889" s="122"/>
      <c r="RWR889" s="122"/>
      <c r="RWS889" s="122"/>
      <c r="RWT889" s="122"/>
      <c r="RWU889" s="122"/>
      <c r="RWV889" s="122"/>
      <c r="RWW889" s="122"/>
      <c r="RWX889" s="122"/>
      <c r="RWY889" s="122"/>
      <c r="RWZ889" s="122"/>
      <c r="RXA889" s="122"/>
      <c r="RXB889" s="122"/>
      <c r="RXC889" s="122"/>
      <c r="RXD889" s="122"/>
      <c r="RXE889" s="122"/>
      <c r="RXF889" s="122"/>
      <c r="RXG889" s="122"/>
      <c r="RXH889" s="122"/>
      <c r="RXI889" s="122"/>
      <c r="RXJ889" s="122"/>
      <c r="RXK889" s="122"/>
      <c r="RXL889" s="122"/>
      <c r="RXM889" s="122"/>
      <c r="RXN889" s="122"/>
      <c r="RXO889" s="122"/>
      <c r="RXP889" s="122"/>
      <c r="RXQ889" s="122"/>
      <c r="RXR889" s="122"/>
      <c r="RXS889" s="122"/>
      <c r="RXT889" s="122"/>
      <c r="RXU889" s="122"/>
      <c r="RXV889" s="122"/>
      <c r="RXW889" s="122"/>
      <c r="RXX889" s="122"/>
      <c r="RXY889" s="122"/>
      <c r="RXZ889" s="122"/>
      <c r="RYA889" s="122"/>
      <c r="RYB889" s="122"/>
      <c r="RYC889" s="122"/>
      <c r="RYD889" s="122"/>
      <c r="RYE889" s="122"/>
      <c r="RYF889" s="122"/>
      <c r="RYG889" s="122"/>
      <c r="RYH889" s="122"/>
      <c r="RYI889" s="122"/>
      <c r="RYJ889" s="122"/>
      <c r="RYK889" s="122"/>
      <c r="RYL889" s="122"/>
      <c r="RYM889" s="122"/>
      <c r="RYN889" s="122"/>
      <c r="RYO889" s="122"/>
      <c r="RYP889" s="122"/>
      <c r="RYQ889" s="122"/>
      <c r="RYR889" s="122"/>
      <c r="RYS889" s="122"/>
      <c r="RYT889" s="122"/>
      <c r="RYU889" s="122"/>
      <c r="RYV889" s="122"/>
      <c r="RYW889" s="122"/>
      <c r="RYX889" s="122"/>
      <c r="RYY889" s="122"/>
      <c r="RYZ889" s="122"/>
      <c r="RZA889" s="122"/>
      <c r="RZB889" s="122"/>
      <c r="RZC889" s="122"/>
      <c r="RZD889" s="122"/>
      <c r="RZE889" s="122"/>
      <c r="RZF889" s="122"/>
      <c r="RZG889" s="122"/>
      <c r="RZH889" s="122"/>
      <c r="RZI889" s="122"/>
      <c r="RZJ889" s="122"/>
      <c r="RZK889" s="122"/>
      <c r="RZL889" s="122"/>
      <c r="RZM889" s="122"/>
      <c r="RZN889" s="122"/>
      <c r="RZO889" s="122"/>
      <c r="RZP889" s="122"/>
      <c r="RZQ889" s="122"/>
      <c r="RZR889" s="122"/>
      <c r="RZS889" s="122"/>
      <c r="RZT889" s="122"/>
      <c r="RZU889" s="122"/>
      <c r="RZV889" s="122"/>
      <c r="RZW889" s="122"/>
      <c r="RZX889" s="122"/>
      <c r="RZY889" s="122"/>
      <c r="RZZ889" s="122"/>
      <c r="SAA889" s="122"/>
      <c r="SAB889" s="122"/>
      <c r="SAC889" s="122"/>
      <c r="SAD889" s="122"/>
      <c r="SAE889" s="122"/>
      <c r="SAF889" s="122"/>
      <c r="SAG889" s="122"/>
      <c r="SAH889" s="122"/>
      <c r="SAI889" s="122"/>
      <c r="SAJ889" s="122"/>
      <c r="SAK889" s="122"/>
      <c r="SAL889" s="122"/>
      <c r="SAM889" s="122"/>
      <c r="SAN889" s="122"/>
      <c r="SAO889" s="122"/>
      <c r="SAP889" s="122"/>
      <c r="SAQ889" s="122"/>
      <c r="SAR889" s="122"/>
      <c r="SAS889" s="122"/>
      <c r="SAT889" s="122"/>
      <c r="SAU889" s="122"/>
      <c r="SAV889" s="122"/>
      <c r="SAW889" s="122"/>
      <c r="SAX889" s="122"/>
      <c r="SAY889" s="122"/>
      <c r="SAZ889" s="122"/>
      <c r="SBA889" s="122"/>
      <c r="SBB889" s="122"/>
      <c r="SBC889" s="122"/>
      <c r="SBD889" s="122"/>
      <c r="SBE889" s="122"/>
      <c r="SBF889" s="122"/>
      <c r="SBG889" s="122"/>
      <c r="SBH889" s="122"/>
      <c r="SBI889" s="122"/>
      <c r="SBJ889" s="122"/>
      <c r="SBK889" s="122"/>
      <c r="SBL889" s="122"/>
      <c r="SBM889" s="122"/>
      <c r="SBN889" s="122"/>
      <c r="SBO889" s="122"/>
      <c r="SBP889" s="122"/>
      <c r="SBQ889" s="122"/>
      <c r="SBR889" s="122"/>
      <c r="SBS889" s="122"/>
      <c r="SBT889" s="122"/>
      <c r="SBU889" s="122"/>
      <c r="SBV889" s="122"/>
      <c r="SBW889" s="122"/>
      <c r="SBX889" s="122"/>
      <c r="SBY889" s="122"/>
      <c r="SBZ889" s="122"/>
      <c r="SCA889" s="122"/>
      <c r="SCB889" s="122"/>
      <c r="SCC889" s="122"/>
      <c r="SCD889" s="122"/>
      <c r="SCE889" s="122"/>
      <c r="SCF889" s="122"/>
      <c r="SCG889" s="122"/>
      <c r="SCH889" s="122"/>
      <c r="SCI889" s="122"/>
      <c r="SCJ889" s="122"/>
      <c r="SCK889" s="122"/>
      <c r="SCL889" s="122"/>
      <c r="SCM889" s="122"/>
      <c r="SCN889" s="122"/>
      <c r="SCO889" s="122"/>
      <c r="SCP889" s="122"/>
      <c r="SCQ889" s="122"/>
      <c r="SCR889" s="122"/>
      <c r="SCS889" s="122"/>
      <c r="SCT889" s="122"/>
      <c r="SCU889" s="122"/>
      <c r="SCV889" s="122"/>
      <c r="SCW889" s="122"/>
      <c r="SCX889" s="122"/>
      <c r="SCY889" s="122"/>
      <c r="SCZ889" s="122"/>
      <c r="SDA889" s="122"/>
      <c r="SDB889" s="122"/>
      <c r="SDC889" s="122"/>
      <c r="SDD889" s="122"/>
      <c r="SDE889" s="122"/>
      <c r="SDF889" s="122"/>
      <c r="SDG889" s="122"/>
      <c r="SDH889" s="122"/>
      <c r="SDI889" s="122"/>
      <c r="SDJ889" s="122"/>
      <c r="SDK889" s="122"/>
      <c r="SDL889" s="122"/>
      <c r="SDM889" s="122"/>
      <c r="SDN889" s="122"/>
      <c r="SDO889" s="122"/>
      <c r="SDP889" s="122"/>
      <c r="SDQ889" s="122"/>
      <c r="SDR889" s="122"/>
      <c r="SDS889" s="122"/>
      <c r="SDT889" s="122"/>
      <c r="SDU889" s="122"/>
      <c r="SDV889" s="122"/>
      <c r="SDW889" s="122"/>
      <c r="SDX889" s="122"/>
      <c r="SDY889" s="122"/>
      <c r="SDZ889" s="122"/>
      <c r="SEA889" s="122"/>
      <c r="SEB889" s="122"/>
      <c r="SEC889" s="122"/>
      <c r="SED889" s="122"/>
      <c r="SEE889" s="122"/>
      <c r="SEF889" s="122"/>
      <c r="SEG889" s="122"/>
      <c r="SEH889" s="122"/>
      <c r="SEI889" s="122"/>
      <c r="SEJ889" s="122"/>
      <c r="SEK889" s="122"/>
      <c r="SEL889" s="122"/>
      <c r="SEM889" s="122"/>
      <c r="SEN889" s="122"/>
      <c r="SEO889" s="122"/>
      <c r="SEP889" s="122"/>
      <c r="SEQ889" s="122"/>
      <c r="SER889" s="122"/>
      <c r="SES889" s="122"/>
      <c r="SET889" s="122"/>
      <c r="SEU889" s="122"/>
      <c r="SEV889" s="122"/>
      <c r="SEW889" s="122"/>
      <c r="SEX889" s="122"/>
      <c r="SEY889" s="122"/>
      <c r="SEZ889" s="122"/>
      <c r="SFA889" s="122"/>
      <c r="SFB889" s="122"/>
      <c r="SFC889" s="122"/>
      <c r="SFD889" s="122"/>
      <c r="SFE889" s="122"/>
      <c r="SFF889" s="122"/>
      <c r="SFG889" s="122"/>
      <c r="SFH889" s="122"/>
      <c r="SFI889" s="122"/>
      <c r="SFJ889" s="122"/>
      <c r="SFK889" s="122"/>
      <c r="SFL889" s="122"/>
      <c r="SFM889" s="122"/>
      <c r="SFN889" s="122"/>
      <c r="SFO889" s="122"/>
      <c r="SFP889" s="122"/>
      <c r="SFQ889" s="122"/>
      <c r="SFR889" s="122"/>
      <c r="SFS889" s="122"/>
      <c r="SFT889" s="122"/>
      <c r="SFU889" s="122"/>
      <c r="SFV889" s="122"/>
      <c r="SFW889" s="122"/>
      <c r="SFX889" s="122"/>
      <c r="SFY889" s="122"/>
      <c r="SFZ889" s="122"/>
      <c r="SGA889" s="122"/>
      <c r="SGB889" s="122"/>
      <c r="SGC889" s="122"/>
      <c r="SGD889" s="122"/>
      <c r="SGE889" s="122"/>
      <c r="SGF889" s="122"/>
      <c r="SGG889" s="122"/>
      <c r="SGH889" s="122"/>
      <c r="SGI889" s="122"/>
      <c r="SGJ889" s="122"/>
      <c r="SGK889" s="122"/>
      <c r="SGL889" s="122"/>
      <c r="SGM889" s="122"/>
      <c r="SGN889" s="122"/>
      <c r="SGO889" s="122"/>
      <c r="SGP889" s="122"/>
      <c r="SGQ889" s="122"/>
      <c r="SGR889" s="122"/>
      <c r="SGS889" s="122"/>
      <c r="SGT889" s="122"/>
      <c r="SGU889" s="122"/>
      <c r="SGV889" s="122"/>
      <c r="SGW889" s="122"/>
      <c r="SGX889" s="122"/>
      <c r="SGY889" s="122"/>
      <c r="SGZ889" s="122"/>
      <c r="SHA889" s="122"/>
      <c r="SHB889" s="122"/>
      <c r="SHC889" s="122"/>
      <c r="SHD889" s="122"/>
      <c r="SHE889" s="122"/>
      <c r="SHF889" s="122"/>
      <c r="SHG889" s="122"/>
      <c r="SHH889" s="122"/>
      <c r="SHI889" s="122"/>
      <c r="SHJ889" s="122"/>
      <c r="SHK889" s="122"/>
      <c r="SHL889" s="122"/>
      <c r="SHM889" s="122"/>
      <c r="SHN889" s="122"/>
      <c r="SHO889" s="122"/>
      <c r="SHP889" s="122"/>
      <c r="SHQ889" s="122"/>
      <c r="SHR889" s="122"/>
      <c r="SHS889" s="122"/>
      <c r="SHT889" s="122"/>
      <c r="SHU889" s="122"/>
      <c r="SHV889" s="122"/>
      <c r="SHW889" s="122"/>
      <c r="SHX889" s="122"/>
      <c r="SHY889" s="122"/>
      <c r="SHZ889" s="122"/>
      <c r="SIA889" s="122"/>
      <c r="SIB889" s="122"/>
      <c r="SIC889" s="122"/>
      <c r="SID889" s="122"/>
      <c r="SIE889" s="122"/>
      <c r="SIF889" s="122"/>
      <c r="SIG889" s="122"/>
      <c r="SIH889" s="122"/>
      <c r="SII889" s="122"/>
      <c r="SIJ889" s="122"/>
      <c r="SIK889" s="122"/>
      <c r="SIL889" s="122"/>
      <c r="SIM889" s="122"/>
      <c r="SIN889" s="122"/>
      <c r="SIO889" s="122"/>
      <c r="SIP889" s="122"/>
      <c r="SIQ889" s="122"/>
      <c r="SIR889" s="122"/>
      <c r="SIS889" s="122"/>
      <c r="SIT889" s="122"/>
      <c r="SIU889" s="122"/>
      <c r="SIV889" s="122"/>
      <c r="SIW889" s="122"/>
      <c r="SIX889" s="122"/>
      <c r="SIY889" s="122"/>
      <c r="SIZ889" s="122"/>
      <c r="SJA889" s="122"/>
      <c r="SJB889" s="122"/>
      <c r="SJC889" s="122"/>
      <c r="SJD889" s="122"/>
      <c r="SJE889" s="122"/>
      <c r="SJF889" s="122"/>
      <c r="SJG889" s="122"/>
      <c r="SJH889" s="122"/>
      <c r="SJI889" s="122"/>
      <c r="SJJ889" s="122"/>
      <c r="SJK889" s="122"/>
      <c r="SJL889" s="122"/>
      <c r="SJM889" s="122"/>
      <c r="SJN889" s="122"/>
      <c r="SJO889" s="122"/>
      <c r="SJP889" s="122"/>
      <c r="SJQ889" s="122"/>
      <c r="SJR889" s="122"/>
      <c r="SJS889" s="122"/>
      <c r="SJT889" s="122"/>
      <c r="SJU889" s="122"/>
      <c r="SJV889" s="122"/>
      <c r="SJW889" s="122"/>
      <c r="SJX889" s="122"/>
      <c r="SJY889" s="122"/>
      <c r="SJZ889" s="122"/>
      <c r="SKA889" s="122"/>
      <c r="SKB889" s="122"/>
      <c r="SKC889" s="122"/>
      <c r="SKD889" s="122"/>
      <c r="SKE889" s="122"/>
      <c r="SKF889" s="122"/>
      <c r="SKG889" s="122"/>
      <c r="SKH889" s="122"/>
      <c r="SKI889" s="122"/>
      <c r="SKJ889" s="122"/>
      <c r="SKK889" s="122"/>
      <c r="SKL889" s="122"/>
      <c r="SKM889" s="122"/>
      <c r="SKN889" s="122"/>
      <c r="SKO889" s="122"/>
      <c r="SKP889" s="122"/>
      <c r="SKQ889" s="122"/>
      <c r="SKR889" s="122"/>
      <c r="SKS889" s="122"/>
      <c r="SKT889" s="122"/>
      <c r="SKU889" s="122"/>
      <c r="SKV889" s="122"/>
      <c r="SKW889" s="122"/>
      <c r="SKX889" s="122"/>
      <c r="SKY889" s="122"/>
      <c r="SKZ889" s="122"/>
      <c r="SLA889" s="122"/>
      <c r="SLB889" s="122"/>
      <c r="SLC889" s="122"/>
      <c r="SLD889" s="122"/>
      <c r="SLE889" s="122"/>
      <c r="SLF889" s="122"/>
      <c r="SLG889" s="122"/>
      <c r="SLH889" s="122"/>
      <c r="SLI889" s="122"/>
      <c r="SLJ889" s="122"/>
      <c r="SLK889" s="122"/>
      <c r="SLL889" s="122"/>
      <c r="SLM889" s="122"/>
      <c r="SLN889" s="122"/>
      <c r="SLO889" s="122"/>
      <c r="SLP889" s="122"/>
      <c r="SLQ889" s="122"/>
      <c r="SLR889" s="122"/>
      <c r="SLS889" s="122"/>
      <c r="SLT889" s="122"/>
      <c r="SLU889" s="122"/>
      <c r="SLV889" s="122"/>
      <c r="SLW889" s="122"/>
      <c r="SLX889" s="122"/>
      <c r="SLY889" s="122"/>
      <c r="SLZ889" s="122"/>
      <c r="SMA889" s="122"/>
      <c r="SMB889" s="122"/>
      <c r="SMC889" s="122"/>
      <c r="SMD889" s="122"/>
      <c r="SME889" s="122"/>
      <c r="SMF889" s="122"/>
      <c r="SMG889" s="122"/>
      <c r="SMH889" s="122"/>
      <c r="SMI889" s="122"/>
      <c r="SMJ889" s="122"/>
      <c r="SMK889" s="122"/>
      <c r="SML889" s="122"/>
      <c r="SMM889" s="122"/>
      <c r="SMN889" s="122"/>
      <c r="SMO889" s="122"/>
      <c r="SMP889" s="122"/>
      <c r="SMQ889" s="122"/>
      <c r="SMR889" s="122"/>
      <c r="SMS889" s="122"/>
      <c r="SMT889" s="122"/>
      <c r="SMU889" s="122"/>
      <c r="SMV889" s="122"/>
      <c r="SMW889" s="122"/>
      <c r="SMX889" s="122"/>
      <c r="SMY889" s="122"/>
      <c r="SMZ889" s="122"/>
      <c r="SNA889" s="122"/>
      <c r="SNB889" s="122"/>
      <c r="SNC889" s="122"/>
      <c r="SND889" s="122"/>
      <c r="SNE889" s="122"/>
      <c r="SNF889" s="122"/>
      <c r="SNG889" s="122"/>
      <c r="SNH889" s="122"/>
      <c r="SNI889" s="122"/>
      <c r="SNJ889" s="122"/>
      <c r="SNK889" s="122"/>
      <c r="SNL889" s="122"/>
      <c r="SNM889" s="122"/>
      <c r="SNN889" s="122"/>
      <c r="SNO889" s="122"/>
      <c r="SNP889" s="122"/>
      <c r="SNQ889" s="122"/>
      <c r="SNR889" s="122"/>
      <c r="SNS889" s="122"/>
      <c r="SNT889" s="122"/>
      <c r="SNU889" s="122"/>
      <c r="SNV889" s="122"/>
      <c r="SNW889" s="122"/>
      <c r="SNX889" s="122"/>
      <c r="SNY889" s="122"/>
      <c r="SNZ889" s="122"/>
      <c r="SOA889" s="122"/>
      <c r="SOB889" s="122"/>
      <c r="SOC889" s="122"/>
      <c r="SOD889" s="122"/>
      <c r="SOE889" s="122"/>
      <c r="SOF889" s="122"/>
      <c r="SOG889" s="122"/>
      <c r="SOH889" s="122"/>
      <c r="SOI889" s="122"/>
      <c r="SOJ889" s="122"/>
      <c r="SOK889" s="122"/>
      <c r="SOL889" s="122"/>
      <c r="SOM889" s="122"/>
      <c r="SON889" s="122"/>
      <c r="SOO889" s="122"/>
      <c r="SOP889" s="122"/>
      <c r="SOQ889" s="122"/>
      <c r="SOR889" s="122"/>
      <c r="SOS889" s="122"/>
      <c r="SOT889" s="122"/>
      <c r="SOU889" s="122"/>
      <c r="SOV889" s="122"/>
      <c r="SOW889" s="122"/>
      <c r="SOX889" s="122"/>
      <c r="SOY889" s="122"/>
      <c r="SOZ889" s="122"/>
      <c r="SPA889" s="122"/>
      <c r="SPB889" s="122"/>
      <c r="SPC889" s="122"/>
      <c r="SPD889" s="122"/>
      <c r="SPE889" s="122"/>
      <c r="SPF889" s="122"/>
      <c r="SPG889" s="122"/>
      <c r="SPH889" s="122"/>
      <c r="SPI889" s="122"/>
      <c r="SPJ889" s="122"/>
      <c r="SPK889" s="122"/>
      <c r="SPL889" s="122"/>
      <c r="SPM889" s="122"/>
      <c r="SPN889" s="122"/>
      <c r="SPO889" s="122"/>
      <c r="SPP889" s="122"/>
      <c r="SPQ889" s="122"/>
      <c r="SPR889" s="122"/>
      <c r="SPS889" s="122"/>
      <c r="SPT889" s="122"/>
      <c r="SPU889" s="122"/>
      <c r="SPV889" s="122"/>
      <c r="SPW889" s="122"/>
      <c r="SPX889" s="122"/>
      <c r="SPY889" s="122"/>
      <c r="SPZ889" s="122"/>
      <c r="SQA889" s="122"/>
      <c r="SQB889" s="122"/>
      <c r="SQC889" s="122"/>
      <c r="SQD889" s="122"/>
      <c r="SQE889" s="122"/>
      <c r="SQF889" s="122"/>
      <c r="SQG889" s="122"/>
      <c r="SQH889" s="122"/>
      <c r="SQI889" s="122"/>
      <c r="SQJ889" s="122"/>
      <c r="SQK889" s="122"/>
      <c r="SQL889" s="122"/>
      <c r="SQM889" s="122"/>
      <c r="SQN889" s="122"/>
      <c r="SQO889" s="122"/>
      <c r="SQP889" s="122"/>
      <c r="SQQ889" s="122"/>
      <c r="SQR889" s="122"/>
      <c r="SQS889" s="122"/>
      <c r="SQT889" s="122"/>
      <c r="SQU889" s="122"/>
      <c r="SQV889" s="122"/>
      <c r="SQW889" s="122"/>
      <c r="SQX889" s="122"/>
      <c r="SQY889" s="122"/>
      <c r="SQZ889" s="122"/>
      <c r="SRA889" s="122"/>
      <c r="SRB889" s="122"/>
      <c r="SRC889" s="122"/>
      <c r="SRD889" s="122"/>
      <c r="SRE889" s="122"/>
      <c r="SRF889" s="122"/>
      <c r="SRG889" s="122"/>
      <c r="SRH889" s="122"/>
      <c r="SRI889" s="122"/>
      <c r="SRJ889" s="122"/>
      <c r="SRK889" s="122"/>
      <c r="SRL889" s="122"/>
      <c r="SRM889" s="122"/>
      <c r="SRN889" s="122"/>
      <c r="SRO889" s="122"/>
      <c r="SRP889" s="122"/>
      <c r="SRQ889" s="122"/>
      <c r="SRR889" s="122"/>
      <c r="SRS889" s="122"/>
      <c r="SRT889" s="122"/>
      <c r="SRU889" s="122"/>
      <c r="SRV889" s="122"/>
      <c r="SRW889" s="122"/>
      <c r="SRX889" s="122"/>
      <c r="SRY889" s="122"/>
      <c r="SRZ889" s="122"/>
      <c r="SSA889" s="122"/>
      <c r="SSB889" s="122"/>
      <c r="SSC889" s="122"/>
      <c r="SSD889" s="122"/>
      <c r="SSE889" s="122"/>
      <c r="SSF889" s="122"/>
      <c r="SSG889" s="122"/>
      <c r="SSH889" s="122"/>
      <c r="SSI889" s="122"/>
      <c r="SSJ889" s="122"/>
      <c r="SSK889" s="122"/>
      <c r="SSL889" s="122"/>
      <c r="SSM889" s="122"/>
      <c r="SSN889" s="122"/>
      <c r="SSO889" s="122"/>
      <c r="SSP889" s="122"/>
      <c r="SSQ889" s="122"/>
      <c r="SSR889" s="122"/>
      <c r="SSS889" s="122"/>
      <c r="SST889" s="122"/>
      <c r="SSU889" s="122"/>
      <c r="SSV889" s="122"/>
      <c r="SSW889" s="122"/>
      <c r="SSX889" s="122"/>
      <c r="SSY889" s="122"/>
      <c r="SSZ889" s="122"/>
      <c r="STA889" s="122"/>
      <c r="STB889" s="122"/>
      <c r="STC889" s="122"/>
      <c r="STD889" s="122"/>
      <c r="STE889" s="122"/>
      <c r="STF889" s="122"/>
      <c r="STG889" s="122"/>
      <c r="STH889" s="122"/>
      <c r="STI889" s="122"/>
      <c r="STJ889" s="122"/>
      <c r="STK889" s="122"/>
      <c r="STL889" s="122"/>
      <c r="STM889" s="122"/>
      <c r="STN889" s="122"/>
      <c r="STO889" s="122"/>
      <c r="STP889" s="122"/>
      <c r="STQ889" s="122"/>
      <c r="STR889" s="122"/>
      <c r="STS889" s="122"/>
      <c r="STT889" s="122"/>
      <c r="STU889" s="122"/>
      <c r="STV889" s="122"/>
      <c r="STW889" s="122"/>
      <c r="STX889" s="122"/>
      <c r="STY889" s="122"/>
      <c r="STZ889" s="122"/>
      <c r="SUA889" s="122"/>
      <c r="SUB889" s="122"/>
      <c r="SUC889" s="122"/>
      <c r="SUD889" s="122"/>
      <c r="SUE889" s="122"/>
      <c r="SUF889" s="122"/>
      <c r="SUG889" s="122"/>
      <c r="SUH889" s="122"/>
      <c r="SUI889" s="122"/>
      <c r="SUJ889" s="122"/>
      <c r="SUK889" s="122"/>
      <c r="SUL889" s="122"/>
      <c r="SUM889" s="122"/>
      <c r="SUN889" s="122"/>
      <c r="SUO889" s="122"/>
      <c r="SUP889" s="122"/>
      <c r="SUQ889" s="122"/>
      <c r="SUR889" s="122"/>
      <c r="SUS889" s="122"/>
      <c r="SUT889" s="122"/>
      <c r="SUU889" s="122"/>
      <c r="SUV889" s="122"/>
      <c r="SUW889" s="122"/>
      <c r="SUX889" s="122"/>
      <c r="SUY889" s="122"/>
      <c r="SUZ889" s="122"/>
      <c r="SVA889" s="122"/>
      <c r="SVB889" s="122"/>
      <c r="SVC889" s="122"/>
      <c r="SVD889" s="122"/>
      <c r="SVE889" s="122"/>
      <c r="SVF889" s="122"/>
      <c r="SVG889" s="122"/>
      <c r="SVH889" s="122"/>
      <c r="SVI889" s="122"/>
      <c r="SVJ889" s="122"/>
      <c r="SVK889" s="122"/>
      <c r="SVL889" s="122"/>
      <c r="SVM889" s="122"/>
      <c r="SVN889" s="122"/>
      <c r="SVO889" s="122"/>
      <c r="SVP889" s="122"/>
      <c r="SVQ889" s="122"/>
      <c r="SVR889" s="122"/>
      <c r="SVS889" s="122"/>
      <c r="SVT889" s="122"/>
      <c r="SVU889" s="122"/>
      <c r="SVV889" s="122"/>
      <c r="SVW889" s="122"/>
      <c r="SVX889" s="122"/>
      <c r="SVY889" s="122"/>
      <c r="SVZ889" s="122"/>
      <c r="SWA889" s="122"/>
      <c r="SWB889" s="122"/>
      <c r="SWC889" s="122"/>
      <c r="SWD889" s="122"/>
      <c r="SWE889" s="122"/>
      <c r="SWF889" s="122"/>
      <c r="SWG889" s="122"/>
      <c r="SWH889" s="122"/>
      <c r="SWI889" s="122"/>
      <c r="SWJ889" s="122"/>
      <c r="SWK889" s="122"/>
      <c r="SWL889" s="122"/>
      <c r="SWM889" s="122"/>
      <c r="SWN889" s="122"/>
      <c r="SWO889" s="122"/>
      <c r="SWP889" s="122"/>
      <c r="SWQ889" s="122"/>
      <c r="SWR889" s="122"/>
      <c r="SWS889" s="122"/>
      <c r="SWT889" s="122"/>
      <c r="SWU889" s="122"/>
      <c r="SWV889" s="122"/>
      <c r="SWW889" s="122"/>
      <c r="SWX889" s="122"/>
      <c r="SWY889" s="122"/>
      <c r="SWZ889" s="122"/>
      <c r="SXA889" s="122"/>
      <c r="SXB889" s="122"/>
      <c r="SXC889" s="122"/>
      <c r="SXD889" s="122"/>
      <c r="SXE889" s="122"/>
      <c r="SXF889" s="122"/>
      <c r="SXG889" s="122"/>
      <c r="SXH889" s="122"/>
      <c r="SXI889" s="122"/>
      <c r="SXJ889" s="122"/>
      <c r="SXK889" s="122"/>
      <c r="SXL889" s="122"/>
      <c r="SXM889" s="122"/>
      <c r="SXN889" s="122"/>
      <c r="SXO889" s="122"/>
      <c r="SXP889" s="122"/>
      <c r="SXQ889" s="122"/>
      <c r="SXR889" s="122"/>
      <c r="SXS889" s="122"/>
      <c r="SXT889" s="122"/>
      <c r="SXU889" s="122"/>
      <c r="SXV889" s="122"/>
      <c r="SXW889" s="122"/>
      <c r="SXX889" s="122"/>
      <c r="SXY889" s="122"/>
      <c r="SXZ889" s="122"/>
      <c r="SYA889" s="122"/>
      <c r="SYB889" s="122"/>
      <c r="SYC889" s="122"/>
      <c r="SYD889" s="122"/>
      <c r="SYE889" s="122"/>
      <c r="SYF889" s="122"/>
      <c r="SYG889" s="122"/>
      <c r="SYH889" s="122"/>
      <c r="SYI889" s="122"/>
      <c r="SYJ889" s="122"/>
      <c r="SYK889" s="122"/>
      <c r="SYL889" s="122"/>
      <c r="SYM889" s="122"/>
      <c r="SYN889" s="122"/>
      <c r="SYO889" s="122"/>
      <c r="SYP889" s="122"/>
      <c r="SYQ889" s="122"/>
      <c r="SYR889" s="122"/>
      <c r="SYS889" s="122"/>
      <c r="SYT889" s="122"/>
      <c r="SYU889" s="122"/>
      <c r="SYV889" s="122"/>
      <c r="SYW889" s="122"/>
      <c r="SYX889" s="122"/>
      <c r="SYY889" s="122"/>
      <c r="SYZ889" s="122"/>
      <c r="SZA889" s="122"/>
      <c r="SZB889" s="122"/>
      <c r="SZC889" s="122"/>
      <c r="SZD889" s="122"/>
      <c r="SZE889" s="122"/>
      <c r="SZF889" s="122"/>
      <c r="SZG889" s="122"/>
      <c r="SZH889" s="122"/>
      <c r="SZI889" s="122"/>
      <c r="SZJ889" s="122"/>
      <c r="SZK889" s="122"/>
      <c r="SZL889" s="122"/>
      <c r="SZM889" s="122"/>
      <c r="SZN889" s="122"/>
      <c r="SZO889" s="122"/>
      <c r="SZP889" s="122"/>
      <c r="SZQ889" s="122"/>
      <c r="SZR889" s="122"/>
      <c r="SZS889" s="122"/>
      <c r="SZT889" s="122"/>
      <c r="SZU889" s="122"/>
      <c r="SZV889" s="122"/>
      <c r="SZW889" s="122"/>
      <c r="SZX889" s="122"/>
      <c r="SZY889" s="122"/>
      <c r="SZZ889" s="122"/>
      <c r="TAA889" s="122"/>
      <c r="TAB889" s="122"/>
      <c r="TAC889" s="122"/>
      <c r="TAD889" s="122"/>
      <c r="TAE889" s="122"/>
      <c r="TAF889" s="122"/>
      <c r="TAG889" s="122"/>
      <c r="TAH889" s="122"/>
      <c r="TAI889" s="122"/>
      <c r="TAJ889" s="122"/>
      <c r="TAK889" s="122"/>
      <c r="TAL889" s="122"/>
      <c r="TAM889" s="122"/>
      <c r="TAN889" s="122"/>
      <c r="TAO889" s="122"/>
      <c r="TAP889" s="122"/>
      <c r="TAQ889" s="122"/>
      <c r="TAR889" s="122"/>
      <c r="TAS889" s="122"/>
      <c r="TAT889" s="122"/>
      <c r="TAU889" s="122"/>
      <c r="TAV889" s="122"/>
      <c r="TAW889" s="122"/>
      <c r="TAX889" s="122"/>
      <c r="TAY889" s="122"/>
      <c r="TAZ889" s="122"/>
      <c r="TBA889" s="122"/>
      <c r="TBB889" s="122"/>
      <c r="TBC889" s="122"/>
      <c r="TBD889" s="122"/>
      <c r="TBE889" s="122"/>
      <c r="TBF889" s="122"/>
      <c r="TBG889" s="122"/>
      <c r="TBH889" s="122"/>
      <c r="TBI889" s="122"/>
      <c r="TBJ889" s="122"/>
      <c r="TBK889" s="122"/>
      <c r="TBL889" s="122"/>
      <c r="TBM889" s="122"/>
      <c r="TBN889" s="122"/>
      <c r="TBO889" s="122"/>
      <c r="TBP889" s="122"/>
      <c r="TBQ889" s="122"/>
      <c r="TBR889" s="122"/>
      <c r="TBS889" s="122"/>
      <c r="TBT889" s="122"/>
      <c r="TBU889" s="122"/>
      <c r="TBV889" s="122"/>
      <c r="TBW889" s="122"/>
      <c r="TBX889" s="122"/>
      <c r="TBY889" s="122"/>
      <c r="TBZ889" s="122"/>
      <c r="TCA889" s="122"/>
      <c r="TCB889" s="122"/>
      <c r="TCC889" s="122"/>
      <c r="TCD889" s="122"/>
      <c r="TCE889" s="122"/>
      <c r="TCF889" s="122"/>
      <c r="TCG889" s="122"/>
      <c r="TCH889" s="122"/>
      <c r="TCI889" s="122"/>
      <c r="TCJ889" s="122"/>
      <c r="TCK889" s="122"/>
      <c r="TCL889" s="122"/>
      <c r="TCM889" s="122"/>
      <c r="TCN889" s="122"/>
      <c r="TCO889" s="122"/>
      <c r="TCP889" s="122"/>
      <c r="TCQ889" s="122"/>
      <c r="TCR889" s="122"/>
      <c r="TCS889" s="122"/>
      <c r="TCT889" s="122"/>
      <c r="TCU889" s="122"/>
      <c r="TCV889" s="122"/>
      <c r="TCW889" s="122"/>
      <c r="TCX889" s="122"/>
      <c r="TCY889" s="122"/>
      <c r="TCZ889" s="122"/>
      <c r="TDA889" s="122"/>
      <c r="TDB889" s="122"/>
      <c r="TDC889" s="122"/>
      <c r="TDD889" s="122"/>
      <c r="TDE889" s="122"/>
      <c r="TDF889" s="122"/>
      <c r="TDG889" s="122"/>
      <c r="TDH889" s="122"/>
      <c r="TDI889" s="122"/>
      <c r="TDJ889" s="122"/>
      <c r="TDK889" s="122"/>
      <c r="TDL889" s="122"/>
      <c r="TDM889" s="122"/>
      <c r="TDN889" s="122"/>
      <c r="TDO889" s="122"/>
      <c r="TDP889" s="122"/>
      <c r="TDQ889" s="122"/>
      <c r="TDR889" s="122"/>
      <c r="TDS889" s="122"/>
      <c r="TDT889" s="122"/>
      <c r="TDU889" s="122"/>
      <c r="TDV889" s="122"/>
      <c r="TDW889" s="122"/>
      <c r="TDX889" s="122"/>
      <c r="TDY889" s="122"/>
      <c r="TDZ889" s="122"/>
      <c r="TEA889" s="122"/>
      <c r="TEB889" s="122"/>
      <c r="TEC889" s="122"/>
      <c r="TED889" s="122"/>
      <c r="TEE889" s="122"/>
      <c r="TEF889" s="122"/>
      <c r="TEG889" s="122"/>
      <c r="TEH889" s="122"/>
      <c r="TEI889" s="122"/>
      <c r="TEJ889" s="122"/>
      <c r="TEK889" s="122"/>
      <c r="TEL889" s="122"/>
      <c r="TEM889" s="122"/>
      <c r="TEN889" s="122"/>
      <c r="TEO889" s="122"/>
      <c r="TEP889" s="122"/>
      <c r="TEQ889" s="122"/>
      <c r="TER889" s="122"/>
      <c r="TES889" s="122"/>
      <c r="TET889" s="122"/>
      <c r="TEU889" s="122"/>
      <c r="TEV889" s="122"/>
      <c r="TEW889" s="122"/>
      <c r="TEX889" s="122"/>
      <c r="TEY889" s="122"/>
      <c r="TEZ889" s="122"/>
      <c r="TFA889" s="122"/>
      <c r="TFB889" s="122"/>
      <c r="TFC889" s="122"/>
      <c r="TFD889" s="122"/>
      <c r="TFE889" s="122"/>
      <c r="TFF889" s="122"/>
      <c r="TFG889" s="122"/>
      <c r="TFH889" s="122"/>
      <c r="TFI889" s="122"/>
      <c r="TFJ889" s="122"/>
      <c r="TFK889" s="122"/>
      <c r="TFL889" s="122"/>
      <c r="TFM889" s="122"/>
      <c r="TFN889" s="122"/>
      <c r="TFO889" s="122"/>
      <c r="TFP889" s="122"/>
      <c r="TFQ889" s="122"/>
      <c r="TFR889" s="122"/>
      <c r="TFS889" s="122"/>
      <c r="TFT889" s="122"/>
      <c r="TFU889" s="122"/>
      <c r="TFV889" s="122"/>
      <c r="TFW889" s="122"/>
      <c r="TFX889" s="122"/>
      <c r="TFY889" s="122"/>
      <c r="TFZ889" s="122"/>
      <c r="TGA889" s="122"/>
      <c r="TGB889" s="122"/>
      <c r="TGC889" s="122"/>
      <c r="TGD889" s="122"/>
      <c r="TGE889" s="122"/>
      <c r="TGF889" s="122"/>
      <c r="TGG889" s="122"/>
      <c r="TGH889" s="122"/>
      <c r="TGI889" s="122"/>
      <c r="TGJ889" s="122"/>
      <c r="TGK889" s="122"/>
      <c r="TGL889" s="122"/>
      <c r="TGM889" s="122"/>
      <c r="TGN889" s="122"/>
      <c r="TGO889" s="122"/>
      <c r="TGP889" s="122"/>
      <c r="TGQ889" s="122"/>
      <c r="TGR889" s="122"/>
      <c r="TGS889" s="122"/>
      <c r="TGT889" s="122"/>
      <c r="TGU889" s="122"/>
      <c r="TGV889" s="122"/>
      <c r="TGW889" s="122"/>
      <c r="TGX889" s="122"/>
      <c r="TGY889" s="122"/>
      <c r="TGZ889" s="122"/>
      <c r="THA889" s="122"/>
      <c r="THB889" s="122"/>
      <c r="THC889" s="122"/>
      <c r="THD889" s="122"/>
      <c r="THE889" s="122"/>
      <c r="THF889" s="122"/>
      <c r="THG889" s="122"/>
      <c r="THH889" s="122"/>
      <c r="THI889" s="122"/>
      <c r="THJ889" s="122"/>
      <c r="THK889" s="122"/>
      <c r="THL889" s="122"/>
      <c r="THM889" s="122"/>
      <c r="THN889" s="122"/>
      <c r="THO889" s="122"/>
      <c r="THP889" s="122"/>
      <c r="THQ889" s="122"/>
      <c r="THR889" s="122"/>
      <c r="THS889" s="122"/>
      <c r="THT889" s="122"/>
      <c r="THU889" s="122"/>
      <c r="THV889" s="122"/>
      <c r="THW889" s="122"/>
      <c r="THX889" s="122"/>
      <c r="THY889" s="122"/>
      <c r="THZ889" s="122"/>
      <c r="TIA889" s="122"/>
      <c r="TIB889" s="122"/>
      <c r="TIC889" s="122"/>
      <c r="TID889" s="122"/>
      <c r="TIE889" s="122"/>
      <c r="TIF889" s="122"/>
      <c r="TIG889" s="122"/>
      <c r="TIH889" s="122"/>
      <c r="TII889" s="122"/>
      <c r="TIJ889" s="122"/>
      <c r="TIK889" s="122"/>
      <c r="TIL889" s="122"/>
      <c r="TIM889" s="122"/>
      <c r="TIN889" s="122"/>
      <c r="TIO889" s="122"/>
      <c r="TIP889" s="122"/>
      <c r="TIQ889" s="122"/>
      <c r="TIR889" s="122"/>
      <c r="TIS889" s="122"/>
      <c r="TIT889" s="122"/>
      <c r="TIU889" s="122"/>
      <c r="TIV889" s="122"/>
      <c r="TIW889" s="122"/>
      <c r="TIX889" s="122"/>
      <c r="TIY889" s="122"/>
      <c r="TIZ889" s="122"/>
      <c r="TJA889" s="122"/>
      <c r="TJB889" s="122"/>
      <c r="TJC889" s="122"/>
      <c r="TJD889" s="122"/>
      <c r="TJE889" s="122"/>
      <c r="TJF889" s="122"/>
      <c r="TJG889" s="122"/>
      <c r="TJH889" s="122"/>
      <c r="TJI889" s="122"/>
      <c r="TJJ889" s="122"/>
      <c r="TJK889" s="122"/>
      <c r="TJL889" s="122"/>
      <c r="TJM889" s="122"/>
      <c r="TJN889" s="122"/>
      <c r="TJO889" s="122"/>
      <c r="TJP889" s="122"/>
      <c r="TJQ889" s="122"/>
      <c r="TJR889" s="122"/>
      <c r="TJS889" s="122"/>
      <c r="TJT889" s="122"/>
      <c r="TJU889" s="122"/>
      <c r="TJV889" s="122"/>
      <c r="TJW889" s="122"/>
      <c r="TJX889" s="122"/>
      <c r="TJY889" s="122"/>
      <c r="TJZ889" s="122"/>
      <c r="TKA889" s="122"/>
      <c r="TKB889" s="122"/>
      <c r="TKC889" s="122"/>
      <c r="TKD889" s="122"/>
      <c r="TKE889" s="122"/>
      <c r="TKF889" s="122"/>
      <c r="TKG889" s="122"/>
      <c r="TKH889" s="122"/>
      <c r="TKI889" s="122"/>
      <c r="TKJ889" s="122"/>
      <c r="TKK889" s="122"/>
      <c r="TKL889" s="122"/>
      <c r="TKM889" s="122"/>
      <c r="TKN889" s="122"/>
      <c r="TKO889" s="122"/>
      <c r="TKP889" s="122"/>
      <c r="TKQ889" s="122"/>
      <c r="TKR889" s="122"/>
      <c r="TKS889" s="122"/>
      <c r="TKT889" s="122"/>
      <c r="TKU889" s="122"/>
      <c r="TKV889" s="122"/>
      <c r="TKW889" s="122"/>
      <c r="TKX889" s="122"/>
      <c r="TKY889" s="122"/>
      <c r="TKZ889" s="122"/>
      <c r="TLA889" s="122"/>
      <c r="TLB889" s="122"/>
      <c r="TLC889" s="122"/>
      <c r="TLD889" s="122"/>
      <c r="TLE889" s="122"/>
      <c r="TLF889" s="122"/>
      <c r="TLG889" s="122"/>
      <c r="TLH889" s="122"/>
      <c r="TLI889" s="122"/>
      <c r="TLJ889" s="122"/>
      <c r="TLK889" s="122"/>
      <c r="TLL889" s="122"/>
      <c r="TLM889" s="122"/>
      <c r="TLN889" s="122"/>
      <c r="TLO889" s="122"/>
      <c r="TLP889" s="122"/>
      <c r="TLQ889" s="122"/>
      <c r="TLR889" s="122"/>
      <c r="TLS889" s="122"/>
      <c r="TLT889" s="122"/>
      <c r="TLU889" s="122"/>
      <c r="TLV889" s="122"/>
      <c r="TLW889" s="122"/>
      <c r="TLX889" s="122"/>
      <c r="TLY889" s="122"/>
      <c r="TLZ889" s="122"/>
      <c r="TMA889" s="122"/>
      <c r="TMB889" s="122"/>
      <c r="TMC889" s="122"/>
      <c r="TMD889" s="122"/>
      <c r="TME889" s="122"/>
      <c r="TMF889" s="122"/>
      <c r="TMG889" s="122"/>
      <c r="TMH889" s="122"/>
      <c r="TMI889" s="122"/>
      <c r="TMJ889" s="122"/>
      <c r="TMK889" s="122"/>
      <c r="TML889" s="122"/>
      <c r="TMM889" s="122"/>
      <c r="TMN889" s="122"/>
      <c r="TMO889" s="122"/>
      <c r="TMP889" s="122"/>
      <c r="TMQ889" s="122"/>
      <c r="TMR889" s="122"/>
      <c r="TMS889" s="122"/>
      <c r="TMT889" s="122"/>
      <c r="TMU889" s="122"/>
      <c r="TMV889" s="122"/>
      <c r="TMW889" s="122"/>
      <c r="TMX889" s="122"/>
      <c r="TMY889" s="122"/>
      <c r="TMZ889" s="122"/>
      <c r="TNA889" s="122"/>
      <c r="TNB889" s="122"/>
      <c r="TNC889" s="122"/>
      <c r="TND889" s="122"/>
      <c r="TNE889" s="122"/>
      <c r="TNF889" s="122"/>
      <c r="TNG889" s="122"/>
      <c r="TNH889" s="122"/>
      <c r="TNI889" s="122"/>
      <c r="TNJ889" s="122"/>
      <c r="TNK889" s="122"/>
      <c r="TNL889" s="122"/>
      <c r="TNM889" s="122"/>
      <c r="TNN889" s="122"/>
      <c r="TNO889" s="122"/>
      <c r="TNP889" s="122"/>
      <c r="TNQ889" s="122"/>
      <c r="TNR889" s="122"/>
      <c r="TNS889" s="122"/>
      <c r="TNT889" s="122"/>
      <c r="TNU889" s="122"/>
      <c r="TNV889" s="122"/>
      <c r="TNW889" s="122"/>
      <c r="TNX889" s="122"/>
      <c r="TNY889" s="122"/>
      <c r="TNZ889" s="122"/>
      <c r="TOA889" s="122"/>
      <c r="TOB889" s="122"/>
      <c r="TOC889" s="122"/>
      <c r="TOD889" s="122"/>
      <c r="TOE889" s="122"/>
      <c r="TOF889" s="122"/>
      <c r="TOG889" s="122"/>
      <c r="TOH889" s="122"/>
      <c r="TOI889" s="122"/>
      <c r="TOJ889" s="122"/>
      <c r="TOK889" s="122"/>
      <c r="TOL889" s="122"/>
      <c r="TOM889" s="122"/>
      <c r="TON889" s="122"/>
      <c r="TOO889" s="122"/>
      <c r="TOP889" s="122"/>
      <c r="TOQ889" s="122"/>
      <c r="TOR889" s="122"/>
      <c r="TOS889" s="122"/>
      <c r="TOT889" s="122"/>
      <c r="TOU889" s="122"/>
      <c r="TOV889" s="122"/>
      <c r="TOW889" s="122"/>
      <c r="TOX889" s="122"/>
      <c r="TOY889" s="122"/>
      <c r="TOZ889" s="122"/>
      <c r="TPA889" s="122"/>
      <c r="TPB889" s="122"/>
      <c r="TPC889" s="122"/>
      <c r="TPD889" s="122"/>
      <c r="TPE889" s="122"/>
      <c r="TPF889" s="122"/>
      <c r="TPG889" s="122"/>
      <c r="TPH889" s="122"/>
      <c r="TPI889" s="122"/>
      <c r="TPJ889" s="122"/>
      <c r="TPK889" s="122"/>
      <c r="TPL889" s="122"/>
      <c r="TPM889" s="122"/>
      <c r="TPN889" s="122"/>
      <c r="TPO889" s="122"/>
      <c r="TPP889" s="122"/>
      <c r="TPQ889" s="122"/>
      <c r="TPR889" s="122"/>
      <c r="TPS889" s="122"/>
      <c r="TPT889" s="122"/>
      <c r="TPU889" s="122"/>
      <c r="TPV889" s="122"/>
      <c r="TPW889" s="122"/>
      <c r="TPX889" s="122"/>
      <c r="TPY889" s="122"/>
      <c r="TPZ889" s="122"/>
      <c r="TQA889" s="122"/>
      <c r="TQB889" s="122"/>
      <c r="TQC889" s="122"/>
      <c r="TQD889" s="122"/>
      <c r="TQE889" s="122"/>
      <c r="TQF889" s="122"/>
      <c r="TQG889" s="122"/>
      <c r="TQH889" s="122"/>
      <c r="TQI889" s="122"/>
      <c r="TQJ889" s="122"/>
      <c r="TQK889" s="122"/>
      <c r="TQL889" s="122"/>
      <c r="TQM889" s="122"/>
      <c r="TQN889" s="122"/>
      <c r="TQO889" s="122"/>
      <c r="TQP889" s="122"/>
      <c r="TQQ889" s="122"/>
      <c r="TQR889" s="122"/>
      <c r="TQS889" s="122"/>
      <c r="TQT889" s="122"/>
      <c r="TQU889" s="122"/>
      <c r="TQV889" s="122"/>
      <c r="TQW889" s="122"/>
      <c r="TQX889" s="122"/>
      <c r="TQY889" s="122"/>
      <c r="TQZ889" s="122"/>
      <c r="TRA889" s="122"/>
      <c r="TRB889" s="122"/>
      <c r="TRC889" s="122"/>
      <c r="TRD889" s="122"/>
      <c r="TRE889" s="122"/>
      <c r="TRF889" s="122"/>
      <c r="TRG889" s="122"/>
      <c r="TRH889" s="122"/>
      <c r="TRI889" s="122"/>
      <c r="TRJ889" s="122"/>
      <c r="TRK889" s="122"/>
      <c r="TRL889" s="122"/>
      <c r="TRM889" s="122"/>
      <c r="TRN889" s="122"/>
      <c r="TRO889" s="122"/>
      <c r="TRP889" s="122"/>
      <c r="TRQ889" s="122"/>
      <c r="TRR889" s="122"/>
      <c r="TRS889" s="122"/>
      <c r="TRT889" s="122"/>
      <c r="TRU889" s="122"/>
      <c r="TRV889" s="122"/>
      <c r="TRW889" s="122"/>
      <c r="TRX889" s="122"/>
      <c r="TRY889" s="122"/>
      <c r="TRZ889" s="122"/>
      <c r="TSA889" s="122"/>
      <c r="TSB889" s="122"/>
      <c r="TSC889" s="122"/>
      <c r="TSD889" s="122"/>
      <c r="TSE889" s="122"/>
      <c r="TSF889" s="122"/>
      <c r="TSG889" s="122"/>
      <c r="TSH889" s="122"/>
      <c r="TSI889" s="122"/>
      <c r="TSJ889" s="122"/>
      <c r="TSK889" s="122"/>
      <c r="TSL889" s="122"/>
      <c r="TSM889" s="122"/>
      <c r="TSN889" s="122"/>
      <c r="TSO889" s="122"/>
      <c r="TSP889" s="122"/>
      <c r="TSQ889" s="122"/>
      <c r="TSR889" s="122"/>
      <c r="TSS889" s="122"/>
      <c r="TST889" s="122"/>
      <c r="TSU889" s="122"/>
      <c r="TSV889" s="122"/>
      <c r="TSW889" s="122"/>
      <c r="TSX889" s="122"/>
      <c r="TSY889" s="122"/>
      <c r="TSZ889" s="122"/>
      <c r="TTA889" s="122"/>
      <c r="TTB889" s="122"/>
      <c r="TTC889" s="122"/>
      <c r="TTD889" s="122"/>
      <c r="TTE889" s="122"/>
      <c r="TTF889" s="122"/>
      <c r="TTG889" s="122"/>
      <c r="TTH889" s="122"/>
      <c r="TTI889" s="122"/>
      <c r="TTJ889" s="122"/>
      <c r="TTK889" s="122"/>
      <c r="TTL889" s="122"/>
      <c r="TTM889" s="122"/>
      <c r="TTN889" s="122"/>
      <c r="TTO889" s="122"/>
      <c r="TTP889" s="122"/>
      <c r="TTQ889" s="122"/>
      <c r="TTR889" s="122"/>
      <c r="TTS889" s="122"/>
      <c r="TTT889" s="122"/>
      <c r="TTU889" s="122"/>
      <c r="TTV889" s="122"/>
      <c r="TTW889" s="122"/>
      <c r="TTX889" s="122"/>
      <c r="TTY889" s="122"/>
      <c r="TTZ889" s="122"/>
      <c r="TUA889" s="122"/>
      <c r="TUB889" s="122"/>
      <c r="TUC889" s="122"/>
      <c r="TUD889" s="122"/>
      <c r="TUE889" s="122"/>
      <c r="TUF889" s="122"/>
      <c r="TUG889" s="122"/>
      <c r="TUH889" s="122"/>
      <c r="TUI889" s="122"/>
      <c r="TUJ889" s="122"/>
      <c r="TUK889" s="122"/>
      <c r="TUL889" s="122"/>
      <c r="TUM889" s="122"/>
      <c r="TUN889" s="122"/>
      <c r="TUO889" s="122"/>
      <c r="TUP889" s="122"/>
      <c r="TUQ889" s="122"/>
      <c r="TUR889" s="122"/>
      <c r="TUS889" s="122"/>
      <c r="TUT889" s="122"/>
      <c r="TUU889" s="122"/>
      <c r="TUV889" s="122"/>
      <c r="TUW889" s="122"/>
      <c r="TUX889" s="122"/>
      <c r="TUY889" s="122"/>
      <c r="TUZ889" s="122"/>
      <c r="TVA889" s="122"/>
      <c r="TVB889" s="122"/>
      <c r="TVC889" s="122"/>
      <c r="TVD889" s="122"/>
      <c r="TVE889" s="122"/>
      <c r="TVF889" s="122"/>
      <c r="TVG889" s="122"/>
      <c r="TVH889" s="122"/>
      <c r="TVI889" s="122"/>
      <c r="TVJ889" s="122"/>
      <c r="TVK889" s="122"/>
      <c r="TVL889" s="122"/>
      <c r="TVM889" s="122"/>
      <c r="TVN889" s="122"/>
      <c r="TVO889" s="122"/>
      <c r="TVP889" s="122"/>
      <c r="TVQ889" s="122"/>
      <c r="TVR889" s="122"/>
      <c r="TVS889" s="122"/>
      <c r="TVT889" s="122"/>
      <c r="TVU889" s="122"/>
      <c r="TVV889" s="122"/>
      <c r="TVW889" s="122"/>
      <c r="TVX889" s="122"/>
      <c r="TVY889" s="122"/>
      <c r="TVZ889" s="122"/>
      <c r="TWA889" s="122"/>
      <c r="TWB889" s="122"/>
      <c r="TWC889" s="122"/>
      <c r="TWD889" s="122"/>
      <c r="TWE889" s="122"/>
      <c r="TWF889" s="122"/>
      <c r="TWG889" s="122"/>
      <c r="TWH889" s="122"/>
      <c r="TWI889" s="122"/>
      <c r="TWJ889" s="122"/>
      <c r="TWK889" s="122"/>
      <c r="TWL889" s="122"/>
      <c r="TWM889" s="122"/>
      <c r="TWN889" s="122"/>
      <c r="TWO889" s="122"/>
      <c r="TWP889" s="122"/>
      <c r="TWQ889" s="122"/>
      <c r="TWR889" s="122"/>
      <c r="TWS889" s="122"/>
      <c r="TWT889" s="122"/>
      <c r="TWU889" s="122"/>
      <c r="TWV889" s="122"/>
      <c r="TWW889" s="122"/>
      <c r="TWX889" s="122"/>
      <c r="TWY889" s="122"/>
      <c r="TWZ889" s="122"/>
      <c r="TXA889" s="122"/>
      <c r="TXB889" s="122"/>
      <c r="TXC889" s="122"/>
      <c r="TXD889" s="122"/>
      <c r="TXE889" s="122"/>
      <c r="TXF889" s="122"/>
      <c r="TXG889" s="122"/>
      <c r="TXH889" s="122"/>
      <c r="TXI889" s="122"/>
      <c r="TXJ889" s="122"/>
      <c r="TXK889" s="122"/>
      <c r="TXL889" s="122"/>
      <c r="TXM889" s="122"/>
      <c r="TXN889" s="122"/>
      <c r="TXO889" s="122"/>
      <c r="TXP889" s="122"/>
      <c r="TXQ889" s="122"/>
      <c r="TXR889" s="122"/>
      <c r="TXS889" s="122"/>
      <c r="TXT889" s="122"/>
      <c r="TXU889" s="122"/>
      <c r="TXV889" s="122"/>
      <c r="TXW889" s="122"/>
      <c r="TXX889" s="122"/>
      <c r="TXY889" s="122"/>
      <c r="TXZ889" s="122"/>
      <c r="TYA889" s="122"/>
      <c r="TYB889" s="122"/>
      <c r="TYC889" s="122"/>
      <c r="TYD889" s="122"/>
      <c r="TYE889" s="122"/>
      <c r="TYF889" s="122"/>
      <c r="TYG889" s="122"/>
      <c r="TYH889" s="122"/>
      <c r="TYI889" s="122"/>
      <c r="TYJ889" s="122"/>
      <c r="TYK889" s="122"/>
      <c r="TYL889" s="122"/>
      <c r="TYM889" s="122"/>
      <c r="TYN889" s="122"/>
      <c r="TYO889" s="122"/>
      <c r="TYP889" s="122"/>
      <c r="TYQ889" s="122"/>
      <c r="TYR889" s="122"/>
      <c r="TYS889" s="122"/>
      <c r="TYT889" s="122"/>
      <c r="TYU889" s="122"/>
      <c r="TYV889" s="122"/>
      <c r="TYW889" s="122"/>
      <c r="TYX889" s="122"/>
      <c r="TYY889" s="122"/>
      <c r="TYZ889" s="122"/>
      <c r="TZA889" s="122"/>
      <c r="TZB889" s="122"/>
      <c r="TZC889" s="122"/>
      <c r="TZD889" s="122"/>
      <c r="TZE889" s="122"/>
      <c r="TZF889" s="122"/>
      <c r="TZG889" s="122"/>
      <c r="TZH889" s="122"/>
      <c r="TZI889" s="122"/>
      <c r="TZJ889" s="122"/>
      <c r="TZK889" s="122"/>
      <c r="TZL889" s="122"/>
      <c r="TZM889" s="122"/>
      <c r="TZN889" s="122"/>
      <c r="TZO889" s="122"/>
      <c r="TZP889" s="122"/>
      <c r="TZQ889" s="122"/>
      <c r="TZR889" s="122"/>
      <c r="TZS889" s="122"/>
      <c r="TZT889" s="122"/>
      <c r="TZU889" s="122"/>
      <c r="TZV889" s="122"/>
      <c r="TZW889" s="122"/>
      <c r="TZX889" s="122"/>
      <c r="TZY889" s="122"/>
      <c r="TZZ889" s="122"/>
      <c r="UAA889" s="122"/>
      <c r="UAB889" s="122"/>
      <c r="UAC889" s="122"/>
      <c r="UAD889" s="122"/>
      <c r="UAE889" s="122"/>
      <c r="UAF889" s="122"/>
      <c r="UAG889" s="122"/>
      <c r="UAH889" s="122"/>
      <c r="UAI889" s="122"/>
      <c r="UAJ889" s="122"/>
      <c r="UAK889" s="122"/>
      <c r="UAL889" s="122"/>
      <c r="UAM889" s="122"/>
      <c r="UAN889" s="122"/>
      <c r="UAO889" s="122"/>
      <c r="UAP889" s="122"/>
      <c r="UAQ889" s="122"/>
      <c r="UAR889" s="122"/>
      <c r="UAS889" s="122"/>
      <c r="UAT889" s="122"/>
      <c r="UAU889" s="122"/>
      <c r="UAV889" s="122"/>
      <c r="UAW889" s="122"/>
      <c r="UAX889" s="122"/>
      <c r="UAY889" s="122"/>
      <c r="UAZ889" s="122"/>
      <c r="UBA889" s="122"/>
      <c r="UBB889" s="122"/>
      <c r="UBC889" s="122"/>
      <c r="UBD889" s="122"/>
      <c r="UBE889" s="122"/>
      <c r="UBF889" s="122"/>
      <c r="UBG889" s="122"/>
      <c r="UBH889" s="122"/>
      <c r="UBI889" s="122"/>
      <c r="UBJ889" s="122"/>
      <c r="UBK889" s="122"/>
      <c r="UBL889" s="122"/>
      <c r="UBM889" s="122"/>
      <c r="UBN889" s="122"/>
      <c r="UBO889" s="122"/>
      <c r="UBP889" s="122"/>
      <c r="UBQ889" s="122"/>
      <c r="UBR889" s="122"/>
      <c r="UBS889" s="122"/>
      <c r="UBT889" s="122"/>
      <c r="UBU889" s="122"/>
      <c r="UBV889" s="122"/>
      <c r="UBW889" s="122"/>
      <c r="UBX889" s="122"/>
      <c r="UBY889" s="122"/>
      <c r="UBZ889" s="122"/>
      <c r="UCA889" s="122"/>
      <c r="UCB889" s="122"/>
      <c r="UCC889" s="122"/>
      <c r="UCD889" s="122"/>
      <c r="UCE889" s="122"/>
      <c r="UCF889" s="122"/>
      <c r="UCG889" s="122"/>
      <c r="UCH889" s="122"/>
      <c r="UCI889" s="122"/>
      <c r="UCJ889" s="122"/>
      <c r="UCK889" s="122"/>
      <c r="UCL889" s="122"/>
      <c r="UCM889" s="122"/>
      <c r="UCN889" s="122"/>
      <c r="UCO889" s="122"/>
      <c r="UCP889" s="122"/>
      <c r="UCQ889" s="122"/>
      <c r="UCR889" s="122"/>
      <c r="UCS889" s="122"/>
      <c r="UCT889" s="122"/>
      <c r="UCU889" s="122"/>
      <c r="UCV889" s="122"/>
      <c r="UCW889" s="122"/>
      <c r="UCX889" s="122"/>
      <c r="UCY889" s="122"/>
      <c r="UCZ889" s="122"/>
      <c r="UDA889" s="122"/>
      <c r="UDB889" s="122"/>
      <c r="UDC889" s="122"/>
      <c r="UDD889" s="122"/>
      <c r="UDE889" s="122"/>
      <c r="UDF889" s="122"/>
      <c r="UDG889" s="122"/>
      <c r="UDH889" s="122"/>
      <c r="UDI889" s="122"/>
      <c r="UDJ889" s="122"/>
      <c r="UDK889" s="122"/>
      <c r="UDL889" s="122"/>
      <c r="UDM889" s="122"/>
      <c r="UDN889" s="122"/>
      <c r="UDO889" s="122"/>
      <c r="UDP889" s="122"/>
      <c r="UDQ889" s="122"/>
      <c r="UDR889" s="122"/>
      <c r="UDS889" s="122"/>
      <c r="UDT889" s="122"/>
      <c r="UDU889" s="122"/>
      <c r="UDV889" s="122"/>
      <c r="UDW889" s="122"/>
      <c r="UDX889" s="122"/>
      <c r="UDY889" s="122"/>
      <c r="UDZ889" s="122"/>
      <c r="UEA889" s="122"/>
      <c r="UEB889" s="122"/>
      <c r="UEC889" s="122"/>
      <c r="UED889" s="122"/>
      <c r="UEE889" s="122"/>
      <c r="UEF889" s="122"/>
      <c r="UEG889" s="122"/>
      <c r="UEH889" s="122"/>
      <c r="UEI889" s="122"/>
      <c r="UEJ889" s="122"/>
      <c r="UEK889" s="122"/>
      <c r="UEL889" s="122"/>
      <c r="UEM889" s="122"/>
      <c r="UEN889" s="122"/>
      <c r="UEO889" s="122"/>
      <c r="UEP889" s="122"/>
      <c r="UEQ889" s="122"/>
      <c r="UER889" s="122"/>
      <c r="UES889" s="122"/>
      <c r="UET889" s="122"/>
      <c r="UEU889" s="122"/>
      <c r="UEV889" s="122"/>
      <c r="UEW889" s="122"/>
      <c r="UEX889" s="122"/>
      <c r="UEY889" s="122"/>
      <c r="UEZ889" s="122"/>
      <c r="UFA889" s="122"/>
      <c r="UFB889" s="122"/>
      <c r="UFC889" s="122"/>
      <c r="UFD889" s="122"/>
      <c r="UFE889" s="122"/>
      <c r="UFF889" s="122"/>
      <c r="UFG889" s="122"/>
      <c r="UFH889" s="122"/>
      <c r="UFI889" s="122"/>
      <c r="UFJ889" s="122"/>
      <c r="UFK889" s="122"/>
      <c r="UFL889" s="122"/>
      <c r="UFM889" s="122"/>
      <c r="UFN889" s="122"/>
      <c r="UFO889" s="122"/>
      <c r="UFP889" s="122"/>
      <c r="UFQ889" s="122"/>
      <c r="UFR889" s="122"/>
      <c r="UFS889" s="122"/>
      <c r="UFT889" s="122"/>
      <c r="UFU889" s="122"/>
      <c r="UFV889" s="122"/>
      <c r="UFW889" s="122"/>
      <c r="UFX889" s="122"/>
      <c r="UFY889" s="122"/>
      <c r="UFZ889" s="122"/>
      <c r="UGA889" s="122"/>
      <c r="UGB889" s="122"/>
      <c r="UGC889" s="122"/>
      <c r="UGD889" s="122"/>
      <c r="UGE889" s="122"/>
      <c r="UGF889" s="122"/>
      <c r="UGG889" s="122"/>
      <c r="UGH889" s="122"/>
      <c r="UGI889" s="122"/>
      <c r="UGJ889" s="122"/>
      <c r="UGK889" s="122"/>
      <c r="UGL889" s="122"/>
      <c r="UGM889" s="122"/>
      <c r="UGN889" s="122"/>
      <c r="UGO889" s="122"/>
      <c r="UGP889" s="122"/>
      <c r="UGQ889" s="122"/>
      <c r="UGR889" s="122"/>
      <c r="UGS889" s="122"/>
      <c r="UGT889" s="122"/>
      <c r="UGU889" s="122"/>
      <c r="UGV889" s="122"/>
      <c r="UGW889" s="122"/>
      <c r="UGX889" s="122"/>
      <c r="UGY889" s="122"/>
      <c r="UGZ889" s="122"/>
      <c r="UHA889" s="122"/>
      <c r="UHB889" s="122"/>
      <c r="UHC889" s="122"/>
      <c r="UHD889" s="122"/>
      <c r="UHE889" s="122"/>
      <c r="UHF889" s="122"/>
      <c r="UHG889" s="122"/>
      <c r="UHH889" s="122"/>
      <c r="UHI889" s="122"/>
      <c r="UHJ889" s="122"/>
      <c r="UHK889" s="122"/>
      <c r="UHL889" s="122"/>
      <c r="UHM889" s="122"/>
      <c r="UHN889" s="122"/>
      <c r="UHO889" s="122"/>
      <c r="UHP889" s="122"/>
      <c r="UHQ889" s="122"/>
      <c r="UHR889" s="122"/>
      <c r="UHS889" s="122"/>
      <c r="UHT889" s="122"/>
      <c r="UHU889" s="122"/>
      <c r="UHV889" s="122"/>
      <c r="UHW889" s="122"/>
      <c r="UHX889" s="122"/>
      <c r="UHY889" s="122"/>
      <c r="UHZ889" s="122"/>
      <c r="UIA889" s="122"/>
      <c r="UIB889" s="122"/>
      <c r="UIC889" s="122"/>
      <c r="UID889" s="122"/>
      <c r="UIE889" s="122"/>
      <c r="UIF889" s="122"/>
      <c r="UIG889" s="122"/>
      <c r="UIH889" s="122"/>
      <c r="UII889" s="122"/>
      <c r="UIJ889" s="122"/>
      <c r="UIK889" s="122"/>
      <c r="UIL889" s="122"/>
      <c r="UIM889" s="122"/>
      <c r="UIN889" s="122"/>
      <c r="UIO889" s="122"/>
      <c r="UIP889" s="122"/>
      <c r="UIQ889" s="122"/>
      <c r="UIR889" s="122"/>
      <c r="UIS889" s="122"/>
      <c r="UIT889" s="122"/>
      <c r="UIU889" s="122"/>
      <c r="UIV889" s="122"/>
      <c r="UIW889" s="122"/>
      <c r="UIX889" s="122"/>
      <c r="UIY889" s="122"/>
      <c r="UIZ889" s="122"/>
      <c r="UJA889" s="122"/>
      <c r="UJB889" s="122"/>
      <c r="UJC889" s="122"/>
      <c r="UJD889" s="122"/>
      <c r="UJE889" s="122"/>
      <c r="UJF889" s="122"/>
      <c r="UJG889" s="122"/>
      <c r="UJH889" s="122"/>
      <c r="UJI889" s="122"/>
      <c r="UJJ889" s="122"/>
      <c r="UJK889" s="122"/>
      <c r="UJL889" s="122"/>
      <c r="UJM889" s="122"/>
      <c r="UJN889" s="122"/>
      <c r="UJO889" s="122"/>
      <c r="UJP889" s="122"/>
      <c r="UJQ889" s="122"/>
      <c r="UJR889" s="122"/>
      <c r="UJS889" s="122"/>
      <c r="UJT889" s="122"/>
      <c r="UJU889" s="122"/>
      <c r="UJV889" s="122"/>
      <c r="UJW889" s="122"/>
      <c r="UJX889" s="122"/>
      <c r="UJY889" s="122"/>
      <c r="UJZ889" s="122"/>
      <c r="UKA889" s="122"/>
      <c r="UKB889" s="122"/>
      <c r="UKC889" s="122"/>
      <c r="UKD889" s="122"/>
      <c r="UKE889" s="122"/>
      <c r="UKF889" s="122"/>
      <c r="UKG889" s="122"/>
      <c r="UKH889" s="122"/>
      <c r="UKI889" s="122"/>
      <c r="UKJ889" s="122"/>
      <c r="UKK889" s="122"/>
      <c r="UKL889" s="122"/>
      <c r="UKM889" s="122"/>
      <c r="UKN889" s="122"/>
      <c r="UKO889" s="122"/>
      <c r="UKP889" s="122"/>
      <c r="UKQ889" s="122"/>
      <c r="UKR889" s="122"/>
      <c r="UKS889" s="122"/>
      <c r="UKT889" s="122"/>
      <c r="UKU889" s="122"/>
      <c r="UKV889" s="122"/>
      <c r="UKW889" s="122"/>
      <c r="UKX889" s="122"/>
      <c r="UKY889" s="122"/>
      <c r="UKZ889" s="122"/>
      <c r="ULA889" s="122"/>
      <c r="ULB889" s="122"/>
      <c r="ULC889" s="122"/>
      <c r="ULD889" s="122"/>
      <c r="ULE889" s="122"/>
      <c r="ULF889" s="122"/>
      <c r="ULG889" s="122"/>
      <c r="ULH889" s="122"/>
      <c r="ULI889" s="122"/>
      <c r="ULJ889" s="122"/>
      <c r="ULK889" s="122"/>
      <c r="ULL889" s="122"/>
      <c r="ULM889" s="122"/>
      <c r="ULN889" s="122"/>
      <c r="ULO889" s="122"/>
      <c r="ULP889" s="122"/>
      <c r="ULQ889" s="122"/>
      <c r="ULR889" s="122"/>
      <c r="ULS889" s="122"/>
      <c r="ULT889" s="122"/>
      <c r="ULU889" s="122"/>
      <c r="ULV889" s="122"/>
      <c r="ULW889" s="122"/>
      <c r="ULX889" s="122"/>
      <c r="ULY889" s="122"/>
      <c r="ULZ889" s="122"/>
      <c r="UMA889" s="122"/>
      <c r="UMB889" s="122"/>
      <c r="UMC889" s="122"/>
      <c r="UMD889" s="122"/>
      <c r="UME889" s="122"/>
      <c r="UMF889" s="122"/>
      <c r="UMG889" s="122"/>
      <c r="UMH889" s="122"/>
      <c r="UMI889" s="122"/>
      <c r="UMJ889" s="122"/>
      <c r="UMK889" s="122"/>
      <c r="UML889" s="122"/>
      <c r="UMM889" s="122"/>
      <c r="UMN889" s="122"/>
      <c r="UMO889" s="122"/>
      <c r="UMP889" s="122"/>
      <c r="UMQ889" s="122"/>
      <c r="UMR889" s="122"/>
      <c r="UMS889" s="122"/>
      <c r="UMT889" s="122"/>
      <c r="UMU889" s="122"/>
      <c r="UMV889" s="122"/>
      <c r="UMW889" s="122"/>
      <c r="UMX889" s="122"/>
      <c r="UMY889" s="122"/>
      <c r="UMZ889" s="122"/>
      <c r="UNA889" s="122"/>
      <c r="UNB889" s="122"/>
      <c r="UNC889" s="122"/>
      <c r="UND889" s="122"/>
      <c r="UNE889" s="122"/>
      <c r="UNF889" s="122"/>
      <c r="UNG889" s="122"/>
      <c r="UNH889" s="122"/>
      <c r="UNI889" s="122"/>
      <c r="UNJ889" s="122"/>
      <c r="UNK889" s="122"/>
      <c r="UNL889" s="122"/>
      <c r="UNM889" s="122"/>
      <c r="UNN889" s="122"/>
      <c r="UNO889" s="122"/>
      <c r="UNP889" s="122"/>
      <c r="UNQ889" s="122"/>
      <c r="UNR889" s="122"/>
      <c r="UNS889" s="122"/>
      <c r="UNT889" s="122"/>
      <c r="UNU889" s="122"/>
      <c r="UNV889" s="122"/>
      <c r="UNW889" s="122"/>
      <c r="UNX889" s="122"/>
      <c r="UNY889" s="122"/>
      <c r="UNZ889" s="122"/>
      <c r="UOA889" s="122"/>
      <c r="UOB889" s="122"/>
      <c r="UOC889" s="122"/>
      <c r="UOD889" s="122"/>
      <c r="UOE889" s="122"/>
      <c r="UOF889" s="122"/>
      <c r="UOG889" s="122"/>
      <c r="UOH889" s="122"/>
      <c r="UOI889" s="122"/>
      <c r="UOJ889" s="122"/>
      <c r="UOK889" s="122"/>
      <c r="UOL889" s="122"/>
      <c r="UOM889" s="122"/>
      <c r="UON889" s="122"/>
      <c r="UOO889" s="122"/>
      <c r="UOP889" s="122"/>
      <c r="UOQ889" s="122"/>
      <c r="UOR889" s="122"/>
      <c r="UOS889" s="122"/>
      <c r="UOT889" s="122"/>
      <c r="UOU889" s="122"/>
      <c r="UOV889" s="122"/>
      <c r="UOW889" s="122"/>
      <c r="UOX889" s="122"/>
      <c r="UOY889" s="122"/>
      <c r="UOZ889" s="122"/>
      <c r="UPA889" s="122"/>
      <c r="UPB889" s="122"/>
      <c r="UPC889" s="122"/>
      <c r="UPD889" s="122"/>
      <c r="UPE889" s="122"/>
      <c r="UPF889" s="122"/>
      <c r="UPG889" s="122"/>
      <c r="UPH889" s="122"/>
      <c r="UPI889" s="122"/>
      <c r="UPJ889" s="122"/>
      <c r="UPK889" s="122"/>
      <c r="UPL889" s="122"/>
      <c r="UPM889" s="122"/>
      <c r="UPN889" s="122"/>
      <c r="UPO889" s="122"/>
      <c r="UPP889" s="122"/>
      <c r="UPQ889" s="122"/>
      <c r="UPR889" s="122"/>
      <c r="UPS889" s="122"/>
      <c r="UPT889" s="122"/>
      <c r="UPU889" s="122"/>
      <c r="UPV889" s="122"/>
      <c r="UPW889" s="122"/>
      <c r="UPX889" s="122"/>
      <c r="UPY889" s="122"/>
      <c r="UPZ889" s="122"/>
      <c r="UQA889" s="122"/>
      <c r="UQB889" s="122"/>
      <c r="UQC889" s="122"/>
      <c r="UQD889" s="122"/>
      <c r="UQE889" s="122"/>
      <c r="UQF889" s="122"/>
      <c r="UQG889" s="122"/>
      <c r="UQH889" s="122"/>
      <c r="UQI889" s="122"/>
      <c r="UQJ889" s="122"/>
      <c r="UQK889" s="122"/>
      <c r="UQL889" s="122"/>
      <c r="UQM889" s="122"/>
      <c r="UQN889" s="122"/>
      <c r="UQO889" s="122"/>
      <c r="UQP889" s="122"/>
      <c r="UQQ889" s="122"/>
      <c r="UQR889" s="122"/>
      <c r="UQS889" s="122"/>
      <c r="UQT889" s="122"/>
      <c r="UQU889" s="122"/>
      <c r="UQV889" s="122"/>
      <c r="UQW889" s="122"/>
      <c r="UQX889" s="122"/>
      <c r="UQY889" s="122"/>
      <c r="UQZ889" s="122"/>
      <c r="URA889" s="122"/>
      <c r="URB889" s="122"/>
      <c r="URC889" s="122"/>
      <c r="URD889" s="122"/>
      <c r="URE889" s="122"/>
      <c r="URF889" s="122"/>
      <c r="URG889" s="122"/>
      <c r="URH889" s="122"/>
      <c r="URI889" s="122"/>
      <c r="URJ889" s="122"/>
      <c r="URK889" s="122"/>
      <c r="URL889" s="122"/>
      <c r="URM889" s="122"/>
      <c r="URN889" s="122"/>
      <c r="URO889" s="122"/>
      <c r="URP889" s="122"/>
      <c r="URQ889" s="122"/>
      <c r="URR889" s="122"/>
      <c r="URS889" s="122"/>
      <c r="URT889" s="122"/>
      <c r="URU889" s="122"/>
      <c r="URV889" s="122"/>
      <c r="URW889" s="122"/>
      <c r="URX889" s="122"/>
      <c r="URY889" s="122"/>
      <c r="URZ889" s="122"/>
      <c r="USA889" s="122"/>
      <c r="USB889" s="122"/>
      <c r="USC889" s="122"/>
      <c r="USD889" s="122"/>
      <c r="USE889" s="122"/>
      <c r="USF889" s="122"/>
      <c r="USG889" s="122"/>
      <c r="USH889" s="122"/>
      <c r="USI889" s="122"/>
      <c r="USJ889" s="122"/>
      <c r="USK889" s="122"/>
      <c r="USL889" s="122"/>
      <c r="USM889" s="122"/>
      <c r="USN889" s="122"/>
      <c r="USO889" s="122"/>
      <c r="USP889" s="122"/>
      <c r="USQ889" s="122"/>
      <c r="USR889" s="122"/>
      <c r="USS889" s="122"/>
      <c r="UST889" s="122"/>
      <c r="USU889" s="122"/>
      <c r="USV889" s="122"/>
      <c r="USW889" s="122"/>
      <c r="USX889" s="122"/>
      <c r="USY889" s="122"/>
      <c r="USZ889" s="122"/>
      <c r="UTA889" s="122"/>
      <c r="UTB889" s="122"/>
      <c r="UTC889" s="122"/>
      <c r="UTD889" s="122"/>
      <c r="UTE889" s="122"/>
      <c r="UTF889" s="122"/>
      <c r="UTG889" s="122"/>
      <c r="UTH889" s="122"/>
      <c r="UTI889" s="122"/>
      <c r="UTJ889" s="122"/>
      <c r="UTK889" s="122"/>
      <c r="UTL889" s="122"/>
      <c r="UTM889" s="122"/>
      <c r="UTN889" s="122"/>
      <c r="UTO889" s="122"/>
      <c r="UTP889" s="122"/>
      <c r="UTQ889" s="122"/>
      <c r="UTR889" s="122"/>
      <c r="UTS889" s="122"/>
      <c r="UTT889" s="122"/>
      <c r="UTU889" s="122"/>
      <c r="UTV889" s="122"/>
      <c r="UTW889" s="122"/>
      <c r="UTX889" s="122"/>
      <c r="UTY889" s="122"/>
      <c r="UTZ889" s="122"/>
      <c r="UUA889" s="122"/>
      <c r="UUB889" s="122"/>
      <c r="UUC889" s="122"/>
      <c r="UUD889" s="122"/>
      <c r="UUE889" s="122"/>
      <c r="UUF889" s="122"/>
      <c r="UUG889" s="122"/>
      <c r="UUH889" s="122"/>
      <c r="UUI889" s="122"/>
      <c r="UUJ889" s="122"/>
      <c r="UUK889" s="122"/>
      <c r="UUL889" s="122"/>
      <c r="UUM889" s="122"/>
      <c r="UUN889" s="122"/>
      <c r="UUO889" s="122"/>
      <c r="UUP889" s="122"/>
      <c r="UUQ889" s="122"/>
      <c r="UUR889" s="122"/>
      <c r="UUS889" s="122"/>
      <c r="UUT889" s="122"/>
      <c r="UUU889" s="122"/>
      <c r="UUV889" s="122"/>
      <c r="UUW889" s="122"/>
      <c r="UUX889" s="122"/>
      <c r="UUY889" s="122"/>
      <c r="UUZ889" s="122"/>
      <c r="UVA889" s="122"/>
      <c r="UVB889" s="122"/>
      <c r="UVC889" s="122"/>
      <c r="UVD889" s="122"/>
      <c r="UVE889" s="122"/>
      <c r="UVF889" s="122"/>
      <c r="UVG889" s="122"/>
      <c r="UVH889" s="122"/>
      <c r="UVI889" s="122"/>
      <c r="UVJ889" s="122"/>
      <c r="UVK889" s="122"/>
      <c r="UVL889" s="122"/>
      <c r="UVM889" s="122"/>
      <c r="UVN889" s="122"/>
      <c r="UVO889" s="122"/>
      <c r="UVP889" s="122"/>
      <c r="UVQ889" s="122"/>
      <c r="UVR889" s="122"/>
      <c r="UVS889" s="122"/>
      <c r="UVT889" s="122"/>
      <c r="UVU889" s="122"/>
      <c r="UVV889" s="122"/>
      <c r="UVW889" s="122"/>
      <c r="UVX889" s="122"/>
      <c r="UVY889" s="122"/>
      <c r="UVZ889" s="122"/>
      <c r="UWA889" s="122"/>
      <c r="UWB889" s="122"/>
      <c r="UWC889" s="122"/>
      <c r="UWD889" s="122"/>
      <c r="UWE889" s="122"/>
      <c r="UWF889" s="122"/>
      <c r="UWG889" s="122"/>
      <c r="UWH889" s="122"/>
      <c r="UWI889" s="122"/>
      <c r="UWJ889" s="122"/>
      <c r="UWK889" s="122"/>
      <c r="UWL889" s="122"/>
      <c r="UWM889" s="122"/>
      <c r="UWN889" s="122"/>
      <c r="UWO889" s="122"/>
      <c r="UWP889" s="122"/>
      <c r="UWQ889" s="122"/>
      <c r="UWR889" s="122"/>
      <c r="UWS889" s="122"/>
      <c r="UWT889" s="122"/>
      <c r="UWU889" s="122"/>
      <c r="UWV889" s="122"/>
      <c r="UWW889" s="122"/>
      <c r="UWX889" s="122"/>
      <c r="UWY889" s="122"/>
      <c r="UWZ889" s="122"/>
      <c r="UXA889" s="122"/>
      <c r="UXB889" s="122"/>
      <c r="UXC889" s="122"/>
      <c r="UXD889" s="122"/>
      <c r="UXE889" s="122"/>
      <c r="UXF889" s="122"/>
      <c r="UXG889" s="122"/>
      <c r="UXH889" s="122"/>
      <c r="UXI889" s="122"/>
      <c r="UXJ889" s="122"/>
      <c r="UXK889" s="122"/>
      <c r="UXL889" s="122"/>
      <c r="UXM889" s="122"/>
      <c r="UXN889" s="122"/>
      <c r="UXO889" s="122"/>
      <c r="UXP889" s="122"/>
      <c r="UXQ889" s="122"/>
      <c r="UXR889" s="122"/>
      <c r="UXS889" s="122"/>
      <c r="UXT889" s="122"/>
      <c r="UXU889" s="122"/>
      <c r="UXV889" s="122"/>
      <c r="UXW889" s="122"/>
      <c r="UXX889" s="122"/>
      <c r="UXY889" s="122"/>
      <c r="UXZ889" s="122"/>
      <c r="UYA889" s="122"/>
      <c r="UYB889" s="122"/>
      <c r="UYC889" s="122"/>
      <c r="UYD889" s="122"/>
      <c r="UYE889" s="122"/>
      <c r="UYF889" s="122"/>
      <c r="UYG889" s="122"/>
      <c r="UYH889" s="122"/>
      <c r="UYI889" s="122"/>
      <c r="UYJ889" s="122"/>
      <c r="UYK889" s="122"/>
      <c r="UYL889" s="122"/>
      <c r="UYM889" s="122"/>
      <c r="UYN889" s="122"/>
      <c r="UYO889" s="122"/>
      <c r="UYP889" s="122"/>
      <c r="UYQ889" s="122"/>
      <c r="UYR889" s="122"/>
      <c r="UYS889" s="122"/>
      <c r="UYT889" s="122"/>
      <c r="UYU889" s="122"/>
      <c r="UYV889" s="122"/>
      <c r="UYW889" s="122"/>
      <c r="UYX889" s="122"/>
      <c r="UYY889" s="122"/>
      <c r="UYZ889" s="122"/>
      <c r="UZA889" s="122"/>
      <c r="UZB889" s="122"/>
      <c r="UZC889" s="122"/>
      <c r="UZD889" s="122"/>
      <c r="UZE889" s="122"/>
      <c r="UZF889" s="122"/>
      <c r="UZG889" s="122"/>
      <c r="UZH889" s="122"/>
      <c r="UZI889" s="122"/>
      <c r="UZJ889" s="122"/>
      <c r="UZK889" s="122"/>
      <c r="UZL889" s="122"/>
      <c r="UZM889" s="122"/>
      <c r="UZN889" s="122"/>
      <c r="UZO889" s="122"/>
      <c r="UZP889" s="122"/>
      <c r="UZQ889" s="122"/>
      <c r="UZR889" s="122"/>
      <c r="UZS889" s="122"/>
      <c r="UZT889" s="122"/>
      <c r="UZU889" s="122"/>
      <c r="UZV889" s="122"/>
      <c r="UZW889" s="122"/>
      <c r="UZX889" s="122"/>
      <c r="UZY889" s="122"/>
      <c r="UZZ889" s="122"/>
      <c r="VAA889" s="122"/>
      <c r="VAB889" s="122"/>
      <c r="VAC889" s="122"/>
      <c r="VAD889" s="122"/>
      <c r="VAE889" s="122"/>
      <c r="VAF889" s="122"/>
      <c r="VAG889" s="122"/>
      <c r="VAH889" s="122"/>
      <c r="VAI889" s="122"/>
      <c r="VAJ889" s="122"/>
      <c r="VAK889" s="122"/>
      <c r="VAL889" s="122"/>
      <c r="VAM889" s="122"/>
      <c r="VAN889" s="122"/>
      <c r="VAO889" s="122"/>
      <c r="VAP889" s="122"/>
      <c r="VAQ889" s="122"/>
      <c r="VAR889" s="122"/>
      <c r="VAS889" s="122"/>
      <c r="VAT889" s="122"/>
      <c r="VAU889" s="122"/>
      <c r="VAV889" s="122"/>
      <c r="VAW889" s="122"/>
      <c r="VAX889" s="122"/>
      <c r="VAY889" s="122"/>
      <c r="VAZ889" s="122"/>
      <c r="VBA889" s="122"/>
      <c r="VBB889" s="122"/>
      <c r="VBC889" s="122"/>
      <c r="VBD889" s="122"/>
      <c r="VBE889" s="122"/>
      <c r="VBF889" s="122"/>
      <c r="VBG889" s="122"/>
      <c r="VBH889" s="122"/>
      <c r="VBI889" s="122"/>
      <c r="VBJ889" s="122"/>
      <c r="VBK889" s="122"/>
      <c r="VBL889" s="122"/>
      <c r="VBM889" s="122"/>
      <c r="VBN889" s="122"/>
      <c r="VBO889" s="122"/>
      <c r="VBP889" s="122"/>
      <c r="VBQ889" s="122"/>
      <c r="VBR889" s="122"/>
      <c r="VBS889" s="122"/>
      <c r="VBT889" s="122"/>
      <c r="VBU889" s="122"/>
      <c r="VBV889" s="122"/>
      <c r="VBW889" s="122"/>
      <c r="VBX889" s="122"/>
      <c r="VBY889" s="122"/>
      <c r="VBZ889" s="122"/>
      <c r="VCA889" s="122"/>
      <c r="VCB889" s="122"/>
      <c r="VCC889" s="122"/>
      <c r="VCD889" s="122"/>
      <c r="VCE889" s="122"/>
      <c r="VCF889" s="122"/>
      <c r="VCG889" s="122"/>
      <c r="VCH889" s="122"/>
      <c r="VCI889" s="122"/>
      <c r="VCJ889" s="122"/>
      <c r="VCK889" s="122"/>
      <c r="VCL889" s="122"/>
      <c r="VCM889" s="122"/>
      <c r="VCN889" s="122"/>
      <c r="VCO889" s="122"/>
      <c r="VCP889" s="122"/>
      <c r="VCQ889" s="122"/>
      <c r="VCR889" s="122"/>
      <c r="VCS889" s="122"/>
      <c r="VCT889" s="122"/>
      <c r="VCU889" s="122"/>
      <c r="VCV889" s="122"/>
      <c r="VCW889" s="122"/>
      <c r="VCX889" s="122"/>
      <c r="VCY889" s="122"/>
      <c r="VCZ889" s="122"/>
      <c r="VDA889" s="122"/>
      <c r="VDB889" s="122"/>
      <c r="VDC889" s="122"/>
      <c r="VDD889" s="122"/>
      <c r="VDE889" s="122"/>
      <c r="VDF889" s="122"/>
      <c r="VDG889" s="122"/>
      <c r="VDH889" s="122"/>
      <c r="VDI889" s="122"/>
      <c r="VDJ889" s="122"/>
      <c r="VDK889" s="122"/>
      <c r="VDL889" s="122"/>
      <c r="VDM889" s="122"/>
      <c r="VDN889" s="122"/>
      <c r="VDO889" s="122"/>
      <c r="VDP889" s="122"/>
      <c r="VDQ889" s="122"/>
      <c r="VDR889" s="122"/>
      <c r="VDS889" s="122"/>
      <c r="VDT889" s="122"/>
      <c r="VDU889" s="122"/>
      <c r="VDV889" s="122"/>
      <c r="VDW889" s="122"/>
      <c r="VDX889" s="122"/>
      <c r="VDY889" s="122"/>
      <c r="VDZ889" s="122"/>
      <c r="VEA889" s="122"/>
      <c r="VEB889" s="122"/>
      <c r="VEC889" s="122"/>
      <c r="VED889" s="122"/>
      <c r="VEE889" s="122"/>
      <c r="VEF889" s="122"/>
      <c r="VEG889" s="122"/>
      <c r="VEH889" s="122"/>
      <c r="VEI889" s="122"/>
      <c r="VEJ889" s="122"/>
      <c r="VEK889" s="122"/>
      <c r="VEL889" s="122"/>
      <c r="VEM889" s="122"/>
      <c r="VEN889" s="122"/>
      <c r="VEO889" s="122"/>
      <c r="VEP889" s="122"/>
      <c r="VEQ889" s="122"/>
      <c r="VER889" s="122"/>
      <c r="VES889" s="122"/>
      <c r="VET889" s="122"/>
      <c r="VEU889" s="122"/>
      <c r="VEV889" s="122"/>
      <c r="VEW889" s="122"/>
      <c r="VEX889" s="122"/>
      <c r="VEY889" s="122"/>
      <c r="VEZ889" s="122"/>
      <c r="VFA889" s="122"/>
      <c r="VFB889" s="122"/>
      <c r="VFC889" s="122"/>
      <c r="VFD889" s="122"/>
      <c r="VFE889" s="122"/>
      <c r="VFF889" s="122"/>
      <c r="VFG889" s="122"/>
      <c r="VFH889" s="122"/>
      <c r="VFI889" s="122"/>
      <c r="VFJ889" s="122"/>
      <c r="VFK889" s="122"/>
      <c r="VFL889" s="122"/>
      <c r="VFM889" s="122"/>
      <c r="VFN889" s="122"/>
      <c r="VFO889" s="122"/>
      <c r="VFP889" s="122"/>
      <c r="VFQ889" s="122"/>
      <c r="VFR889" s="122"/>
      <c r="VFS889" s="122"/>
      <c r="VFT889" s="122"/>
      <c r="VFU889" s="122"/>
      <c r="VFV889" s="122"/>
      <c r="VFW889" s="122"/>
      <c r="VFX889" s="122"/>
      <c r="VFY889" s="122"/>
      <c r="VFZ889" s="122"/>
      <c r="VGA889" s="122"/>
      <c r="VGB889" s="122"/>
      <c r="VGC889" s="122"/>
      <c r="VGD889" s="122"/>
      <c r="VGE889" s="122"/>
      <c r="VGF889" s="122"/>
      <c r="VGG889" s="122"/>
      <c r="VGH889" s="122"/>
      <c r="VGI889" s="122"/>
      <c r="VGJ889" s="122"/>
      <c r="VGK889" s="122"/>
      <c r="VGL889" s="122"/>
      <c r="VGM889" s="122"/>
      <c r="VGN889" s="122"/>
      <c r="VGO889" s="122"/>
      <c r="VGP889" s="122"/>
      <c r="VGQ889" s="122"/>
      <c r="VGR889" s="122"/>
      <c r="VGS889" s="122"/>
      <c r="VGT889" s="122"/>
      <c r="VGU889" s="122"/>
      <c r="VGV889" s="122"/>
      <c r="VGW889" s="122"/>
      <c r="VGX889" s="122"/>
      <c r="VGY889" s="122"/>
      <c r="VGZ889" s="122"/>
      <c r="VHA889" s="122"/>
      <c r="VHB889" s="122"/>
      <c r="VHC889" s="122"/>
      <c r="VHD889" s="122"/>
      <c r="VHE889" s="122"/>
      <c r="VHF889" s="122"/>
      <c r="VHG889" s="122"/>
      <c r="VHH889" s="122"/>
      <c r="VHI889" s="122"/>
      <c r="VHJ889" s="122"/>
      <c r="VHK889" s="122"/>
      <c r="VHL889" s="122"/>
      <c r="VHM889" s="122"/>
      <c r="VHN889" s="122"/>
      <c r="VHO889" s="122"/>
      <c r="VHP889" s="122"/>
      <c r="VHQ889" s="122"/>
      <c r="VHR889" s="122"/>
      <c r="VHS889" s="122"/>
      <c r="VHT889" s="122"/>
      <c r="VHU889" s="122"/>
      <c r="VHV889" s="122"/>
      <c r="VHW889" s="122"/>
      <c r="VHX889" s="122"/>
      <c r="VHY889" s="122"/>
      <c r="VHZ889" s="122"/>
      <c r="VIA889" s="122"/>
      <c r="VIB889" s="122"/>
      <c r="VIC889" s="122"/>
      <c r="VID889" s="122"/>
      <c r="VIE889" s="122"/>
      <c r="VIF889" s="122"/>
      <c r="VIG889" s="122"/>
      <c r="VIH889" s="122"/>
      <c r="VII889" s="122"/>
      <c r="VIJ889" s="122"/>
      <c r="VIK889" s="122"/>
      <c r="VIL889" s="122"/>
      <c r="VIM889" s="122"/>
      <c r="VIN889" s="122"/>
      <c r="VIO889" s="122"/>
      <c r="VIP889" s="122"/>
      <c r="VIQ889" s="122"/>
      <c r="VIR889" s="122"/>
      <c r="VIS889" s="122"/>
      <c r="VIT889" s="122"/>
      <c r="VIU889" s="122"/>
      <c r="VIV889" s="122"/>
      <c r="VIW889" s="122"/>
      <c r="VIX889" s="122"/>
      <c r="VIY889" s="122"/>
      <c r="VIZ889" s="122"/>
      <c r="VJA889" s="122"/>
      <c r="VJB889" s="122"/>
      <c r="VJC889" s="122"/>
      <c r="VJD889" s="122"/>
      <c r="VJE889" s="122"/>
      <c r="VJF889" s="122"/>
      <c r="VJG889" s="122"/>
      <c r="VJH889" s="122"/>
      <c r="VJI889" s="122"/>
      <c r="VJJ889" s="122"/>
      <c r="VJK889" s="122"/>
      <c r="VJL889" s="122"/>
      <c r="VJM889" s="122"/>
      <c r="VJN889" s="122"/>
      <c r="VJO889" s="122"/>
      <c r="VJP889" s="122"/>
      <c r="VJQ889" s="122"/>
      <c r="VJR889" s="122"/>
      <c r="VJS889" s="122"/>
      <c r="VJT889" s="122"/>
      <c r="VJU889" s="122"/>
      <c r="VJV889" s="122"/>
      <c r="VJW889" s="122"/>
      <c r="VJX889" s="122"/>
      <c r="VJY889" s="122"/>
      <c r="VJZ889" s="122"/>
      <c r="VKA889" s="122"/>
      <c r="VKB889" s="122"/>
      <c r="VKC889" s="122"/>
      <c r="VKD889" s="122"/>
      <c r="VKE889" s="122"/>
      <c r="VKF889" s="122"/>
      <c r="VKG889" s="122"/>
      <c r="VKH889" s="122"/>
      <c r="VKI889" s="122"/>
      <c r="VKJ889" s="122"/>
      <c r="VKK889" s="122"/>
      <c r="VKL889" s="122"/>
      <c r="VKM889" s="122"/>
      <c r="VKN889" s="122"/>
      <c r="VKO889" s="122"/>
      <c r="VKP889" s="122"/>
      <c r="VKQ889" s="122"/>
      <c r="VKR889" s="122"/>
      <c r="VKS889" s="122"/>
      <c r="VKT889" s="122"/>
      <c r="VKU889" s="122"/>
      <c r="VKV889" s="122"/>
      <c r="VKW889" s="122"/>
      <c r="VKX889" s="122"/>
      <c r="VKY889" s="122"/>
      <c r="VKZ889" s="122"/>
      <c r="VLA889" s="122"/>
      <c r="VLB889" s="122"/>
      <c r="VLC889" s="122"/>
      <c r="VLD889" s="122"/>
      <c r="VLE889" s="122"/>
      <c r="VLF889" s="122"/>
      <c r="VLG889" s="122"/>
      <c r="VLH889" s="122"/>
      <c r="VLI889" s="122"/>
      <c r="VLJ889" s="122"/>
      <c r="VLK889" s="122"/>
      <c r="VLL889" s="122"/>
      <c r="VLM889" s="122"/>
      <c r="VLN889" s="122"/>
      <c r="VLO889" s="122"/>
      <c r="VLP889" s="122"/>
      <c r="VLQ889" s="122"/>
      <c r="VLR889" s="122"/>
      <c r="VLS889" s="122"/>
      <c r="VLT889" s="122"/>
      <c r="VLU889" s="122"/>
      <c r="VLV889" s="122"/>
      <c r="VLW889" s="122"/>
      <c r="VLX889" s="122"/>
      <c r="VLY889" s="122"/>
      <c r="VLZ889" s="122"/>
      <c r="VMA889" s="122"/>
      <c r="VMB889" s="122"/>
      <c r="VMC889" s="122"/>
      <c r="VMD889" s="122"/>
      <c r="VME889" s="122"/>
      <c r="VMF889" s="122"/>
      <c r="VMG889" s="122"/>
      <c r="VMH889" s="122"/>
      <c r="VMI889" s="122"/>
      <c r="VMJ889" s="122"/>
      <c r="VMK889" s="122"/>
      <c r="VML889" s="122"/>
      <c r="VMM889" s="122"/>
      <c r="VMN889" s="122"/>
      <c r="VMO889" s="122"/>
      <c r="VMP889" s="122"/>
      <c r="VMQ889" s="122"/>
      <c r="VMR889" s="122"/>
      <c r="VMS889" s="122"/>
      <c r="VMT889" s="122"/>
      <c r="VMU889" s="122"/>
      <c r="VMV889" s="122"/>
      <c r="VMW889" s="122"/>
      <c r="VMX889" s="122"/>
      <c r="VMY889" s="122"/>
      <c r="VMZ889" s="122"/>
      <c r="VNA889" s="122"/>
      <c r="VNB889" s="122"/>
      <c r="VNC889" s="122"/>
      <c r="VND889" s="122"/>
      <c r="VNE889" s="122"/>
      <c r="VNF889" s="122"/>
      <c r="VNG889" s="122"/>
      <c r="VNH889" s="122"/>
      <c r="VNI889" s="122"/>
      <c r="VNJ889" s="122"/>
      <c r="VNK889" s="122"/>
      <c r="VNL889" s="122"/>
      <c r="VNM889" s="122"/>
      <c r="VNN889" s="122"/>
      <c r="VNO889" s="122"/>
      <c r="VNP889" s="122"/>
      <c r="VNQ889" s="122"/>
      <c r="VNR889" s="122"/>
      <c r="VNS889" s="122"/>
      <c r="VNT889" s="122"/>
      <c r="VNU889" s="122"/>
      <c r="VNV889" s="122"/>
      <c r="VNW889" s="122"/>
      <c r="VNX889" s="122"/>
      <c r="VNY889" s="122"/>
      <c r="VNZ889" s="122"/>
      <c r="VOA889" s="122"/>
      <c r="VOB889" s="122"/>
      <c r="VOC889" s="122"/>
      <c r="VOD889" s="122"/>
      <c r="VOE889" s="122"/>
      <c r="VOF889" s="122"/>
      <c r="VOG889" s="122"/>
      <c r="VOH889" s="122"/>
      <c r="VOI889" s="122"/>
      <c r="VOJ889" s="122"/>
      <c r="VOK889" s="122"/>
      <c r="VOL889" s="122"/>
      <c r="VOM889" s="122"/>
      <c r="VON889" s="122"/>
      <c r="VOO889" s="122"/>
      <c r="VOP889" s="122"/>
      <c r="VOQ889" s="122"/>
      <c r="VOR889" s="122"/>
      <c r="VOS889" s="122"/>
      <c r="VOT889" s="122"/>
      <c r="VOU889" s="122"/>
      <c r="VOV889" s="122"/>
      <c r="VOW889" s="122"/>
      <c r="VOX889" s="122"/>
      <c r="VOY889" s="122"/>
      <c r="VOZ889" s="122"/>
      <c r="VPA889" s="122"/>
      <c r="VPB889" s="122"/>
      <c r="VPC889" s="122"/>
      <c r="VPD889" s="122"/>
      <c r="VPE889" s="122"/>
      <c r="VPF889" s="122"/>
      <c r="VPG889" s="122"/>
      <c r="VPH889" s="122"/>
      <c r="VPI889" s="122"/>
      <c r="VPJ889" s="122"/>
      <c r="VPK889" s="122"/>
      <c r="VPL889" s="122"/>
      <c r="VPM889" s="122"/>
      <c r="VPN889" s="122"/>
      <c r="VPO889" s="122"/>
      <c r="VPP889" s="122"/>
      <c r="VPQ889" s="122"/>
      <c r="VPR889" s="122"/>
      <c r="VPS889" s="122"/>
      <c r="VPT889" s="122"/>
      <c r="VPU889" s="122"/>
      <c r="VPV889" s="122"/>
      <c r="VPW889" s="122"/>
      <c r="VPX889" s="122"/>
      <c r="VPY889" s="122"/>
      <c r="VPZ889" s="122"/>
      <c r="VQA889" s="122"/>
      <c r="VQB889" s="122"/>
      <c r="VQC889" s="122"/>
      <c r="VQD889" s="122"/>
      <c r="VQE889" s="122"/>
      <c r="VQF889" s="122"/>
      <c r="VQG889" s="122"/>
      <c r="VQH889" s="122"/>
      <c r="VQI889" s="122"/>
      <c r="VQJ889" s="122"/>
      <c r="VQK889" s="122"/>
      <c r="VQL889" s="122"/>
      <c r="VQM889" s="122"/>
      <c r="VQN889" s="122"/>
      <c r="VQO889" s="122"/>
      <c r="VQP889" s="122"/>
      <c r="VQQ889" s="122"/>
      <c r="VQR889" s="122"/>
      <c r="VQS889" s="122"/>
      <c r="VQT889" s="122"/>
      <c r="VQU889" s="122"/>
      <c r="VQV889" s="122"/>
      <c r="VQW889" s="122"/>
      <c r="VQX889" s="122"/>
      <c r="VQY889" s="122"/>
      <c r="VQZ889" s="122"/>
      <c r="VRA889" s="122"/>
      <c r="VRB889" s="122"/>
      <c r="VRC889" s="122"/>
      <c r="VRD889" s="122"/>
      <c r="VRE889" s="122"/>
      <c r="VRF889" s="122"/>
      <c r="VRG889" s="122"/>
      <c r="VRH889" s="122"/>
      <c r="VRI889" s="122"/>
      <c r="VRJ889" s="122"/>
      <c r="VRK889" s="122"/>
      <c r="VRL889" s="122"/>
      <c r="VRM889" s="122"/>
      <c r="VRN889" s="122"/>
      <c r="VRO889" s="122"/>
      <c r="VRP889" s="122"/>
      <c r="VRQ889" s="122"/>
      <c r="VRR889" s="122"/>
      <c r="VRS889" s="122"/>
      <c r="VRT889" s="122"/>
      <c r="VRU889" s="122"/>
      <c r="VRV889" s="122"/>
      <c r="VRW889" s="122"/>
      <c r="VRX889" s="122"/>
      <c r="VRY889" s="122"/>
      <c r="VRZ889" s="122"/>
      <c r="VSA889" s="122"/>
      <c r="VSB889" s="122"/>
      <c r="VSC889" s="122"/>
      <c r="VSD889" s="122"/>
      <c r="VSE889" s="122"/>
      <c r="VSF889" s="122"/>
      <c r="VSG889" s="122"/>
      <c r="VSH889" s="122"/>
      <c r="VSI889" s="122"/>
      <c r="VSJ889" s="122"/>
      <c r="VSK889" s="122"/>
      <c r="VSL889" s="122"/>
      <c r="VSM889" s="122"/>
      <c r="VSN889" s="122"/>
      <c r="VSO889" s="122"/>
      <c r="VSP889" s="122"/>
      <c r="VSQ889" s="122"/>
      <c r="VSR889" s="122"/>
      <c r="VSS889" s="122"/>
      <c r="VST889" s="122"/>
      <c r="VSU889" s="122"/>
      <c r="VSV889" s="122"/>
      <c r="VSW889" s="122"/>
      <c r="VSX889" s="122"/>
      <c r="VSY889" s="122"/>
      <c r="VSZ889" s="122"/>
      <c r="VTA889" s="122"/>
      <c r="VTB889" s="122"/>
      <c r="VTC889" s="122"/>
      <c r="VTD889" s="122"/>
      <c r="VTE889" s="122"/>
      <c r="VTF889" s="122"/>
      <c r="VTG889" s="122"/>
      <c r="VTH889" s="122"/>
      <c r="VTI889" s="122"/>
      <c r="VTJ889" s="122"/>
      <c r="VTK889" s="122"/>
      <c r="VTL889" s="122"/>
      <c r="VTM889" s="122"/>
      <c r="VTN889" s="122"/>
      <c r="VTO889" s="122"/>
      <c r="VTP889" s="122"/>
      <c r="VTQ889" s="122"/>
      <c r="VTR889" s="122"/>
      <c r="VTS889" s="122"/>
      <c r="VTT889" s="122"/>
      <c r="VTU889" s="122"/>
      <c r="VTV889" s="122"/>
      <c r="VTW889" s="122"/>
      <c r="VTX889" s="122"/>
      <c r="VTY889" s="122"/>
      <c r="VTZ889" s="122"/>
      <c r="VUA889" s="122"/>
      <c r="VUB889" s="122"/>
      <c r="VUC889" s="122"/>
      <c r="VUD889" s="122"/>
      <c r="VUE889" s="122"/>
      <c r="VUF889" s="122"/>
      <c r="VUG889" s="122"/>
      <c r="VUH889" s="122"/>
      <c r="VUI889" s="122"/>
      <c r="VUJ889" s="122"/>
      <c r="VUK889" s="122"/>
      <c r="VUL889" s="122"/>
      <c r="VUM889" s="122"/>
      <c r="VUN889" s="122"/>
      <c r="VUO889" s="122"/>
      <c r="VUP889" s="122"/>
      <c r="VUQ889" s="122"/>
      <c r="VUR889" s="122"/>
      <c r="VUS889" s="122"/>
      <c r="VUT889" s="122"/>
      <c r="VUU889" s="122"/>
      <c r="VUV889" s="122"/>
      <c r="VUW889" s="122"/>
      <c r="VUX889" s="122"/>
      <c r="VUY889" s="122"/>
      <c r="VUZ889" s="122"/>
      <c r="VVA889" s="122"/>
      <c r="VVB889" s="122"/>
      <c r="VVC889" s="122"/>
      <c r="VVD889" s="122"/>
      <c r="VVE889" s="122"/>
      <c r="VVF889" s="122"/>
      <c r="VVG889" s="122"/>
      <c r="VVH889" s="122"/>
      <c r="VVI889" s="122"/>
      <c r="VVJ889" s="122"/>
      <c r="VVK889" s="122"/>
      <c r="VVL889" s="122"/>
      <c r="VVM889" s="122"/>
      <c r="VVN889" s="122"/>
      <c r="VVO889" s="122"/>
      <c r="VVP889" s="122"/>
      <c r="VVQ889" s="122"/>
      <c r="VVR889" s="122"/>
      <c r="VVS889" s="122"/>
      <c r="VVT889" s="122"/>
      <c r="VVU889" s="122"/>
      <c r="VVV889" s="122"/>
      <c r="VVW889" s="122"/>
      <c r="VVX889" s="122"/>
      <c r="VVY889" s="122"/>
      <c r="VVZ889" s="122"/>
      <c r="VWA889" s="122"/>
      <c r="VWB889" s="122"/>
      <c r="VWC889" s="122"/>
      <c r="VWD889" s="122"/>
      <c r="VWE889" s="122"/>
      <c r="VWF889" s="122"/>
      <c r="VWG889" s="122"/>
      <c r="VWH889" s="122"/>
      <c r="VWI889" s="122"/>
      <c r="VWJ889" s="122"/>
      <c r="VWK889" s="122"/>
      <c r="VWL889" s="122"/>
      <c r="VWM889" s="122"/>
      <c r="VWN889" s="122"/>
      <c r="VWO889" s="122"/>
      <c r="VWP889" s="122"/>
      <c r="VWQ889" s="122"/>
      <c r="VWR889" s="122"/>
      <c r="VWS889" s="122"/>
      <c r="VWT889" s="122"/>
      <c r="VWU889" s="122"/>
      <c r="VWV889" s="122"/>
      <c r="VWW889" s="122"/>
      <c r="VWX889" s="122"/>
      <c r="VWY889" s="122"/>
      <c r="VWZ889" s="122"/>
      <c r="VXA889" s="122"/>
      <c r="VXB889" s="122"/>
      <c r="VXC889" s="122"/>
      <c r="VXD889" s="122"/>
      <c r="VXE889" s="122"/>
      <c r="VXF889" s="122"/>
      <c r="VXG889" s="122"/>
      <c r="VXH889" s="122"/>
      <c r="VXI889" s="122"/>
      <c r="VXJ889" s="122"/>
      <c r="VXK889" s="122"/>
      <c r="VXL889" s="122"/>
      <c r="VXM889" s="122"/>
      <c r="VXN889" s="122"/>
      <c r="VXO889" s="122"/>
      <c r="VXP889" s="122"/>
      <c r="VXQ889" s="122"/>
      <c r="VXR889" s="122"/>
      <c r="VXS889" s="122"/>
      <c r="VXT889" s="122"/>
      <c r="VXU889" s="122"/>
      <c r="VXV889" s="122"/>
      <c r="VXW889" s="122"/>
      <c r="VXX889" s="122"/>
      <c r="VXY889" s="122"/>
      <c r="VXZ889" s="122"/>
      <c r="VYA889" s="122"/>
      <c r="VYB889" s="122"/>
      <c r="VYC889" s="122"/>
      <c r="VYD889" s="122"/>
      <c r="VYE889" s="122"/>
      <c r="VYF889" s="122"/>
      <c r="VYG889" s="122"/>
      <c r="VYH889" s="122"/>
      <c r="VYI889" s="122"/>
      <c r="VYJ889" s="122"/>
      <c r="VYK889" s="122"/>
      <c r="VYL889" s="122"/>
      <c r="VYM889" s="122"/>
      <c r="VYN889" s="122"/>
      <c r="VYO889" s="122"/>
      <c r="VYP889" s="122"/>
      <c r="VYQ889" s="122"/>
      <c r="VYR889" s="122"/>
      <c r="VYS889" s="122"/>
      <c r="VYT889" s="122"/>
      <c r="VYU889" s="122"/>
      <c r="VYV889" s="122"/>
      <c r="VYW889" s="122"/>
      <c r="VYX889" s="122"/>
      <c r="VYY889" s="122"/>
      <c r="VYZ889" s="122"/>
      <c r="VZA889" s="122"/>
      <c r="VZB889" s="122"/>
      <c r="VZC889" s="122"/>
      <c r="VZD889" s="122"/>
      <c r="VZE889" s="122"/>
      <c r="VZF889" s="122"/>
      <c r="VZG889" s="122"/>
      <c r="VZH889" s="122"/>
      <c r="VZI889" s="122"/>
      <c r="VZJ889" s="122"/>
      <c r="VZK889" s="122"/>
      <c r="VZL889" s="122"/>
      <c r="VZM889" s="122"/>
      <c r="VZN889" s="122"/>
      <c r="VZO889" s="122"/>
      <c r="VZP889" s="122"/>
      <c r="VZQ889" s="122"/>
      <c r="VZR889" s="122"/>
      <c r="VZS889" s="122"/>
      <c r="VZT889" s="122"/>
      <c r="VZU889" s="122"/>
      <c r="VZV889" s="122"/>
      <c r="VZW889" s="122"/>
      <c r="VZX889" s="122"/>
      <c r="VZY889" s="122"/>
      <c r="VZZ889" s="122"/>
      <c r="WAA889" s="122"/>
      <c r="WAB889" s="122"/>
      <c r="WAC889" s="122"/>
      <c r="WAD889" s="122"/>
      <c r="WAE889" s="122"/>
      <c r="WAF889" s="122"/>
      <c r="WAG889" s="122"/>
      <c r="WAH889" s="122"/>
      <c r="WAI889" s="122"/>
      <c r="WAJ889" s="122"/>
      <c r="WAK889" s="122"/>
      <c r="WAL889" s="122"/>
      <c r="WAM889" s="122"/>
      <c r="WAN889" s="122"/>
      <c r="WAO889" s="122"/>
      <c r="WAP889" s="122"/>
      <c r="WAQ889" s="122"/>
      <c r="WAR889" s="122"/>
      <c r="WAS889" s="122"/>
      <c r="WAT889" s="122"/>
      <c r="WAU889" s="122"/>
      <c r="WAV889" s="122"/>
      <c r="WAW889" s="122"/>
      <c r="WAX889" s="122"/>
      <c r="WAY889" s="122"/>
      <c r="WAZ889" s="122"/>
      <c r="WBA889" s="122"/>
      <c r="WBB889" s="122"/>
      <c r="WBC889" s="122"/>
      <c r="WBD889" s="122"/>
      <c r="WBE889" s="122"/>
      <c r="WBF889" s="122"/>
      <c r="WBG889" s="122"/>
      <c r="WBH889" s="122"/>
      <c r="WBI889" s="122"/>
      <c r="WBJ889" s="122"/>
      <c r="WBK889" s="122"/>
      <c r="WBL889" s="122"/>
      <c r="WBM889" s="122"/>
      <c r="WBN889" s="122"/>
      <c r="WBO889" s="122"/>
      <c r="WBP889" s="122"/>
      <c r="WBQ889" s="122"/>
      <c r="WBR889" s="122"/>
      <c r="WBS889" s="122"/>
      <c r="WBT889" s="122"/>
      <c r="WBU889" s="122"/>
      <c r="WBV889" s="122"/>
      <c r="WBW889" s="122"/>
      <c r="WBX889" s="122"/>
      <c r="WBY889" s="122"/>
      <c r="WBZ889" s="122"/>
      <c r="WCA889" s="122"/>
      <c r="WCB889" s="122"/>
      <c r="WCC889" s="122"/>
      <c r="WCD889" s="122"/>
      <c r="WCE889" s="122"/>
      <c r="WCF889" s="122"/>
      <c r="WCG889" s="122"/>
      <c r="WCH889" s="122"/>
      <c r="WCI889" s="122"/>
      <c r="WCJ889" s="122"/>
      <c r="WCK889" s="122"/>
      <c r="WCL889" s="122"/>
      <c r="WCM889" s="122"/>
      <c r="WCN889" s="122"/>
      <c r="WCO889" s="122"/>
      <c r="WCP889" s="122"/>
      <c r="WCQ889" s="122"/>
      <c r="WCR889" s="122"/>
      <c r="WCS889" s="122"/>
      <c r="WCT889" s="122"/>
      <c r="WCU889" s="122"/>
      <c r="WCV889" s="122"/>
      <c r="WCW889" s="122"/>
      <c r="WCX889" s="122"/>
      <c r="WCY889" s="122"/>
      <c r="WCZ889" s="122"/>
      <c r="WDA889" s="122"/>
      <c r="WDB889" s="122"/>
      <c r="WDC889" s="122"/>
      <c r="WDD889" s="122"/>
      <c r="WDE889" s="122"/>
      <c r="WDF889" s="122"/>
      <c r="WDG889" s="122"/>
      <c r="WDH889" s="122"/>
      <c r="WDI889" s="122"/>
      <c r="WDJ889" s="122"/>
      <c r="WDK889" s="122"/>
      <c r="WDL889" s="122"/>
      <c r="WDM889" s="122"/>
      <c r="WDN889" s="122"/>
      <c r="WDO889" s="122"/>
      <c r="WDP889" s="122"/>
      <c r="WDQ889" s="122"/>
      <c r="WDR889" s="122"/>
      <c r="WDS889" s="122"/>
      <c r="WDT889" s="122"/>
      <c r="WDU889" s="122"/>
      <c r="WDV889" s="122"/>
      <c r="WDW889" s="122"/>
      <c r="WDX889" s="122"/>
      <c r="WDY889" s="122"/>
      <c r="WDZ889" s="122"/>
      <c r="WEA889" s="122"/>
      <c r="WEB889" s="122"/>
      <c r="WEC889" s="122"/>
      <c r="WED889" s="122"/>
      <c r="WEE889" s="122"/>
      <c r="WEF889" s="122"/>
      <c r="WEG889" s="122"/>
      <c r="WEH889" s="122"/>
      <c r="WEI889" s="122"/>
      <c r="WEJ889" s="122"/>
      <c r="WEK889" s="122"/>
      <c r="WEL889" s="122"/>
      <c r="WEM889" s="122"/>
      <c r="WEN889" s="122"/>
      <c r="WEO889" s="122"/>
      <c r="WEP889" s="122"/>
      <c r="WEQ889" s="122"/>
      <c r="WER889" s="122"/>
      <c r="WES889" s="122"/>
      <c r="WET889" s="122"/>
      <c r="WEU889" s="122"/>
      <c r="WEV889" s="122"/>
      <c r="WEW889" s="122"/>
      <c r="WEX889" s="122"/>
      <c r="WEY889" s="122"/>
      <c r="WEZ889" s="122"/>
      <c r="WFA889" s="122"/>
      <c r="WFB889" s="122"/>
      <c r="WFC889" s="122"/>
      <c r="WFD889" s="122"/>
      <c r="WFE889" s="122"/>
      <c r="WFF889" s="122"/>
      <c r="WFG889" s="122"/>
      <c r="WFH889" s="122"/>
      <c r="WFI889" s="122"/>
      <c r="WFJ889" s="122"/>
      <c r="WFK889" s="122"/>
      <c r="WFL889" s="122"/>
      <c r="WFM889" s="122"/>
      <c r="WFN889" s="122"/>
      <c r="WFO889" s="122"/>
      <c r="WFP889" s="122"/>
      <c r="WFQ889" s="122"/>
      <c r="WFR889" s="122"/>
      <c r="WFS889" s="122"/>
      <c r="WFT889" s="122"/>
      <c r="WFU889" s="122"/>
      <c r="WFV889" s="122"/>
      <c r="WFW889" s="122"/>
      <c r="WFX889" s="122"/>
      <c r="WFY889" s="122"/>
      <c r="WFZ889" s="122"/>
      <c r="WGA889" s="122"/>
      <c r="WGB889" s="122"/>
      <c r="WGC889" s="122"/>
      <c r="WGD889" s="122"/>
      <c r="WGE889" s="122"/>
      <c r="WGF889" s="122"/>
      <c r="WGG889" s="122"/>
      <c r="WGH889" s="122"/>
      <c r="WGI889" s="122"/>
      <c r="WGJ889" s="122"/>
      <c r="WGK889" s="122"/>
      <c r="WGL889" s="122"/>
      <c r="WGM889" s="122"/>
      <c r="WGN889" s="122"/>
      <c r="WGO889" s="122"/>
      <c r="WGP889" s="122"/>
      <c r="WGQ889" s="122"/>
      <c r="WGR889" s="122"/>
      <c r="WGS889" s="122"/>
      <c r="WGT889" s="122"/>
      <c r="WGU889" s="122"/>
      <c r="WGV889" s="122"/>
      <c r="WGW889" s="122"/>
      <c r="WGX889" s="122"/>
      <c r="WGY889" s="122"/>
      <c r="WGZ889" s="122"/>
      <c r="WHA889" s="122"/>
      <c r="WHB889" s="122"/>
      <c r="WHC889" s="122"/>
      <c r="WHD889" s="122"/>
      <c r="WHE889" s="122"/>
      <c r="WHF889" s="122"/>
      <c r="WHG889" s="122"/>
      <c r="WHH889" s="122"/>
      <c r="WHI889" s="122"/>
      <c r="WHJ889" s="122"/>
      <c r="WHK889" s="122"/>
      <c r="WHL889" s="122"/>
      <c r="WHM889" s="122"/>
      <c r="WHN889" s="122"/>
      <c r="WHO889" s="122"/>
      <c r="WHP889" s="122"/>
      <c r="WHQ889" s="122"/>
      <c r="WHR889" s="122"/>
      <c r="WHS889" s="122"/>
      <c r="WHT889" s="122"/>
      <c r="WHU889" s="122"/>
      <c r="WHV889" s="122"/>
      <c r="WHW889" s="122"/>
      <c r="WHX889" s="122"/>
      <c r="WHY889" s="122"/>
      <c r="WHZ889" s="122"/>
      <c r="WIA889" s="122"/>
      <c r="WIB889" s="122"/>
      <c r="WIC889" s="122"/>
      <c r="WID889" s="122"/>
      <c r="WIE889" s="122"/>
      <c r="WIF889" s="122"/>
      <c r="WIG889" s="122"/>
      <c r="WIH889" s="122"/>
      <c r="WII889" s="122"/>
      <c r="WIJ889" s="122"/>
      <c r="WIK889" s="122"/>
      <c r="WIL889" s="122"/>
      <c r="WIM889" s="122"/>
      <c r="WIN889" s="122"/>
      <c r="WIO889" s="122"/>
      <c r="WIP889" s="122"/>
      <c r="WIQ889" s="122"/>
      <c r="WIR889" s="122"/>
      <c r="WIS889" s="122"/>
      <c r="WIT889" s="122"/>
      <c r="WIU889" s="122"/>
      <c r="WIV889" s="122"/>
      <c r="WIW889" s="122"/>
      <c r="WIX889" s="122"/>
      <c r="WIY889" s="122"/>
      <c r="WIZ889" s="122"/>
      <c r="WJA889" s="122"/>
      <c r="WJB889" s="122"/>
      <c r="WJC889" s="122"/>
      <c r="WJD889" s="122"/>
      <c r="WJE889" s="122"/>
      <c r="WJF889" s="122"/>
      <c r="WJG889" s="122"/>
      <c r="WJH889" s="122"/>
      <c r="WJI889" s="122"/>
      <c r="WJJ889" s="122"/>
      <c r="WJK889" s="122"/>
      <c r="WJL889" s="122"/>
      <c r="WJM889" s="122"/>
      <c r="WJN889" s="122"/>
      <c r="WJO889" s="122"/>
      <c r="WJP889" s="122"/>
      <c r="WJQ889" s="122"/>
      <c r="WJR889" s="122"/>
      <c r="WJS889" s="122"/>
      <c r="WJT889" s="122"/>
      <c r="WJU889" s="122"/>
      <c r="WJV889" s="122"/>
      <c r="WJW889" s="122"/>
      <c r="WJX889" s="122"/>
      <c r="WJY889" s="122"/>
      <c r="WJZ889" s="122"/>
      <c r="WKA889" s="122"/>
      <c r="WKB889" s="122"/>
      <c r="WKC889" s="122"/>
      <c r="WKD889" s="122"/>
      <c r="WKE889" s="122"/>
      <c r="WKF889" s="122"/>
      <c r="WKG889" s="122"/>
      <c r="WKH889" s="122"/>
      <c r="WKI889" s="122"/>
      <c r="WKJ889" s="122"/>
      <c r="WKK889" s="122"/>
      <c r="WKL889" s="122"/>
      <c r="WKM889" s="122"/>
      <c r="WKN889" s="122"/>
      <c r="WKO889" s="122"/>
      <c r="WKP889" s="122"/>
      <c r="WKQ889" s="122"/>
      <c r="WKR889" s="122"/>
      <c r="WKS889" s="122"/>
      <c r="WKT889" s="122"/>
      <c r="WKU889" s="122"/>
      <c r="WKV889" s="122"/>
      <c r="WKW889" s="122"/>
      <c r="WKX889" s="122"/>
      <c r="WKY889" s="122"/>
      <c r="WKZ889" s="122"/>
      <c r="WLA889" s="122"/>
      <c r="WLB889" s="122"/>
      <c r="WLC889" s="122"/>
      <c r="WLD889" s="122"/>
      <c r="WLE889" s="122"/>
      <c r="WLF889" s="122"/>
      <c r="WLG889" s="122"/>
      <c r="WLH889" s="122"/>
      <c r="WLI889" s="122"/>
      <c r="WLJ889" s="122"/>
      <c r="WLK889" s="122"/>
      <c r="WLL889" s="122"/>
      <c r="WLM889" s="122"/>
      <c r="WLN889" s="122"/>
      <c r="WLO889" s="122"/>
      <c r="WLP889" s="122"/>
      <c r="WLQ889" s="122"/>
      <c r="WLR889" s="122"/>
      <c r="WLS889" s="122"/>
      <c r="WLT889" s="122"/>
      <c r="WLU889" s="122"/>
      <c r="WLV889" s="122"/>
      <c r="WLW889" s="122"/>
      <c r="WLX889" s="122"/>
      <c r="WLY889" s="122"/>
      <c r="WLZ889" s="122"/>
      <c r="WMA889" s="122"/>
      <c r="WMB889" s="122"/>
      <c r="WMC889" s="122"/>
      <c r="WMD889" s="122"/>
      <c r="WME889" s="122"/>
      <c r="WMF889" s="122"/>
      <c r="WMG889" s="122"/>
      <c r="WMH889" s="122"/>
      <c r="WMI889" s="122"/>
      <c r="WMJ889" s="122"/>
      <c r="WMK889" s="122"/>
      <c r="WML889" s="122"/>
      <c r="WMM889" s="122"/>
      <c r="WMN889" s="122"/>
      <c r="WMO889" s="122"/>
      <c r="WMP889" s="122"/>
      <c r="WMQ889" s="122"/>
      <c r="WMR889" s="122"/>
      <c r="WMS889" s="122"/>
      <c r="WMT889" s="122"/>
      <c r="WMU889" s="122"/>
      <c r="WMV889" s="122"/>
      <c r="WMW889" s="122"/>
      <c r="WMX889" s="122"/>
      <c r="WMY889" s="122"/>
      <c r="WMZ889" s="122"/>
      <c r="WNA889" s="122"/>
      <c r="WNB889" s="122"/>
      <c r="WNC889" s="122"/>
      <c r="WND889" s="122"/>
      <c r="WNE889" s="122"/>
      <c r="WNF889" s="122"/>
      <c r="WNG889" s="122"/>
      <c r="WNH889" s="122"/>
      <c r="WNI889" s="122"/>
      <c r="WNJ889" s="122"/>
      <c r="WNK889" s="122"/>
      <c r="WNL889" s="122"/>
      <c r="WNM889" s="122"/>
      <c r="WNN889" s="122"/>
      <c r="WNO889" s="122"/>
      <c r="WNP889" s="122"/>
      <c r="WNQ889" s="122"/>
      <c r="WNR889" s="122"/>
      <c r="WNS889" s="122"/>
      <c r="WNT889" s="122"/>
      <c r="WNU889" s="122"/>
      <c r="WNV889" s="122"/>
      <c r="WNW889" s="122"/>
      <c r="WNX889" s="122"/>
      <c r="WNY889" s="122"/>
      <c r="WNZ889" s="122"/>
      <c r="WOA889" s="122"/>
      <c r="WOB889" s="122"/>
      <c r="WOC889" s="122"/>
      <c r="WOD889" s="122"/>
      <c r="WOE889" s="122"/>
      <c r="WOF889" s="122"/>
      <c r="WOG889" s="122"/>
      <c r="WOH889" s="122"/>
      <c r="WOI889" s="122"/>
      <c r="WOJ889" s="122"/>
      <c r="WOK889" s="122"/>
      <c r="WOL889" s="122"/>
      <c r="WOM889" s="122"/>
      <c r="WON889" s="122"/>
      <c r="WOO889" s="122"/>
      <c r="WOP889" s="122"/>
      <c r="WOQ889" s="122"/>
      <c r="WOR889" s="122"/>
      <c r="WOS889" s="122"/>
      <c r="WOT889" s="122"/>
      <c r="WOU889" s="122"/>
      <c r="WOV889" s="122"/>
      <c r="WOW889" s="122"/>
      <c r="WOX889" s="122"/>
      <c r="WOY889" s="122"/>
      <c r="WOZ889" s="122"/>
      <c r="WPA889" s="122"/>
      <c r="WPB889" s="122"/>
      <c r="WPC889" s="122"/>
      <c r="WPD889" s="122"/>
      <c r="WPE889" s="122"/>
      <c r="WPF889" s="122"/>
      <c r="WPG889" s="122"/>
      <c r="WPH889" s="122"/>
      <c r="WPI889" s="122"/>
      <c r="WPJ889" s="122"/>
      <c r="WPK889" s="122"/>
      <c r="WPL889" s="122"/>
      <c r="WPM889" s="122"/>
      <c r="WPN889" s="122"/>
      <c r="WPO889" s="122"/>
      <c r="WPP889" s="122"/>
      <c r="WPQ889" s="122"/>
      <c r="WPR889" s="122"/>
      <c r="WPS889" s="122"/>
      <c r="WPT889" s="122"/>
      <c r="WPU889" s="122"/>
      <c r="WPV889" s="122"/>
      <c r="WPW889" s="122"/>
      <c r="WPX889" s="122"/>
      <c r="WPY889" s="122"/>
      <c r="WPZ889" s="122"/>
      <c r="WQA889" s="122"/>
      <c r="WQB889" s="122"/>
      <c r="WQC889" s="122"/>
      <c r="WQD889" s="122"/>
      <c r="WQE889" s="122"/>
      <c r="WQF889" s="122"/>
      <c r="WQG889" s="122"/>
      <c r="WQH889" s="122"/>
      <c r="WQI889" s="122"/>
      <c r="WQJ889" s="122"/>
      <c r="WQK889" s="122"/>
      <c r="WQL889" s="122"/>
      <c r="WQM889" s="122"/>
      <c r="WQN889" s="122"/>
      <c r="WQO889" s="122"/>
      <c r="WQP889" s="122"/>
      <c r="WQQ889" s="122"/>
      <c r="WQR889" s="122"/>
      <c r="WQS889" s="122"/>
      <c r="WQT889" s="122"/>
      <c r="WQU889" s="122"/>
      <c r="WQV889" s="122"/>
      <c r="WQW889" s="122"/>
      <c r="WQX889" s="122"/>
      <c r="WQY889" s="122"/>
      <c r="WQZ889" s="122"/>
      <c r="WRA889" s="122"/>
      <c r="WRB889" s="122"/>
      <c r="WRC889" s="122"/>
      <c r="WRD889" s="122"/>
      <c r="WRE889" s="122"/>
      <c r="WRF889" s="122"/>
      <c r="WRG889" s="122"/>
      <c r="WRH889" s="122"/>
      <c r="WRI889" s="122"/>
      <c r="WRJ889" s="122"/>
      <c r="WRK889" s="122"/>
      <c r="WRL889" s="122"/>
      <c r="WRM889" s="122"/>
      <c r="WRN889" s="122"/>
      <c r="WRO889" s="122"/>
      <c r="WRP889" s="122"/>
      <c r="WRQ889" s="122"/>
      <c r="WRR889" s="122"/>
      <c r="WRS889" s="122"/>
      <c r="WRT889" s="122"/>
      <c r="WRU889" s="122"/>
      <c r="WRV889" s="122"/>
      <c r="WRW889" s="122"/>
      <c r="WRX889" s="122"/>
      <c r="WRY889" s="122"/>
      <c r="WRZ889" s="122"/>
      <c r="WSA889" s="122"/>
      <c r="WSB889" s="122"/>
      <c r="WSC889" s="122"/>
      <c r="WSD889" s="122"/>
      <c r="WSE889" s="122"/>
      <c r="WSF889" s="122"/>
      <c r="WSG889" s="122"/>
      <c r="WSH889" s="122"/>
      <c r="WSI889" s="122"/>
      <c r="WSJ889" s="122"/>
      <c r="WSK889" s="122"/>
      <c r="WSL889" s="122"/>
      <c r="WSM889" s="122"/>
      <c r="WSN889" s="122"/>
      <c r="WSO889" s="122"/>
      <c r="WSP889" s="122"/>
      <c r="WSQ889" s="122"/>
      <c r="WSR889" s="122"/>
      <c r="WSS889" s="122"/>
      <c r="WST889" s="122"/>
      <c r="WSU889" s="122"/>
      <c r="WSV889" s="122"/>
      <c r="WSW889" s="122"/>
      <c r="WSX889" s="122"/>
      <c r="WSY889" s="122"/>
      <c r="WSZ889" s="122"/>
      <c r="WTA889" s="122"/>
      <c r="WTB889" s="122"/>
      <c r="WTC889" s="122"/>
      <c r="WTD889" s="122"/>
      <c r="WTE889" s="122"/>
      <c r="WTF889" s="122"/>
      <c r="WTG889" s="122"/>
      <c r="WTH889" s="122"/>
      <c r="WTI889" s="122"/>
      <c r="WTJ889" s="122"/>
      <c r="WTK889" s="122"/>
      <c r="WTL889" s="122"/>
      <c r="WTM889" s="122"/>
      <c r="WTN889" s="122"/>
      <c r="WTO889" s="122"/>
      <c r="WTP889" s="122"/>
      <c r="WTQ889" s="122"/>
      <c r="WTR889" s="122"/>
      <c r="WTS889" s="122"/>
      <c r="WTT889" s="122"/>
      <c r="WTU889" s="122"/>
      <c r="WTV889" s="122"/>
      <c r="WTW889" s="122"/>
      <c r="WTX889" s="122"/>
      <c r="WTY889" s="122"/>
      <c r="WTZ889" s="122"/>
      <c r="WUA889" s="122"/>
      <c r="WUB889" s="122"/>
      <c r="WUC889" s="122"/>
      <c r="WUD889" s="122"/>
      <c r="WUE889" s="122"/>
      <c r="WUF889" s="122"/>
      <c r="WUG889" s="122"/>
      <c r="WUH889" s="122"/>
      <c r="WUI889" s="122"/>
      <c r="WUJ889" s="122"/>
      <c r="WUK889" s="122"/>
      <c r="WUL889" s="122"/>
      <c r="WUM889" s="122"/>
      <c r="WUN889" s="122"/>
      <c r="WUO889" s="122"/>
      <c r="WUP889" s="122"/>
      <c r="WUQ889" s="122"/>
      <c r="WUR889" s="122"/>
      <c r="WUS889" s="122"/>
      <c r="WUT889" s="122"/>
      <c r="WUU889" s="122"/>
      <c r="WUV889" s="122"/>
      <c r="WUW889" s="122"/>
      <c r="WUX889" s="122"/>
      <c r="WUY889" s="122"/>
      <c r="WUZ889" s="122"/>
      <c r="WVA889" s="122"/>
      <c r="WVB889" s="122"/>
      <c r="WVC889" s="122"/>
      <c r="WVD889" s="122"/>
      <c r="WVE889" s="122"/>
      <c r="WVF889" s="122"/>
      <c r="WVG889" s="122"/>
      <c r="WVH889" s="122"/>
      <c r="WVI889" s="122"/>
      <c r="WVJ889" s="122"/>
      <c r="WVK889" s="122"/>
      <c r="WVL889" s="122"/>
      <c r="WVM889" s="122"/>
      <c r="WVN889" s="122"/>
      <c r="WVO889" s="122"/>
      <c r="WVP889" s="122"/>
      <c r="WVQ889" s="122"/>
      <c r="WVR889" s="122"/>
      <c r="WVS889" s="122"/>
      <c r="WVT889" s="122"/>
      <c r="WVU889" s="122"/>
      <c r="WVV889" s="122"/>
      <c r="WVW889" s="122"/>
      <c r="WVX889" s="122"/>
      <c r="WVY889" s="122"/>
      <c r="WVZ889" s="122"/>
      <c r="WWA889" s="122"/>
      <c r="WWB889" s="122"/>
      <c r="WWC889" s="122"/>
      <c r="WWD889" s="122"/>
      <c r="WWE889" s="122"/>
      <c r="WWF889" s="122"/>
      <c r="WWG889" s="122"/>
      <c r="WWH889" s="122"/>
      <c r="WWI889" s="122"/>
      <c r="WWJ889" s="122"/>
      <c r="WWK889" s="122"/>
      <c r="WWL889" s="122"/>
      <c r="WWM889" s="122"/>
      <c r="WWN889" s="122"/>
      <c r="WWO889" s="122"/>
      <c r="WWP889" s="122"/>
      <c r="WWQ889" s="122"/>
      <c r="WWR889" s="122"/>
      <c r="WWS889" s="122"/>
      <c r="WWT889" s="122"/>
      <c r="WWU889" s="122"/>
      <c r="WWV889" s="122"/>
      <c r="WWW889" s="122"/>
      <c r="WWX889" s="122"/>
      <c r="WWY889" s="122"/>
      <c r="WWZ889" s="122"/>
      <c r="WXA889" s="122"/>
      <c r="WXB889" s="122"/>
      <c r="WXC889" s="122"/>
      <c r="WXD889" s="122"/>
      <c r="WXE889" s="122"/>
      <c r="WXF889" s="122"/>
      <c r="WXG889" s="122"/>
      <c r="WXH889" s="122"/>
      <c r="WXI889" s="122"/>
      <c r="WXJ889" s="122"/>
      <c r="WXK889" s="122"/>
      <c r="WXL889" s="122"/>
      <c r="WXM889" s="122"/>
      <c r="WXN889" s="122"/>
      <c r="WXO889" s="122"/>
      <c r="WXP889" s="122"/>
      <c r="WXQ889" s="122"/>
      <c r="WXR889" s="122"/>
      <c r="WXS889" s="122"/>
      <c r="WXT889" s="122"/>
      <c r="WXU889" s="122"/>
      <c r="WXV889" s="122"/>
      <c r="WXW889" s="122"/>
      <c r="WXX889" s="122"/>
      <c r="WXY889" s="122"/>
      <c r="WXZ889" s="122"/>
      <c r="WYA889" s="122"/>
      <c r="WYB889" s="122"/>
      <c r="WYC889" s="122"/>
      <c r="WYD889" s="122"/>
      <c r="WYE889" s="122"/>
      <c r="WYF889" s="122"/>
      <c r="WYG889" s="122"/>
      <c r="WYH889" s="122"/>
      <c r="WYI889" s="122"/>
      <c r="WYJ889" s="122"/>
      <c r="WYK889" s="122"/>
      <c r="WYL889" s="122"/>
      <c r="WYM889" s="122"/>
      <c r="WYN889" s="122"/>
      <c r="WYO889" s="122"/>
      <c r="WYP889" s="122"/>
      <c r="WYQ889" s="122"/>
      <c r="WYR889" s="122"/>
      <c r="WYS889" s="122"/>
      <c r="WYT889" s="122"/>
      <c r="WYU889" s="122"/>
      <c r="WYV889" s="122"/>
      <c r="WYW889" s="122"/>
      <c r="WYX889" s="122"/>
      <c r="WYY889" s="122"/>
      <c r="WYZ889" s="122"/>
      <c r="WZA889" s="122"/>
      <c r="WZB889" s="122"/>
      <c r="WZC889" s="122"/>
      <c r="WZD889" s="122"/>
      <c r="WZE889" s="122"/>
      <c r="WZF889" s="122"/>
      <c r="WZG889" s="122"/>
      <c r="WZH889" s="122"/>
      <c r="WZI889" s="122"/>
      <c r="WZJ889" s="122"/>
      <c r="WZK889" s="122"/>
      <c r="WZL889" s="122"/>
      <c r="WZM889" s="122"/>
      <c r="WZN889" s="122"/>
      <c r="WZO889" s="122"/>
      <c r="WZP889" s="122"/>
      <c r="WZQ889" s="122"/>
      <c r="WZR889" s="122"/>
      <c r="WZS889" s="122"/>
      <c r="WZT889" s="122"/>
      <c r="WZU889" s="122"/>
      <c r="WZV889" s="122"/>
      <c r="WZW889" s="122"/>
      <c r="WZX889" s="122"/>
      <c r="WZY889" s="122"/>
      <c r="WZZ889" s="122"/>
      <c r="XAA889" s="122"/>
      <c r="XAB889" s="122"/>
      <c r="XAC889" s="122"/>
      <c r="XAD889" s="122"/>
      <c r="XAE889" s="122"/>
      <c r="XAF889" s="122"/>
      <c r="XAG889" s="122"/>
      <c r="XAH889" s="122"/>
      <c r="XAI889" s="122"/>
      <c r="XAJ889" s="122"/>
      <c r="XAK889" s="122"/>
      <c r="XAL889" s="122"/>
      <c r="XAM889" s="122"/>
      <c r="XAN889" s="122"/>
      <c r="XAO889" s="122"/>
      <c r="XAP889" s="122"/>
      <c r="XAQ889" s="122"/>
      <c r="XAR889" s="122"/>
      <c r="XAS889" s="122"/>
      <c r="XAT889" s="122"/>
      <c r="XAU889" s="122"/>
      <c r="XAV889" s="122"/>
      <c r="XAW889" s="122"/>
      <c r="XAX889" s="122"/>
      <c r="XAY889" s="122"/>
      <c r="XAZ889" s="122"/>
      <c r="XBA889" s="122"/>
      <c r="XBB889" s="122"/>
      <c r="XBC889" s="122"/>
      <c r="XBD889" s="122"/>
      <c r="XBE889" s="122"/>
      <c r="XBF889" s="122"/>
      <c r="XBG889" s="122"/>
      <c r="XBH889" s="122"/>
      <c r="XBI889" s="122"/>
      <c r="XBJ889" s="122"/>
      <c r="XBK889" s="122"/>
      <c r="XBL889" s="122"/>
      <c r="XBM889" s="122"/>
      <c r="XBN889" s="122"/>
      <c r="XBO889" s="122"/>
      <c r="XBP889" s="122"/>
      <c r="XBQ889" s="122"/>
      <c r="XBR889" s="122"/>
      <c r="XBS889" s="122"/>
      <c r="XBT889" s="122"/>
      <c r="XBU889" s="122"/>
      <c r="XBV889" s="122"/>
      <c r="XBW889" s="122"/>
      <c r="XBX889" s="122"/>
      <c r="XBY889" s="122"/>
      <c r="XBZ889" s="122"/>
      <c r="XCA889" s="122"/>
      <c r="XCB889" s="122"/>
      <c r="XCC889" s="122"/>
      <c r="XCD889" s="122"/>
      <c r="XCE889" s="122"/>
      <c r="XCF889" s="122"/>
      <c r="XCG889" s="122"/>
      <c r="XCH889" s="122"/>
      <c r="XCI889" s="122"/>
      <c r="XCJ889" s="122"/>
      <c r="XCK889" s="122"/>
      <c r="XCL889" s="122"/>
      <c r="XCM889" s="122"/>
      <c r="XCN889" s="122"/>
      <c r="XCO889" s="122"/>
      <c r="XCP889" s="122"/>
      <c r="XCQ889" s="122"/>
      <c r="XCR889" s="122"/>
      <c r="XCS889" s="122"/>
      <c r="XCT889" s="122"/>
      <c r="XCU889" s="122"/>
      <c r="XCV889" s="122"/>
      <c r="XCW889" s="122"/>
      <c r="XCX889" s="122"/>
      <c r="XCY889" s="122"/>
      <c r="XCZ889" s="122"/>
      <c r="XDA889" s="122"/>
      <c r="XDB889" s="122"/>
      <c r="XDC889" s="122"/>
      <c r="XDD889" s="122"/>
      <c r="XDE889" s="122"/>
      <c r="XDF889" s="122"/>
      <c r="XDG889" s="122"/>
      <c r="XDH889" s="122"/>
      <c r="XDI889" s="122"/>
      <c r="XDJ889" s="122"/>
      <c r="XDK889" s="122"/>
      <c r="XDL889" s="122"/>
      <c r="XDM889" s="122"/>
      <c r="XDN889" s="122"/>
      <c r="XDO889" s="122"/>
      <c r="XDP889" s="122"/>
      <c r="XDQ889" s="122"/>
      <c r="XDR889" s="122"/>
      <c r="XDS889" s="122"/>
      <c r="XDT889" s="122"/>
      <c r="XDU889" s="122"/>
      <c r="XDV889" s="122"/>
      <c r="XDW889" s="122"/>
      <c r="XDX889" s="122"/>
      <c r="XDY889" s="122"/>
      <c r="XDZ889" s="122"/>
      <c r="XEA889" s="122"/>
      <c r="XEB889" s="122"/>
      <c r="XEC889" s="122"/>
      <c r="XED889" s="122"/>
      <c r="XEE889" s="122"/>
      <c r="XEF889" s="122"/>
      <c r="XEG889" s="122"/>
      <c r="XEH889" s="122"/>
      <c r="XEI889" s="122"/>
      <c r="XEJ889" s="122"/>
      <c r="XEK889" s="122"/>
      <c r="XEL889" s="122"/>
      <c r="XEM889" s="122"/>
      <c r="XEN889" s="122"/>
      <c r="XEO889" s="122"/>
      <c r="XEP889" s="122"/>
      <c r="XEQ889" s="122"/>
      <c r="XER889" s="122"/>
      <c r="XES889" s="122"/>
      <c r="XET889" s="122"/>
      <c r="XEU889" s="122"/>
      <c r="XEV889" s="122"/>
      <c r="XEW889" s="122"/>
      <c r="XEX889" s="122"/>
      <c r="XEY889" s="122"/>
      <c r="XEZ889" s="122"/>
      <c r="XFA889" s="122"/>
      <c r="XFB889" s="122"/>
      <c r="XFC889" s="122"/>
    </row>
    <row r="890" spans="1:16383" s="125" customFormat="1">
      <c r="A890" s="98"/>
      <c r="B890" s="34" t="s">
        <v>918</v>
      </c>
      <c r="C890" s="34"/>
      <c r="D890" s="34" t="s">
        <v>973</v>
      </c>
      <c r="E890" s="34" t="s">
        <v>954</v>
      </c>
      <c r="F890" s="34" t="s">
        <v>391</v>
      </c>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c r="AW890" s="34"/>
      <c r="AX890" s="34"/>
      <c r="AY890" s="3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124"/>
      <c r="CT890" s="124"/>
      <c r="CU890" s="124"/>
      <c r="CV890" s="124"/>
      <c r="CW890" s="124"/>
      <c r="CX890" s="124"/>
      <c r="CY890" s="124"/>
      <c r="CZ890" s="124"/>
      <c r="DA890" s="124"/>
      <c r="DB890" s="124"/>
      <c r="DC890" s="124"/>
      <c r="DD890" s="124"/>
      <c r="DE890" s="124"/>
      <c r="DF890" s="124"/>
      <c r="DG890" s="124"/>
      <c r="DH890" s="124"/>
      <c r="DI890" s="124"/>
      <c r="DJ890" s="124"/>
      <c r="DK890" s="124"/>
      <c r="DL890" s="124"/>
      <c r="DM890" s="124"/>
      <c r="DN890" s="124"/>
      <c r="DO890" s="124"/>
      <c r="DP890" s="124"/>
      <c r="DQ890" s="124"/>
      <c r="DR890" s="124"/>
      <c r="DS890" s="124"/>
      <c r="DT890" s="124"/>
      <c r="DU890" s="124"/>
      <c r="DV890" s="124"/>
      <c r="DW890" s="124"/>
      <c r="DX890" s="124"/>
      <c r="DY890" s="124"/>
      <c r="DZ890" s="124"/>
      <c r="EA890" s="124"/>
      <c r="EB890" s="124"/>
      <c r="EC890" s="124"/>
      <c r="ED890" s="124"/>
      <c r="EE890" s="124"/>
      <c r="EF890" s="124"/>
      <c r="EG890" s="124"/>
      <c r="EH890" s="124"/>
      <c r="EI890" s="124"/>
      <c r="EJ890" s="124"/>
      <c r="EK890" s="124"/>
      <c r="EL890" s="124"/>
      <c r="EM890" s="124"/>
      <c r="EN890" s="124"/>
      <c r="EO890" s="124"/>
      <c r="EP890" s="124"/>
      <c r="EQ890" s="124"/>
      <c r="ER890" s="124"/>
      <c r="ES890" s="124"/>
      <c r="ET890" s="124"/>
      <c r="EU890" s="124"/>
      <c r="EV890" s="124"/>
      <c r="EW890" s="124"/>
      <c r="EX890" s="124"/>
      <c r="EY890" s="124"/>
      <c r="EZ890" s="124"/>
      <c r="FA890" s="124"/>
      <c r="FB890" s="124"/>
      <c r="FC890" s="124"/>
      <c r="FD890" s="124"/>
      <c r="FE890" s="124"/>
      <c r="FF890" s="124"/>
      <c r="FG890" s="124"/>
      <c r="FH890" s="124"/>
      <c r="FI890" s="124"/>
      <c r="FJ890" s="124"/>
      <c r="FK890" s="124"/>
      <c r="FL890" s="124"/>
      <c r="FM890" s="124"/>
      <c r="FN890" s="124"/>
      <c r="FO890" s="124"/>
      <c r="FP890" s="124"/>
      <c r="FQ890" s="124"/>
      <c r="FR890" s="124"/>
      <c r="FS890" s="124"/>
      <c r="FT890" s="124"/>
      <c r="FU890" s="124"/>
      <c r="FV890" s="124"/>
      <c r="FW890" s="124"/>
      <c r="FX890" s="124"/>
      <c r="FY890" s="124"/>
      <c r="FZ890" s="124"/>
      <c r="GA890" s="124"/>
      <c r="GB890" s="124"/>
      <c r="GC890" s="124"/>
      <c r="GD890" s="124"/>
      <c r="GE890" s="124"/>
      <c r="GF890" s="124"/>
      <c r="GG890" s="124"/>
      <c r="GH890" s="124"/>
      <c r="GI890" s="124"/>
      <c r="GJ890" s="124"/>
      <c r="GK890" s="124"/>
      <c r="GL890" s="124"/>
      <c r="GM890" s="124"/>
      <c r="GN890" s="124"/>
      <c r="GO890" s="124"/>
      <c r="GP890" s="124"/>
      <c r="GQ890" s="124"/>
      <c r="GR890" s="124"/>
      <c r="GS890" s="124"/>
      <c r="GT890" s="124"/>
      <c r="GU890" s="124"/>
      <c r="GV890" s="124"/>
      <c r="GW890" s="124"/>
      <c r="GX890" s="124"/>
      <c r="GY890" s="124"/>
      <c r="GZ890" s="124"/>
      <c r="HA890" s="124"/>
      <c r="HB890" s="124"/>
      <c r="HC890" s="124"/>
      <c r="HD890" s="124"/>
      <c r="HE890" s="124"/>
      <c r="HF890" s="124"/>
      <c r="HG890" s="124"/>
      <c r="HH890" s="124"/>
      <c r="HI890" s="124"/>
      <c r="HJ890" s="124"/>
      <c r="HK890" s="124"/>
      <c r="HL890" s="124"/>
      <c r="HM890" s="124"/>
      <c r="HN890" s="124"/>
      <c r="HO890" s="124"/>
      <c r="HP890" s="124"/>
      <c r="HQ890" s="124"/>
      <c r="HR890" s="124"/>
      <c r="HS890" s="124"/>
      <c r="HT890" s="124"/>
      <c r="HU890" s="124"/>
      <c r="HV890" s="124"/>
      <c r="HW890" s="124"/>
      <c r="HX890" s="124"/>
      <c r="HY890" s="124"/>
      <c r="HZ890" s="124"/>
      <c r="IA890" s="124"/>
      <c r="IB890" s="124"/>
      <c r="IC890" s="124"/>
      <c r="ID890" s="124"/>
      <c r="IE890" s="124"/>
      <c r="IF890" s="124"/>
      <c r="IG890" s="124"/>
      <c r="IH890" s="124"/>
      <c r="II890" s="124"/>
      <c r="IJ890" s="124"/>
      <c r="IK890" s="124"/>
      <c r="IL890" s="124"/>
      <c r="IM890" s="124"/>
      <c r="IN890" s="124"/>
      <c r="IO890" s="124"/>
      <c r="IP890" s="124"/>
      <c r="IQ890" s="124"/>
      <c r="IR890" s="124"/>
      <c r="IS890" s="124"/>
      <c r="IT890" s="124"/>
      <c r="IU890" s="124"/>
      <c r="IV890" s="124"/>
      <c r="IW890" s="124"/>
      <c r="IX890" s="124"/>
      <c r="IY890" s="124"/>
      <c r="IZ890" s="124"/>
      <c r="JA890" s="124"/>
      <c r="JB890" s="124"/>
      <c r="JC890" s="124"/>
      <c r="JD890" s="124"/>
      <c r="JE890" s="124"/>
      <c r="JF890" s="124"/>
      <c r="JG890" s="124"/>
      <c r="JH890" s="124"/>
      <c r="JI890" s="124"/>
      <c r="JJ890" s="124"/>
      <c r="JK890" s="124"/>
      <c r="JL890" s="124"/>
      <c r="JM890" s="124"/>
      <c r="JN890" s="124"/>
      <c r="JO890" s="124"/>
      <c r="JP890" s="124"/>
      <c r="JQ890" s="124"/>
      <c r="JR890" s="124"/>
      <c r="JS890" s="124"/>
      <c r="JT890" s="124"/>
      <c r="JU890" s="124"/>
      <c r="JV890" s="124"/>
      <c r="JW890" s="124"/>
      <c r="JX890" s="124"/>
      <c r="JY890" s="124"/>
      <c r="JZ890" s="124"/>
      <c r="KA890" s="124"/>
      <c r="KB890" s="124"/>
      <c r="KC890" s="124"/>
      <c r="KD890" s="124"/>
      <c r="KE890" s="124"/>
      <c r="KF890" s="124"/>
      <c r="KG890" s="124"/>
      <c r="KH890" s="124"/>
      <c r="KI890" s="124"/>
      <c r="KJ890" s="124"/>
      <c r="KK890" s="124"/>
      <c r="KL890" s="124"/>
      <c r="KM890" s="124"/>
      <c r="KN890" s="124"/>
      <c r="KO890" s="124"/>
      <c r="KP890" s="124"/>
      <c r="KQ890" s="124"/>
      <c r="KR890" s="124"/>
      <c r="KS890" s="124"/>
      <c r="KT890" s="124"/>
      <c r="KU890" s="124"/>
      <c r="KV890" s="124"/>
      <c r="KW890" s="124"/>
      <c r="KX890" s="124"/>
      <c r="KY890" s="124"/>
      <c r="KZ890" s="124"/>
      <c r="LA890" s="124"/>
      <c r="LB890" s="124"/>
      <c r="LC890" s="124"/>
      <c r="LD890" s="124"/>
      <c r="LE890" s="124"/>
      <c r="LF890" s="124"/>
      <c r="LG890" s="124"/>
      <c r="LH890" s="124"/>
      <c r="LI890" s="124"/>
      <c r="LJ890" s="124"/>
      <c r="LK890" s="124"/>
      <c r="LL890" s="124"/>
      <c r="LM890" s="124"/>
      <c r="LN890" s="124"/>
      <c r="LO890" s="124"/>
      <c r="LP890" s="124"/>
      <c r="LQ890" s="124"/>
      <c r="LR890" s="124"/>
      <c r="LS890" s="124"/>
      <c r="LT890" s="124"/>
      <c r="LU890" s="124"/>
      <c r="LV890" s="124"/>
      <c r="LW890" s="124"/>
      <c r="LX890" s="124"/>
      <c r="LY890" s="124"/>
      <c r="LZ890" s="124"/>
      <c r="MA890" s="124"/>
      <c r="MB890" s="124"/>
      <c r="MC890" s="124"/>
      <c r="MD890" s="124"/>
      <c r="ME890" s="124"/>
      <c r="MF890" s="124"/>
      <c r="MG890" s="124"/>
      <c r="MH890" s="124"/>
      <c r="MI890" s="124"/>
      <c r="MJ890" s="124"/>
      <c r="MK890" s="124"/>
      <c r="ML890" s="124"/>
      <c r="MM890" s="124"/>
      <c r="MN890" s="124"/>
      <c r="MO890" s="124"/>
      <c r="MP890" s="124"/>
      <c r="MQ890" s="124"/>
      <c r="MR890" s="124"/>
      <c r="MS890" s="124"/>
      <c r="MT890" s="124"/>
      <c r="MU890" s="124"/>
      <c r="MV890" s="124"/>
      <c r="MW890" s="124"/>
      <c r="MX890" s="124"/>
      <c r="MY890" s="124"/>
      <c r="MZ890" s="124"/>
      <c r="NA890" s="124"/>
      <c r="NB890" s="124"/>
      <c r="NC890" s="124"/>
      <c r="ND890" s="124"/>
      <c r="NE890" s="124"/>
      <c r="NF890" s="124"/>
      <c r="NG890" s="124"/>
      <c r="NH890" s="124"/>
      <c r="NI890" s="124"/>
      <c r="NJ890" s="124"/>
      <c r="NK890" s="124"/>
      <c r="NL890" s="124"/>
      <c r="NM890" s="124"/>
      <c r="NN890" s="124"/>
      <c r="NO890" s="124"/>
      <c r="NP890" s="124"/>
      <c r="NQ890" s="124"/>
      <c r="NR890" s="124"/>
      <c r="NS890" s="124"/>
      <c r="NT890" s="124"/>
      <c r="NU890" s="124"/>
      <c r="NV890" s="124"/>
      <c r="NW890" s="124"/>
      <c r="NX890" s="124"/>
      <c r="NY890" s="124"/>
      <c r="NZ890" s="124"/>
      <c r="OA890" s="124"/>
      <c r="OB890" s="124"/>
      <c r="OC890" s="124"/>
      <c r="OD890" s="124"/>
      <c r="OE890" s="124"/>
      <c r="OF890" s="124"/>
      <c r="OG890" s="124"/>
      <c r="OH890" s="124"/>
      <c r="OI890" s="124"/>
      <c r="OJ890" s="124"/>
      <c r="OK890" s="124"/>
      <c r="OL890" s="124"/>
      <c r="OM890" s="124"/>
      <c r="ON890" s="124"/>
      <c r="OO890" s="124"/>
      <c r="OP890" s="124"/>
      <c r="OQ890" s="124"/>
      <c r="OR890" s="124"/>
      <c r="OS890" s="124"/>
      <c r="OT890" s="124"/>
      <c r="OU890" s="124"/>
      <c r="OV890" s="124"/>
      <c r="OW890" s="124"/>
      <c r="OX890" s="124"/>
      <c r="OY890" s="124"/>
      <c r="OZ890" s="124"/>
      <c r="PA890" s="124"/>
      <c r="PB890" s="124"/>
      <c r="PC890" s="124"/>
      <c r="PD890" s="124"/>
      <c r="PE890" s="124"/>
      <c r="PF890" s="124"/>
      <c r="PG890" s="124"/>
      <c r="PH890" s="124"/>
      <c r="PI890" s="124"/>
      <c r="PJ890" s="124"/>
      <c r="PK890" s="124"/>
      <c r="PL890" s="124"/>
      <c r="PM890" s="124"/>
      <c r="PN890" s="124"/>
      <c r="PO890" s="124"/>
      <c r="PP890" s="124"/>
      <c r="PQ890" s="124"/>
      <c r="PR890" s="124"/>
      <c r="PS890" s="124"/>
      <c r="PT890" s="124"/>
      <c r="PU890" s="124"/>
      <c r="PV890" s="124"/>
      <c r="PW890" s="124"/>
      <c r="PX890" s="124"/>
      <c r="PY890" s="124"/>
      <c r="PZ890" s="124"/>
      <c r="QA890" s="124"/>
      <c r="QB890" s="124"/>
      <c r="QC890" s="124"/>
      <c r="QD890" s="124"/>
      <c r="QE890" s="124"/>
      <c r="QF890" s="124"/>
      <c r="QG890" s="124"/>
      <c r="QH890" s="124"/>
      <c r="QI890" s="124"/>
      <c r="QJ890" s="124"/>
      <c r="QK890" s="124"/>
      <c r="QL890" s="124"/>
      <c r="QM890" s="124"/>
      <c r="QN890" s="124"/>
      <c r="QO890" s="124"/>
      <c r="QP890" s="124"/>
      <c r="QQ890" s="124"/>
      <c r="QR890" s="124"/>
      <c r="QS890" s="124"/>
      <c r="QT890" s="124"/>
      <c r="QU890" s="124"/>
      <c r="QV890" s="124"/>
      <c r="QW890" s="124"/>
      <c r="QX890" s="124"/>
      <c r="QY890" s="124"/>
      <c r="QZ890" s="124"/>
      <c r="RA890" s="124"/>
      <c r="RB890" s="124"/>
      <c r="RC890" s="124"/>
      <c r="RD890" s="124"/>
      <c r="RE890" s="124"/>
      <c r="RF890" s="124"/>
      <c r="RG890" s="124"/>
      <c r="RH890" s="124"/>
      <c r="RI890" s="124"/>
      <c r="RJ890" s="124"/>
      <c r="RK890" s="124"/>
      <c r="RL890" s="124"/>
      <c r="RM890" s="124"/>
      <c r="RN890" s="124"/>
      <c r="RO890" s="124"/>
      <c r="RP890" s="124"/>
      <c r="RQ890" s="124"/>
      <c r="RR890" s="124"/>
      <c r="RS890" s="124"/>
      <c r="RT890" s="124"/>
      <c r="RU890" s="124"/>
      <c r="RV890" s="124"/>
      <c r="RW890" s="124"/>
      <c r="RX890" s="124"/>
      <c r="RY890" s="124"/>
      <c r="RZ890" s="124"/>
      <c r="SA890" s="124"/>
      <c r="SB890" s="124"/>
      <c r="SC890" s="124"/>
      <c r="SD890" s="124"/>
      <c r="SE890" s="124"/>
      <c r="SF890" s="124"/>
      <c r="SG890" s="124"/>
      <c r="SH890" s="124"/>
      <c r="SI890" s="124"/>
      <c r="SJ890" s="124"/>
      <c r="SK890" s="124"/>
      <c r="SL890" s="124"/>
      <c r="SM890" s="124"/>
      <c r="SN890" s="124"/>
      <c r="SO890" s="124"/>
      <c r="SP890" s="124"/>
      <c r="SQ890" s="124"/>
      <c r="SR890" s="124"/>
      <c r="SS890" s="124"/>
      <c r="ST890" s="124"/>
      <c r="SU890" s="124"/>
      <c r="SV890" s="124"/>
      <c r="SW890" s="124"/>
      <c r="SX890" s="124"/>
      <c r="SY890" s="124"/>
      <c r="SZ890" s="124"/>
      <c r="TA890" s="124"/>
      <c r="TB890" s="124"/>
      <c r="TC890" s="124"/>
      <c r="TD890" s="124"/>
      <c r="TE890" s="124"/>
      <c r="TF890" s="124"/>
      <c r="TG890" s="124"/>
      <c r="TH890" s="124"/>
      <c r="TI890" s="124"/>
      <c r="TJ890" s="124"/>
      <c r="TK890" s="124"/>
      <c r="TL890" s="124"/>
      <c r="TM890" s="124"/>
      <c r="TN890" s="124"/>
      <c r="TO890" s="124"/>
      <c r="TP890" s="124"/>
      <c r="TQ890" s="124"/>
      <c r="TR890" s="124"/>
      <c r="TS890" s="124"/>
      <c r="TT890" s="124"/>
      <c r="TU890" s="124"/>
      <c r="TV890" s="124"/>
      <c r="TW890" s="124"/>
      <c r="TX890" s="124"/>
      <c r="TY890" s="124"/>
      <c r="TZ890" s="124"/>
      <c r="UA890" s="124"/>
      <c r="UB890" s="124"/>
      <c r="UC890" s="124"/>
      <c r="UD890" s="124"/>
      <c r="UE890" s="124"/>
      <c r="UF890" s="124"/>
      <c r="UG890" s="124"/>
      <c r="UH890" s="124"/>
      <c r="UI890" s="124"/>
      <c r="UJ890" s="124"/>
      <c r="UK890" s="124"/>
      <c r="UL890" s="124"/>
      <c r="UM890" s="124"/>
      <c r="UN890" s="124"/>
      <c r="UO890" s="124"/>
      <c r="UP890" s="124"/>
      <c r="UQ890" s="124"/>
      <c r="UR890" s="124"/>
      <c r="US890" s="124"/>
      <c r="UT890" s="124"/>
      <c r="UU890" s="124"/>
      <c r="UV890" s="124"/>
      <c r="UW890" s="124"/>
      <c r="UX890" s="124"/>
      <c r="UY890" s="124"/>
      <c r="UZ890" s="124"/>
      <c r="VA890" s="124"/>
      <c r="VB890" s="124"/>
      <c r="VC890" s="124"/>
      <c r="VD890" s="124"/>
      <c r="VE890" s="124"/>
      <c r="VF890" s="124"/>
      <c r="VG890" s="124"/>
      <c r="VH890" s="124"/>
      <c r="VI890" s="124"/>
      <c r="VJ890" s="124"/>
      <c r="VK890" s="124"/>
      <c r="VL890" s="124"/>
      <c r="VM890" s="124"/>
      <c r="VN890" s="124"/>
      <c r="VO890" s="124"/>
      <c r="VP890" s="124"/>
      <c r="VQ890" s="124"/>
      <c r="VR890" s="124"/>
      <c r="VS890" s="124"/>
      <c r="VT890" s="124"/>
      <c r="VU890" s="124"/>
      <c r="VV890" s="124"/>
      <c r="VW890" s="124"/>
      <c r="VX890" s="124"/>
      <c r="VY890" s="124"/>
      <c r="VZ890" s="124"/>
      <c r="WA890" s="124"/>
      <c r="WB890" s="124"/>
      <c r="WC890" s="124"/>
      <c r="WD890" s="124"/>
      <c r="WE890" s="124"/>
      <c r="WF890" s="124"/>
      <c r="WG890" s="124"/>
      <c r="WH890" s="124"/>
      <c r="WI890" s="124"/>
      <c r="WJ890" s="124"/>
      <c r="WK890" s="124"/>
      <c r="WL890" s="124"/>
      <c r="WM890" s="124"/>
      <c r="WN890" s="124"/>
      <c r="WO890" s="124"/>
      <c r="WP890" s="124"/>
      <c r="WQ890" s="124"/>
      <c r="WR890" s="124"/>
      <c r="WS890" s="124"/>
      <c r="WT890" s="124"/>
      <c r="WU890" s="124"/>
      <c r="WV890" s="124"/>
      <c r="WW890" s="124"/>
      <c r="WX890" s="124"/>
      <c r="WY890" s="124"/>
      <c r="WZ890" s="124"/>
      <c r="XA890" s="124"/>
      <c r="XB890" s="124"/>
      <c r="XC890" s="124"/>
      <c r="XD890" s="124"/>
      <c r="XE890" s="124"/>
      <c r="XF890" s="124"/>
      <c r="XG890" s="124"/>
      <c r="XH890" s="124"/>
      <c r="XI890" s="124"/>
      <c r="XJ890" s="124"/>
      <c r="XK890" s="124"/>
      <c r="XL890" s="124"/>
      <c r="XM890" s="124"/>
      <c r="XN890" s="124"/>
      <c r="XO890" s="124"/>
      <c r="XP890" s="124"/>
      <c r="XQ890" s="124"/>
      <c r="XR890" s="124"/>
      <c r="XS890" s="124"/>
      <c r="XT890" s="124"/>
      <c r="XU890" s="124"/>
      <c r="XV890" s="124"/>
      <c r="XW890" s="124"/>
      <c r="XX890" s="124"/>
      <c r="XY890" s="124"/>
      <c r="XZ890" s="124"/>
      <c r="YA890" s="124"/>
      <c r="YB890" s="124"/>
      <c r="YC890" s="124"/>
      <c r="YD890" s="124"/>
      <c r="YE890" s="124"/>
      <c r="YF890" s="124"/>
      <c r="YG890" s="124"/>
      <c r="YH890" s="124"/>
      <c r="YI890" s="124"/>
      <c r="YJ890" s="124"/>
      <c r="YK890" s="124"/>
      <c r="YL890" s="124"/>
      <c r="YM890" s="124"/>
      <c r="YN890" s="124"/>
      <c r="YO890" s="124"/>
      <c r="YP890" s="124"/>
      <c r="YQ890" s="124"/>
      <c r="YR890" s="124"/>
      <c r="YS890" s="124"/>
      <c r="YT890" s="124"/>
      <c r="YU890" s="124"/>
      <c r="YV890" s="124"/>
      <c r="YW890" s="124"/>
      <c r="YX890" s="124"/>
      <c r="YY890" s="124"/>
      <c r="YZ890" s="124"/>
      <c r="ZA890" s="124"/>
      <c r="ZB890" s="124"/>
      <c r="ZC890" s="124"/>
      <c r="ZD890" s="124"/>
      <c r="ZE890" s="124"/>
      <c r="ZF890" s="124"/>
      <c r="ZG890" s="124"/>
      <c r="ZH890" s="124"/>
      <c r="ZI890" s="124"/>
      <c r="ZJ890" s="124"/>
      <c r="ZK890" s="124"/>
      <c r="ZL890" s="124"/>
      <c r="ZM890" s="124"/>
      <c r="ZN890" s="124"/>
      <c r="ZO890" s="124"/>
      <c r="ZP890" s="124"/>
      <c r="ZQ890" s="124"/>
      <c r="ZR890" s="124"/>
      <c r="ZS890" s="124"/>
      <c r="ZT890" s="124"/>
      <c r="ZU890" s="124"/>
      <c r="ZV890" s="124"/>
      <c r="ZW890" s="124"/>
      <c r="ZX890" s="124"/>
      <c r="ZY890" s="124"/>
      <c r="ZZ890" s="124"/>
      <c r="AAA890" s="124"/>
      <c r="AAB890" s="124"/>
      <c r="AAC890" s="124"/>
      <c r="AAD890" s="124"/>
      <c r="AAE890" s="124"/>
      <c r="AAF890" s="124"/>
      <c r="AAG890" s="124"/>
      <c r="AAH890" s="124"/>
      <c r="AAI890" s="124"/>
      <c r="AAJ890" s="124"/>
      <c r="AAK890" s="124"/>
      <c r="AAL890" s="124"/>
      <c r="AAM890" s="124"/>
      <c r="AAN890" s="124"/>
      <c r="AAO890" s="124"/>
      <c r="AAP890" s="124"/>
      <c r="AAQ890" s="124"/>
      <c r="AAR890" s="124"/>
      <c r="AAS890" s="124"/>
      <c r="AAT890" s="124"/>
      <c r="AAU890" s="124"/>
      <c r="AAV890" s="124"/>
      <c r="AAW890" s="124"/>
      <c r="AAX890" s="124"/>
      <c r="AAY890" s="124"/>
      <c r="AAZ890" s="124"/>
      <c r="ABA890" s="124"/>
      <c r="ABB890" s="124"/>
      <c r="ABC890" s="124"/>
      <c r="ABD890" s="124"/>
      <c r="ABE890" s="124"/>
      <c r="ABF890" s="124"/>
      <c r="ABG890" s="124"/>
      <c r="ABH890" s="124"/>
      <c r="ABI890" s="124"/>
      <c r="ABJ890" s="124"/>
      <c r="ABK890" s="124"/>
      <c r="ABL890" s="124"/>
      <c r="ABM890" s="124"/>
      <c r="ABN890" s="124"/>
      <c r="ABO890" s="124"/>
      <c r="ABP890" s="124"/>
      <c r="ABQ890" s="124"/>
      <c r="ABR890" s="124"/>
      <c r="ABS890" s="124"/>
      <c r="ABT890" s="124"/>
      <c r="ABU890" s="124"/>
      <c r="ABV890" s="124"/>
      <c r="ABW890" s="124"/>
      <c r="ABX890" s="124"/>
      <c r="ABY890" s="124"/>
      <c r="ABZ890" s="124"/>
      <c r="ACA890" s="124"/>
      <c r="ACB890" s="124"/>
      <c r="ACC890" s="124"/>
      <c r="ACD890" s="124"/>
      <c r="ACE890" s="124"/>
      <c r="ACF890" s="124"/>
      <c r="ACG890" s="124"/>
      <c r="ACH890" s="124"/>
      <c r="ACI890" s="124"/>
      <c r="ACJ890" s="124"/>
      <c r="ACK890" s="124"/>
      <c r="ACL890" s="124"/>
      <c r="ACM890" s="124"/>
      <c r="ACN890" s="124"/>
      <c r="ACO890" s="124"/>
      <c r="ACP890" s="124"/>
      <c r="ACQ890" s="124"/>
      <c r="ACR890" s="124"/>
      <c r="ACS890" s="124"/>
      <c r="ACT890" s="124"/>
      <c r="ACU890" s="124"/>
      <c r="ACV890" s="124"/>
      <c r="ACW890" s="124"/>
      <c r="ACX890" s="124"/>
      <c r="ACY890" s="124"/>
      <c r="ACZ890" s="124"/>
      <c r="ADA890" s="124"/>
      <c r="ADB890" s="124"/>
      <c r="ADC890" s="124"/>
      <c r="ADD890" s="124"/>
      <c r="ADE890" s="124"/>
      <c r="ADF890" s="124"/>
      <c r="ADG890" s="124"/>
      <c r="ADH890" s="124"/>
      <c r="ADI890" s="124"/>
      <c r="ADJ890" s="124"/>
      <c r="ADK890" s="124"/>
      <c r="ADL890" s="124"/>
      <c r="ADM890" s="124"/>
      <c r="ADN890" s="124"/>
      <c r="ADO890" s="124"/>
      <c r="ADP890" s="124"/>
      <c r="ADQ890" s="124"/>
      <c r="ADR890" s="124"/>
      <c r="ADS890" s="124"/>
      <c r="ADT890" s="124"/>
      <c r="ADU890" s="124"/>
      <c r="ADV890" s="124"/>
      <c r="ADW890" s="124"/>
      <c r="ADX890" s="124"/>
      <c r="ADY890" s="124"/>
      <c r="ADZ890" s="124"/>
      <c r="AEA890" s="124"/>
      <c r="AEB890" s="124"/>
      <c r="AEC890" s="124"/>
      <c r="AED890" s="124"/>
      <c r="AEE890" s="124"/>
      <c r="AEF890" s="124"/>
      <c r="AEG890" s="124"/>
      <c r="AEH890" s="124"/>
      <c r="AEI890" s="124"/>
      <c r="AEJ890" s="124"/>
      <c r="AEK890" s="124"/>
      <c r="AEL890" s="124"/>
      <c r="AEM890" s="124"/>
      <c r="AEN890" s="124"/>
      <c r="AEO890" s="124"/>
      <c r="AEP890" s="124"/>
      <c r="AEQ890" s="124"/>
      <c r="AER890" s="124"/>
      <c r="AES890" s="124"/>
      <c r="AET890" s="124"/>
      <c r="AEU890" s="124"/>
      <c r="AEV890" s="124"/>
      <c r="AEW890" s="124"/>
      <c r="AEX890" s="124"/>
      <c r="AEY890" s="124"/>
      <c r="AEZ890" s="124"/>
      <c r="AFA890" s="124"/>
      <c r="AFB890" s="124"/>
      <c r="AFC890" s="124"/>
      <c r="AFD890" s="124"/>
      <c r="AFE890" s="124"/>
      <c r="AFF890" s="124"/>
      <c r="AFG890" s="124"/>
      <c r="AFH890" s="124"/>
      <c r="AFI890" s="124"/>
      <c r="AFJ890" s="124"/>
      <c r="AFK890" s="124"/>
      <c r="AFL890" s="124"/>
      <c r="AFM890" s="124"/>
      <c r="AFN890" s="124"/>
      <c r="AFO890" s="124"/>
      <c r="AFP890" s="124"/>
      <c r="AFQ890" s="124"/>
      <c r="AFR890" s="124"/>
      <c r="AFS890" s="124"/>
      <c r="AFT890" s="124"/>
      <c r="AFU890" s="124"/>
      <c r="AFV890" s="124"/>
      <c r="AFW890" s="124"/>
      <c r="AFX890" s="124"/>
      <c r="AFY890" s="124"/>
      <c r="AFZ890" s="124"/>
      <c r="AGA890" s="124"/>
      <c r="AGB890" s="124"/>
      <c r="AGC890" s="124"/>
      <c r="AGD890" s="124"/>
      <c r="AGE890" s="124"/>
      <c r="AGF890" s="124"/>
      <c r="AGG890" s="124"/>
      <c r="AGH890" s="124"/>
      <c r="AGI890" s="124"/>
      <c r="AGJ890" s="124"/>
      <c r="AGK890" s="124"/>
      <c r="AGL890" s="124"/>
      <c r="AGM890" s="124"/>
      <c r="AGN890" s="124"/>
      <c r="AGO890" s="124"/>
      <c r="AGP890" s="124"/>
      <c r="AGQ890" s="124"/>
      <c r="AGR890" s="124"/>
      <c r="AGS890" s="124"/>
      <c r="AGT890" s="124"/>
      <c r="AGU890" s="124"/>
      <c r="AGV890" s="124"/>
      <c r="AGW890" s="124"/>
      <c r="AGX890" s="124"/>
      <c r="AGY890" s="124"/>
      <c r="AGZ890" s="124"/>
      <c r="AHA890" s="124"/>
      <c r="AHB890" s="124"/>
      <c r="AHC890" s="124"/>
      <c r="AHD890" s="124"/>
      <c r="AHE890" s="124"/>
      <c r="AHF890" s="124"/>
      <c r="AHG890" s="124"/>
      <c r="AHH890" s="124"/>
      <c r="AHI890" s="124"/>
      <c r="AHJ890" s="124"/>
      <c r="AHK890" s="124"/>
      <c r="AHL890" s="124"/>
      <c r="AHM890" s="124"/>
      <c r="AHN890" s="124"/>
      <c r="AHO890" s="124"/>
      <c r="AHP890" s="124"/>
      <c r="AHQ890" s="124"/>
      <c r="AHR890" s="124"/>
      <c r="AHS890" s="124"/>
      <c r="AHT890" s="124"/>
      <c r="AHU890" s="124"/>
      <c r="AHV890" s="124"/>
      <c r="AHW890" s="124"/>
      <c r="AHX890" s="124"/>
      <c r="AHY890" s="124"/>
      <c r="AHZ890" s="124"/>
      <c r="AIA890" s="124"/>
      <c r="AIB890" s="124"/>
      <c r="AIC890" s="124"/>
      <c r="AID890" s="124"/>
      <c r="AIE890" s="124"/>
      <c r="AIF890" s="124"/>
      <c r="AIG890" s="124"/>
      <c r="AIH890" s="124"/>
      <c r="AII890" s="124"/>
      <c r="AIJ890" s="124"/>
      <c r="AIK890" s="124"/>
      <c r="AIL890" s="124"/>
      <c r="AIM890" s="124"/>
      <c r="AIN890" s="124"/>
      <c r="AIO890" s="124"/>
      <c r="AIP890" s="124"/>
      <c r="AIQ890" s="124"/>
      <c r="AIR890" s="124"/>
      <c r="AIS890" s="124"/>
      <c r="AIT890" s="124"/>
      <c r="AIU890" s="124"/>
      <c r="AIV890" s="124"/>
      <c r="AIW890" s="124"/>
      <c r="AIX890" s="124"/>
      <c r="AIY890" s="124"/>
      <c r="AIZ890" s="124"/>
      <c r="AJA890" s="124"/>
      <c r="AJB890" s="124"/>
      <c r="AJC890" s="124"/>
      <c r="AJD890" s="124"/>
      <c r="AJE890" s="124"/>
      <c r="AJF890" s="124"/>
      <c r="AJG890" s="124"/>
      <c r="AJH890" s="124"/>
      <c r="AJI890" s="124"/>
      <c r="AJJ890" s="124"/>
      <c r="AJK890" s="124"/>
      <c r="AJL890" s="124"/>
      <c r="AJM890" s="124"/>
      <c r="AJN890" s="124"/>
      <c r="AJO890" s="124"/>
      <c r="AJP890" s="124"/>
      <c r="AJQ890" s="124"/>
      <c r="AJR890" s="124"/>
      <c r="AJS890" s="124"/>
      <c r="AJT890" s="124"/>
      <c r="AJU890" s="124"/>
      <c r="AJV890" s="124"/>
      <c r="AJW890" s="124"/>
      <c r="AJX890" s="124"/>
      <c r="AJY890" s="124"/>
      <c r="AJZ890" s="124"/>
      <c r="AKA890" s="124"/>
      <c r="AKB890" s="124"/>
      <c r="AKC890" s="124"/>
      <c r="AKD890" s="124"/>
      <c r="AKE890" s="124"/>
      <c r="AKF890" s="124"/>
      <c r="AKG890" s="124"/>
      <c r="AKH890" s="124"/>
      <c r="AKI890" s="124"/>
      <c r="AKJ890" s="124"/>
      <c r="AKK890" s="124"/>
      <c r="AKL890" s="124"/>
      <c r="AKM890" s="124"/>
      <c r="AKN890" s="124"/>
      <c r="AKO890" s="124"/>
      <c r="AKP890" s="124"/>
      <c r="AKQ890" s="124"/>
      <c r="AKR890" s="124"/>
      <c r="AKS890" s="124"/>
      <c r="AKT890" s="124"/>
      <c r="AKU890" s="124"/>
      <c r="AKV890" s="124"/>
      <c r="AKW890" s="124"/>
      <c r="AKX890" s="124"/>
      <c r="AKY890" s="124"/>
      <c r="AKZ890" s="124"/>
      <c r="ALA890" s="124"/>
      <c r="ALB890" s="124"/>
      <c r="ALC890" s="124"/>
      <c r="ALD890" s="124"/>
      <c r="ALE890" s="124"/>
      <c r="ALF890" s="124"/>
      <c r="ALG890" s="124"/>
      <c r="ALH890" s="124"/>
      <c r="ALI890" s="124"/>
      <c r="ALJ890" s="124"/>
      <c r="ALK890" s="124"/>
      <c r="ALL890" s="124"/>
      <c r="ALM890" s="124"/>
      <c r="ALN890" s="124"/>
      <c r="ALO890" s="124"/>
      <c r="ALP890" s="124"/>
      <c r="ALQ890" s="124"/>
      <c r="ALR890" s="124"/>
      <c r="ALS890" s="124"/>
      <c r="ALT890" s="124"/>
      <c r="ALU890" s="124"/>
      <c r="ALV890" s="124"/>
      <c r="ALW890" s="124"/>
      <c r="ALX890" s="124"/>
      <c r="ALY890" s="124"/>
      <c r="ALZ890" s="124"/>
      <c r="AMA890" s="124"/>
      <c r="AMB890" s="124"/>
      <c r="AMC890" s="124"/>
      <c r="AMD890" s="124"/>
      <c r="AME890" s="124"/>
      <c r="AMF890" s="124"/>
      <c r="AMG890" s="124"/>
      <c r="AMH890" s="124"/>
      <c r="AMI890" s="124"/>
      <c r="AMJ890" s="124"/>
      <c r="AMK890" s="124"/>
      <c r="AML890" s="124"/>
      <c r="AMM890" s="124"/>
      <c r="AMN890" s="124"/>
      <c r="AMO890" s="124"/>
      <c r="AMP890" s="124"/>
      <c r="AMQ890" s="124"/>
      <c r="AMR890" s="124"/>
      <c r="AMS890" s="124"/>
      <c r="AMT890" s="124"/>
      <c r="AMU890" s="124"/>
      <c r="AMV890" s="124"/>
      <c r="AMW890" s="124"/>
      <c r="AMX890" s="124"/>
      <c r="AMY890" s="124"/>
      <c r="AMZ890" s="124"/>
      <c r="ANA890" s="124"/>
      <c r="ANB890" s="124"/>
      <c r="ANC890" s="124"/>
      <c r="AND890" s="124"/>
      <c r="ANE890" s="124"/>
      <c r="ANF890" s="124"/>
      <c r="ANG890" s="124"/>
      <c r="ANH890" s="124"/>
      <c r="ANI890" s="124"/>
      <c r="ANJ890" s="124"/>
      <c r="ANK890" s="124"/>
      <c r="ANL890" s="124"/>
      <c r="ANM890" s="124"/>
      <c r="ANN890" s="124"/>
      <c r="ANO890" s="124"/>
      <c r="ANP890" s="124"/>
      <c r="ANQ890" s="124"/>
      <c r="ANR890" s="124"/>
      <c r="ANS890" s="124"/>
      <c r="ANT890" s="124"/>
      <c r="ANU890" s="124"/>
      <c r="ANV890" s="124"/>
      <c r="ANW890" s="124"/>
      <c r="ANX890" s="124"/>
      <c r="ANY890" s="124"/>
      <c r="ANZ890" s="124"/>
      <c r="AOA890" s="124"/>
      <c r="AOB890" s="124"/>
      <c r="AOC890" s="124"/>
      <c r="AOD890" s="124"/>
      <c r="AOE890" s="124"/>
      <c r="AOF890" s="124"/>
      <c r="AOG890" s="124"/>
      <c r="AOH890" s="124"/>
      <c r="AOI890" s="124"/>
      <c r="AOJ890" s="124"/>
      <c r="AOK890" s="124"/>
      <c r="AOL890" s="124"/>
      <c r="AOM890" s="124"/>
      <c r="AON890" s="124"/>
      <c r="AOO890" s="124"/>
      <c r="AOP890" s="124"/>
      <c r="AOQ890" s="124"/>
      <c r="AOR890" s="124"/>
      <c r="AOS890" s="124"/>
      <c r="AOT890" s="124"/>
      <c r="AOU890" s="124"/>
      <c r="AOV890" s="124"/>
      <c r="AOW890" s="124"/>
      <c r="AOX890" s="124"/>
      <c r="AOY890" s="124"/>
      <c r="AOZ890" s="124"/>
      <c r="APA890" s="124"/>
      <c r="APB890" s="124"/>
      <c r="APC890" s="124"/>
      <c r="APD890" s="124"/>
      <c r="APE890" s="124"/>
      <c r="APF890" s="124"/>
      <c r="APG890" s="124"/>
      <c r="APH890" s="124"/>
      <c r="API890" s="124"/>
      <c r="APJ890" s="124"/>
      <c r="APK890" s="124"/>
      <c r="APL890" s="124"/>
      <c r="APM890" s="124"/>
      <c r="APN890" s="124"/>
      <c r="APO890" s="124"/>
      <c r="APP890" s="124"/>
      <c r="APQ890" s="124"/>
      <c r="APR890" s="124"/>
      <c r="APS890" s="124"/>
      <c r="APT890" s="124"/>
      <c r="APU890" s="124"/>
      <c r="APV890" s="124"/>
      <c r="APW890" s="124"/>
      <c r="APX890" s="124"/>
      <c r="APY890" s="124"/>
      <c r="APZ890" s="124"/>
      <c r="AQA890" s="124"/>
      <c r="AQB890" s="124"/>
      <c r="AQC890" s="124"/>
      <c r="AQD890" s="124"/>
      <c r="AQE890" s="124"/>
      <c r="AQF890" s="124"/>
      <c r="AQG890" s="124"/>
      <c r="AQH890" s="124"/>
      <c r="AQI890" s="124"/>
      <c r="AQJ890" s="124"/>
      <c r="AQK890" s="124"/>
      <c r="AQL890" s="124"/>
      <c r="AQM890" s="124"/>
      <c r="AQN890" s="124"/>
      <c r="AQO890" s="124"/>
      <c r="AQP890" s="124"/>
      <c r="AQQ890" s="124"/>
      <c r="AQR890" s="124"/>
      <c r="AQS890" s="124"/>
      <c r="AQT890" s="124"/>
      <c r="AQU890" s="124"/>
      <c r="AQV890" s="124"/>
      <c r="AQW890" s="124"/>
      <c r="AQX890" s="124"/>
      <c r="AQY890" s="124"/>
      <c r="AQZ890" s="124"/>
      <c r="ARA890" s="124"/>
      <c r="ARB890" s="124"/>
      <c r="ARC890" s="124"/>
      <c r="ARD890" s="124"/>
      <c r="ARE890" s="124"/>
      <c r="ARF890" s="124"/>
      <c r="ARG890" s="124"/>
      <c r="ARH890" s="124"/>
      <c r="ARI890" s="124"/>
      <c r="ARJ890" s="124"/>
      <c r="ARK890" s="124"/>
      <c r="ARL890" s="124"/>
      <c r="ARM890" s="124"/>
      <c r="ARN890" s="124"/>
      <c r="ARO890" s="124"/>
      <c r="ARP890" s="124"/>
      <c r="ARQ890" s="124"/>
      <c r="ARR890" s="124"/>
      <c r="ARS890" s="124"/>
      <c r="ART890" s="124"/>
      <c r="ARU890" s="124"/>
      <c r="ARV890" s="124"/>
      <c r="ARW890" s="124"/>
      <c r="ARX890" s="124"/>
      <c r="ARY890" s="124"/>
      <c r="ARZ890" s="124"/>
      <c r="ASA890" s="124"/>
      <c r="ASB890" s="124"/>
      <c r="ASC890" s="124"/>
      <c r="ASD890" s="124"/>
      <c r="ASE890" s="124"/>
      <c r="ASF890" s="124"/>
      <c r="ASG890" s="124"/>
      <c r="ASH890" s="124"/>
      <c r="ASI890" s="124"/>
      <c r="ASJ890" s="124"/>
      <c r="ASK890" s="124"/>
      <c r="ASL890" s="124"/>
      <c r="ASM890" s="124"/>
      <c r="ASN890" s="124"/>
      <c r="ASO890" s="124"/>
      <c r="ASP890" s="124"/>
      <c r="ASQ890" s="124"/>
      <c r="ASR890" s="124"/>
      <c r="ASS890" s="124"/>
      <c r="AST890" s="124"/>
      <c r="ASU890" s="124"/>
      <c r="ASV890" s="124"/>
      <c r="ASW890" s="124"/>
      <c r="ASX890" s="124"/>
      <c r="ASY890" s="124"/>
      <c r="ASZ890" s="124"/>
      <c r="ATA890" s="124"/>
      <c r="ATB890" s="124"/>
      <c r="ATC890" s="124"/>
      <c r="ATD890" s="124"/>
      <c r="ATE890" s="124"/>
      <c r="ATF890" s="124"/>
      <c r="ATG890" s="124"/>
      <c r="ATH890" s="124"/>
      <c r="ATI890" s="124"/>
      <c r="ATJ890" s="124"/>
      <c r="ATK890" s="124"/>
      <c r="ATL890" s="124"/>
      <c r="ATM890" s="124"/>
      <c r="ATN890" s="124"/>
      <c r="ATO890" s="124"/>
      <c r="ATP890" s="124"/>
      <c r="ATQ890" s="124"/>
      <c r="ATR890" s="124"/>
      <c r="ATS890" s="124"/>
      <c r="ATT890" s="124"/>
      <c r="ATU890" s="124"/>
      <c r="ATV890" s="124"/>
      <c r="ATW890" s="124"/>
      <c r="ATX890" s="124"/>
      <c r="ATY890" s="124"/>
      <c r="ATZ890" s="124"/>
      <c r="AUA890" s="124"/>
      <c r="AUB890" s="124"/>
      <c r="AUC890" s="124"/>
      <c r="AUD890" s="124"/>
      <c r="AUE890" s="124"/>
      <c r="AUF890" s="124"/>
      <c r="AUG890" s="124"/>
      <c r="AUH890" s="124"/>
      <c r="AUI890" s="124"/>
      <c r="AUJ890" s="124"/>
      <c r="AUK890" s="124"/>
      <c r="AUL890" s="124"/>
      <c r="AUM890" s="124"/>
      <c r="AUN890" s="124"/>
      <c r="AUO890" s="124"/>
      <c r="AUP890" s="124"/>
      <c r="AUQ890" s="124"/>
      <c r="AUR890" s="124"/>
      <c r="AUS890" s="124"/>
      <c r="AUT890" s="124"/>
      <c r="AUU890" s="124"/>
      <c r="AUV890" s="124"/>
      <c r="AUW890" s="124"/>
      <c r="AUX890" s="124"/>
      <c r="AUY890" s="124"/>
      <c r="AUZ890" s="124"/>
      <c r="AVA890" s="124"/>
      <c r="AVB890" s="124"/>
      <c r="AVC890" s="124"/>
      <c r="AVD890" s="124"/>
      <c r="AVE890" s="124"/>
      <c r="AVF890" s="124"/>
      <c r="AVG890" s="124"/>
      <c r="AVH890" s="124"/>
      <c r="AVI890" s="124"/>
      <c r="AVJ890" s="124"/>
      <c r="AVK890" s="124"/>
      <c r="AVL890" s="124"/>
      <c r="AVM890" s="124"/>
      <c r="AVN890" s="124"/>
      <c r="AVO890" s="124"/>
      <c r="AVP890" s="124"/>
      <c r="AVQ890" s="124"/>
      <c r="AVR890" s="124"/>
      <c r="AVS890" s="124"/>
      <c r="AVT890" s="124"/>
      <c r="AVU890" s="124"/>
      <c r="AVV890" s="124"/>
      <c r="AVW890" s="124"/>
      <c r="AVX890" s="124"/>
      <c r="AVY890" s="124"/>
      <c r="AVZ890" s="124"/>
      <c r="AWA890" s="124"/>
      <c r="AWB890" s="124"/>
      <c r="AWC890" s="124"/>
      <c r="AWD890" s="124"/>
      <c r="AWE890" s="124"/>
      <c r="AWF890" s="124"/>
      <c r="AWG890" s="124"/>
      <c r="AWH890" s="124"/>
      <c r="AWI890" s="124"/>
      <c r="AWJ890" s="124"/>
      <c r="AWK890" s="124"/>
      <c r="AWL890" s="124"/>
      <c r="AWM890" s="124"/>
      <c r="AWN890" s="124"/>
      <c r="AWO890" s="124"/>
      <c r="AWP890" s="124"/>
      <c r="AWQ890" s="124"/>
      <c r="AWR890" s="124"/>
      <c r="AWS890" s="124"/>
      <c r="AWT890" s="124"/>
      <c r="AWU890" s="124"/>
      <c r="AWV890" s="124"/>
      <c r="AWW890" s="124"/>
      <c r="AWX890" s="124"/>
      <c r="AWY890" s="124"/>
      <c r="AWZ890" s="124"/>
      <c r="AXA890" s="124"/>
      <c r="AXB890" s="124"/>
      <c r="AXC890" s="124"/>
      <c r="AXD890" s="124"/>
      <c r="AXE890" s="124"/>
      <c r="AXF890" s="124"/>
      <c r="AXG890" s="124"/>
      <c r="AXH890" s="124"/>
      <c r="AXI890" s="124"/>
      <c r="AXJ890" s="124"/>
      <c r="AXK890" s="124"/>
      <c r="AXL890" s="124"/>
      <c r="AXM890" s="124"/>
      <c r="AXN890" s="124"/>
      <c r="AXO890" s="124"/>
      <c r="AXP890" s="124"/>
      <c r="AXQ890" s="124"/>
      <c r="AXR890" s="124"/>
      <c r="AXS890" s="124"/>
      <c r="AXT890" s="124"/>
      <c r="AXU890" s="124"/>
      <c r="AXV890" s="124"/>
      <c r="AXW890" s="124"/>
      <c r="AXX890" s="124"/>
      <c r="AXY890" s="124"/>
      <c r="AXZ890" s="124"/>
      <c r="AYA890" s="124"/>
      <c r="AYB890" s="124"/>
      <c r="AYC890" s="124"/>
      <c r="AYD890" s="124"/>
      <c r="AYE890" s="124"/>
      <c r="AYF890" s="124"/>
      <c r="AYG890" s="124"/>
      <c r="AYH890" s="124"/>
      <c r="AYI890" s="124"/>
      <c r="AYJ890" s="124"/>
      <c r="AYK890" s="124"/>
      <c r="AYL890" s="124"/>
      <c r="AYM890" s="124"/>
      <c r="AYN890" s="124"/>
      <c r="AYO890" s="124"/>
      <c r="AYP890" s="124"/>
      <c r="AYQ890" s="124"/>
      <c r="AYR890" s="124"/>
      <c r="AYS890" s="124"/>
      <c r="AYT890" s="124"/>
      <c r="AYU890" s="124"/>
      <c r="AYV890" s="124"/>
      <c r="AYW890" s="124"/>
      <c r="AYX890" s="124"/>
      <c r="AYY890" s="124"/>
      <c r="AYZ890" s="124"/>
      <c r="AZA890" s="124"/>
      <c r="AZB890" s="124"/>
      <c r="AZC890" s="124"/>
      <c r="AZD890" s="124"/>
      <c r="AZE890" s="124"/>
      <c r="AZF890" s="124"/>
      <c r="AZG890" s="124"/>
      <c r="AZH890" s="124"/>
      <c r="AZI890" s="124"/>
      <c r="AZJ890" s="124"/>
      <c r="AZK890" s="124"/>
      <c r="AZL890" s="124"/>
      <c r="AZM890" s="124"/>
      <c r="AZN890" s="124"/>
      <c r="AZO890" s="124"/>
      <c r="AZP890" s="124"/>
      <c r="AZQ890" s="124"/>
      <c r="AZR890" s="124"/>
      <c r="AZS890" s="124"/>
      <c r="AZT890" s="124"/>
      <c r="AZU890" s="124"/>
      <c r="AZV890" s="124"/>
      <c r="AZW890" s="124"/>
      <c r="AZX890" s="124"/>
      <c r="AZY890" s="124"/>
      <c r="AZZ890" s="124"/>
      <c r="BAA890" s="124"/>
      <c r="BAB890" s="124"/>
      <c r="BAC890" s="124"/>
      <c r="BAD890" s="124"/>
      <c r="BAE890" s="124"/>
      <c r="BAF890" s="124"/>
      <c r="BAG890" s="124"/>
      <c r="BAH890" s="124"/>
      <c r="BAI890" s="124"/>
      <c r="BAJ890" s="124"/>
      <c r="BAK890" s="124"/>
      <c r="BAL890" s="124"/>
      <c r="BAM890" s="124"/>
      <c r="BAN890" s="124"/>
      <c r="BAO890" s="124"/>
      <c r="BAP890" s="124"/>
      <c r="BAQ890" s="124"/>
      <c r="BAR890" s="124"/>
      <c r="BAS890" s="124"/>
      <c r="BAT890" s="124"/>
      <c r="BAU890" s="124"/>
      <c r="BAV890" s="124"/>
      <c r="BAW890" s="124"/>
      <c r="BAX890" s="124"/>
      <c r="BAY890" s="124"/>
      <c r="BAZ890" s="124"/>
      <c r="BBA890" s="124"/>
      <c r="BBB890" s="124"/>
      <c r="BBC890" s="124"/>
      <c r="BBD890" s="124"/>
      <c r="BBE890" s="124"/>
      <c r="BBF890" s="124"/>
      <c r="BBG890" s="124"/>
      <c r="BBH890" s="124"/>
      <c r="BBI890" s="124"/>
      <c r="BBJ890" s="124"/>
      <c r="BBK890" s="124"/>
      <c r="BBL890" s="124"/>
      <c r="BBM890" s="124"/>
      <c r="BBN890" s="124"/>
      <c r="BBO890" s="124"/>
      <c r="BBP890" s="124"/>
      <c r="BBQ890" s="124"/>
      <c r="BBR890" s="124"/>
      <c r="BBS890" s="124"/>
      <c r="BBT890" s="124"/>
      <c r="BBU890" s="124"/>
      <c r="BBV890" s="124"/>
      <c r="BBW890" s="124"/>
      <c r="BBX890" s="124"/>
      <c r="BBY890" s="124"/>
      <c r="BBZ890" s="124"/>
      <c r="BCA890" s="124"/>
      <c r="BCB890" s="124"/>
      <c r="BCC890" s="124"/>
      <c r="BCD890" s="124"/>
      <c r="BCE890" s="124"/>
      <c r="BCF890" s="124"/>
      <c r="BCG890" s="124"/>
      <c r="BCH890" s="124"/>
      <c r="BCI890" s="124"/>
      <c r="BCJ890" s="124"/>
      <c r="BCK890" s="124"/>
      <c r="BCL890" s="124"/>
      <c r="BCM890" s="124"/>
      <c r="BCN890" s="124"/>
      <c r="BCO890" s="124"/>
      <c r="BCP890" s="124"/>
      <c r="BCQ890" s="124"/>
      <c r="BCR890" s="124"/>
      <c r="BCS890" s="124"/>
      <c r="BCT890" s="124"/>
      <c r="BCU890" s="124"/>
      <c r="BCV890" s="124"/>
      <c r="BCW890" s="124"/>
      <c r="BCX890" s="124"/>
      <c r="BCY890" s="124"/>
      <c r="BCZ890" s="124"/>
      <c r="BDA890" s="124"/>
      <c r="BDB890" s="124"/>
      <c r="BDC890" s="124"/>
      <c r="BDD890" s="124"/>
      <c r="BDE890" s="124"/>
      <c r="BDF890" s="124"/>
      <c r="BDG890" s="124"/>
      <c r="BDH890" s="124"/>
      <c r="BDI890" s="124"/>
      <c r="BDJ890" s="124"/>
      <c r="BDK890" s="124"/>
      <c r="BDL890" s="124"/>
      <c r="BDM890" s="124"/>
      <c r="BDN890" s="124"/>
      <c r="BDO890" s="124"/>
      <c r="BDP890" s="124"/>
      <c r="BDQ890" s="124"/>
      <c r="BDR890" s="124"/>
      <c r="BDS890" s="124"/>
      <c r="BDT890" s="124"/>
      <c r="BDU890" s="124"/>
      <c r="BDV890" s="124"/>
      <c r="BDW890" s="124"/>
      <c r="BDX890" s="124"/>
      <c r="BDY890" s="124"/>
      <c r="BDZ890" s="124"/>
      <c r="BEA890" s="124"/>
      <c r="BEB890" s="124"/>
      <c r="BEC890" s="124"/>
      <c r="BED890" s="124"/>
      <c r="BEE890" s="124"/>
      <c r="BEF890" s="124"/>
      <c r="BEG890" s="124"/>
      <c r="BEH890" s="124"/>
      <c r="BEI890" s="124"/>
      <c r="BEJ890" s="124"/>
      <c r="BEK890" s="124"/>
      <c r="BEL890" s="124"/>
      <c r="BEM890" s="124"/>
      <c r="BEN890" s="124"/>
      <c r="BEO890" s="124"/>
      <c r="BEP890" s="124"/>
      <c r="BEQ890" s="124"/>
      <c r="BER890" s="124"/>
      <c r="BES890" s="124"/>
      <c r="BET890" s="124"/>
      <c r="BEU890" s="124"/>
      <c r="BEV890" s="124"/>
      <c r="BEW890" s="124"/>
      <c r="BEX890" s="124"/>
      <c r="BEY890" s="124"/>
      <c r="BEZ890" s="124"/>
      <c r="BFA890" s="124"/>
      <c r="BFB890" s="124"/>
      <c r="BFC890" s="124"/>
      <c r="BFD890" s="124"/>
      <c r="BFE890" s="124"/>
      <c r="BFF890" s="124"/>
      <c r="BFG890" s="124"/>
      <c r="BFH890" s="124"/>
      <c r="BFI890" s="124"/>
      <c r="BFJ890" s="124"/>
      <c r="BFK890" s="124"/>
      <c r="BFL890" s="124"/>
      <c r="BFM890" s="124"/>
      <c r="BFN890" s="124"/>
      <c r="BFO890" s="124"/>
      <c r="BFP890" s="124"/>
      <c r="BFQ890" s="124"/>
      <c r="BFR890" s="124"/>
      <c r="BFS890" s="124"/>
      <c r="BFT890" s="124"/>
      <c r="BFU890" s="124"/>
      <c r="BFV890" s="124"/>
      <c r="BFW890" s="124"/>
      <c r="BFX890" s="124"/>
      <c r="BFY890" s="124"/>
      <c r="BFZ890" s="124"/>
      <c r="BGA890" s="124"/>
      <c r="BGB890" s="124"/>
      <c r="BGC890" s="124"/>
      <c r="BGD890" s="124"/>
      <c r="BGE890" s="124"/>
      <c r="BGF890" s="124"/>
      <c r="BGG890" s="124"/>
      <c r="BGH890" s="124"/>
      <c r="BGI890" s="124"/>
      <c r="BGJ890" s="124"/>
      <c r="BGK890" s="124"/>
      <c r="BGL890" s="124"/>
      <c r="BGM890" s="124"/>
      <c r="BGN890" s="124"/>
      <c r="BGO890" s="124"/>
      <c r="BGP890" s="124"/>
      <c r="BGQ890" s="124"/>
      <c r="BGR890" s="124"/>
      <c r="BGS890" s="124"/>
      <c r="BGT890" s="124"/>
      <c r="BGU890" s="124"/>
      <c r="BGV890" s="124"/>
      <c r="BGW890" s="124"/>
      <c r="BGX890" s="124"/>
      <c r="BGY890" s="124"/>
      <c r="BGZ890" s="124"/>
      <c r="BHA890" s="124"/>
      <c r="BHB890" s="124"/>
      <c r="BHC890" s="124"/>
      <c r="BHD890" s="124"/>
      <c r="BHE890" s="124"/>
      <c r="BHF890" s="124"/>
      <c r="BHG890" s="124"/>
      <c r="BHH890" s="124"/>
      <c r="BHI890" s="124"/>
      <c r="BHJ890" s="124"/>
      <c r="BHK890" s="124"/>
      <c r="BHL890" s="124"/>
      <c r="BHM890" s="124"/>
      <c r="BHN890" s="124"/>
      <c r="BHO890" s="124"/>
      <c r="BHP890" s="124"/>
      <c r="BHQ890" s="124"/>
      <c r="BHR890" s="124"/>
      <c r="BHS890" s="124"/>
      <c r="BHT890" s="124"/>
      <c r="BHU890" s="124"/>
      <c r="BHV890" s="124"/>
      <c r="BHW890" s="124"/>
      <c r="BHX890" s="124"/>
      <c r="BHY890" s="124"/>
      <c r="BHZ890" s="124"/>
      <c r="BIA890" s="124"/>
      <c r="BIB890" s="124"/>
      <c r="BIC890" s="124"/>
      <c r="BID890" s="124"/>
      <c r="BIE890" s="124"/>
      <c r="BIF890" s="124"/>
      <c r="BIG890" s="124"/>
      <c r="BIH890" s="124"/>
      <c r="BII890" s="124"/>
      <c r="BIJ890" s="124"/>
      <c r="BIK890" s="124"/>
      <c r="BIL890" s="124"/>
      <c r="BIM890" s="124"/>
      <c r="BIN890" s="124"/>
      <c r="BIO890" s="124"/>
      <c r="BIP890" s="124"/>
      <c r="BIQ890" s="124"/>
      <c r="BIR890" s="124"/>
      <c r="BIS890" s="124"/>
      <c r="BIT890" s="124"/>
      <c r="BIU890" s="124"/>
      <c r="BIV890" s="124"/>
      <c r="BIW890" s="124"/>
      <c r="BIX890" s="124"/>
      <c r="BIY890" s="124"/>
      <c r="BIZ890" s="124"/>
      <c r="BJA890" s="124"/>
      <c r="BJB890" s="124"/>
      <c r="BJC890" s="124"/>
      <c r="BJD890" s="124"/>
      <c r="BJE890" s="124"/>
      <c r="BJF890" s="124"/>
      <c r="BJG890" s="124"/>
      <c r="BJH890" s="124"/>
      <c r="BJI890" s="124"/>
      <c r="BJJ890" s="124"/>
      <c r="BJK890" s="124"/>
      <c r="BJL890" s="124"/>
      <c r="BJM890" s="124"/>
      <c r="BJN890" s="124"/>
      <c r="BJO890" s="124"/>
      <c r="BJP890" s="124"/>
      <c r="BJQ890" s="124"/>
      <c r="BJR890" s="124"/>
      <c r="BJS890" s="124"/>
      <c r="BJT890" s="124"/>
      <c r="BJU890" s="124"/>
      <c r="BJV890" s="124"/>
      <c r="BJW890" s="124"/>
      <c r="BJX890" s="124"/>
      <c r="BJY890" s="124"/>
      <c r="BJZ890" s="124"/>
      <c r="BKA890" s="124"/>
      <c r="BKB890" s="124"/>
      <c r="BKC890" s="124"/>
      <c r="BKD890" s="124"/>
      <c r="BKE890" s="124"/>
      <c r="BKF890" s="124"/>
      <c r="BKG890" s="124"/>
      <c r="BKH890" s="124"/>
      <c r="BKI890" s="124"/>
      <c r="BKJ890" s="124"/>
      <c r="BKK890" s="124"/>
      <c r="BKL890" s="124"/>
      <c r="BKM890" s="124"/>
      <c r="BKN890" s="124"/>
      <c r="BKO890" s="124"/>
      <c r="BKP890" s="124"/>
      <c r="BKQ890" s="124"/>
      <c r="BKR890" s="124"/>
      <c r="BKS890" s="124"/>
      <c r="BKT890" s="124"/>
      <c r="BKU890" s="124"/>
      <c r="BKV890" s="124"/>
      <c r="BKW890" s="124"/>
      <c r="BKX890" s="124"/>
      <c r="BKY890" s="124"/>
      <c r="BKZ890" s="124"/>
      <c r="BLA890" s="124"/>
      <c r="BLB890" s="124"/>
      <c r="BLC890" s="124"/>
      <c r="BLD890" s="124"/>
      <c r="BLE890" s="124"/>
      <c r="BLF890" s="124"/>
      <c r="BLG890" s="124"/>
      <c r="BLH890" s="124"/>
      <c r="BLI890" s="124"/>
      <c r="BLJ890" s="124"/>
      <c r="BLK890" s="124"/>
      <c r="BLL890" s="124"/>
      <c r="BLM890" s="124"/>
      <c r="BLN890" s="124"/>
      <c r="BLO890" s="124"/>
      <c r="BLP890" s="124"/>
      <c r="BLQ890" s="124"/>
      <c r="BLR890" s="124"/>
      <c r="BLS890" s="124"/>
      <c r="BLT890" s="124"/>
      <c r="BLU890" s="124"/>
      <c r="BLV890" s="124"/>
      <c r="BLW890" s="124"/>
      <c r="BLX890" s="124"/>
      <c r="BLY890" s="124"/>
      <c r="BLZ890" s="124"/>
      <c r="BMA890" s="124"/>
      <c r="BMB890" s="124"/>
      <c r="BMC890" s="124"/>
      <c r="BMD890" s="124"/>
      <c r="BME890" s="124"/>
      <c r="BMF890" s="124"/>
      <c r="BMG890" s="124"/>
      <c r="BMH890" s="124"/>
      <c r="BMI890" s="124"/>
      <c r="BMJ890" s="124"/>
      <c r="BMK890" s="124"/>
      <c r="BML890" s="124"/>
      <c r="BMM890" s="124"/>
      <c r="BMN890" s="124"/>
      <c r="BMO890" s="124"/>
      <c r="BMP890" s="124"/>
      <c r="BMQ890" s="124"/>
      <c r="BMR890" s="124"/>
      <c r="BMS890" s="124"/>
      <c r="BMT890" s="124"/>
      <c r="BMU890" s="124"/>
      <c r="BMV890" s="124"/>
      <c r="BMW890" s="124"/>
      <c r="BMX890" s="124"/>
      <c r="BMY890" s="124"/>
      <c r="BMZ890" s="124"/>
      <c r="BNA890" s="124"/>
      <c r="BNB890" s="124"/>
      <c r="BNC890" s="124"/>
      <c r="BND890" s="124"/>
      <c r="BNE890" s="124"/>
      <c r="BNF890" s="124"/>
      <c r="BNG890" s="124"/>
      <c r="BNH890" s="124"/>
      <c r="BNI890" s="124"/>
      <c r="BNJ890" s="124"/>
      <c r="BNK890" s="124"/>
      <c r="BNL890" s="124"/>
      <c r="BNM890" s="124"/>
      <c r="BNN890" s="124"/>
      <c r="BNO890" s="124"/>
      <c r="BNP890" s="124"/>
      <c r="BNQ890" s="124"/>
      <c r="BNR890" s="124"/>
      <c r="BNS890" s="124"/>
      <c r="BNT890" s="124"/>
      <c r="BNU890" s="124"/>
      <c r="BNV890" s="124"/>
      <c r="BNW890" s="124"/>
      <c r="BNX890" s="124"/>
      <c r="BNY890" s="124"/>
      <c r="BNZ890" s="124"/>
      <c r="BOA890" s="124"/>
      <c r="BOB890" s="124"/>
      <c r="BOC890" s="124"/>
      <c r="BOD890" s="124"/>
      <c r="BOE890" s="124"/>
      <c r="BOF890" s="124"/>
      <c r="BOG890" s="124"/>
      <c r="BOH890" s="124"/>
      <c r="BOI890" s="124"/>
      <c r="BOJ890" s="124"/>
      <c r="BOK890" s="124"/>
      <c r="BOL890" s="124"/>
      <c r="BOM890" s="124"/>
      <c r="BON890" s="124"/>
      <c r="BOO890" s="124"/>
      <c r="BOP890" s="124"/>
      <c r="BOQ890" s="124"/>
      <c r="BOR890" s="124"/>
      <c r="BOS890" s="124"/>
      <c r="BOT890" s="124"/>
      <c r="BOU890" s="124"/>
      <c r="BOV890" s="124"/>
      <c r="BOW890" s="124"/>
      <c r="BOX890" s="124"/>
      <c r="BOY890" s="124"/>
      <c r="BOZ890" s="124"/>
      <c r="BPA890" s="124"/>
      <c r="BPB890" s="124"/>
      <c r="BPC890" s="124"/>
      <c r="BPD890" s="124"/>
      <c r="BPE890" s="124"/>
      <c r="BPF890" s="124"/>
      <c r="BPG890" s="124"/>
      <c r="BPH890" s="124"/>
      <c r="BPI890" s="124"/>
      <c r="BPJ890" s="124"/>
      <c r="BPK890" s="124"/>
      <c r="BPL890" s="124"/>
      <c r="BPM890" s="124"/>
      <c r="BPN890" s="124"/>
      <c r="BPO890" s="124"/>
      <c r="BPP890" s="124"/>
      <c r="BPQ890" s="124"/>
      <c r="BPR890" s="124"/>
      <c r="BPS890" s="124"/>
      <c r="BPT890" s="124"/>
      <c r="BPU890" s="124"/>
      <c r="BPV890" s="124"/>
      <c r="BPW890" s="124"/>
      <c r="BPX890" s="124"/>
      <c r="BPY890" s="124"/>
      <c r="BPZ890" s="124"/>
      <c r="BQA890" s="124"/>
      <c r="BQB890" s="124"/>
      <c r="BQC890" s="124"/>
      <c r="BQD890" s="124"/>
      <c r="BQE890" s="124"/>
      <c r="BQF890" s="124"/>
      <c r="BQG890" s="124"/>
      <c r="BQH890" s="124"/>
      <c r="BQI890" s="124"/>
      <c r="BQJ890" s="124"/>
      <c r="BQK890" s="124"/>
      <c r="BQL890" s="124"/>
      <c r="BQM890" s="124"/>
      <c r="BQN890" s="124"/>
      <c r="BQO890" s="124"/>
      <c r="BQP890" s="124"/>
      <c r="BQQ890" s="124"/>
      <c r="BQR890" s="124"/>
      <c r="BQS890" s="124"/>
      <c r="BQT890" s="124"/>
      <c r="BQU890" s="124"/>
      <c r="BQV890" s="124"/>
      <c r="BQW890" s="124"/>
      <c r="BQX890" s="124"/>
      <c r="BQY890" s="124"/>
      <c r="BQZ890" s="124"/>
      <c r="BRA890" s="124"/>
      <c r="BRB890" s="124"/>
      <c r="BRC890" s="124"/>
      <c r="BRD890" s="124"/>
      <c r="BRE890" s="124"/>
      <c r="BRF890" s="124"/>
      <c r="BRG890" s="124"/>
      <c r="BRH890" s="124"/>
      <c r="BRI890" s="124"/>
      <c r="BRJ890" s="124"/>
      <c r="BRK890" s="124"/>
      <c r="BRL890" s="124"/>
      <c r="BRM890" s="124"/>
      <c r="BRN890" s="124"/>
      <c r="BRO890" s="124"/>
      <c r="BRP890" s="124"/>
      <c r="BRQ890" s="124"/>
      <c r="BRR890" s="124"/>
      <c r="BRS890" s="124"/>
      <c r="BRT890" s="124"/>
      <c r="BRU890" s="124"/>
      <c r="BRV890" s="124"/>
      <c r="BRW890" s="124"/>
      <c r="BRX890" s="124"/>
      <c r="BRY890" s="124"/>
      <c r="BRZ890" s="124"/>
      <c r="BSA890" s="124"/>
      <c r="BSB890" s="124"/>
      <c r="BSC890" s="124"/>
      <c r="BSD890" s="124"/>
      <c r="BSE890" s="124"/>
      <c r="BSF890" s="124"/>
      <c r="BSG890" s="124"/>
      <c r="BSH890" s="124"/>
      <c r="BSI890" s="124"/>
      <c r="BSJ890" s="124"/>
      <c r="BSK890" s="124"/>
      <c r="BSL890" s="124"/>
      <c r="BSM890" s="124"/>
      <c r="BSN890" s="124"/>
      <c r="BSO890" s="124"/>
      <c r="BSP890" s="124"/>
      <c r="BSQ890" s="124"/>
      <c r="BSR890" s="124"/>
      <c r="BSS890" s="124"/>
      <c r="BST890" s="124"/>
      <c r="BSU890" s="124"/>
      <c r="BSV890" s="124"/>
      <c r="BSW890" s="124"/>
      <c r="BSX890" s="124"/>
      <c r="BSY890" s="124"/>
      <c r="BSZ890" s="124"/>
      <c r="BTA890" s="124"/>
      <c r="BTB890" s="124"/>
      <c r="BTC890" s="124"/>
      <c r="BTD890" s="124"/>
      <c r="BTE890" s="124"/>
      <c r="BTF890" s="124"/>
      <c r="BTG890" s="124"/>
      <c r="BTH890" s="124"/>
      <c r="BTI890" s="124"/>
      <c r="BTJ890" s="124"/>
      <c r="BTK890" s="124"/>
      <c r="BTL890" s="124"/>
      <c r="BTM890" s="124"/>
      <c r="BTN890" s="124"/>
      <c r="BTO890" s="124"/>
      <c r="BTP890" s="124"/>
      <c r="BTQ890" s="124"/>
      <c r="BTR890" s="124"/>
      <c r="BTS890" s="124"/>
      <c r="BTT890" s="124"/>
      <c r="BTU890" s="124"/>
      <c r="BTV890" s="124"/>
      <c r="BTW890" s="124"/>
      <c r="BTX890" s="124"/>
      <c r="BTY890" s="124"/>
      <c r="BTZ890" s="124"/>
      <c r="BUA890" s="124"/>
      <c r="BUB890" s="124"/>
      <c r="BUC890" s="124"/>
      <c r="BUD890" s="124"/>
      <c r="BUE890" s="124"/>
      <c r="BUF890" s="124"/>
      <c r="BUG890" s="124"/>
      <c r="BUH890" s="124"/>
      <c r="BUI890" s="124"/>
      <c r="BUJ890" s="124"/>
      <c r="BUK890" s="124"/>
      <c r="BUL890" s="124"/>
      <c r="BUM890" s="124"/>
      <c r="BUN890" s="124"/>
      <c r="BUO890" s="124"/>
      <c r="BUP890" s="124"/>
      <c r="BUQ890" s="124"/>
      <c r="BUR890" s="124"/>
      <c r="BUS890" s="124"/>
      <c r="BUT890" s="124"/>
      <c r="BUU890" s="124"/>
      <c r="BUV890" s="124"/>
      <c r="BUW890" s="124"/>
      <c r="BUX890" s="124"/>
      <c r="BUY890" s="124"/>
      <c r="BUZ890" s="124"/>
      <c r="BVA890" s="124"/>
      <c r="BVB890" s="124"/>
      <c r="BVC890" s="124"/>
      <c r="BVD890" s="124"/>
      <c r="BVE890" s="124"/>
      <c r="BVF890" s="124"/>
      <c r="BVG890" s="124"/>
      <c r="BVH890" s="124"/>
      <c r="BVI890" s="124"/>
      <c r="BVJ890" s="124"/>
      <c r="BVK890" s="124"/>
      <c r="BVL890" s="124"/>
      <c r="BVM890" s="124"/>
      <c r="BVN890" s="124"/>
      <c r="BVO890" s="124"/>
      <c r="BVP890" s="124"/>
      <c r="BVQ890" s="124"/>
      <c r="BVR890" s="124"/>
      <c r="BVS890" s="124"/>
      <c r="BVT890" s="124"/>
      <c r="BVU890" s="124"/>
      <c r="BVV890" s="124"/>
      <c r="BVW890" s="124"/>
      <c r="BVX890" s="124"/>
      <c r="BVY890" s="124"/>
      <c r="BVZ890" s="124"/>
      <c r="BWA890" s="124"/>
      <c r="BWB890" s="124"/>
      <c r="BWC890" s="124"/>
      <c r="BWD890" s="124"/>
      <c r="BWE890" s="124"/>
      <c r="BWF890" s="124"/>
      <c r="BWG890" s="124"/>
      <c r="BWH890" s="124"/>
      <c r="BWI890" s="124"/>
      <c r="BWJ890" s="124"/>
      <c r="BWK890" s="124"/>
      <c r="BWL890" s="124"/>
      <c r="BWM890" s="124"/>
      <c r="BWN890" s="124"/>
      <c r="BWO890" s="124"/>
      <c r="BWP890" s="124"/>
      <c r="BWQ890" s="124"/>
      <c r="BWR890" s="124"/>
      <c r="BWS890" s="124"/>
      <c r="BWT890" s="124"/>
      <c r="BWU890" s="124"/>
      <c r="BWV890" s="124"/>
      <c r="BWW890" s="124"/>
      <c r="BWX890" s="124"/>
      <c r="BWY890" s="124"/>
      <c r="BWZ890" s="124"/>
      <c r="BXA890" s="124"/>
      <c r="BXB890" s="124"/>
      <c r="BXC890" s="124"/>
      <c r="BXD890" s="124"/>
      <c r="BXE890" s="124"/>
      <c r="BXF890" s="124"/>
      <c r="BXG890" s="124"/>
      <c r="BXH890" s="124"/>
      <c r="BXI890" s="124"/>
      <c r="BXJ890" s="124"/>
      <c r="BXK890" s="124"/>
      <c r="BXL890" s="124"/>
      <c r="BXM890" s="124"/>
      <c r="BXN890" s="124"/>
      <c r="BXO890" s="124"/>
      <c r="BXP890" s="124"/>
      <c r="BXQ890" s="124"/>
      <c r="BXR890" s="124"/>
      <c r="BXS890" s="124"/>
      <c r="BXT890" s="124"/>
      <c r="BXU890" s="124"/>
      <c r="BXV890" s="124"/>
      <c r="BXW890" s="124"/>
      <c r="BXX890" s="124"/>
      <c r="BXY890" s="124"/>
      <c r="BXZ890" s="124"/>
      <c r="BYA890" s="124"/>
      <c r="BYB890" s="124"/>
      <c r="BYC890" s="124"/>
      <c r="BYD890" s="124"/>
      <c r="BYE890" s="124"/>
      <c r="BYF890" s="124"/>
      <c r="BYG890" s="124"/>
      <c r="BYH890" s="124"/>
      <c r="BYI890" s="124"/>
      <c r="BYJ890" s="124"/>
      <c r="BYK890" s="124"/>
      <c r="BYL890" s="124"/>
      <c r="BYM890" s="124"/>
      <c r="BYN890" s="124"/>
      <c r="BYO890" s="124"/>
      <c r="BYP890" s="124"/>
      <c r="BYQ890" s="124"/>
      <c r="BYR890" s="124"/>
      <c r="BYS890" s="124"/>
      <c r="BYT890" s="124"/>
      <c r="BYU890" s="124"/>
      <c r="BYV890" s="124"/>
      <c r="BYW890" s="124"/>
      <c r="BYX890" s="124"/>
      <c r="BYY890" s="124"/>
      <c r="BYZ890" s="124"/>
      <c r="BZA890" s="124"/>
      <c r="BZB890" s="124"/>
      <c r="BZC890" s="124"/>
      <c r="BZD890" s="124"/>
      <c r="BZE890" s="124"/>
      <c r="BZF890" s="124"/>
      <c r="BZG890" s="124"/>
      <c r="BZH890" s="124"/>
      <c r="BZI890" s="124"/>
      <c r="BZJ890" s="124"/>
      <c r="BZK890" s="124"/>
      <c r="BZL890" s="124"/>
      <c r="BZM890" s="124"/>
      <c r="BZN890" s="124"/>
      <c r="BZO890" s="124"/>
      <c r="BZP890" s="124"/>
      <c r="BZQ890" s="124"/>
      <c r="BZR890" s="124"/>
      <c r="BZS890" s="124"/>
      <c r="BZT890" s="124"/>
      <c r="BZU890" s="124"/>
      <c r="BZV890" s="124"/>
      <c r="BZW890" s="124"/>
      <c r="BZX890" s="124"/>
      <c r="BZY890" s="124"/>
      <c r="BZZ890" s="124"/>
      <c r="CAA890" s="124"/>
      <c r="CAB890" s="124"/>
      <c r="CAC890" s="124"/>
      <c r="CAD890" s="124"/>
      <c r="CAE890" s="124"/>
      <c r="CAF890" s="124"/>
      <c r="CAG890" s="124"/>
      <c r="CAH890" s="124"/>
      <c r="CAI890" s="124"/>
      <c r="CAJ890" s="124"/>
      <c r="CAK890" s="124"/>
      <c r="CAL890" s="124"/>
      <c r="CAM890" s="124"/>
      <c r="CAN890" s="124"/>
      <c r="CAO890" s="124"/>
      <c r="CAP890" s="124"/>
      <c r="CAQ890" s="124"/>
      <c r="CAR890" s="124"/>
      <c r="CAS890" s="124"/>
      <c r="CAT890" s="124"/>
      <c r="CAU890" s="124"/>
      <c r="CAV890" s="124"/>
      <c r="CAW890" s="124"/>
      <c r="CAX890" s="124"/>
      <c r="CAY890" s="124"/>
      <c r="CAZ890" s="124"/>
      <c r="CBA890" s="124"/>
      <c r="CBB890" s="124"/>
      <c r="CBC890" s="124"/>
      <c r="CBD890" s="124"/>
      <c r="CBE890" s="124"/>
      <c r="CBF890" s="124"/>
      <c r="CBG890" s="124"/>
      <c r="CBH890" s="124"/>
      <c r="CBI890" s="124"/>
      <c r="CBJ890" s="124"/>
      <c r="CBK890" s="124"/>
      <c r="CBL890" s="124"/>
      <c r="CBM890" s="124"/>
      <c r="CBN890" s="124"/>
      <c r="CBO890" s="124"/>
      <c r="CBP890" s="124"/>
      <c r="CBQ890" s="124"/>
      <c r="CBR890" s="124"/>
      <c r="CBS890" s="124"/>
      <c r="CBT890" s="124"/>
      <c r="CBU890" s="124"/>
      <c r="CBV890" s="124"/>
      <c r="CBW890" s="124"/>
      <c r="CBX890" s="124"/>
      <c r="CBY890" s="124"/>
      <c r="CBZ890" s="124"/>
      <c r="CCA890" s="124"/>
      <c r="CCB890" s="124"/>
      <c r="CCC890" s="124"/>
      <c r="CCD890" s="124"/>
      <c r="CCE890" s="124"/>
      <c r="CCF890" s="124"/>
      <c r="CCG890" s="124"/>
      <c r="CCH890" s="124"/>
      <c r="CCI890" s="124"/>
      <c r="CCJ890" s="124"/>
      <c r="CCK890" s="124"/>
      <c r="CCL890" s="124"/>
      <c r="CCM890" s="124"/>
      <c r="CCN890" s="124"/>
      <c r="CCO890" s="124"/>
      <c r="CCP890" s="124"/>
      <c r="CCQ890" s="124"/>
      <c r="CCR890" s="124"/>
      <c r="CCS890" s="124"/>
      <c r="CCT890" s="124"/>
      <c r="CCU890" s="124"/>
      <c r="CCV890" s="124"/>
      <c r="CCW890" s="124"/>
      <c r="CCX890" s="124"/>
      <c r="CCY890" s="124"/>
      <c r="CCZ890" s="124"/>
      <c r="CDA890" s="124"/>
      <c r="CDB890" s="124"/>
      <c r="CDC890" s="124"/>
      <c r="CDD890" s="124"/>
      <c r="CDE890" s="124"/>
      <c r="CDF890" s="124"/>
      <c r="CDG890" s="124"/>
      <c r="CDH890" s="124"/>
      <c r="CDI890" s="124"/>
      <c r="CDJ890" s="124"/>
      <c r="CDK890" s="124"/>
      <c r="CDL890" s="124"/>
      <c r="CDM890" s="124"/>
      <c r="CDN890" s="124"/>
      <c r="CDO890" s="124"/>
      <c r="CDP890" s="124"/>
      <c r="CDQ890" s="124"/>
      <c r="CDR890" s="124"/>
      <c r="CDS890" s="124"/>
      <c r="CDT890" s="124"/>
      <c r="CDU890" s="124"/>
      <c r="CDV890" s="124"/>
      <c r="CDW890" s="124"/>
      <c r="CDX890" s="124"/>
      <c r="CDY890" s="124"/>
      <c r="CDZ890" s="124"/>
      <c r="CEA890" s="124"/>
      <c r="CEB890" s="124"/>
      <c r="CEC890" s="124"/>
      <c r="CED890" s="124"/>
      <c r="CEE890" s="124"/>
      <c r="CEF890" s="124"/>
      <c r="CEG890" s="124"/>
      <c r="CEH890" s="124"/>
      <c r="CEI890" s="124"/>
      <c r="CEJ890" s="124"/>
      <c r="CEK890" s="124"/>
      <c r="CEL890" s="124"/>
      <c r="CEM890" s="124"/>
      <c r="CEN890" s="124"/>
      <c r="CEO890" s="124"/>
      <c r="CEP890" s="124"/>
      <c r="CEQ890" s="124"/>
      <c r="CER890" s="124"/>
      <c r="CES890" s="124"/>
      <c r="CET890" s="124"/>
      <c r="CEU890" s="124"/>
      <c r="CEV890" s="124"/>
      <c r="CEW890" s="124"/>
      <c r="CEX890" s="124"/>
      <c r="CEY890" s="124"/>
      <c r="CEZ890" s="124"/>
      <c r="CFA890" s="124"/>
      <c r="CFB890" s="124"/>
      <c r="CFC890" s="124"/>
      <c r="CFD890" s="124"/>
      <c r="CFE890" s="124"/>
      <c r="CFF890" s="124"/>
      <c r="CFG890" s="124"/>
      <c r="CFH890" s="124"/>
      <c r="CFI890" s="124"/>
      <c r="CFJ890" s="124"/>
      <c r="CFK890" s="124"/>
      <c r="CFL890" s="124"/>
      <c r="CFM890" s="124"/>
      <c r="CFN890" s="124"/>
      <c r="CFO890" s="124"/>
      <c r="CFP890" s="124"/>
      <c r="CFQ890" s="124"/>
      <c r="CFR890" s="124"/>
      <c r="CFS890" s="124"/>
      <c r="CFT890" s="124"/>
      <c r="CFU890" s="124"/>
      <c r="CFV890" s="124"/>
      <c r="CFW890" s="124"/>
      <c r="CFX890" s="124"/>
      <c r="CFY890" s="124"/>
      <c r="CFZ890" s="124"/>
      <c r="CGA890" s="124"/>
      <c r="CGB890" s="124"/>
      <c r="CGC890" s="124"/>
      <c r="CGD890" s="124"/>
      <c r="CGE890" s="124"/>
      <c r="CGF890" s="124"/>
      <c r="CGG890" s="124"/>
      <c r="CGH890" s="124"/>
      <c r="CGI890" s="124"/>
      <c r="CGJ890" s="124"/>
      <c r="CGK890" s="124"/>
      <c r="CGL890" s="124"/>
      <c r="CGM890" s="124"/>
      <c r="CGN890" s="124"/>
      <c r="CGO890" s="124"/>
      <c r="CGP890" s="124"/>
      <c r="CGQ890" s="124"/>
      <c r="CGR890" s="124"/>
      <c r="CGS890" s="124"/>
      <c r="CGT890" s="124"/>
      <c r="CGU890" s="124"/>
      <c r="CGV890" s="124"/>
      <c r="CGW890" s="124"/>
      <c r="CGX890" s="124"/>
      <c r="CGY890" s="124"/>
      <c r="CGZ890" s="124"/>
      <c r="CHA890" s="124"/>
      <c r="CHB890" s="124"/>
      <c r="CHC890" s="124"/>
      <c r="CHD890" s="124"/>
      <c r="CHE890" s="124"/>
      <c r="CHF890" s="124"/>
      <c r="CHG890" s="124"/>
      <c r="CHH890" s="124"/>
      <c r="CHI890" s="124"/>
      <c r="CHJ890" s="124"/>
      <c r="CHK890" s="124"/>
      <c r="CHL890" s="124"/>
      <c r="CHM890" s="124"/>
      <c r="CHN890" s="124"/>
      <c r="CHO890" s="124"/>
      <c r="CHP890" s="124"/>
      <c r="CHQ890" s="124"/>
      <c r="CHR890" s="124"/>
      <c r="CHS890" s="124"/>
      <c r="CHT890" s="124"/>
      <c r="CHU890" s="124"/>
      <c r="CHV890" s="124"/>
      <c r="CHW890" s="124"/>
      <c r="CHX890" s="124"/>
      <c r="CHY890" s="124"/>
      <c r="CHZ890" s="124"/>
      <c r="CIA890" s="124"/>
      <c r="CIB890" s="124"/>
      <c r="CIC890" s="124"/>
      <c r="CID890" s="124"/>
      <c r="CIE890" s="124"/>
      <c r="CIF890" s="124"/>
      <c r="CIG890" s="124"/>
      <c r="CIH890" s="124"/>
      <c r="CII890" s="124"/>
      <c r="CIJ890" s="124"/>
      <c r="CIK890" s="124"/>
      <c r="CIL890" s="124"/>
      <c r="CIM890" s="124"/>
      <c r="CIN890" s="124"/>
      <c r="CIO890" s="124"/>
      <c r="CIP890" s="124"/>
      <c r="CIQ890" s="124"/>
      <c r="CIR890" s="124"/>
      <c r="CIS890" s="124"/>
      <c r="CIT890" s="124"/>
      <c r="CIU890" s="124"/>
      <c r="CIV890" s="124"/>
      <c r="CIW890" s="124"/>
      <c r="CIX890" s="124"/>
      <c r="CIY890" s="124"/>
      <c r="CIZ890" s="124"/>
      <c r="CJA890" s="124"/>
      <c r="CJB890" s="124"/>
      <c r="CJC890" s="124"/>
      <c r="CJD890" s="124"/>
      <c r="CJE890" s="124"/>
      <c r="CJF890" s="124"/>
      <c r="CJG890" s="124"/>
      <c r="CJH890" s="124"/>
      <c r="CJI890" s="124"/>
      <c r="CJJ890" s="124"/>
      <c r="CJK890" s="124"/>
      <c r="CJL890" s="124"/>
      <c r="CJM890" s="124"/>
      <c r="CJN890" s="124"/>
      <c r="CJO890" s="124"/>
      <c r="CJP890" s="124"/>
      <c r="CJQ890" s="124"/>
      <c r="CJR890" s="124"/>
      <c r="CJS890" s="124"/>
      <c r="CJT890" s="124"/>
      <c r="CJU890" s="124"/>
      <c r="CJV890" s="124"/>
      <c r="CJW890" s="124"/>
      <c r="CJX890" s="124"/>
      <c r="CJY890" s="124"/>
      <c r="CJZ890" s="124"/>
      <c r="CKA890" s="124"/>
      <c r="CKB890" s="124"/>
      <c r="CKC890" s="124"/>
      <c r="CKD890" s="124"/>
      <c r="CKE890" s="124"/>
      <c r="CKF890" s="124"/>
      <c r="CKG890" s="124"/>
      <c r="CKH890" s="124"/>
      <c r="CKI890" s="124"/>
      <c r="CKJ890" s="124"/>
      <c r="CKK890" s="124"/>
      <c r="CKL890" s="124"/>
      <c r="CKM890" s="124"/>
      <c r="CKN890" s="124"/>
      <c r="CKO890" s="124"/>
      <c r="CKP890" s="124"/>
      <c r="CKQ890" s="124"/>
      <c r="CKR890" s="124"/>
      <c r="CKS890" s="124"/>
      <c r="CKT890" s="124"/>
      <c r="CKU890" s="124"/>
      <c r="CKV890" s="124"/>
      <c r="CKW890" s="124"/>
      <c r="CKX890" s="124"/>
      <c r="CKY890" s="124"/>
      <c r="CKZ890" s="124"/>
      <c r="CLA890" s="124"/>
      <c r="CLB890" s="124"/>
      <c r="CLC890" s="124"/>
      <c r="CLD890" s="124"/>
      <c r="CLE890" s="124"/>
      <c r="CLF890" s="124"/>
      <c r="CLG890" s="124"/>
      <c r="CLH890" s="124"/>
      <c r="CLI890" s="124"/>
      <c r="CLJ890" s="124"/>
      <c r="CLK890" s="124"/>
      <c r="CLL890" s="124"/>
      <c r="CLM890" s="124"/>
      <c r="CLN890" s="124"/>
      <c r="CLO890" s="124"/>
      <c r="CLP890" s="124"/>
      <c r="CLQ890" s="124"/>
      <c r="CLR890" s="124"/>
      <c r="CLS890" s="124"/>
      <c r="CLT890" s="124"/>
      <c r="CLU890" s="124"/>
      <c r="CLV890" s="124"/>
      <c r="CLW890" s="124"/>
      <c r="CLX890" s="124"/>
      <c r="CLY890" s="124"/>
      <c r="CLZ890" s="124"/>
      <c r="CMA890" s="124"/>
      <c r="CMB890" s="124"/>
      <c r="CMC890" s="124"/>
      <c r="CMD890" s="124"/>
      <c r="CME890" s="124"/>
      <c r="CMF890" s="124"/>
      <c r="CMG890" s="124"/>
      <c r="CMH890" s="124"/>
      <c r="CMI890" s="124"/>
      <c r="CMJ890" s="124"/>
      <c r="CMK890" s="124"/>
      <c r="CML890" s="124"/>
      <c r="CMM890" s="124"/>
      <c r="CMN890" s="124"/>
      <c r="CMO890" s="124"/>
      <c r="CMP890" s="124"/>
      <c r="CMQ890" s="124"/>
      <c r="CMR890" s="124"/>
      <c r="CMS890" s="124"/>
      <c r="CMT890" s="124"/>
      <c r="CMU890" s="124"/>
      <c r="CMV890" s="124"/>
      <c r="CMW890" s="124"/>
      <c r="CMX890" s="124"/>
      <c r="CMY890" s="124"/>
      <c r="CMZ890" s="124"/>
      <c r="CNA890" s="124"/>
      <c r="CNB890" s="124"/>
      <c r="CNC890" s="124"/>
      <c r="CND890" s="124"/>
      <c r="CNE890" s="124"/>
      <c r="CNF890" s="124"/>
      <c r="CNG890" s="124"/>
      <c r="CNH890" s="124"/>
      <c r="CNI890" s="124"/>
      <c r="CNJ890" s="124"/>
      <c r="CNK890" s="124"/>
      <c r="CNL890" s="124"/>
      <c r="CNM890" s="124"/>
      <c r="CNN890" s="124"/>
      <c r="CNO890" s="124"/>
      <c r="CNP890" s="124"/>
      <c r="CNQ890" s="124"/>
      <c r="CNR890" s="124"/>
      <c r="CNS890" s="124"/>
      <c r="CNT890" s="124"/>
      <c r="CNU890" s="124"/>
      <c r="CNV890" s="124"/>
      <c r="CNW890" s="124"/>
      <c r="CNX890" s="124"/>
      <c r="CNY890" s="124"/>
      <c r="CNZ890" s="124"/>
      <c r="COA890" s="124"/>
      <c r="COB890" s="124"/>
      <c r="COC890" s="124"/>
      <c r="COD890" s="124"/>
      <c r="COE890" s="124"/>
      <c r="COF890" s="124"/>
      <c r="COG890" s="124"/>
      <c r="COH890" s="124"/>
      <c r="COI890" s="124"/>
      <c r="COJ890" s="124"/>
      <c r="COK890" s="124"/>
      <c r="COL890" s="124"/>
      <c r="COM890" s="124"/>
      <c r="CON890" s="124"/>
      <c r="COO890" s="124"/>
      <c r="COP890" s="124"/>
      <c r="COQ890" s="124"/>
      <c r="COR890" s="124"/>
      <c r="COS890" s="124"/>
      <c r="COT890" s="124"/>
      <c r="COU890" s="124"/>
      <c r="COV890" s="124"/>
      <c r="COW890" s="124"/>
      <c r="COX890" s="124"/>
      <c r="COY890" s="124"/>
      <c r="COZ890" s="124"/>
      <c r="CPA890" s="124"/>
      <c r="CPB890" s="124"/>
      <c r="CPC890" s="124"/>
      <c r="CPD890" s="124"/>
      <c r="CPE890" s="124"/>
      <c r="CPF890" s="124"/>
      <c r="CPG890" s="124"/>
      <c r="CPH890" s="124"/>
      <c r="CPI890" s="124"/>
      <c r="CPJ890" s="124"/>
      <c r="CPK890" s="124"/>
      <c r="CPL890" s="124"/>
      <c r="CPM890" s="124"/>
      <c r="CPN890" s="124"/>
      <c r="CPO890" s="124"/>
      <c r="CPP890" s="124"/>
      <c r="CPQ890" s="124"/>
      <c r="CPR890" s="124"/>
      <c r="CPS890" s="124"/>
      <c r="CPT890" s="124"/>
      <c r="CPU890" s="124"/>
      <c r="CPV890" s="124"/>
      <c r="CPW890" s="124"/>
      <c r="CPX890" s="124"/>
      <c r="CPY890" s="124"/>
      <c r="CPZ890" s="124"/>
      <c r="CQA890" s="124"/>
      <c r="CQB890" s="124"/>
      <c r="CQC890" s="124"/>
      <c r="CQD890" s="124"/>
      <c r="CQE890" s="124"/>
      <c r="CQF890" s="124"/>
      <c r="CQG890" s="124"/>
      <c r="CQH890" s="124"/>
      <c r="CQI890" s="124"/>
      <c r="CQJ890" s="124"/>
      <c r="CQK890" s="124"/>
      <c r="CQL890" s="124"/>
      <c r="CQM890" s="124"/>
      <c r="CQN890" s="124"/>
      <c r="CQO890" s="124"/>
      <c r="CQP890" s="124"/>
      <c r="CQQ890" s="124"/>
      <c r="CQR890" s="124"/>
      <c r="CQS890" s="124"/>
      <c r="CQT890" s="124"/>
      <c r="CQU890" s="124"/>
      <c r="CQV890" s="124"/>
      <c r="CQW890" s="124"/>
      <c r="CQX890" s="124"/>
      <c r="CQY890" s="124"/>
      <c r="CQZ890" s="124"/>
      <c r="CRA890" s="124"/>
      <c r="CRB890" s="124"/>
      <c r="CRC890" s="124"/>
      <c r="CRD890" s="124"/>
      <c r="CRE890" s="124"/>
      <c r="CRF890" s="124"/>
      <c r="CRG890" s="124"/>
      <c r="CRH890" s="124"/>
      <c r="CRI890" s="124"/>
      <c r="CRJ890" s="124"/>
      <c r="CRK890" s="124"/>
      <c r="CRL890" s="124"/>
      <c r="CRM890" s="124"/>
      <c r="CRN890" s="124"/>
      <c r="CRO890" s="124"/>
      <c r="CRP890" s="124"/>
      <c r="CRQ890" s="124"/>
      <c r="CRR890" s="124"/>
      <c r="CRS890" s="124"/>
      <c r="CRT890" s="124"/>
      <c r="CRU890" s="124"/>
      <c r="CRV890" s="124"/>
      <c r="CRW890" s="124"/>
      <c r="CRX890" s="124"/>
      <c r="CRY890" s="124"/>
      <c r="CRZ890" s="124"/>
      <c r="CSA890" s="124"/>
      <c r="CSB890" s="124"/>
      <c r="CSC890" s="124"/>
      <c r="CSD890" s="124"/>
      <c r="CSE890" s="124"/>
      <c r="CSF890" s="124"/>
      <c r="CSG890" s="124"/>
      <c r="CSH890" s="124"/>
      <c r="CSI890" s="124"/>
      <c r="CSJ890" s="124"/>
      <c r="CSK890" s="124"/>
      <c r="CSL890" s="124"/>
      <c r="CSM890" s="124"/>
      <c r="CSN890" s="124"/>
      <c r="CSO890" s="124"/>
      <c r="CSP890" s="124"/>
      <c r="CSQ890" s="124"/>
      <c r="CSR890" s="124"/>
      <c r="CSS890" s="124"/>
      <c r="CST890" s="124"/>
      <c r="CSU890" s="124"/>
      <c r="CSV890" s="124"/>
      <c r="CSW890" s="124"/>
      <c r="CSX890" s="124"/>
      <c r="CSY890" s="124"/>
      <c r="CSZ890" s="124"/>
      <c r="CTA890" s="124"/>
      <c r="CTB890" s="124"/>
      <c r="CTC890" s="124"/>
      <c r="CTD890" s="124"/>
      <c r="CTE890" s="124"/>
      <c r="CTF890" s="124"/>
      <c r="CTG890" s="124"/>
      <c r="CTH890" s="124"/>
      <c r="CTI890" s="124"/>
      <c r="CTJ890" s="124"/>
      <c r="CTK890" s="124"/>
      <c r="CTL890" s="124"/>
      <c r="CTM890" s="124"/>
      <c r="CTN890" s="124"/>
      <c r="CTO890" s="124"/>
      <c r="CTP890" s="124"/>
      <c r="CTQ890" s="124"/>
      <c r="CTR890" s="124"/>
      <c r="CTS890" s="124"/>
      <c r="CTT890" s="124"/>
      <c r="CTU890" s="124"/>
      <c r="CTV890" s="124"/>
      <c r="CTW890" s="124"/>
      <c r="CTX890" s="124"/>
      <c r="CTY890" s="124"/>
      <c r="CTZ890" s="124"/>
      <c r="CUA890" s="124"/>
      <c r="CUB890" s="124"/>
      <c r="CUC890" s="124"/>
      <c r="CUD890" s="124"/>
      <c r="CUE890" s="124"/>
      <c r="CUF890" s="124"/>
      <c r="CUG890" s="124"/>
      <c r="CUH890" s="124"/>
      <c r="CUI890" s="124"/>
      <c r="CUJ890" s="124"/>
      <c r="CUK890" s="124"/>
      <c r="CUL890" s="124"/>
      <c r="CUM890" s="124"/>
      <c r="CUN890" s="124"/>
      <c r="CUO890" s="124"/>
      <c r="CUP890" s="124"/>
      <c r="CUQ890" s="124"/>
      <c r="CUR890" s="124"/>
      <c r="CUS890" s="124"/>
      <c r="CUT890" s="124"/>
      <c r="CUU890" s="124"/>
      <c r="CUV890" s="124"/>
      <c r="CUW890" s="124"/>
      <c r="CUX890" s="124"/>
      <c r="CUY890" s="124"/>
      <c r="CUZ890" s="124"/>
      <c r="CVA890" s="124"/>
      <c r="CVB890" s="124"/>
      <c r="CVC890" s="124"/>
      <c r="CVD890" s="124"/>
      <c r="CVE890" s="124"/>
      <c r="CVF890" s="124"/>
      <c r="CVG890" s="124"/>
      <c r="CVH890" s="124"/>
      <c r="CVI890" s="124"/>
      <c r="CVJ890" s="124"/>
      <c r="CVK890" s="124"/>
      <c r="CVL890" s="124"/>
      <c r="CVM890" s="124"/>
      <c r="CVN890" s="124"/>
      <c r="CVO890" s="124"/>
      <c r="CVP890" s="124"/>
      <c r="CVQ890" s="124"/>
      <c r="CVR890" s="124"/>
      <c r="CVS890" s="124"/>
      <c r="CVT890" s="124"/>
      <c r="CVU890" s="124"/>
      <c r="CVV890" s="124"/>
      <c r="CVW890" s="124"/>
      <c r="CVX890" s="124"/>
      <c r="CVY890" s="124"/>
      <c r="CVZ890" s="124"/>
      <c r="CWA890" s="124"/>
      <c r="CWB890" s="124"/>
      <c r="CWC890" s="124"/>
      <c r="CWD890" s="124"/>
      <c r="CWE890" s="124"/>
      <c r="CWF890" s="124"/>
      <c r="CWG890" s="124"/>
      <c r="CWH890" s="124"/>
      <c r="CWI890" s="124"/>
      <c r="CWJ890" s="124"/>
      <c r="CWK890" s="124"/>
      <c r="CWL890" s="124"/>
      <c r="CWM890" s="124"/>
      <c r="CWN890" s="124"/>
      <c r="CWO890" s="124"/>
      <c r="CWP890" s="124"/>
      <c r="CWQ890" s="124"/>
      <c r="CWR890" s="124"/>
      <c r="CWS890" s="124"/>
      <c r="CWT890" s="124"/>
      <c r="CWU890" s="124"/>
      <c r="CWV890" s="124"/>
      <c r="CWW890" s="124"/>
      <c r="CWX890" s="124"/>
      <c r="CWY890" s="124"/>
      <c r="CWZ890" s="124"/>
      <c r="CXA890" s="124"/>
      <c r="CXB890" s="124"/>
      <c r="CXC890" s="124"/>
      <c r="CXD890" s="124"/>
      <c r="CXE890" s="124"/>
      <c r="CXF890" s="124"/>
      <c r="CXG890" s="124"/>
      <c r="CXH890" s="124"/>
      <c r="CXI890" s="124"/>
      <c r="CXJ890" s="124"/>
      <c r="CXK890" s="124"/>
      <c r="CXL890" s="124"/>
      <c r="CXM890" s="124"/>
      <c r="CXN890" s="124"/>
      <c r="CXO890" s="124"/>
      <c r="CXP890" s="124"/>
      <c r="CXQ890" s="124"/>
      <c r="CXR890" s="124"/>
      <c r="CXS890" s="124"/>
      <c r="CXT890" s="124"/>
      <c r="CXU890" s="124"/>
      <c r="CXV890" s="124"/>
      <c r="CXW890" s="124"/>
      <c r="CXX890" s="124"/>
      <c r="CXY890" s="124"/>
      <c r="CXZ890" s="124"/>
      <c r="CYA890" s="124"/>
      <c r="CYB890" s="124"/>
      <c r="CYC890" s="124"/>
      <c r="CYD890" s="124"/>
      <c r="CYE890" s="124"/>
      <c r="CYF890" s="124"/>
      <c r="CYG890" s="124"/>
      <c r="CYH890" s="124"/>
      <c r="CYI890" s="124"/>
      <c r="CYJ890" s="124"/>
      <c r="CYK890" s="124"/>
      <c r="CYL890" s="124"/>
      <c r="CYM890" s="124"/>
      <c r="CYN890" s="124"/>
      <c r="CYO890" s="124"/>
      <c r="CYP890" s="124"/>
      <c r="CYQ890" s="124"/>
      <c r="CYR890" s="124"/>
      <c r="CYS890" s="124"/>
      <c r="CYT890" s="124"/>
      <c r="CYU890" s="124"/>
      <c r="CYV890" s="124"/>
      <c r="CYW890" s="124"/>
      <c r="CYX890" s="124"/>
      <c r="CYY890" s="124"/>
      <c r="CYZ890" s="124"/>
      <c r="CZA890" s="124"/>
      <c r="CZB890" s="124"/>
      <c r="CZC890" s="124"/>
      <c r="CZD890" s="124"/>
      <c r="CZE890" s="124"/>
      <c r="CZF890" s="124"/>
      <c r="CZG890" s="124"/>
      <c r="CZH890" s="124"/>
      <c r="CZI890" s="124"/>
      <c r="CZJ890" s="124"/>
      <c r="CZK890" s="124"/>
      <c r="CZL890" s="124"/>
      <c r="CZM890" s="124"/>
      <c r="CZN890" s="124"/>
      <c r="CZO890" s="124"/>
      <c r="CZP890" s="124"/>
      <c r="CZQ890" s="124"/>
      <c r="CZR890" s="124"/>
      <c r="CZS890" s="124"/>
      <c r="CZT890" s="124"/>
      <c r="CZU890" s="124"/>
      <c r="CZV890" s="124"/>
      <c r="CZW890" s="124"/>
      <c r="CZX890" s="124"/>
      <c r="CZY890" s="124"/>
      <c r="CZZ890" s="124"/>
      <c r="DAA890" s="124"/>
      <c r="DAB890" s="124"/>
      <c r="DAC890" s="124"/>
      <c r="DAD890" s="124"/>
      <c r="DAE890" s="124"/>
      <c r="DAF890" s="124"/>
      <c r="DAG890" s="124"/>
      <c r="DAH890" s="124"/>
      <c r="DAI890" s="124"/>
      <c r="DAJ890" s="124"/>
      <c r="DAK890" s="124"/>
      <c r="DAL890" s="124"/>
      <c r="DAM890" s="124"/>
      <c r="DAN890" s="124"/>
      <c r="DAO890" s="124"/>
      <c r="DAP890" s="124"/>
      <c r="DAQ890" s="124"/>
      <c r="DAR890" s="124"/>
      <c r="DAS890" s="124"/>
      <c r="DAT890" s="124"/>
      <c r="DAU890" s="124"/>
      <c r="DAV890" s="124"/>
      <c r="DAW890" s="124"/>
      <c r="DAX890" s="124"/>
      <c r="DAY890" s="124"/>
      <c r="DAZ890" s="124"/>
      <c r="DBA890" s="124"/>
      <c r="DBB890" s="124"/>
      <c r="DBC890" s="124"/>
      <c r="DBD890" s="124"/>
      <c r="DBE890" s="124"/>
      <c r="DBF890" s="124"/>
      <c r="DBG890" s="124"/>
      <c r="DBH890" s="124"/>
      <c r="DBI890" s="124"/>
      <c r="DBJ890" s="124"/>
      <c r="DBK890" s="124"/>
      <c r="DBL890" s="124"/>
      <c r="DBM890" s="124"/>
      <c r="DBN890" s="124"/>
      <c r="DBO890" s="124"/>
      <c r="DBP890" s="124"/>
      <c r="DBQ890" s="124"/>
      <c r="DBR890" s="124"/>
      <c r="DBS890" s="124"/>
      <c r="DBT890" s="124"/>
      <c r="DBU890" s="124"/>
      <c r="DBV890" s="124"/>
      <c r="DBW890" s="124"/>
      <c r="DBX890" s="124"/>
      <c r="DBY890" s="124"/>
      <c r="DBZ890" s="124"/>
      <c r="DCA890" s="124"/>
      <c r="DCB890" s="124"/>
      <c r="DCC890" s="124"/>
      <c r="DCD890" s="124"/>
      <c r="DCE890" s="124"/>
      <c r="DCF890" s="124"/>
      <c r="DCG890" s="124"/>
      <c r="DCH890" s="124"/>
      <c r="DCI890" s="124"/>
      <c r="DCJ890" s="124"/>
      <c r="DCK890" s="124"/>
      <c r="DCL890" s="124"/>
      <c r="DCM890" s="124"/>
      <c r="DCN890" s="124"/>
      <c r="DCO890" s="124"/>
      <c r="DCP890" s="124"/>
      <c r="DCQ890" s="124"/>
      <c r="DCR890" s="124"/>
      <c r="DCS890" s="124"/>
      <c r="DCT890" s="124"/>
      <c r="DCU890" s="124"/>
      <c r="DCV890" s="124"/>
      <c r="DCW890" s="124"/>
      <c r="DCX890" s="124"/>
      <c r="DCY890" s="124"/>
      <c r="DCZ890" s="124"/>
      <c r="DDA890" s="124"/>
      <c r="DDB890" s="124"/>
      <c r="DDC890" s="124"/>
      <c r="DDD890" s="124"/>
      <c r="DDE890" s="124"/>
      <c r="DDF890" s="124"/>
      <c r="DDG890" s="124"/>
      <c r="DDH890" s="124"/>
      <c r="DDI890" s="124"/>
      <c r="DDJ890" s="124"/>
      <c r="DDK890" s="124"/>
      <c r="DDL890" s="124"/>
      <c r="DDM890" s="124"/>
      <c r="DDN890" s="124"/>
      <c r="DDO890" s="124"/>
      <c r="DDP890" s="124"/>
      <c r="DDQ890" s="124"/>
      <c r="DDR890" s="124"/>
      <c r="DDS890" s="124"/>
      <c r="DDT890" s="124"/>
      <c r="DDU890" s="124"/>
      <c r="DDV890" s="124"/>
      <c r="DDW890" s="124"/>
      <c r="DDX890" s="124"/>
      <c r="DDY890" s="124"/>
      <c r="DDZ890" s="124"/>
      <c r="DEA890" s="124"/>
      <c r="DEB890" s="124"/>
      <c r="DEC890" s="124"/>
      <c r="DED890" s="124"/>
      <c r="DEE890" s="124"/>
      <c r="DEF890" s="124"/>
      <c r="DEG890" s="124"/>
      <c r="DEH890" s="124"/>
      <c r="DEI890" s="124"/>
      <c r="DEJ890" s="124"/>
      <c r="DEK890" s="124"/>
      <c r="DEL890" s="124"/>
      <c r="DEM890" s="124"/>
      <c r="DEN890" s="124"/>
      <c r="DEO890" s="124"/>
      <c r="DEP890" s="124"/>
      <c r="DEQ890" s="124"/>
      <c r="DER890" s="124"/>
      <c r="DES890" s="124"/>
      <c r="DET890" s="124"/>
      <c r="DEU890" s="124"/>
      <c r="DEV890" s="124"/>
      <c r="DEW890" s="124"/>
      <c r="DEX890" s="124"/>
      <c r="DEY890" s="124"/>
      <c r="DEZ890" s="124"/>
      <c r="DFA890" s="124"/>
      <c r="DFB890" s="124"/>
      <c r="DFC890" s="124"/>
      <c r="DFD890" s="124"/>
      <c r="DFE890" s="124"/>
      <c r="DFF890" s="124"/>
      <c r="DFG890" s="124"/>
      <c r="DFH890" s="124"/>
      <c r="DFI890" s="124"/>
      <c r="DFJ890" s="124"/>
      <c r="DFK890" s="124"/>
      <c r="DFL890" s="124"/>
      <c r="DFM890" s="124"/>
      <c r="DFN890" s="124"/>
      <c r="DFO890" s="124"/>
      <c r="DFP890" s="124"/>
      <c r="DFQ890" s="124"/>
      <c r="DFR890" s="124"/>
      <c r="DFS890" s="124"/>
      <c r="DFT890" s="124"/>
      <c r="DFU890" s="124"/>
      <c r="DFV890" s="124"/>
      <c r="DFW890" s="124"/>
      <c r="DFX890" s="124"/>
      <c r="DFY890" s="124"/>
      <c r="DFZ890" s="124"/>
      <c r="DGA890" s="124"/>
      <c r="DGB890" s="124"/>
      <c r="DGC890" s="124"/>
      <c r="DGD890" s="124"/>
      <c r="DGE890" s="124"/>
      <c r="DGF890" s="124"/>
      <c r="DGG890" s="124"/>
      <c r="DGH890" s="124"/>
      <c r="DGI890" s="124"/>
      <c r="DGJ890" s="124"/>
      <c r="DGK890" s="124"/>
      <c r="DGL890" s="124"/>
      <c r="DGM890" s="124"/>
      <c r="DGN890" s="124"/>
      <c r="DGO890" s="124"/>
      <c r="DGP890" s="124"/>
      <c r="DGQ890" s="124"/>
      <c r="DGR890" s="124"/>
      <c r="DGS890" s="124"/>
      <c r="DGT890" s="124"/>
      <c r="DGU890" s="124"/>
      <c r="DGV890" s="124"/>
      <c r="DGW890" s="124"/>
      <c r="DGX890" s="124"/>
      <c r="DGY890" s="124"/>
      <c r="DGZ890" s="124"/>
      <c r="DHA890" s="124"/>
      <c r="DHB890" s="124"/>
      <c r="DHC890" s="124"/>
      <c r="DHD890" s="124"/>
      <c r="DHE890" s="124"/>
      <c r="DHF890" s="124"/>
      <c r="DHG890" s="124"/>
      <c r="DHH890" s="124"/>
      <c r="DHI890" s="124"/>
      <c r="DHJ890" s="124"/>
      <c r="DHK890" s="124"/>
      <c r="DHL890" s="124"/>
      <c r="DHM890" s="124"/>
      <c r="DHN890" s="124"/>
      <c r="DHO890" s="124"/>
      <c r="DHP890" s="124"/>
      <c r="DHQ890" s="124"/>
      <c r="DHR890" s="124"/>
      <c r="DHS890" s="124"/>
      <c r="DHT890" s="124"/>
      <c r="DHU890" s="124"/>
      <c r="DHV890" s="124"/>
      <c r="DHW890" s="124"/>
      <c r="DHX890" s="124"/>
      <c r="DHY890" s="124"/>
      <c r="DHZ890" s="124"/>
      <c r="DIA890" s="124"/>
      <c r="DIB890" s="124"/>
      <c r="DIC890" s="124"/>
      <c r="DID890" s="124"/>
      <c r="DIE890" s="124"/>
      <c r="DIF890" s="124"/>
      <c r="DIG890" s="124"/>
      <c r="DIH890" s="124"/>
      <c r="DII890" s="124"/>
      <c r="DIJ890" s="124"/>
      <c r="DIK890" s="124"/>
      <c r="DIL890" s="124"/>
      <c r="DIM890" s="124"/>
      <c r="DIN890" s="124"/>
      <c r="DIO890" s="124"/>
      <c r="DIP890" s="124"/>
      <c r="DIQ890" s="124"/>
      <c r="DIR890" s="124"/>
      <c r="DIS890" s="124"/>
      <c r="DIT890" s="124"/>
      <c r="DIU890" s="124"/>
      <c r="DIV890" s="124"/>
      <c r="DIW890" s="124"/>
      <c r="DIX890" s="124"/>
      <c r="DIY890" s="124"/>
      <c r="DIZ890" s="124"/>
      <c r="DJA890" s="124"/>
      <c r="DJB890" s="124"/>
      <c r="DJC890" s="124"/>
      <c r="DJD890" s="124"/>
      <c r="DJE890" s="124"/>
      <c r="DJF890" s="124"/>
      <c r="DJG890" s="124"/>
      <c r="DJH890" s="124"/>
      <c r="DJI890" s="124"/>
      <c r="DJJ890" s="124"/>
      <c r="DJK890" s="124"/>
      <c r="DJL890" s="124"/>
      <c r="DJM890" s="124"/>
      <c r="DJN890" s="124"/>
      <c r="DJO890" s="124"/>
      <c r="DJP890" s="124"/>
      <c r="DJQ890" s="124"/>
      <c r="DJR890" s="124"/>
      <c r="DJS890" s="124"/>
      <c r="DJT890" s="124"/>
      <c r="DJU890" s="124"/>
      <c r="DJV890" s="124"/>
      <c r="DJW890" s="124"/>
      <c r="DJX890" s="124"/>
      <c r="DJY890" s="124"/>
      <c r="DJZ890" s="124"/>
      <c r="DKA890" s="124"/>
      <c r="DKB890" s="124"/>
      <c r="DKC890" s="124"/>
      <c r="DKD890" s="124"/>
      <c r="DKE890" s="124"/>
      <c r="DKF890" s="124"/>
      <c r="DKG890" s="124"/>
      <c r="DKH890" s="124"/>
      <c r="DKI890" s="124"/>
      <c r="DKJ890" s="124"/>
      <c r="DKK890" s="124"/>
      <c r="DKL890" s="124"/>
      <c r="DKM890" s="124"/>
      <c r="DKN890" s="124"/>
      <c r="DKO890" s="124"/>
      <c r="DKP890" s="124"/>
      <c r="DKQ890" s="124"/>
      <c r="DKR890" s="124"/>
      <c r="DKS890" s="124"/>
      <c r="DKT890" s="124"/>
      <c r="DKU890" s="124"/>
      <c r="DKV890" s="124"/>
      <c r="DKW890" s="124"/>
      <c r="DKX890" s="124"/>
      <c r="DKY890" s="124"/>
      <c r="DKZ890" s="124"/>
      <c r="DLA890" s="124"/>
      <c r="DLB890" s="124"/>
      <c r="DLC890" s="124"/>
      <c r="DLD890" s="124"/>
      <c r="DLE890" s="124"/>
      <c r="DLF890" s="124"/>
      <c r="DLG890" s="124"/>
      <c r="DLH890" s="124"/>
      <c r="DLI890" s="124"/>
      <c r="DLJ890" s="124"/>
      <c r="DLK890" s="124"/>
      <c r="DLL890" s="124"/>
      <c r="DLM890" s="124"/>
      <c r="DLN890" s="124"/>
      <c r="DLO890" s="124"/>
      <c r="DLP890" s="124"/>
      <c r="DLQ890" s="124"/>
      <c r="DLR890" s="124"/>
      <c r="DLS890" s="124"/>
      <c r="DLT890" s="124"/>
      <c r="DLU890" s="124"/>
      <c r="DLV890" s="124"/>
      <c r="DLW890" s="124"/>
      <c r="DLX890" s="124"/>
      <c r="DLY890" s="124"/>
      <c r="DLZ890" s="124"/>
      <c r="DMA890" s="124"/>
      <c r="DMB890" s="124"/>
      <c r="DMC890" s="124"/>
      <c r="DMD890" s="124"/>
      <c r="DME890" s="124"/>
      <c r="DMF890" s="124"/>
      <c r="DMG890" s="124"/>
      <c r="DMH890" s="124"/>
      <c r="DMI890" s="124"/>
      <c r="DMJ890" s="124"/>
      <c r="DMK890" s="124"/>
      <c r="DML890" s="124"/>
      <c r="DMM890" s="124"/>
      <c r="DMN890" s="124"/>
      <c r="DMO890" s="124"/>
      <c r="DMP890" s="124"/>
      <c r="DMQ890" s="124"/>
      <c r="DMR890" s="124"/>
      <c r="DMS890" s="124"/>
      <c r="DMT890" s="124"/>
      <c r="DMU890" s="124"/>
      <c r="DMV890" s="124"/>
      <c r="DMW890" s="124"/>
      <c r="DMX890" s="124"/>
      <c r="DMY890" s="124"/>
      <c r="DMZ890" s="124"/>
      <c r="DNA890" s="124"/>
      <c r="DNB890" s="124"/>
      <c r="DNC890" s="124"/>
      <c r="DND890" s="124"/>
      <c r="DNE890" s="124"/>
      <c r="DNF890" s="124"/>
      <c r="DNG890" s="124"/>
      <c r="DNH890" s="124"/>
      <c r="DNI890" s="124"/>
      <c r="DNJ890" s="124"/>
      <c r="DNK890" s="124"/>
      <c r="DNL890" s="124"/>
      <c r="DNM890" s="124"/>
      <c r="DNN890" s="124"/>
      <c r="DNO890" s="124"/>
      <c r="DNP890" s="124"/>
      <c r="DNQ890" s="124"/>
      <c r="DNR890" s="124"/>
      <c r="DNS890" s="124"/>
      <c r="DNT890" s="124"/>
      <c r="DNU890" s="124"/>
      <c r="DNV890" s="124"/>
      <c r="DNW890" s="124"/>
      <c r="DNX890" s="124"/>
      <c r="DNY890" s="124"/>
      <c r="DNZ890" s="124"/>
      <c r="DOA890" s="124"/>
      <c r="DOB890" s="124"/>
      <c r="DOC890" s="124"/>
      <c r="DOD890" s="124"/>
      <c r="DOE890" s="124"/>
      <c r="DOF890" s="124"/>
      <c r="DOG890" s="124"/>
      <c r="DOH890" s="124"/>
      <c r="DOI890" s="124"/>
      <c r="DOJ890" s="124"/>
      <c r="DOK890" s="124"/>
      <c r="DOL890" s="124"/>
      <c r="DOM890" s="124"/>
      <c r="DON890" s="124"/>
      <c r="DOO890" s="124"/>
      <c r="DOP890" s="124"/>
      <c r="DOQ890" s="124"/>
      <c r="DOR890" s="124"/>
      <c r="DOS890" s="124"/>
      <c r="DOT890" s="124"/>
      <c r="DOU890" s="124"/>
      <c r="DOV890" s="124"/>
      <c r="DOW890" s="124"/>
      <c r="DOX890" s="124"/>
      <c r="DOY890" s="124"/>
      <c r="DOZ890" s="124"/>
      <c r="DPA890" s="124"/>
      <c r="DPB890" s="124"/>
      <c r="DPC890" s="124"/>
      <c r="DPD890" s="124"/>
      <c r="DPE890" s="124"/>
      <c r="DPF890" s="124"/>
      <c r="DPG890" s="124"/>
      <c r="DPH890" s="124"/>
      <c r="DPI890" s="124"/>
      <c r="DPJ890" s="124"/>
      <c r="DPK890" s="124"/>
      <c r="DPL890" s="124"/>
      <c r="DPM890" s="124"/>
      <c r="DPN890" s="124"/>
      <c r="DPO890" s="124"/>
      <c r="DPP890" s="124"/>
      <c r="DPQ890" s="124"/>
      <c r="DPR890" s="124"/>
      <c r="DPS890" s="124"/>
      <c r="DPT890" s="124"/>
      <c r="DPU890" s="124"/>
      <c r="DPV890" s="124"/>
      <c r="DPW890" s="124"/>
      <c r="DPX890" s="124"/>
      <c r="DPY890" s="124"/>
      <c r="DPZ890" s="124"/>
      <c r="DQA890" s="124"/>
      <c r="DQB890" s="124"/>
      <c r="DQC890" s="124"/>
      <c r="DQD890" s="124"/>
      <c r="DQE890" s="124"/>
      <c r="DQF890" s="124"/>
      <c r="DQG890" s="124"/>
      <c r="DQH890" s="124"/>
      <c r="DQI890" s="124"/>
      <c r="DQJ890" s="124"/>
      <c r="DQK890" s="124"/>
      <c r="DQL890" s="124"/>
      <c r="DQM890" s="124"/>
      <c r="DQN890" s="124"/>
      <c r="DQO890" s="124"/>
      <c r="DQP890" s="124"/>
      <c r="DQQ890" s="124"/>
      <c r="DQR890" s="124"/>
      <c r="DQS890" s="124"/>
      <c r="DQT890" s="124"/>
      <c r="DQU890" s="124"/>
      <c r="DQV890" s="124"/>
      <c r="DQW890" s="124"/>
      <c r="DQX890" s="124"/>
      <c r="DQY890" s="124"/>
      <c r="DQZ890" s="124"/>
      <c r="DRA890" s="124"/>
      <c r="DRB890" s="124"/>
      <c r="DRC890" s="124"/>
      <c r="DRD890" s="124"/>
      <c r="DRE890" s="124"/>
      <c r="DRF890" s="124"/>
      <c r="DRG890" s="124"/>
      <c r="DRH890" s="124"/>
      <c r="DRI890" s="124"/>
      <c r="DRJ890" s="124"/>
      <c r="DRK890" s="124"/>
      <c r="DRL890" s="124"/>
      <c r="DRM890" s="124"/>
      <c r="DRN890" s="124"/>
      <c r="DRO890" s="124"/>
      <c r="DRP890" s="124"/>
      <c r="DRQ890" s="124"/>
      <c r="DRR890" s="124"/>
      <c r="DRS890" s="124"/>
      <c r="DRT890" s="124"/>
      <c r="DRU890" s="124"/>
      <c r="DRV890" s="124"/>
      <c r="DRW890" s="124"/>
      <c r="DRX890" s="124"/>
      <c r="DRY890" s="124"/>
      <c r="DRZ890" s="124"/>
      <c r="DSA890" s="124"/>
      <c r="DSB890" s="124"/>
      <c r="DSC890" s="124"/>
      <c r="DSD890" s="124"/>
      <c r="DSE890" s="124"/>
      <c r="DSF890" s="124"/>
      <c r="DSG890" s="124"/>
      <c r="DSH890" s="124"/>
      <c r="DSI890" s="124"/>
      <c r="DSJ890" s="124"/>
      <c r="DSK890" s="124"/>
      <c r="DSL890" s="124"/>
      <c r="DSM890" s="124"/>
      <c r="DSN890" s="124"/>
      <c r="DSO890" s="124"/>
      <c r="DSP890" s="124"/>
      <c r="DSQ890" s="124"/>
      <c r="DSR890" s="124"/>
      <c r="DSS890" s="124"/>
      <c r="DST890" s="124"/>
      <c r="DSU890" s="124"/>
      <c r="DSV890" s="124"/>
      <c r="DSW890" s="124"/>
      <c r="DSX890" s="124"/>
      <c r="DSY890" s="124"/>
      <c r="DSZ890" s="124"/>
      <c r="DTA890" s="124"/>
      <c r="DTB890" s="124"/>
      <c r="DTC890" s="124"/>
      <c r="DTD890" s="124"/>
      <c r="DTE890" s="124"/>
      <c r="DTF890" s="124"/>
      <c r="DTG890" s="124"/>
      <c r="DTH890" s="124"/>
      <c r="DTI890" s="124"/>
      <c r="DTJ890" s="124"/>
      <c r="DTK890" s="124"/>
      <c r="DTL890" s="124"/>
      <c r="DTM890" s="124"/>
      <c r="DTN890" s="124"/>
      <c r="DTO890" s="124"/>
      <c r="DTP890" s="124"/>
      <c r="DTQ890" s="124"/>
      <c r="DTR890" s="124"/>
      <c r="DTS890" s="124"/>
      <c r="DTT890" s="124"/>
      <c r="DTU890" s="124"/>
      <c r="DTV890" s="124"/>
      <c r="DTW890" s="124"/>
      <c r="DTX890" s="124"/>
      <c r="DTY890" s="124"/>
      <c r="DTZ890" s="124"/>
      <c r="DUA890" s="124"/>
      <c r="DUB890" s="124"/>
      <c r="DUC890" s="124"/>
      <c r="DUD890" s="124"/>
      <c r="DUE890" s="124"/>
      <c r="DUF890" s="124"/>
      <c r="DUG890" s="124"/>
      <c r="DUH890" s="124"/>
      <c r="DUI890" s="124"/>
      <c r="DUJ890" s="124"/>
      <c r="DUK890" s="124"/>
      <c r="DUL890" s="124"/>
      <c r="DUM890" s="124"/>
      <c r="DUN890" s="124"/>
      <c r="DUO890" s="124"/>
      <c r="DUP890" s="124"/>
      <c r="DUQ890" s="124"/>
      <c r="DUR890" s="124"/>
      <c r="DUS890" s="124"/>
      <c r="DUT890" s="124"/>
      <c r="DUU890" s="124"/>
      <c r="DUV890" s="124"/>
      <c r="DUW890" s="124"/>
      <c r="DUX890" s="124"/>
      <c r="DUY890" s="124"/>
      <c r="DUZ890" s="124"/>
      <c r="DVA890" s="124"/>
      <c r="DVB890" s="124"/>
      <c r="DVC890" s="124"/>
      <c r="DVD890" s="124"/>
      <c r="DVE890" s="124"/>
      <c r="DVF890" s="124"/>
      <c r="DVG890" s="124"/>
      <c r="DVH890" s="124"/>
      <c r="DVI890" s="124"/>
      <c r="DVJ890" s="124"/>
      <c r="DVK890" s="124"/>
      <c r="DVL890" s="124"/>
      <c r="DVM890" s="124"/>
      <c r="DVN890" s="124"/>
      <c r="DVO890" s="124"/>
      <c r="DVP890" s="124"/>
      <c r="DVQ890" s="124"/>
      <c r="DVR890" s="124"/>
      <c r="DVS890" s="124"/>
      <c r="DVT890" s="124"/>
      <c r="DVU890" s="124"/>
      <c r="DVV890" s="124"/>
      <c r="DVW890" s="124"/>
      <c r="DVX890" s="124"/>
      <c r="DVY890" s="124"/>
      <c r="DVZ890" s="124"/>
      <c r="DWA890" s="124"/>
      <c r="DWB890" s="124"/>
      <c r="DWC890" s="124"/>
      <c r="DWD890" s="124"/>
      <c r="DWE890" s="124"/>
      <c r="DWF890" s="124"/>
      <c r="DWG890" s="124"/>
      <c r="DWH890" s="124"/>
      <c r="DWI890" s="124"/>
      <c r="DWJ890" s="124"/>
      <c r="DWK890" s="124"/>
      <c r="DWL890" s="124"/>
      <c r="DWM890" s="124"/>
      <c r="DWN890" s="124"/>
      <c r="DWO890" s="124"/>
      <c r="DWP890" s="124"/>
      <c r="DWQ890" s="124"/>
      <c r="DWR890" s="124"/>
      <c r="DWS890" s="124"/>
      <c r="DWT890" s="124"/>
      <c r="DWU890" s="124"/>
      <c r="DWV890" s="124"/>
      <c r="DWW890" s="124"/>
      <c r="DWX890" s="124"/>
      <c r="DWY890" s="124"/>
      <c r="DWZ890" s="124"/>
      <c r="DXA890" s="124"/>
      <c r="DXB890" s="124"/>
      <c r="DXC890" s="124"/>
      <c r="DXD890" s="124"/>
      <c r="DXE890" s="124"/>
      <c r="DXF890" s="124"/>
      <c r="DXG890" s="124"/>
      <c r="DXH890" s="124"/>
      <c r="DXI890" s="124"/>
      <c r="DXJ890" s="124"/>
      <c r="DXK890" s="124"/>
      <c r="DXL890" s="124"/>
      <c r="DXM890" s="124"/>
      <c r="DXN890" s="124"/>
      <c r="DXO890" s="124"/>
      <c r="DXP890" s="124"/>
      <c r="DXQ890" s="124"/>
      <c r="DXR890" s="124"/>
      <c r="DXS890" s="124"/>
      <c r="DXT890" s="124"/>
      <c r="DXU890" s="124"/>
      <c r="DXV890" s="124"/>
      <c r="DXW890" s="124"/>
      <c r="DXX890" s="124"/>
      <c r="DXY890" s="124"/>
      <c r="DXZ890" s="124"/>
      <c r="DYA890" s="124"/>
      <c r="DYB890" s="124"/>
      <c r="DYC890" s="124"/>
      <c r="DYD890" s="124"/>
      <c r="DYE890" s="124"/>
      <c r="DYF890" s="124"/>
      <c r="DYG890" s="124"/>
      <c r="DYH890" s="124"/>
      <c r="DYI890" s="124"/>
      <c r="DYJ890" s="124"/>
      <c r="DYK890" s="124"/>
      <c r="DYL890" s="124"/>
      <c r="DYM890" s="124"/>
      <c r="DYN890" s="124"/>
      <c r="DYO890" s="124"/>
      <c r="DYP890" s="124"/>
      <c r="DYQ890" s="124"/>
      <c r="DYR890" s="124"/>
      <c r="DYS890" s="124"/>
      <c r="DYT890" s="124"/>
      <c r="DYU890" s="124"/>
      <c r="DYV890" s="124"/>
      <c r="DYW890" s="124"/>
      <c r="DYX890" s="124"/>
      <c r="DYY890" s="124"/>
      <c r="DYZ890" s="124"/>
      <c r="DZA890" s="124"/>
      <c r="DZB890" s="124"/>
      <c r="DZC890" s="124"/>
      <c r="DZD890" s="124"/>
      <c r="DZE890" s="124"/>
      <c r="DZF890" s="124"/>
      <c r="DZG890" s="124"/>
      <c r="DZH890" s="124"/>
      <c r="DZI890" s="124"/>
      <c r="DZJ890" s="124"/>
      <c r="DZK890" s="124"/>
      <c r="DZL890" s="124"/>
      <c r="DZM890" s="124"/>
      <c r="DZN890" s="124"/>
      <c r="DZO890" s="124"/>
      <c r="DZP890" s="124"/>
      <c r="DZQ890" s="124"/>
      <c r="DZR890" s="124"/>
      <c r="DZS890" s="124"/>
      <c r="DZT890" s="124"/>
      <c r="DZU890" s="124"/>
      <c r="DZV890" s="124"/>
      <c r="DZW890" s="124"/>
      <c r="DZX890" s="124"/>
      <c r="DZY890" s="124"/>
      <c r="DZZ890" s="124"/>
      <c r="EAA890" s="124"/>
      <c r="EAB890" s="124"/>
      <c r="EAC890" s="124"/>
      <c r="EAD890" s="124"/>
      <c r="EAE890" s="124"/>
      <c r="EAF890" s="124"/>
      <c r="EAG890" s="124"/>
      <c r="EAH890" s="124"/>
      <c r="EAI890" s="124"/>
      <c r="EAJ890" s="124"/>
      <c r="EAK890" s="124"/>
      <c r="EAL890" s="124"/>
      <c r="EAM890" s="124"/>
      <c r="EAN890" s="124"/>
      <c r="EAO890" s="124"/>
      <c r="EAP890" s="124"/>
      <c r="EAQ890" s="124"/>
      <c r="EAR890" s="124"/>
      <c r="EAS890" s="124"/>
      <c r="EAT890" s="124"/>
      <c r="EAU890" s="124"/>
      <c r="EAV890" s="124"/>
      <c r="EAW890" s="124"/>
      <c r="EAX890" s="124"/>
      <c r="EAY890" s="124"/>
      <c r="EAZ890" s="124"/>
      <c r="EBA890" s="124"/>
      <c r="EBB890" s="124"/>
      <c r="EBC890" s="124"/>
      <c r="EBD890" s="124"/>
      <c r="EBE890" s="124"/>
      <c r="EBF890" s="124"/>
      <c r="EBG890" s="124"/>
      <c r="EBH890" s="124"/>
      <c r="EBI890" s="124"/>
      <c r="EBJ890" s="124"/>
      <c r="EBK890" s="124"/>
      <c r="EBL890" s="124"/>
      <c r="EBM890" s="124"/>
      <c r="EBN890" s="124"/>
      <c r="EBO890" s="124"/>
      <c r="EBP890" s="124"/>
      <c r="EBQ890" s="124"/>
      <c r="EBR890" s="124"/>
      <c r="EBS890" s="124"/>
      <c r="EBT890" s="124"/>
      <c r="EBU890" s="124"/>
      <c r="EBV890" s="124"/>
      <c r="EBW890" s="124"/>
      <c r="EBX890" s="124"/>
      <c r="EBY890" s="124"/>
      <c r="EBZ890" s="124"/>
      <c r="ECA890" s="124"/>
      <c r="ECB890" s="124"/>
      <c r="ECC890" s="124"/>
      <c r="ECD890" s="124"/>
      <c r="ECE890" s="124"/>
      <c r="ECF890" s="124"/>
      <c r="ECG890" s="124"/>
      <c r="ECH890" s="124"/>
      <c r="ECI890" s="124"/>
      <c r="ECJ890" s="124"/>
      <c r="ECK890" s="124"/>
      <c r="ECL890" s="124"/>
      <c r="ECM890" s="124"/>
      <c r="ECN890" s="124"/>
      <c r="ECO890" s="124"/>
      <c r="ECP890" s="124"/>
      <c r="ECQ890" s="124"/>
      <c r="ECR890" s="124"/>
      <c r="ECS890" s="124"/>
      <c r="ECT890" s="124"/>
      <c r="ECU890" s="124"/>
      <c r="ECV890" s="124"/>
      <c r="ECW890" s="124"/>
      <c r="ECX890" s="124"/>
      <c r="ECY890" s="124"/>
      <c r="ECZ890" s="124"/>
      <c r="EDA890" s="124"/>
      <c r="EDB890" s="124"/>
      <c r="EDC890" s="124"/>
      <c r="EDD890" s="124"/>
      <c r="EDE890" s="124"/>
      <c r="EDF890" s="124"/>
      <c r="EDG890" s="124"/>
      <c r="EDH890" s="124"/>
      <c r="EDI890" s="124"/>
      <c r="EDJ890" s="124"/>
      <c r="EDK890" s="124"/>
      <c r="EDL890" s="124"/>
      <c r="EDM890" s="124"/>
      <c r="EDN890" s="124"/>
      <c r="EDO890" s="124"/>
      <c r="EDP890" s="124"/>
      <c r="EDQ890" s="124"/>
      <c r="EDR890" s="124"/>
      <c r="EDS890" s="124"/>
      <c r="EDT890" s="124"/>
      <c r="EDU890" s="124"/>
      <c r="EDV890" s="124"/>
      <c r="EDW890" s="124"/>
      <c r="EDX890" s="124"/>
      <c r="EDY890" s="124"/>
      <c r="EDZ890" s="124"/>
      <c r="EEA890" s="124"/>
      <c r="EEB890" s="124"/>
      <c r="EEC890" s="124"/>
      <c r="EED890" s="124"/>
      <c r="EEE890" s="124"/>
      <c r="EEF890" s="124"/>
      <c r="EEG890" s="124"/>
      <c r="EEH890" s="124"/>
      <c r="EEI890" s="124"/>
      <c r="EEJ890" s="124"/>
      <c r="EEK890" s="124"/>
      <c r="EEL890" s="124"/>
      <c r="EEM890" s="124"/>
      <c r="EEN890" s="124"/>
      <c r="EEO890" s="124"/>
      <c r="EEP890" s="124"/>
      <c r="EEQ890" s="124"/>
      <c r="EER890" s="124"/>
      <c r="EES890" s="124"/>
      <c r="EET890" s="124"/>
      <c r="EEU890" s="124"/>
      <c r="EEV890" s="124"/>
      <c r="EEW890" s="124"/>
      <c r="EEX890" s="124"/>
      <c r="EEY890" s="124"/>
      <c r="EEZ890" s="124"/>
      <c r="EFA890" s="124"/>
      <c r="EFB890" s="124"/>
      <c r="EFC890" s="124"/>
      <c r="EFD890" s="124"/>
      <c r="EFE890" s="124"/>
      <c r="EFF890" s="124"/>
      <c r="EFG890" s="124"/>
      <c r="EFH890" s="124"/>
      <c r="EFI890" s="124"/>
      <c r="EFJ890" s="124"/>
      <c r="EFK890" s="124"/>
      <c r="EFL890" s="124"/>
      <c r="EFM890" s="124"/>
      <c r="EFN890" s="124"/>
      <c r="EFO890" s="124"/>
      <c r="EFP890" s="124"/>
      <c r="EFQ890" s="124"/>
      <c r="EFR890" s="124"/>
      <c r="EFS890" s="124"/>
      <c r="EFT890" s="124"/>
      <c r="EFU890" s="124"/>
      <c r="EFV890" s="124"/>
      <c r="EFW890" s="124"/>
      <c r="EFX890" s="124"/>
      <c r="EFY890" s="124"/>
      <c r="EFZ890" s="124"/>
      <c r="EGA890" s="124"/>
      <c r="EGB890" s="124"/>
      <c r="EGC890" s="124"/>
      <c r="EGD890" s="124"/>
      <c r="EGE890" s="124"/>
      <c r="EGF890" s="124"/>
      <c r="EGG890" s="124"/>
      <c r="EGH890" s="124"/>
      <c r="EGI890" s="124"/>
      <c r="EGJ890" s="124"/>
      <c r="EGK890" s="124"/>
      <c r="EGL890" s="124"/>
      <c r="EGM890" s="124"/>
      <c r="EGN890" s="124"/>
      <c r="EGO890" s="124"/>
      <c r="EGP890" s="124"/>
      <c r="EGQ890" s="124"/>
      <c r="EGR890" s="124"/>
      <c r="EGS890" s="124"/>
      <c r="EGT890" s="124"/>
      <c r="EGU890" s="124"/>
      <c r="EGV890" s="124"/>
      <c r="EGW890" s="124"/>
      <c r="EGX890" s="124"/>
      <c r="EGY890" s="124"/>
      <c r="EGZ890" s="124"/>
      <c r="EHA890" s="124"/>
      <c r="EHB890" s="124"/>
      <c r="EHC890" s="124"/>
      <c r="EHD890" s="124"/>
      <c r="EHE890" s="124"/>
      <c r="EHF890" s="124"/>
      <c r="EHG890" s="124"/>
      <c r="EHH890" s="124"/>
      <c r="EHI890" s="124"/>
      <c r="EHJ890" s="124"/>
      <c r="EHK890" s="124"/>
      <c r="EHL890" s="124"/>
      <c r="EHM890" s="124"/>
      <c r="EHN890" s="124"/>
      <c r="EHO890" s="124"/>
      <c r="EHP890" s="124"/>
      <c r="EHQ890" s="124"/>
      <c r="EHR890" s="124"/>
      <c r="EHS890" s="124"/>
      <c r="EHT890" s="124"/>
      <c r="EHU890" s="124"/>
      <c r="EHV890" s="124"/>
      <c r="EHW890" s="124"/>
      <c r="EHX890" s="124"/>
      <c r="EHY890" s="124"/>
      <c r="EHZ890" s="124"/>
      <c r="EIA890" s="124"/>
      <c r="EIB890" s="124"/>
      <c r="EIC890" s="124"/>
      <c r="EID890" s="124"/>
      <c r="EIE890" s="124"/>
      <c r="EIF890" s="124"/>
      <c r="EIG890" s="124"/>
      <c r="EIH890" s="124"/>
      <c r="EII890" s="124"/>
      <c r="EIJ890" s="124"/>
      <c r="EIK890" s="124"/>
      <c r="EIL890" s="124"/>
      <c r="EIM890" s="124"/>
      <c r="EIN890" s="124"/>
      <c r="EIO890" s="124"/>
      <c r="EIP890" s="124"/>
      <c r="EIQ890" s="124"/>
      <c r="EIR890" s="124"/>
      <c r="EIS890" s="124"/>
      <c r="EIT890" s="124"/>
      <c r="EIU890" s="124"/>
      <c r="EIV890" s="124"/>
      <c r="EIW890" s="124"/>
      <c r="EIX890" s="124"/>
      <c r="EIY890" s="124"/>
      <c r="EIZ890" s="124"/>
      <c r="EJA890" s="124"/>
      <c r="EJB890" s="124"/>
      <c r="EJC890" s="124"/>
      <c r="EJD890" s="124"/>
      <c r="EJE890" s="124"/>
      <c r="EJF890" s="124"/>
      <c r="EJG890" s="124"/>
      <c r="EJH890" s="124"/>
      <c r="EJI890" s="124"/>
      <c r="EJJ890" s="124"/>
      <c r="EJK890" s="124"/>
      <c r="EJL890" s="124"/>
      <c r="EJM890" s="124"/>
      <c r="EJN890" s="124"/>
      <c r="EJO890" s="124"/>
      <c r="EJP890" s="124"/>
      <c r="EJQ890" s="124"/>
      <c r="EJR890" s="124"/>
      <c r="EJS890" s="124"/>
      <c r="EJT890" s="124"/>
      <c r="EJU890" s="124"/>
      <c r="EJV890" s="124"/>
      <c r="EJW890" s="124"/>
      <c r="EJX890" s="124"/>
      <c r="EJY890" s="124"/>
      <c r="EJZ890" s="124"/>
      <c r="EKA890" s="124"/>
      <c r="EKB890" s="124"/>
      <c r="EKC890" s="124"/>
      <c r="EKD890" s="124"/>
      <c r="EKE890" s="124"/>
      <c r="EKF890" s="124"/>
      <c r="EKG890" s="124"/>
      <c r="EKH890" s="124"/>
      <c r="EKI890" s="124"/>
      <c r="EKJ890" s="124"/>
      <c r="EKK890" s="124"/>
      <c r="EKL890" s="124"/>
      <c r="EKM890" s="124"/>
      <c r="EKN890" s="124"/>
      <c r="EKO890" s="124"/>
      <c r="EKP890" s="124"/>
      <c r="EKQ890" s="124"/>
      <c r="EKR890" s="124"/>
      <c r="EKS890" s="124"/>
      <c r="EKT890" s="124"/>
      <c r="EKU890" s="124"/>
      <c r="EKV890" s="124"/>
      <c r="EKW890" s="124"/>
      <c r="EKX890" s="124"/>
      <c r="EKY890" s="124"/>
      <c r="EKZ890" s="124"/>
      <c r="ELA890" s="124"/>
      <c r="ELB890" s="124"/>
      <c r="ELC890" s="124"/>
      <c r="ELD890" s="124"/>
      <c r="ELE890" s="124"/>
      <c r="ELF890" s="124"/>
      <c r="ELG890" s="124"/>
      <c r="ELH890" s="124"/>
      <c r="ELI890" s="124"/>
      <c r="ELJ890" s="124"/>
      <c r="ELK890" s="124"/>
      <c r="ELL890" s="124"/>
      <c r="ELM890" s="124"/>
      <c r="ELN890" s="124"/>
      <c r="ELO890" s="124"/>
      <c r="ELP890" s="124"/>
      <c r="ELQ890" s="124"/>
      <c r="ELR890" s="124"/>
      <c r="ELS890" s="124"/>
      <c r="ELT890" s="124"/>
      <c r="ELU890" s="124"/>
      <c r="ELV890" s="124"/>
      <c r="ELW890" s="124"/>
      <c r="ELX890" s="124"/>
      <c r="ELY890" s="124"/>
      <c r="ELZ890" s="124"/>
      <c r="EMA890" s="124"/>
      <c r="EMB890" s="124"/>
      <c r="EMC890" s="124"/>
      <c r="EMD890" s="124"/>
      <c r="EME890" s="124"/>
      <c r="EMF890" s="124"/>
      <c r="EMG890" s="124"/>
      <c r="EMH890" s="124"/>
      <c r="EMI890" s="124"/>
      <c r="EMJ890" s="124"/>
      <c r="EMK890" s="124"/>
      <c r="EML890" s="124"/>
      <c r="EMM890" s="124"/>
      <c r="EMN890" s="124"/>
      <c r="EMO890" s="124"/>
      <c r="EMP890" s="124"/>
      <c r="EMQ890" s="124"/>
      <c r="EMR890" s="124"/>
      <c r="EMS890" s="124"/>
      <c r="EMT890" s="124"/>
      <c r="EMU890" s="124"/>
      <c r="EMV890" s="124"/>
      <c r="EMW890" s="124"/>
      <c r="EMX890" s="124"/>
      <c r="EMY890" s="124"/>
      <c r="EMZ890" s="124"/>
      <c r="ENA890" s="124"/>
      <c r="ENB890" s="124"/>
      <c r="ENC890" s="124"/>
      <c r="END890" s="124"/>
      <c r="ENE890" s="124"/>
      <c r="ENF890" s="124"/>
      <c r="ENG890" s="124"/>
      <c r="ENH890" s="124"/>
      <c r="ENI890" s="124"/>
      <c r="ENJ890" s="124"/>
      <c r="ENK890" s="124"/>
      <c r="ENL890" s="124"/>
      <c r="ENM890" s="124"/>
      <c r="ENN890" s="124"/>
      <c r="ENO890" s="124"/>
      <c r="ENP890" s="124"/>
      <c r="ENQ890" s="124"/>
      <c r="ENR890" s="124"/>
      <c r="ENS890" s="124"/>
      <c r="ENT890" s="124"/>
      <c r="ENU890" s="124"/>
      <c r="ENV890" s="124"/>
      <c r="ENW890" s="124"/>
      <c r="ENX890" s="124"/>
      <c r="ENY890" s="124"/>
      <c r="ENZ890" s="124"/>
      <c r="EOA890" s="124"/>
      <c r="EOB890" s="124"/>
      <c r="EOC890" s="124"/>
      <c r="EOD890" s="124"/>
      <c r="EOE890" s="124"/>
      <c r="EOF890" s="124"/>
      <c r="EOG890" s="124"/>
      <c r="EOH890" s="124"/>
      <c r="EOI890" s="124"/>
      <c r="EOJ890" s="124"/>
      <c r="EOK890" s="124"/>
      <c r="EOL890" s="124"/>
      <c r="EOM890" s="124"/>
      <c r="EON890" s="124"/>
      <c r="EOO890" s="124"/>
      <c r="EOP890" s="124"/>
      <c r="EOQ890" s="124"/>
      <c r="EOR890" s="124"/>
      <c r="EOS890" s="124"/>
      <c r="EOT890" s="124"/>
      <c r="EOU890" s="124"/>
      <c r="EOV890" s="124"/>
      <c r="EOW890" s="124"/>
      <c r="EOX890" s="124"/>
      <c r="EOY890" s="124"/>
      <c r="EOZ890" s="124"/>
      <c r="EPA890" s="124"/>
      <c r="EPB890" s="124"/>
      <c r="EPC890" s="124"/>
      <c r="EPD890" s="124"/>
      <c r="EPE890" s="124"/>
      <c r="EPF890" s="124"/>
      <c r="EPG890" s="124"/>
      <c r="EPH890" s="124"/>
      <c r="EPI890" s="124"/>
      <c r="EPJ890" s="124"/>
      <c r="EPK890" s="124"/>
      <c r="EPL890" s="124"/>
      <c r="EPM890" s="124"/>
      <c r="EPN890" s="124"/>
      <c r="EPO890" s="124"/>
      <c r="EPP890" s="124"/>
      <c r="EPQ890" s="124"/>
      <c r="EPR890" s="124"/>
      <c r="EPS890" s="124"/>
      <c r="EPT890" s="124"/>
      <c r="EPU890" s="124"/>
      <c r="EPV890" s="124"/>
      <c r="EPW890" s="124"/>
      <c r="EPX890" s="124"/>
      <c r="EPY890" s="124"/>
      <c r="EPZ890" s="124"/>
      <c r="EQA890" s="124"/>
      <c r="EQB890" s="124"/>
      <c r="EQC890" s="124"/>
      <c r="EQD890" s="124"/>
      <c r="EQE890" s="124"/>
      <c r="EQF890" s="124"/>
      <c r="EQG890" s="124"/>
      <c r="EQH890" s="124"/>
      <c r="EQI890" s="124"/>
      <c r="EQJ890" s="124"/>
      <c r="EQK890" s="124"/>
      <c r="EQL890" s="124"/>
      <c r="EQM890" s="124"/>
      <c r="EQN890" s="124"/>
      <c r="EQO890" s="124"/>
      <c r="EQP890" s="124"/>
      <c r="EQQ890" s="124"/>
      <c r="EQR890" s="124"/>
      <c r="EQS890" s="124"/>
      <c r="EQT890" s="124"/>
      <c r="EQU890" s="124"/>
      <c r="EQV890" s="124"/>
      <c r="EQW890" s="124"/>
      <c r="EQX890" s="124"/>
      <c r="EQY890" s="124"/>
      <c r="EQZ890" s="124"/>
      <c r="ERA890" s="124"/>
      <c r="ERB890" s="124"/>
      <c r="ERC890" s="124"/>
      <c r="ERD890" s="124"/>
      <c r="ERE890" s="124"/>
      <c r="ERF890" s="124"/>
      <c r="ERG890" s="124"/>
      <c r="ERH890" s="124"/>
      <c r="ERI890" s="124"/>
      <c r="ERJ890" s="124"/>
      <c r="ERK890" s="124"/>
      <c r="ERL890" s="124"/>
      <c r="ERM890" s="124"/>
      <c r="ERN890" s="124"/>
      <c r="ERO890" s="124"/>
      <c r="ERP890" s="124"/>
      <c r="ERQ890" s="124"/>
      <c r="ERR890" s="124"/>
      <c r="ERS890" s="124"/>
      <c r="ERT890" s="124"/>
      <c r="ERU890" s="124"/>
      <c r="ERV890" s="124"/>
      <c r="ERW890" s="124"/>
      <c r="ERX890" s="124"/>
      <c r="ERY890" s="124"/>
      <c r="ERZ890" s="124"/>
      <c r="ESA890" s="124"/>
      <c r="ESB890" s="124"/>
      <c r="ESC890" s="124"/>
      <c r="ESD890" s="124"/>
      <c r="ESE890" s="124"/>
      <c r="ESF890" s="124"/>
      <c r="ESG890" s="124"/>
      <c r="ESH890" s="124"/>
      <c r="ESI890" s="124"/>
      <c r="ESJ890" s="124"/>
      <c r="ESK890" s="124"/>
      <c r="ESL890" s="124"/>
      <c r="ESM890" s="124"/>
      <c r="ESN890" s="124"/>
      <c r="ESO890" s="124"/>
      <c r="ESP890" s="124"/>
      <c r="ESQ890" s="124"/>
      <c r="ESR890" s="124"/>
      <c r="ESS890" s="124"/>
      <c r="EST890" s="124"/>
      <c r="ESU890" s="124"/>
      <c r="ESV890" s="124"/>
      <c r="ESW890" s="124"/>
      <c r="ESX890" s="124"/>
      <c r="ESY890" s="124"/>
      <c r="ESZ890" s="124"/>
      <c r="ETA890" s="124"/>
      <c r="ETB890" s="124"/>
      <c r="ETC890" s="124"/>
      <c r="ETD890" s="124"/>
      <c r="ETE890" s="124"/>
      <c r="ETF890" s="124"/>
      <c r="ETG890" s="124"/>
      <c r="ETH890" s="124"/>
      <c r="ETI890" s="124"/>
      <c r="ETJ890" s="124"/>
      <c r="ETK890" s="124"/>
      <c r="ETL890" s="124"/>
      <c r="ETM890" s="124"/>
      <c r="ETN890" s="124"/>
      <c r="ETO890" s="124"/>
      <c r="ETP890" s="124"/>
      <c r="ETQ890" s="124"/>
      <c r="ETR890" s="124"/>
      <c r="ETS890" s="124"/>
      <c r="ETT890" s="124"/>
      <c r="ETU890" s="124"/>
      <c r="ETV890" s="124"/>
      <c r="ETW890" s="124"/>
      <c r="ETX890" s="124"/>
      <c r="ETY890" s="124"/>
      <c r="ETZ890" s="124"/>
      <c r="EUA890" s="124"/>
      <c r="EUB890" s="124"/>
      <c r="EUC890" s="124"/>
      <c r="EUD890" s="124"/>
      <c r="EUE890" s="124"/>
      <c r="EUF890" s="124"/>
      <c r="EUG890" s="124"/>
      <c r="EUH890" s="124"/>
      <c r="EUI890" s="124"/>
      <c r="EUJ890" s="124"/>
      <c r="EUK890" s="124"/>
      <c r="EUL890" s="124"/>
      <c r="EUM890" s="124"/>
      <c r="EUN890" s="124"/>
      <c r="EUO890" s="124"/>
      <c r="EUP890" s="124"/>
      <c r="EUQ890" s="124"/>
      <c r="EUR890" s="124"/>
      <c r="EUS890" s="124"/>
      <c r="EUT890" s="124"/>
      <c r="EUU890" s="124"/>
      <c r="EUV890" s="124"/>
      <c r="EUW890" s="124"/>
      <c r="EUX890" s="124"/>
      <c r="EUY890" s="124"/>
      <c r="EUZ890" s="124"/>
      <c r="EVA890" s="124"/>
      <c r="EVB890" s="124"/>
      <c r="EVC890" s="124"/>
      <c r="EVD890" s="124"/>
      <c r="EVE890" s="124"/>
      <c r="EVF890" s="124"/>
      <c r="EVG890" s="124"/>
      <c r="EVH890" s="124"/>
      <c r="EVI890" s="124"/>
      <c r="EVJ890" s="124"/>
      <c r="EVK890" s="124"/>
      <c r="EVL890" s="124"/>
      <c r="EVM890" s="124"/>
      <c r="EVN890" s="124"/>
      <c r="EVO890" s="124"/>
      <c r="EVP890" s="124"/>
      <c r="EVQ890" s="124"/>
      <c r="EVR890" s="124"/>
      <c r="EVS890" s="124"/>
      <c r="EVT890" s="124"/>
      <c r="EVU890" s="124"/>
      <c r="EVV890" s="124"/>
      <c r="EVW890" s="124"/>
      <c r="EVX890" s="124"/>
      <c r="EVY890" s="124"/>
      <c r="EVZ890" s="124"/>
      <c r="EWA890" s="124"/>
      <c r="EWB890" s="124"/>
      <c r="EWC890" s="124"/>
      <c r="EWD890" s="124"/>
      <c r="EWE890" s="124"/>
      <c r="EWF890" s="124"/>
      <c r="EWG890" s="124"/>
      <c r="EWH890" s="124"/>
      <c r="EWI890" s="124"/>
      <c r="EWJ890" s="124"/>
      <c r="EWK890" s="124"/>
      <c r="EWL890" s="124"/>
      <c r="EWM890" s="124"/>
      <c r="EWN890" s="124"/>
      <c r="EWO890" s="124"/>
      <c r="EWP890" s="124"/>
      <c r="EWQ890" s="124"/>
      <c r="EWR890" s="124"/>
      <c r="EWS890" s="124"/>
      <c r="EWT890" s="124"/>
      <c r="EWU890" s="124"/>
      <c r="EWV890" s="124"/>
      <c r="EWW890" s="124"/>
      <c r="EWX890" s="124"/>
      <c r="EWY890" s="124"/>
      <c r="EWZ890" s="124"/>
      <c r="EXA890" s="124"/>
      <c r="EXB890" s="124"/>
      <c r="EXC890" s="124"/>
      <c r="EXD890" s="124"/>
      <c r="EXE890" s="124"/>
      <c r="EXF890" s="124"/>
      <c r="EXG890" s="124"/>
      <c r="EXH890" s="124"/>
      <c r="EXI890" s="124"/>
      <c r="EXJ890" s="124"/>
      <c r="EXK890" s="124"/>
      <c r="EXL890" s="124"/>
      <c r="EXM890" s="124"/>
      <c r="EXN890" s="124"/>
      <c r="EXO890" s="124"/>
      <c r="EXP890" s="124"/>
      <c r="EXQ890" s="124"/>
      <c r="EXR890" s="124"/>
      <c r="EXS890" s="124"/>
      <c r="EXT890" s="124"/>
      <c r="EXU890" s="124"/>
      <c r="EXV890" s="124"/>
      <c r="EXW890" s="124"/>
      <c r="EXX890" s="124"/>
      <c r="EXY890" s="124"/>
      <c r="EXZ890" s="124"/>
      <c r="EYA890" s="124"/>
      <c r="EYB890" s="124"/>
      <c r="EYC890" s="124"/>
      <c r="EYD890" s="124"/>
      <c r="EYE890" s="124"/>
      <c r="EYF890" s="124"/>
      <c r="EYG890" s="124"/>
      <c r="EYH890" s="124"/>
      <c r="EYI890" s="124"/>
      <c r="EYJ890" s="124"/>
      <c r="EYK890" s="124"/>
      <c r="EYL890" s="124"/>
      <c r="EYM890" s="124"/>
      <c r="EYN890" s="124"/>
      <c r="EYO890" s="124"/>
      <c r="EYP890" s="124"/>
      <c r="EYQ890" s="124"/>
      <c r="EYR890" s="124"/>
      <c r="EYS890" s="124"/>
      <c r="EYT890" s="124"/>
      <c r="EYU890" s="124"/>
      <c r="EYV890" s="124"/>
      <c r="EYW890" s="124"/>
      <c r="EYX890" s="124"/>
      <c r="EYY890" s="124"/>
      <c r="EYZ890" s="124"/>
      <c r="EZA890" s="124"/>
      <c r="EZB890" s="124"/>
      <c r="EZC890" s="124"/>
      <c r="EZD890" s="124"/>
      <c r="EZE890" s="124"/>
      <c r="EZF890" s="124"/>
      <c r="EZG890" s="124"/>
      <c r="EZH890" s="124"/>
      <c r="EZI890" s="124"/>
      <c r="EZJ890" s="124"/>
      <c r="EZK890" s="124"/>
      <c r="EZL890" s="124"/>
      <c r="EZM890" s="124"/>
      <c r="EZN890" s="124"/>
      <c r="EZO890" s="124"/>
      <c r="EZP890" s="124"/>
      <c r="EZQ890" s="124"/>
      <c r="EZR890" s="124"/>
      <c r="EZS890" s="124"/>
      <c r="EZT890" s="124"/>
      <c r="EZU890" s="124"/>
      <c r="EZV890" s="124"/>
      <c r="EZW890" s="124"/>
      <c r="EZX890" s="124"/>
      <c r="EZY890" s="124"/>
      <c r="EZZ890" s="124"/>
      <c r="FAA890" s="124"/>
      <c r="FAB890" s="124"/>
      <c r="FAC890" s="124"/>
      <c r="FAD890" s="124"/>
      <c r="FAE890" s="124"/>
      <c r="FAF890" s="124"/>
      <c r="FAG890" s="124"/>
      <c r="FAH890" s="124"/>
      <c r="FAI890" s="124"/>
      <c r="FAJ890" s="124"/>
      <c r="FAK890" s="124"/>
      <c r="FAL890" s="124"/>
      <c r="FAM890" s="124"/>
      <c r="FAN890" s="124"/>
      <c r="FAO890" s="124"/>
      <c r="FAP890" s="124"/>
      <c r="FAQ890" s="124"/>
      <c r="FAR890" s="124"/>
      <c r="FAS890" s="124"/>
      <c r="FAT890" s="124"/>
      <c r="FAU890" s="124"/>
      <c r="FAV890" s="124"/>
      <c r="FAW890" s="124"/>
      <c r="FAX890" s="124"/>
      <c r="FAY890" s="124"/>
      <c r="FAZ890" s="124"/>
      <c r="FBA890" s="124"/>
      <c r="FBB890" s="124"/>
      <c r="FBC890" s="124"/>
      <c r="FBD890" s="124"/>
      <c r="FBE890" s="124"/>
      <c r="FBF890" s="124"/>
      <c r="FBG890" s="124"/>
      <c r="FBH890" s="124"/>
      <c r="FBI890" s="124"/>
      <c r="FBJ890" s="124"/>
      <c r="FBK890" s="124"/>
      <c r="FBL890" s="124"/>
      <c r="FBM890" s="124"/>
      <c r="FBN890" s="124"/>
      <c r="FBO890" s="124"/>
      <c r="FBP890" s="124"/>
      <c r="FBQ890" s="124"/>
      <c r="FBR890" s="124"/>
      <c r="FBS890" s="124"/>
      <c r="FBT890" s="124"/>
      <c r="FBU890" s="124"/>
      <c r="FBV890" s="124"/>
      <c r="FBW890" s="124"/>
      <c r="FBX890" s="124"/>
      <c r="FBY890" s="124"/>
      <c r="FBZ890" s="124"/>
      <c r="FCA890" s="124"/>
      <c r="FCB890" s="124"/>
      <c r="FCC890" s="124"/>
      <c r="FCD890" s="124"/>
      <c r="FCE890" s="124"/>
      <c r="FCF890" s="124"/>
      <c r="FCG890" s="124"/>
      <c r="FCH890" s="124"/>
      <c r="FCI890" s="124"/>
      <c r="FCJ890" s="124"/>
      <c r="FCK890" s="124"/>
      <c r="FCL890" s="124"/>
      <c r="FCM890" s="124"/>
      <c r="FCN890" s="124"/>
      <c r="FCO890" s="124"/>
      <c r="FCP890" s="124"/>
      <c r="FCQ890" s="124"/>
      <c r="FCR890" s="124"/>
      <c r="FCS890" s="124"/>
      <c r="FCT890" s="124"/>
      <c r="FCU890" s="124"/>
      <c r="FCV890" s="124"/>
      <c r="FCW890" s="124"/>
      <c r="FCX890" s="124"/>
      <c r="FCY890" s="124"/>
      <c r="FCZ890" s="124"/>
      <c r="FDA890" s="124"/>
      <c r="FDB890" s="124"/>
      <c r="FDC890" s="124"/>
      <c r="FDD890" s="124"/>
      <c r="FDE890" s="124"/>
      <c r="FDF890" s="124"/>
      <c r="FDG890" s="124"/>
      <c r="FDH890" s="124"/>
      <c r="FDI890" s="124"/>
      <c r="FDJ890" s="124"/>
      <c r="FDK890" s="124"/>
      <c r="FDL890" s="124"/>
      <c r="FDM890" s="124"/>
      <c r="FDN890" s="124"/>
      <c r="FDO890" s="124"/>
      <c r="FDP890" s="124"/>
      <c r="FDQ890" s="124"/>
      <c r="FDR890" s="124"/>
      <c r="FDS890" s="124"/>
      <c r="FDT890" s="124"/>
      <c r="FDU890" s="124"/>
      <c r="FDV890" s="124"/>
      <c r="FDW890" s="124"/>
      <c r="FDX890" s="124"/>
      <c r="FDY890" s="124"/>
      <c r="FDZ890" s="124"/>
      <c r="FEA890" s="124"/>
      <c r="FEB890" s="124"/>
      <c r="FEC890" s="124"/>
      <c r="FED890" s="124"/>
      <c r="FEE890" s="124"/>
      <c r="FEF890" s="124"/>
      <c r="FEG890" s="124"/>
      <c r="FEH890" s="124"/>
      <c r="FEI890" s="124"/>
      <c r="FEJ890" s="124"/>
      <c r="FEK890" s="124"/>
      <c r="FEL890" s="124"/>
      <c r="FEM890" s="124"/>
      <c r="FEN890" s="124"/>
      <c r="FEO890" s="124"/>
      <c r="FEP890" s="124"/>
      <c r="FEQ890" s="124"/>
      <c r="FER890" s="124"/>
      <c r="FES890" s="124"/>
      <c r="FET890" s="124"/>
      <c r="FEU890" s="124"/>
      <c r="FEV890" s="124"/>
      <c r="FEW890" s="124"/>
      <c r="FEX890" s="124"/>
      <c r="FEY890" s="124"/>
      <c r="FEZ890" s="124"/>
      <c r="FFA890" s="124"/>
      <c r="FFB890" s="124"/>
      <c r="FFC890" s="124"/>
      <c r="FFD890" s="124"/>
      <c r="FFE890" s="124"/>
      <c r="FFF890" s="124"/>
      <c r="FFG890" s="124"/>
      <c r="FFH890" s="124"/>
      <c r="FFI890" s="124"/>
      <c r="FFJ890" s="124"/>
      <c r="FFK890" s="124"/>
      <c r="FFL890" s="124"/>
      <c r="FFM890" s="124"/>
      <c r="FFN890" s="124"/>
      <c r="FFO890" s="124"/>
      <c r="FFP890" s="124"/>
      <c r="FFQ890" s="124"/>
      <c r="FFR890" s="124"/>
      <c r="FFS890" s="124"/>
      <c r="FFT890" s="124"/>
      <c r="FFU890" s="124"/>
      <c r="FFV890" s="124"/>
      <c r="FFW890" s="124"/>
      <c r="FFX890" s="124"/>
      <c r="FFY890" s="124"/>
      <c r="FFZ890" s="124"/>
      <c r="FGA890" s="124"/>
      <c r="FGB890" s="124"/>
      <c r="FGC890" s="124"/>
      <c r="FGD890" s="124"/>
      <c r="FGE890" s="124"/>
      <c r="FGF890" s="124"/>
      <c r="FGG890" s="124"/>
      <c r="FGH890" s="124"/>
      <c r="FGI890" s="124"/>
      <c r="FGJ890" s="124"/>
      <c r="FGK890" s="124"/>
      <c r="FGL890" s="124"/>
      <c r="FGM890" s="124"/>
      <c r="FGN890" s="124"/>
      <c r="FGO890" s="124"/>
      <c r="FGP890" s="124"/>
      <c r="FGQ890" s="124"/>
      <c r="FGR890" s="124"/>
      <c r="FGS890" s="124"/>
      <c r="FGT890" s="124"/>
      <c r="FGU890" s="124"/>
      <c r="FGV890" s="124"/>
      <c r="FGW890" s="124"/>
      <c r="FGX890" s="124"/>
      <c r="FGY890" s="124"/>
      <c r="FGZ890" s="124"/>
      <c r="FHA890" s="124"/>
      <c r="FHB890" s="124"/>
      <c r="FHC890" s="124"/>
      <c r="FHD890" s="124"/>
      <c r="FHE890" s="124"/>
      <c r="FHF890" s="124"/>
      <c r="FHG890" s="124"/>
      <c r="FHH890" s="124"/>
      <c r="FHI890" s="124"/>
      <c r="FHJ890" s="124"/>
      <c r="FHK890" s="124"/>
      <c r="FHL890" s="124"/>
      <c r="FHM890" s="124"/>
      <c r="FHN890" s="124"/>
      <c r="FHO890" s="124"/>
      <c r="FHP890" s="124"/>
      <c r="FHQ890" s="124"/>
      <c r="FHR890" s="124"/>
      <c r="FHS890" s="124"/>
      <c r="FHT890" s="124"/>
      <c r="FHU890" s="124"/>
      <c r="FHV890" s="124"/>
      <c r="FHW890" s="124"/>
      <c r="FHX890" s="124"/>
      <c r="FHY890" s="124"/>
      <c r="FHZ890" s="124"/>
      <c r="FIA890" s="124"/>
      <c r="FIB890" s="124"/>
      <c r="FIC890" s="124"/>
      <c r="FID890" s="124"/>
      <c r="FIE890" s="124"/>
      <c r="FIF890" s="124"/>
      <c r="FIG890" s="124"/>
      <c r="FIH890" s="124"/>
      <c r="FII890" s="124"/>
      <c r="FIJ890" s="124"/>
      <c r="FIK890" s="124"/>
      <c r="FIL890" s="124"/>
      <c r="FIM890" s="124"/>
      <c r="FIN890" s="124"/>
      <c r="FIO890" s="124"/>
      <c r="FIP890" s="124"/>
      <c r="FIQ890" s="124"/>
      <c r="FIR890" s="124"/>
      <c r="FIS890" s="124"/>
      <c r="FIT890" s="124"/>
      <c r="FIU890" s="124"/>
      <c r="FIV890" s="124"/>
      <c r="FIW890" s="124"/>
      <c r="FIX890" s="124"/>
      <c r="FIY890" s="124"/>
      <c r="FIZ890" s="124"/>
      <c r="FJA890" s="124"/>
      <c r="FJB890" s="124"/>
      <c r="FJC890" s="124"/>
      <c r="FJD890" s="124"/>
      <c r="FJE890" s="124"/>
      <c r="FJF890" s="124"/>
      <c r="FJG890" s="124"/>
      <c r="FJH890" s="124"/>
      <c r="FJI890" s="124"/>
      <c r="FJJ890" s="124"/>
      <c r="FJK890" s="124"/>
      <c r="FJL890" s="124"/>
      <c r="FJM890" s="124"/>
      <c r="FJN890" s="124"/>
      <c r="FJO890" s="124"/>
      <c r="FJP890" s="124"/>
      <c r="FJQ890" s="124"/>
      <c r="FJR890" s="124"/>
      <c r="FJS890" s="124"/>
      <c r="FJT890" s="124"/>
      <c r="FJU890" s="124"/>
      <c r="FJV890" s="124"/>
      <c r="FJW890" s="124"/>
      <c r="FJX890" s="124"/>
      <c r="FJY890" s="124"/>
      <c r="FJZ890" s="124"/>
      <c r="FKA890" s="124"/>
      <c r="FKB890" s="124"/>
      <c r="FKC890" s="124"/>
      <c r="FKD890" s="124"/>
      <c r="FKE890" s="124"/>
      <c r="FKF890" s="124"/>
      <c r="FKG890" s="124"/>
      <c r="FKH890" s="124"/>
      <c r="FKI890" s="124"/>
      <c r="FKJ890" s="124"/>
      <c r="FKK890" s="124"/>
      <c r="FKL890" s="124"/>
      <c r="FKM890" s="124"/>
      <c r="FKN890" s="124"/>
      <c r="FKO890" s="124"/>
      <c r="FKP890" s="124"/>
      <c r="FKQ890" s="124"/>
      <c r="FKR890" s="124"/>
      <c r="FKS890" s="124"/>
      <c r="FKT890" s="124"/>
      <c r="FKU890" s="124"/>
      <c r="FKV890" s="124"/>
      <c r="FKW890" s="124"/>
      <c r="FKX890" s="124"/>
      <c r="FKY890" s="124"/>
      <c r="FKZ890" s="124"/>
      <c r="FLA890" s="124"/>
      <c r="FLB890" s="124"/>
      <c r="FLC890" s="124"/>
      <c r="FLD890" s="124"/>
      <c r="FLE890" s="124"/>
      <c r="FLF890" s="124"/>
      <c r="FLG890" s="124"/>
      <c r="FLH890" s="124"/>
      <c r="FLI890" s="124"/>
      <c r="FLJ890" s="124"/>
      <c r="FLK890" s="124"/>
      <c r="FLL890" s="124"/>
      <c r="FLM890" s="124"/>
      <c r="FLN890" s="124"/>
      <c r="FLO890" s="124"/>
      <c r="FLP890" s="124"/>
      <c r="FLQ890" s="124"/>
      <c r="FLR890" s="124"/>
      <c r="FLS890" s="124"/>
      <c r="FLT890" s="124"/>
      <c r="FLU890" s="124"/>
      <c r="FLV890" s="124"/>
      <c r="FLW890" s="124"/>
      <c r="FLX890" s="124"/>
      <c r="FLY890" s="124"/>
      <c r="FLZ890" s="124"/>
      <c r="FMA890" s="124"/>
      <c r="FMB890" s="124"/>
      <c r="FMC890" s="124"/>
      <c r="FMD890" s="124"/>
      <c r="FME890" s="124"/>
      <c r="FMF890" s="124"/>
      <c r="FMG890" s="124"/>
      <c r="FMH890" s="124"/>
      <c r="FMI890" s="124"/>
      <c r="FMJ890" s="124"/>
      <c r="FMK890" s="124"/>
      <c r="FML890" s="124"/>
      <c r="FMM890" s="124"/>
      <c r="FMN890" s="124"/>
      <c r="FMO890" s="124"/>
      <c r="FMP890" s="124"/>
      <c r="FMQ890" s="124"/>
      <c r="FMR890" s="124"/>
      <c r="FMS890" s="124"/>
      <c r="FMT890" s="124"/>
      <c r="FMU890" s="124"/>
      <c r="FMV890" s="124"/>
      <c r="FMW890" s="124"/>
      <c r="FMX890" s="124"/>
      <c r="FMY890" s="124"/>
      <c r="FMZ890" s="124"/>
      <c r="FNA890" s="124"/>
      <c r="FNB890" s="124"/>
      <c r="FNC890" s="124"/>
      <c r="FND890" s="124"/>
      <c r="FNE890" s="124"/>
      <c r="FNF890" s="124"/>
      <c r="FNG890" s="124"/>
      <c r="FNH890" s="124"/>
      <c r="FNI890" s="124"/>
      <c r="FNJ890" s="124"/>
      <c r="FNK890" s="124"/>
      <c r="FNL890" s="124"/>
      <c r="FNM890" s="124"/>
      <c r="FNN890" s="124"/>
      <c r="FNO890" s="124"/>
      <c r="FNP890" s="124"/>
      <c r="FNQ890" s="124"/>
      <c r="FNR890" s="124"/>
      <c r="FNS890" s="124"/>
      <c r="FNT890" s="124"/>
      <c r="FNU890" s="124"/>
      <c r="FNV890" s="124"/>
      <c r="FNW890" s="124"/>
      <c r="FNX890" s="124"/>
      <c r="FNY890" s="124"/>
      <c r="FNZ890" s="124"/>
      <c r="FOA890" s="124"/>
      <c r="FOB890" s="124"/>
      <c r="FOC890" s="124"/>
      <c r="FOD890" s="124"/>
      <c r="FOE890" s="124"/>
      <c r="FOF890" s="124"/>
      <c r="FOG890" s="124"/>
      <c r="FOH890" s="124"/>
      <c r="FOI890" s="124"/>
      <c r="FOJ890" s="124"/>
      <c r="FOK890" s="124"/>
      <c r="FOL890" s="124"/>
      <c r="FOM890" s="124"/>
      <c r="FON890" s="124"/>
      <c r="FOO890" s="124"/>
      <c r="FOP890" s="124"/>
      <c r="FOQ890" s="124"/>
      <c r="FOR890" s="124"/>
      <c r="FOS890" s="124"/>
      <c r="FOT890" s="124"/>
      <c r="FOU890" s="124"/>
      <c r="FOV890" s="124"/>
      <c r="FOW890" s="124"/>
      <c r="FOX890" s="124"/>
      <c r="FOY890" s="124"/>
      <c r="FOZ890" s="124"/>
      <c r="FPA890" s="124"/>
      <c r="FPB890" s="124"/>
      <c r="FPC890" s="124"/>
      <c r="FPD890" s="124"/>
      <c r="FPE890" s="124"/>
      <c r="FPF890" s="124"/>
      <c r="FPG890" s="124"/>
      <c r="FPH890" s="124"/>
      <c r="FPI890" s="124"/>
      <c r="FPJ890" s="124"/>
      <c r="FPK890" s="124"/>
      <c r="FPL890" s="124"/>
      <c r="FPM890" s="124"/>
      <c r="FPN890" s="124"/>
      <c r="FPO890" s="124"/>
      <c r="FPP890" s="124"/>
      <c r="FPQ890" s="124"/>
      <c r="FPR890" s="124"/>
      <c r="FPS890" s="124"/>
      <c r="FPT890" s="124"/>
      <c r="FPU890" s="124"/>
      <c r="FPV890" s="124"/>
      <c r="FPW890" s="124"/>
      <c r="FPX890" s="124"/>
      <c r="FPY890" s="124"/>
      <c r="FPZ890" s="124"/>
      <c r="FQA890" s="124"/>
      <c r="FQB890" s="124"/>
      <c r="FQC890" s="124"/>
      <c r="FQD890" s="124"/>
      <c r="FQE890" s="124"/>
      <c r="FQF890" s="124"/>
      <c r="FQG890" s="124"/>
      <c r="FQH890" s="124"/>
      <c r="FQI890" s="124"/>
      <c r="FQJ890" s="124"/>
      <c r="FQK890" s="124"/>
      <c r="FQL890" s="124"/>
      <c r="FQM890" s="124"/>
      <c r="FQN890" s="124"/>
      <c r="FQO890" s="124"/>
      <c r="FQP890" s="124"/>
      <c r="FQQ890" s="124"/>
      <c r="FQR890" s="124"/>
      <c r="FQS890" s="124"/>
      <c r="FQT890" s="124"/>
      <c r="FQU890" s="124"/>
      <c r="FQV890" s="124"/>
      <c r="FQW890" s="124"/>
      <c r="FQX890" s="124"/>
      <c r="FQY890" s="124"/>
      <c r="FQZ890" s="124"/>
      <c r="FRA890" s="124"/>
      <c r="FRB890" s="124"/>
      <c r="FRC890" s="124"/>
      <c r="FRD890" s="124"/>
      <c r="FRE890" s="124"/>
      <c r="FRF890" s="124"/>
      <c r="FRG890" s="124"/>
      <c r="FRH890" s="124"/>
      <c r="FRI890" s="124"/>
      <c r="FRJ890" s="124"/>
      <c r="FRK890" s="124"/>
      <c r="FRL890" s="124"/>
      <c r="FRM890" s="124"/>
      <c r="FRN890" s="124"/>
      <c r="FRO890" s="124"/>
      <c r="FRP890" s="124"/>
      <c r="FRQ890" s="124"/>
      <c r="FRR890" s="124"/>
      <c r="FRS890" s="124"/>
      <c r="FRT890" s="124"/>
      <c r="FRU890" s="124"/>
      <c r="FRV890" s="124"/>
      <c r="FRW890" s="124"/>
      <c r="FRX890" s="124"/>
      <c r="FRY890" s="124"/>
      <c r="FRZ890" s="124"/>
      <c r="FSA890" s="124"/>
      <c r="FSB890" s="124"/>
      <c r="FSC890" s="124"/>
      <c r="FSD890" s="124"/>
      <c r="FSE890" s="124"/>
      <c r="FSF890" s="124"/>
      <c r="FSG890" s="124"/>
      <c r="FSH890" s="124"/>
      <c r="FSI890" s="124"/>
      <c r="FSJ890" s="124"/>
      <c r="FSK890" s="124"/>
      <c r="FSL890" s="124"/>
      <c r="FSM890" s="124"/>
      <c r="FSN890" s="124"/>
      <c r="FSO890" s="124"/>
      <c r="FSP890" s="124"/>
      <c r="FSQ890" s="124"/>
      <c r="FSR890" s="124"/>
      <c r="FSS890" s="124"/>
      <c r="FST890" s="124"/>
      <c r="FSU890" s="124"/>
      <c r="FSV890" s="124"/>
      <c r="FSW890" s="124"/>
      <c r="FSX890" s="124"/>
      <c r="FSY890" s="124"/>
      <c r="FSZ890" s="124"/>
      <c r="FTA890" s="124"/>
      <c r="FTB890" s="124"/>
      <c r="FTC890" s="124"/>
      <c r="FTD890" s="124"/>
      <c r="FTE890" s="124"/>
      <c r="FTF890" s="124"/>
      <c r="FTG890" s="124"/>
      <c r="FTH890" s="124"/>
      <c r="FTI890" s="124"/>
      <c r="FTJ890" s="124"/>
      <c r="FTK890" s="124"/>
      <c r="FTL890" s="124"/>
      <c r="FTM890" s="124"/>
      <c r="FTN890" s="124"/>
      <c r="FTO890" s="124"/>
      <c r="FTP890" s="124"/>
      <c r="FTQ890" s="124"/>
      <c r="FTR890" s="124"/>
      <c r="FTS890" s="124"/>
      <c r="FTT890" s="124"/>
      <c r="FTU890" s="124"/>
      <c r="FTV890" s="124"/>
      <c r="FTW890" s="124"/>
      <c r="FTX890" s="124"/>
      <c r="FTY890" s="124"/>
      <c r="FTZ890" s="124"/>
      <c r="FUA890" s="124"/>
      <c r="FUB890" s="124"/>
      <c r="FUC890" s="124"/>
      <c r="FUD890" s="124"/>
      <c r="FUE890" s="124"/>
      <c r="FUF890" s="124"/>
      <c r="FUG890" s="124"/>
      <c r="FUH890" s="124"/>
      <c r="FUI890" s="124"/>
      <c r="FUJ890" s="124"/>
      <c r="FUK890" s="124"/>
      <c r="FUL890" s="124"/>
      <c r="FUM890" s="124"/>
      <c r="FUN890" s="124"/>
      <c r="FUO890" s="124"/>
      <c r="FUP890" s="124"/>
      <c r="FUQ890" s="124"/>
      <c r="FUR890" s="124"/>
      <c r="FUS890" s="124"/>
      <c r="FUT890" s="124"/>
      <c r="FUU890" s="124"/>
      <c r="FUV890" s="124"/>
      <c r="FUW890" s="124"/>
      <c r="FUX890" s="124"/>
      <c r="FUY890" s="124"/>
      <c r="FUZ890" s="124"/>
      <c r="FVA890" s="124"/>
      <c r="FVB890" s="124"/>
      <c r="FVC890" s="124"/>
      <c r="FVD890" s="124"/>
      <c r="FVE890" s="124"/>
      <c r="FVF890" s="124"/>
      <c r="FVG890" s="124"/>
      <c r="FVH890" s="124"/>
      <c r="FVI890" s="124"/>
      <c r="FVJ890" s="124"/>
      <c r="FVK890" s="124"/>
      <c r="FVL890" s="124"/>
      <c r="FVM890" s="124"/>
      <c r="FVN890" s="124"/>
      <c r="FVO890" s="124"/>
      <c r="FVP890" s="124"/>
      <c r="FVQ890" s="124"/>
      <c r="FVR890" s="124"/>
      <c r="FVS890" s="124"/>
      <c r="FVT890" s="124"/>
      <c r="FVU890" s="124"/>
      <c r="FVV890" s="124"/>
      <c r="FVW890" s="124"/>
      <c r="FVX890" s="124"/>
      <c r="FVY890" s="124"/>
      <c r="FVZ890" s="124"/>
      <c r="FWA890" s="124"/>
      <c r="FWB890" s="124"/>
      <c r="FWC890" s="124"/>
      <c r="FWD890" s="124"/>
      <c r="FWE890" s="124"/>
      <c r="FWF890" s="124"/>
      <c r="FWG890" s="124"/>
      <c r="FWH890" s="124"/>
      <c r="FWI890" s="124"/>
      <c r="FWJ890" s="124"/>
      <c r="FWK890" s="124"/>
      <c r="FWL890" s="124"/>
      <c r="FWM890" s="124"/>
      <c r="FWN890" s="124"/>
      <c r="FWO890" s="124"/>
      <c r="FWP890" s="124"/>
      <c r="FWQ890" s="124"/>
      <c r="FWR890" s="124"/>
      <c r="FWS890" s="124"/>
      <c r="FWT890" s="124"/>
      <c r="FWU890" s="124"/>
      <c r="FWV890" s="124"/>
      <c r="FWW890" s="124"/>
      <c r="FWX890" s="124"/>
      <c r="FWY890" s="124"/>
      <c r="FWZ890" s="124"/>
      <c r="FXA890" s="124"/>
      <c r="FXB890" s="124"/>
      <c r="FXC890" s="124"/>
      <c r="FXD890" s="124"/>
      <c r="FXE890" s="124"/>
      <c r="FXF890" s="124"/>
      <c r="FXG890" s="124"/>
      <c r="FXH890" s="124"/>
      <c r="FXI890" s="124"/>
      <c r="FXJ890" s="124"/>
      <c r="FXK890" s="124"/>
      <c r="FXL890" s="124"/>
      <c r="FXM890" s="124"/>
      <c r="FXN890" s="124"/>
      <c r="FXO890" s="124"/>
      <c r="FXP890" s="124"/>
      <c r="FXQ890" s="124"/>
      <c r="FXR890" s="124"/>
      <c r="FXS890" s="124"/>
      <c r="FXT890" s="124"/>
      <c r="FXU890" s="124"/>
      <c r="FXV890" s="124"/>
      <c r="FXW890" s="124"/>
      <c r="FXX890" s="124"/>
      <c r="FXY890" s="124"/>
      <c r="FXZ890" s="124"/>
      <c r="FYA890" s="124"/>
      <c r="FYB890" s="124"/>
      <c r="FYC890" s="124"/>
      <c r="FYD890" s="124"/>
      <c r="FYE890" s="124"/>
      <c r="FYF890" s="124"/>
      <c r="FYG890" s="124"/>
      <c r="FYH890" s="124"/>
      <c r="FYI890" s="124"/>
      <c r="FYJ890" s="124"/>
      <c r="FYK890" s="124"/>
      <c r="FYL890" s="124"/>
      <c r="FYM890" s="124"/>
      <c r="FYN890" s="124"/>
      <c r="FYO890" s="124"/>
      <c r="FYP890" s="124"/>
      <c r="FYQ890" s="124"/>
      <c r="FYR890" s="124"/>
      <c r="FYS890" s="124"/>
      <c r="FYT890" s="124"/>
      <c r="FYU890" s="124"/>
      <c r="FYV890" s="124"/>
      <c r="FYW890" s="124"/>
      <c r="FYX890" s="124"/>
      <c r="FYY890" s="124"/>
      <c r="FYZ890" s="124"/>
      <c r="FZA890" s="124"/>
      <c r="FZB890" s="124"/>
      <c r="FZC890" s="124"/>
      <c r="FZD890" s="124"/>
      <c r="FZE890" s="124"/>
      <c r="FZF890" s="124"/>
      <c r="FZG890" s="124"/>
      <c r="FZH890" s="124"/>
      <c r="FZI890" s="124"/>
      <c r="FZJ890" s="124"/>
      <c r="FZK890" s="124"/>
      <c r="FZL890" s="124"/>
      <c r="FZM890" s="124"/>
      <c r="FZN890" s="124"/>
      <c r="FZO890" s="124"/>
      <c r="FZP890" s="124"/>
      <c r="FZQ890" s="124"/>
      <c r="FZR890" s="124"/>
      <c r="FZS890" s="124"/>
      <c r="FZT890" s="124"/>
      <c r="FZU890" s="124"/>
      <c r="FZV890" s="124"/>
      <c r="FZW890" s="124"/>
      <c r="FZX890" s="124"/>
      <c r="FZY890" s="124"/>
      <c r="FZZ890" s="124"/>
      <c r="GAA890" s="124"/>
      <c r="GAB890" s="124"/>
      <c r="GAC890" s="124"/>
      <c r="GAD890" s="124"/>
      <c r="GAE890" s="124"/>
      <c r="GAF890" s="124"/>
      <c r="GAG890" s="124"/>
      <c r="GAH890" s="124"/>
      <c r="GAI890" s="124"/>
      <c r="GAJ890" s="124"/>
      <c r="GAK890" s="124"/>
      <c r="GAL890" s="124"/>
      <c r="GAM890" s="124"/>
      <c r="GAN890" s="124"/>
      <c r="GAO890" s="124"/>
      <c r="GAP890" s="124"/>
      <c r="GAQ890" s="124"/>
      <c r="GAR890" s="124"/>
      <c r="GAS890" s="124"/>
      <c r="GAT890" s="124"/>
      <c r="GAU890" s="124"/>
      <c r="GAV890" s="124"/>
      <c r="GAW890" s="124"/>
      <c r="GAX890" s="124"/>
      <c r="GAY890" s="124"/>
      <c r="GAZ890" s="124"/>
      <c r="GBA890" s="124"/>
      <c r="GBB890" s="124"/>
      <c r="GBC890" s="124"/>
      <c r="GBD890" s="124"/>
      <c r="GBE890" s="124"/>
      <c r="GBF890" s="124"/>
      <c r="GBG890" s="124"/>
      <c r="GBH890" s="124"/>
      <c r="GBI890" s="124"/>
      <c r="GBJ890" s="124"/>
      <c r="GBK890" s="124"/>
      <c r="GBL890" s="124"/>
      <c r="GBM890" s="124"/>
      <c r="GBN890" s="124"/>
      <c r="GBO890" s="124"/>
      <c r="GBP890" s="124"/>
      <c r="GBQ890" s="124"/>
      <c r="GBR890" s="124"/>
      <c r="GBS890" s="124"/>
      <c r="GBT890" s="124"/>
      <c r="GBU890" s="124"/>
      <c r="GBV890" s="124"/>
      <c r="GBW890" s="124"/>
      <c r="GBX890" s="124"/>
      <c r="GBY890" s="124"/>
      <c r="GBZ890" s="124"/>
      <c r="GCA890" s="124"/>
      <c r="GCB890" s="124"/>
      <c r="GCC890" s="124"/>
      <c r="GCD890" s="124"/>
      <c r="GCE890" s="124"/>
      <c r="GCF890" s="124"/>
      <c r="GCG890" s="124"/>
      <c r="GCH890" s="124"/>
      <c r="GCI890" s="124"/>
      <c r="GCJ890" s="124"/>
      <c r="GCK890" s="124"/>
      <c r="GCL890" s="124"/>
      <c r="GCM890" s="124"/>
      <c r="GCN890" s="124"/>
      <c r="GCO890" s="124"/>
      <c r="GCP890" s="124"/>
      <c r="GCQ890" s="124"/>
      <c r="GCR890" s="124"/>
      <c r="GCS890" s="124"/>
      <c r="GCT890" s="124"/>
      <c r="GCU890" s="124"/>
      <c r="GCV890" s="124"/>
      <c r="GCW890" s="124"/>
      <c r="GCX890" s="124"/>
      <c r="GCY890" s="124"/>
      <c r="GCZ890" s="124"/>
      <c r="GDA890" s="124"/>
      <c r="GDB890" s="124"/>
      <c r="GDC890" s="124"/>
      <c r="GDD890" s="124"/>
      <c r="GDE890" s="124"/>
      <c r="GDF890" s="124"/>
      <c r="GDG890" s="124"/>
      <c r="GDH890" s="124"/>
      <c r="GDI890" s="124"/>
      <c r="GDJ890" s="124"/>
      <c r="GDK890" s="124"/>
      <c r="GDL890" s="124"/>
      <c r="GDM890" s="124"/>
      <c r="GDN890" s="124"/>
      <c r="GDO890" s="124"/>
      <c r="GDP890" s="124"/>
      <c r="GDQ890" s="124"/>
      <c r="GDR890" s="124"/>
      <c r="GDS890" s="124"/>
      <c r="GDT890" s="124"/>
      <c r="GDU890" s="124"/>
      <c r="GDV890" s="124"/>
      <c r="GDW890" s="124"/>
      <c r="GDX890" s="124"/>
      <c r="GDY890" s="124"/>
      <c r="GDZ890" s="124"/>
      <c r="GEA890" s="124"/>
      <c r="GEB890" s="124"/>
      <c r="GEC890" s="124"/>
      <c r="GED890" s="124"/>
      <c r="GEE890" s="124"/>
      <c r="GEF890" s="124"/>
      <c r="GEG890" s="124"/>
      <c r="GEH890" s="124"/>
      <c r="GEI890" s="124"/>
      <c r="GEJ890" s="124"/>
      <c r="GEK890" s="124"/>
      <c r="GEL890" s="124"/>
      <c r="GEM890" s="124"/>
      <c r="GEN890" s="124"/>
      <c r="GEO890" s="124"/>
      <c r="GEP890" s="124"/>
      <c r="GEQ890" s="124"/>
      <c r="GER890" s="124"/>
      <c r="GES890" s="124"/>
      <c r="GET890" s="124"/>
      <c r="GEU890" s="124"/>
      <c r="GEV890" s="124"/>
      <c r="GEW890" s="124"/>
      <c r="GEX890" s="124"/>
      <c r="GEY890" s="124"/>
      <c r="GEZ890" s="124"/>
      <c r="GFA890" s="124"/>
      <c r="GFB890" s="124"/>
      <c r="GFC890" s="124"/>
      <c r="GFD890" s="124"/>
      <c r="GFE890" s="124"/>
      <c r="GFF890" s="124"/>
      <c r="GFG890" s="124"/>
      <c r="GFH890" s="124"/>
      <c r="GFI890" s="124"/>
      <c r="GFJ890" s="124"/>
      <c r="GFK890" s="124"/>
      <c r="GFL890" s="124"/>
      <c r="GFM890" s="124"/>
      <c r="GFN890" s="124"/>
      <c r="GFO890" s="124"/>
      <c r="GFP890" s="124"/>
      <c r="GFQ890" s="124"/>
      <c r="GFR890" s="124"/>
      <c r="GFS890" s="124"/>
      <c r="GFT890" s="124"/>
      <c r="GFU890" s="124"/>
      <c r="GFV890" s="124"/>
      <c r="GFW890" s="124"/>
      <c r="GFX890" s="124"/>
      <c r="GFY890" s="124"/>
      <c r="GFZ890" s="124"/>
      <c r="GGA890" s="124"/>
      <c r="GGB890" s="124"/>
      <c r="GGC890" s="124"/>
      <c r="GGD890" s="124"/>
      <c r="GGE890" s="124"/>
      <c r="GGF890" s="124"/>
      <c r="GGG890" s="124"/>
      <c r="GGH890" s="124"/>
      <c r="GGI890" s="124"/>
      <c r="GGJ890" s="124"/>
      <c r="GGK890" s="124"/>
      <c r="GGL890" s="124"/>
      <c r="GGM890" s="124"/>
      <c r="GGN890" s="124"/>
      <c r="GGO890" s="124"/>
      <c r="GGP890" s="124"/>
      <c r="GGQ890" s="124"/>
      <c r="GGR890" s="124"/>
      <c r="GGS890" s="124"/>
      <c r="GGT890" s="124"/>
      <c r="GGU890" s="124"/>
      <c r="GGV890" s="124"/>
      <c r="GGW890" s="124"/>
      <c r="GGX890" s="124"/>
      <c r="GGY890" s="124"/>
      <c r="GGZ890" s="124"/>
      <c r="GHA890" s="124"/>
      <c r="GHB890" s="124"/>
      <c r="GHC890" s="124"/>
      <c r="GHD890" s="124"/>
      <c r="GHE890" s="124"/>
      <c r="GHF890" s="124"/>
      <c r="GHG890" s="124"/>
      <c r="GHH890" s="124"/>
      <c r="GHI890" s="124"/>
      <c r="GHJ890" s="124"/>
      <c r="GHK890" s="124"/>
      <c r="GHL890" s="124"/>
      <c r="GHM890" s="124"/>
      <c r="GHN890" s="124"/>
      <c r="GHO890" s="124"/>
      <c r="GHP890" s="124"/>
      <c r="GHQ890" s="124"/>
      <c r="GHR890" s="124"/>
      <c r="GHS890" s="124"/>
      <c r="GHT890" s="124"/>
      <c r="GHU890" s="124"/>
      <c r="GHV890" s="124"/>
      <c r="GHW890" s="124"/>
      <c r="GHX890" s="124"/>
      <c r="GHY890" s="124"/>
      <c r="GHZ890" s="124"/>
      <c r="GIA890" s="124"/>
      <c r="GIB890" s="124"/>
      <c r="GIC890" s="124"/>
      <c r="GID890" s="124"/>
      <c r="GIE890" s="124"/>
      <c r="GIF890" s="124"/>
      <c r="GIG890" s="124"/>
      <c r="GIH890" s="124"/>
      <c r="GII890" s="124"/>
      <c r="GIJ890" s="124"/>
      <c r="GIK890" s="124"/>
      <c r="GIL890" s="124"/>
      <c r="GIM890" s="124"/>
      <c r="GIN890" s="124"/>
      <c r="GIO890" s="124"/>
      <c r="GIP890" s="124"/>
      <c r="GIQ890" s="124"/>
      <c r="GIR890" s="124"/>
      <c r="GIS890" s="124"/>
      <c r="GIT890" s="124"/>
      <c r="GIU890" s="124"/>
      <c r="GIV890" s="124"/>
      <c r="GIW890" s="124"/>
      <c r="GIX890" s="124"/>
      <c r="GIY890" s="124"/>
      <c r="GIZ890" s="124"/>
      <c r="GJA890" s="124"/>
      <c r="GJB890" s="124"/>
      <c r="GJC890" s="124"/>
      <c r="GJD890" s="124"/>
      <c r="GJE890" s="124"/>
      <c r="GJF890" s="124"/>
      <c r="GJG890" s="124"/>
      <c r="GJH890" s="124"/>
      <c r="GJI890" s="124"/>
      <c r="GJJ890" s="124"/>
      <c r="GJK890" s="124"/>
      <c r="GJL890" s="124"/>
      <c r="GJM890" s="124"/>
      <c r="GJN890" s="124"/>
      <c r="GJO890" s="124"/>
      <c r="GJP890" s="124"/>
      <c r="GJQ890" s="124"/>
      <c r="GJR890" s="124"/>
      <c r="GJS890" s="124"/>
      <c r="GJT890" s="124"/>
      <c r="GJU890" s="124"/>
      <c r="GJV890" s="124"/>
      <c r="GJW890" s="124"/>
      <c r="GJX890" s="124"/>
      <c r="GJY890" s="124"/>
      <c r="GJZ890" s="124"/>
      <c r="GKA890" s="124"/>
      <c r="GKB890" s="124"/>
      <c r="GKC890" s="124"/>
      <c r="GKD890" s="124"/>
      <c r="GKE890" s="124"/>
      <c r="GKF890" s="124"/>
      <c r="GKG890" s="124"/>
      <c r="GKH890" s="124"/>
      <c r="GKI890" s="124"/>
      <c r="GKJ890" s="124"/>
      <c r="GKK890" s="124"/>
      <c r="GKL890" s="124"/>
      <c r="GKM890" s="124"/>
      <c r="GKN890" s="124"/>
      <c r="GKO890" s="124"/>
      <c r="GKP890" s="124"/>
      <c r="GKQ890" s="124"/>
      <c r="GKR890" s="124"/>
      <c r="GKS890" s="124"/>
      <c r="GKT890" s="124"/>
      <c r="GKU890" s="124"/>
      <c r="GKV890" s="124"/>
      <c r="GKW890" s="124"/>
      <c r="GKX890" s="124"/>
      <c r="GKY890" s="124"/>
      <c r="GKZ890" s="124"/>
      <c r="GLA890" s="124"/>
      <c r="GLB890" s="124"/>
      <c r="GLC890" s="124"/>
      <c r="GLD890" s="124"/>
      <c r="GLE890" s="124"/>
      <c r="GLF890" s="124"/>
      <c r="GLG890" s="124"/>
      <c r="GLH890" s="124"/>
      <c r="GLI890" s="124"/>
      <c r="GLJ890" s="124"/>
      <c r="GLK890" s="124"/>
      <c r="GLL890" s="124"/>
      <c r="GLM890" s="124"/>
      <c r="GLN890" s="124"/>
      <c r="GLO890" s="124"/>
      <c r="GLP890" s="124"/>
      <c r="GLQ890" s="124"/>
      <c r="GLR890" s="124"/>
      <c r="GLS890" s="124"/>
      <c r="GLT890" s="124"/>
      <c r="GLU890" s="124"/>
      <c r="GLV890" s="124"/>
      <c r="GLW890" s="124"/>
      <c r="GLX890" s="124"/>
      <c r="GLY890" s="124"/>
      <c r="GLZ890" s="124"/>
      <c r="GMA890" s="124"/>
      <c r="GMB890" s="124"/>
      <c r="GMC890" s="124"/>
      <c r="GMD890" s="124"/>
      <c r="GME890" s="124"/>
      <c r="GMF890" s="124"/>
      <c r="GMG890" s="124"/>
      <c r="GMH890" s="124"/>
      <c r="GMI890" s="124"/>
      <c r="GMJ890" s="124"/>
      <c r="GMK890" s="124"/>
      <c r="GML890" s="124"/>
      <c r="GMM890" s="124"/>
      <c r="GMN890" s="124"/>
      <c r="GMO890" s="124"/>
      <c r="GMP890" s="124"/>
      <c r="GMQ890" s="124"/>
      <c r="GMR890" s="124"/>
      <c r="GMS890" s="124"/>
      <c r="GMT890" s="124"/>
      <c r="GMU890" s="124"/>
      <c r="GMV890" s="124"/>
      <c r="GMW890" s="124"/>
      <c r="GMX890" s="124"/>
      <c r="GMY890" s="124"/>
      <c r="GMZ890" s="124"/>
      <c r="GNA890" s="124"/>
      <c r="GNB890" s="124"/>
      <c r="GNC890" s="124"/>
      <c r="GND890" s="124"/>
      <c r="GNE890" s="124"/>
      <c r="GNF890" s="124"/>
      <c r="GNG890" s="124"/>
      <c r="GNH890" s="124"/>
      <c r="GNI890" s="124"/>
      <c r="GNJ890" s="124"/>
      <c r="GNK890" s="124"/>
      <c r="GNL890" s="124"/>
      <c r="GNM890" s="124"/>
      <c r="GNN890" s="124"/>
      <c r="GNO890" s="124"/>
      <c r="GNP890" s="124"/>
      <c r="GNQ890" s="124"/>
      <c r="GNR890" s="124"/>
      <c r="GNS890" s="124"/>
      <c r="GNT890" s="124"/>
      <c r="GNU890" s="124"/>
      <c r="GNV890" s="124"/>
      <c r="GNW890" s="124"/>
      <c r="GNX890" s="124"/>
      <c r="GNY890" s="124"/>
      <c r="GNZ890" s="124"/>
      <c r="GOA890" s="124"/>
      <c r="GOB890" s="124"/>
      <c r="GOC890" s="124"/>
      <c r="GOD890" s="124"/>
      <c r="GOE890" s="124"/>
      <c r="GOF890" s="124"/>
      <c r="GOG890" s="124"/>
      <c r="GOH890" s="124"/>
      <c r="GOI890" s="124"/>
      <c r="GOJ890" s="124"/>
      <c r="GOK890" s="124"/>
      <c r="GOL890" s="124"/>
      <c r="GOM890" s="124"/>
      <c r="GON890" s="124"/>
      <c r="GOO890" s="124"/>
      <c r="GOP890" s="124"/>
      <c r="GOQ890" s="124"/>
      <c r="GOR890" s="124"/>
      <c r="GOS890" s="124"/>
      <c r="GOT890" s="124"/>
      <c r="GOU890" s="124"/>
      <c r="GOV890" s="124"/>
      <c r="GOW890" s="124"/>
      <c r="GOX890" s="124"/>
      <c r="GOY890" s="124"/>
      <c r="GOZ890" s="124"/>
      <c r="GPA890" s="124"/>
      <c r="GPB890" s="124"/>
      <c r="GPC890" s="124"/>
      <c r="GPD890" s="124"/>
      <c r="GPE890" s="124"/>
      <c r="GPF890" s="124"/>
      <c r="GPG890" s="124"/>
      <c r="GPH890" s="124"/>
      <c r="GPI890" s="124"/>
      <c r="GPJ890" s="124"/>
      <c r="GPK890" s="124"/>
      <c r="GPL890" s="124"/>
      <c r="GPM890" s="124"/>
      <c r="GPN890" s="124"/>
      <c r="GPO890" s="124"/>
      <c r="GPP890" s="124"/>
      <c r="GPQ890" s="124"/>
      <c r="GPR890" s="124"/>
      <c r="GPS890" s="124"/>
      <c r="GPT890" s="124"/>
      <c r="GPU890" s="124"/>
      <c r="GPV890" s="124"/>
      <c r="GPW890" s="124"/>
      <c r="GPX890" s="124"/>
      <c r="GPY890" s="124"/>
      <c r="GPZ890" s="124"/>
      <c r="GQA890" s="124"/>
      <c r="GQB890" s="124"/>
      <c r="GQC890" s="124"/>
      <c r="GQD890" s="124"/>
      <c r="GQE890" s="124"/>
      <c r="GQF890" s="124"/>
      <c r="GQG890" s="124"/>
      <c r="GQH890" s="124"/>
      <c r="GQI890" s="124"/>
      <c r="GQJ890" s="124"/>
      <c r="GQK890" s="124"/>
      <c r="GQL890" s="124"/>
      <c r="GQM890" s="124"/>
      <c r="GQN890" s="124"/>
      <c r="GQO890" s="124"/>
      <c r="GQP890" s="124"/>
      <c r="GQQ890" s="124"/>
      <c r="GQR890" s="124"/>
      <c r="GQS890" s="124"/>
      <c r="GQT890" s="124"/>
      <c r="GQU890" s="124"/>
      <c r="GQV890" s="124"/>
      <c r="GQW890" s="124"/>
      <c r="GQX890" s="124"/>
      <c r="GQY890" s="124"/>
      <c r="GQZ890" s="124"/>
      <c r="GRA890" s="124"/>
      <c r="GRB890" s="124"/>
      <c r="GRC890" s="124"/>
      <c r="GRD890" s="124"/>
      <c r="GRE890" s="124"/>
      <c r="GRF890" s="124"/>
      <c r="GRG890" s="124"/>
      <c r="GRH890" s="124"/>
      <c r="GRI890" s="124"/>
      <c r="GRJ890" s="124"/>
      <c r="GRK890" s="124"/>
      <c r="GRL890" s="124"/>
      <c r="GRM890" s="124"/>
      <c r="GRN890" s="124"/>
      <c r="GRO890" s="124"/>
      <c r="GRP890" s="124"/>
      <c r="GRQ890" s="124"/>
      <c r="GRR890" s="124"/>
      <c r="GRS890" s="124"/>
      <c r="GRT890" s="124"/>
      <c r="GRU890" s="124"/>
      <c r="GRV890" s="124"/>
      <c r="GRW890" s="124"/>
      <c r="GRX890" s="124"/>
      <c r="GRY890" s="124"/>
      <c r="GRZ890" s="124"/>
      <c r="GSA890" s="124"/>
      <c r="GSB890" s="124"/>
      <c r="GSC890" s="124"/>
      <c r="GSD890" s="124"/>
      <c r="GSE890" s="124"/>
      <c r="GSF890" s="124"/>
      <c r="GSG890" s="124"/>
      <c r="GSH890" s="124"/>
      <c r="GSI890" s="124"/>
      <c r="GSJ890" s="124"/>
      <c r="GSK890" s="124"/>
      <c r="GSL890" s="124"/>
      <c r="GSM890" s="124"/>
      <c r="GSN890" s="124"/>
      <c r="GSO890" s="124"/>
      <c r="GSP890" s="124"/>
      <c r="GSQ890" s="124"/>
      <c r="GSR890" s="124"/>
      <c r="GSS890" s="124"/>
      <c r="GST890" s="124"/>
      <c r="GSU890" s="124"/>
      <c r="GSV890" s="124"/>
      <c r="GSW890" s="124"/>
      <c r="GSX890" s="124"/>
      <c r="GSY890" s="124"/>
      <c r="GSZ890" s="124"/>
      <c r="GTA890" s="124"/>
      <c r="GTB890" s="124"/>
      <c r="GTC890" s="124"/>
      <c r="GTD890" s="124"/>
      <c r="GTE890" s="124"/>
      <c r="GTF890" s="124"/>
      <c r="GTG890" s="124"/>
      <c r="GTH890" s="124"/>
      <c r="GTI890" s="124"/>
      <c r="GTJ890" s="124"/>
      <c r="GTK890" s="124"/>
      <c r="GTL890" s="124"/>
      <c r="GTM890" s="124"/>
      <c r="GTN890" s="124"/>
      <c r="GTO890" s="124"/>
      <c r="GTP890" s="124"/>
      <c r="GTQ890" s="124"/>
      <c r="GTR890" s="124"/>
      <c r="GTS890" s="124"/>
      <c r="GTT890" s="124"/>
      <c r="GTU890" s="124"/>
      <c r="GTV890" s="124"/>
      <c r="GTW890" s="124"/>
      <c r="GTX890" s="124"/>
      <c r="GTY890" s="124"/>
      <c r="GTZ890" s="124"/>
      <c r="GUA890" s="124"/>
      <c r="GUB890" s="124"/>
      <c r="GUC890" s="124"/>
      <c r="GUD890" s="124"/>
      <c r="GUE890" s="124"/>
      <c r="GUF890" s="124"/>
      <c r="GUG890" s="124"/>
      <c r="GUH890" s="124"/>
      <c r="GUI890" s="124"/>
      <c r="GUJ890" s="124"/>
      <c r="GUK890" s="124"/>
      <c r="GUL890" s="124"/>
      <c r="GUM890" s="124"/>
      <c r="GUN890" s="124"/>
      <c r="GUO890" s="124"/>
      <c r="GUP890" s="124"/>
      <c r="GUQ890" s="124"/>
      <c r="GUR890" s="124"/>
      <c r="GUS890" s="124"/>
      <c r="GUT890" s="124"/>
      <c r="GUU890" s="124"/>
      <c r="GUV890" s="124"/>
      <c r="GUW890" s="124"/>
      <c r="GUX890" s="124"/>
      <c r="GUY890" s="124"/>
      <c r="GUZ890" s="124"/>
      <c r="GVA890" s="124"/>
      <c r="GVB890" s="124"/>
      <c r="GVC890" s="124"/>
      <c r="GVD890" s="124"/>
      <c r="GVE890" s="124"/>
      <c r="GVF890" s="124"/>
      <c r="GVG890" s="124"/>
      <c r="GVH890" s="124"/>
      <c r="GVI890" s="124"/>
      <c r="GVJ890" s="124"/>
      <c r="GVK890" s="124"/>
      <c r="GVL890" s="124"/>
      <c r="GVM890" s="124"/>
      <c r="GVN890" s="124"/>
      <c r="GVO890" s="124"/>
      <c r="GVP890" s="124"/>
      <c r="GVQ890" s="124"/>
      <c r="GVR890" s="124"/>
      <c r="GVS890" s="124"/>
      <c r="GVT890" s="124"/>
      <c r="GVU890" s="124"/>
      <c r="GVV890" s="124"/>
      <c r="GVW890" s="124"/>
      <c r="GVX890" s="124"/>
      <c r="GVY890" s="124"/>
      <c r="GVZ890" s="124"/>
      <c r="GWA890" s="124"/>
      <c r="GWB890" s="124"/>
      <c r="GWC890" s="124"/>
      <c r="GWD890" s="124"/>
      <c r="GWE890" s="124"/>
      <c r="GWF890" s="124"/>
      <c r="GWG890" s="124"/>
      <c r="GWH890" s="124"/>
      <c r="GWI890" s="124"/>
      <c r="GWJ890" s="124"/>
      <c r="GWK890" s="124"/>
      <c r="GWL890" s="124"/>
      <c r="GWM890" s="124"/>
      <c r="GWN890" s="124"/>
      <c r="GWO890" s="124"/>
      <c r="GWP890" s="124"/>
      <c r="GWQ890" s="124"/>
      <c r="GWR890" s="124"/>
      <c r="GWS890" s="124"/>
      <c r="GWT890" s="124"/>
      <c r="GWU890" s="124"/>
      <c r="GWV890" s="124"/>
      <c r="GWW890" s="124"/>
      <c r="GWX890" s="124"/>
      <c r="GWY890" s="124"/>
      <c r="GWZ890" s="124"/>
      <c r="GXA890" s="124"/>
      <c r="GXB890" s="124"/>
      <c r="GXC890" s="124"/>
      <c r="GXD890" s="124"/>
      <c r="GXE890" s="124"/>
      <c r="GXF890" s="124"/>
      <c r="GXG890" s="124"/>
      <c r="GXH890" s="124"/>
      <c r="GXI890" s="124"/>
      <c r="GXJ890" s="124"/>
      <c r="GXK890" s="124"/>
      <c r="GXL890" s="124"/>
      <c r="GXM890" s="124"/>
      <c r="GXN890" s="124"/>
      <c r="GXO890" s="124"/>
      <c r="GXP890" s="124"/>
      <c r="GXQ890" s="124"/>
      <c r="GXR890" s="124"/>
      <c r="GXS890" s="124"/>
      <c r="GXT890" s="124"/>
      <c r="GXU890" s="124"/>
      <c r="GXV890" s="124"/>
      <c r="GXW890" s="124"/>
      <c r="GXX890" s="124"/>
      <c r="GXY890" s="124"/>
      <c r="GXZ890" s="124"/>
      <c r="GYA890" s="124"/>
      <c r="GYB890" s="124"/>
      <c r="GYC890" s="124"/>
      <c r="GYD890" s="124"/>
      <c r="GYE890" s="124"/>
      <c r="GYF890" s="124"/>
      <c r="GYG890" s="124"/>
      <c r="GYH890" s="124"/>
      <c r="GYI890" s="124"/>
      <c r="GYJ890" s="124"/>
      <c r="GYK890" s="124"/>
      <c r="GYL890" s="124"/>
      <c r="GYM890" s="124"/>
      <c r="GYN890" s="124"/>
      <c r="GYO890" s="124"/>
      <c r="GYP890" s="124"/>
      <c r="GYQ890" s="124"/>
      <c r="GYR890" s="124"/>
      <c r="GYS890" s="124"/>
      <c r="GYT890" s="124"/>
      <c r="GYU890" s="124"/>
      <c r="GYV890" s="124"/>
      <c r="GYW890" s="124"/>
      <c r="GYX890" s="124"/>
      <c r="GYY890" s="124"/>
      <c r="GYZ890" s="124"/>
      <c r="GZA890" s="124"/>
      <c r="GZB890" s="124"/>
      <c r="GZC890" s="124"/>
      <c r="GZD890" s="124"/>
      <c r="GZE890" s="124"/>
      <c r="GZF890" s="124"/>
      <c r="GZG890" s="124"/>
      <c r="GZH890" s="124"/>
      <c r="GZI890" s="124"/>
      <c r="GZJ890" s="124"/>
      <c r="GZK890" s="124"/>
      <c r="GZL890" s="124"/>
      <c r="GZM890" s="124"/>
      <c r="GZN890" s="124"/>
      <c r="GZO890" s="124"/>
      <c r="GZP890" s="124"/>
      <c r="GZQ890" s="124"/>
      <c r="GZR890" s="124"/>
      <c r="GZS890" s="124"/>
      <c r="GZT890" s="124"/>
      <c r="GZU890" s="124"/>
      <c r="GZV890" s="124"/>
      <c r="GZW890" s="124"/>
      <c r="GZX890" s="124"/>
      <c r="GZY890" s="124"/>
      <c r="GZZ890" s="124"/>
      <c r="HAA890" s="124"/>
      <c r="HAB890" s="124"/>
      <c r="HAC890" s="124"/>
      <c r="HAD890" s="124"/>
      <c r="HAE890" s="124"/>
      <c r="HAF890" s="124"/>
      <c r="HAG890" s="124"/>
      <c r="HAH890" s="124"/>
      <c r="HAI890" s="124"/>
      <c r="HAJ890" s="124"/>
      <c r="HAK890" s="124"/>
      <c r="HAL890" s="124"/>
      <c r="HAM890" s="124"/>
      <c r="HAN890" s="124"/>
      <c r="HAO890" s="124"/>
      <c r="HAP890" s="124"/>
      <c r="HAQ890" s="124"/>
      <c r="HAR890" s="124"/>
      <c r="HAS890" s="124"/>
      <c r="HAT890" s="124"/>
      <c r="HAU890" s="124"/>
      <c r="HAV890" s="124"/>
      <c r="HAW890" s="124"/>
      <c r="HAX890" s="124"/>
      <c r="HAY890" s="124"/>
      <c r="HAZ890" s="124"/>
      <c r="HBA890" s="124"/>
      <c r="HBB890" s="124"/>
      <c r="HBC890" s="124"/>
      <c r="HBD890" s="124"/>
      <c r="HBE890" s="124"/>
      <c r="HBF890" s="124"/>
      <c r="HBG890" s="124"/>
      <c r="HBH890" s="124"/>
      <c r="HBI890" s="124"/>
      <c r="HBJ890" s="124"/>
      <c r="HBK890" s="124"/>
      <c r="HBL890" s="124"/>
      <c r="HBM890" s="124"/>
      <c r="HBN890" s="124"/>
      <c r="HBO890" s="124"/>
      <c r="HBP890" s="124"/>
      <c r="HBQ890" s="124"/>
      <c r="HBR890" s="124"/>
      <c r="HBS890" s="124"/>
      <c r="HBT890" s="124"/>
      <c r="HBU890" s="124"/>
      <c r="HBV890" s="124"/>
      <c r="HBW890" s="124"/>
      <c r="HBX890" s="124"/>
      <c r="HBY890" s="124"/>
      <c r="HBZ890" s="124"/>
      <c r="HCA890" s="124"/>
      <c r="HCB890" s="124"/>
      <c r="HCC890" s="124"/>
      <c r="HCD890" s="124"/>
      <c r="HCE890" s="124"/>
      <c r="HCF890" s="124"/>
      <c r="HCG890" s="124"/>
      <c r="HCH890" s="124"/>
      <c r="HCI890" s="124"/>
      <c r="HCJ890" s="124"/>
      <c r="HCK890" s="124"/>
      <c r="HCL890" s="124"/>
      <c r="HCM890" s="124"/>
      <c r="HCN890" s="124"/>
      <c r="HCO890" s="124"/>
      <c r="HCP890" s="124"/>
      <c r="HCQ890" s="124"/>
      <c r="HCR890" s="124"/>
      <c r="HCS890" s="124"/>
      <c r="HCT890" s="124"/>
      <c r="HCU890" s="124"/>
      <c r="HCV890" s="124"/>
      <c r="HCW890" s="124"/>
      <c r="HCX890" s="124"/>
      <c r="HCY890" s="124"/>
      <c r="HCZ890" s="124"/>
      <c r="HDA890" s="124"/>
      <c r="HDB890" s="124"/>
      <c r="HDC890" s="124"/>
      <c r="HDD890" s="124"/>
      <c r="HDE890" s="124"/>
      <c r="HDF890" s="124"/>
      <c r="HDG890" s="124"/>
      <c r="HDH890" s="124"/>
      <c r="HDI890" s="124"/>
      <c r="HDJ890" s="124"/>
      <c r="HDK890" s="124"/>
      <c r="HDL890" s="124"/>
      <c r="HDM890" s="124"/>
      <c r="HDN890" s="124"/>
      <c r="HDO890" s="124"/>
      <c r="HDP890" s="124"/>
      <c r="HDQ890" s="124"/>
      <c r="HDR890" s="124"/>
      <c r="HDS890" s="124"/>
      <c r="HDT890" s="124"/>
      <c r="HDU890" s="124"/>
      <c r="HDV890" s="124"/>
      <c r="HDW890" s="124"/>
      <c r="HDX890" s="124"/>
      <c r="HDY890" s="124"/>
      <c r="HDZ890" s="124"/>
      <c r="HEA890" s="124"/>
      <c r="HEB890" s="124"/>
      <c r="HEC890" s="124"/>
      <c r="HED890" s="124"/>
      <c r="HEE890" s="124"/>
      <c r="HEF890" s="124"/>
      <c r="HEG890" s="124"/>
      <c r="HEH890" s="124"/>
      <c r="HEI890" s="124"/>
      <c r="HEJ890" s="124"/>
      <c r="HEK890" s="124"/>
      <c r="HEL890" s="124"/>
      <c r="HEM890" s="124"/>
      <c r="HEN890" s="124"/>
      <c r="HEO890" s="124"/>
      <c r="HEP890" s="124"/>
      <c r="HEQ890" s="124"/>
      <c r="HER890" s="124"/>
      <c r="HES890" s="124"/>
      <c r="HET890" s="124"/>
      <c r="HEU890" s="124"/>
      <c r="HEV890" s="124"/>
      <c r="HEW890" s="124"/>
      <c r="HEX890" s="124"/>
      <c r="HEY890" s="124"/>
      <c r="HEZ890" s="124"/>
      <c r="HFA890" s="124"/>
      <c r="HFB890" s="124"/>
      <c r="HFC890" s="124"/>
      <c r="HFD890" s="124"/>
      <c r="HFE890" s="124"/>
      <c r="HFF890" s="124"/>
      <c r="HFG890" s="124"/>
      <c r="HFH890" s="124"/>
      <c r="HFI890" s="124"/>
      <c r="HFJ890" s="124"/>
      <c r="HFK890" s="124"/>
      <c r="HFL890" s="124"/>
      <c r="HFM890" s="124"/>
      <c r="HFN890" s="124"/>
      <c r="HFO890" s="124"/>
      <c r="HFP890" s="124"/>
      <c r="HFQ890" s="124"/>
      <c r="HFR890" s="124"/>
      <c r="HFS890" s="124"/>
      <c r="HFT890" s="124"/>
      <c r="HFU890" s="124"/>
      <c r="HFV890" s="124"/>
      <c r="HFW890" s="124"/>
      <c r="HFX890" s="124"/>
      <c r="HFY890" s="124"/>
      <c r="HFZ890" s="124"/>
      <c r="HGA890" s="124"/>
      <c r="HGB890" s="124"/>
      <c r="HGC890" s="124"/>
      <c r="HGD890" s="124"/>
      <c r="HGE890" s="124"/>
      <c r="HGF890" s="124"/>
      <c r="HGG890" s="124"/>
      <c r="HGH890" s="124"/>
      <c r="HGI890" s="124"/>
      <c r="HGJ890" s="124"/>
      <c r="HGK890" s="124"/>
      <c r="HGL890" s="124"/>
      <c r="HGM890" s="124"/>
      <c r="HGN890" s="124"/>
      <c r="HGO890" s="124"/>
      <c r="HGP890" s="124"/>
      <c r="HGQ890" s="124"/>
      <c r="HGR890" s="124"/>
      <c r="HGS890" s="124"/>
      <c r="HGT890" s="124"/>
      <c r="HGU890" s="124"/>
      <c r="HGV890" s="124"/>
      <c r="HGW890" s="124"/>
      <c r="HGX890" s="124"/>
      <c r="HGY890" s="124"/>
      <c r="HGZ890" s="124"/>
      <c r="HHA890" s="124"/>
      <c r="HHB890" s="124"/>
      <c r="HHC890" s="124"/>
      <c r="HHD890" s="124"/>
      <c r="HHE890" s="124"/>
      <c r="HHF890" s="124"/>
      <c r="HHG890" s="124"/>
      <c r="HHH890" s="124"/>
      <c r="HHI890" s="124"/>
      <c r="HHJ890" s="124"/>
      <c r="HHK890" s="124"/>
      <c r="HHL890" s="124"/>
      <c r="HHM890" s="124"/>
      <c r="HHN890" s="124"/>
      <c r="HHO890" s="124"/>
      <c r="HHP890" s="124"/>
      <c r="HHQ890" s="124"/>
      <c r="HHR890" s="124"/>
      <c r="HHS890" s="124"/>
      <c r="HHT890" s="124"/>
      <c r="HHU890" s="124"/>
      <c r="HHV890" s="124"/>
      <c r="HHW890" s="124"/>
      <c r="HHX890" s="124"/>
      <c r="HHY890" s="124"/>
      <c r="HHZ890" s="124"/>
      <c r="HIA890" s="124"/>
      <c r="HIB890" s="124"/>
      <c r="HIC890" s="124"/>
      <c r="HID890" s="124"/>
      <c r="HIE890" s="124"/>
      <c r="HIF890" s="124"/>
      <c r="HIG890" s="124"/>
      <c r="HIH890" s="124"/>
      <c r="HII890" s="124"/>
      <c r="HIJ890" s="124"/>
      <c r="HIK890" s="124"/>
      <c r="HIL890" s="124"/>
      <c r="HIM890" s="124"/>
      <c r="HIN890" s="124"/>
      <c r="HIO890" s="124"/>
      <c r="HIP890" s="124"/>
      <c r="HIQ890" s="124"/>
      <c r="HIR890" s="124"/>
      <c r="HIS890" s="124"/>
      <c r="HIT890" s="124"/>
      <c r="HIU890" s="124"/>
      <c r="HIV890" s="124"/>
      <c r="HIW890" s="124"/>
      <c r="HIX890" s="124"/>
      <c r="HIY890" s="124"/>
      <c r="HIZ890" s="124"/>
      <c r="HJA890" s="124"/>
      <c r="HJB890" s="124"/>
      <c r="HJC890" s="124"/>
      <c r="HJD890" s="124"/>
      <c r="HJE890" s="124"/>
      <c r="HJF890" s="124"/>
      <c r="HJG890" s="124"/>
      <c r="HJH890" s="124"/>
      <c r="HJI890" s="124"/>
      <c r="HJJ890" s="124"/>
      <c r="HJK890" s="124"/>
      <c r="HJL890" s="124"/>
      <c r="HJM890" s="124"/>
      <c r="HJN890" s="124"/>
      <c r="HJO890" s="124"/>
      <c r="HJP890" s="124"/>
      <c r="HJQ890" s="124"/>
      <c r="HJR890" s="124"/>
      <c r="HJS890" s="124"/>
      <c r="HJT890" s="124"/>
      <c r="HJU890" s="124"/>
      <c r="HJV890" s="124"/>
      <c r="HJW890" s="124"/>
      <c r="HJX890" s="124"/>
      <c r="HJY890" s="124"/>
      <c r="HJZ890" s="124"/>
      <c r="HKA890" s="124"/>
      <c r="HKB890" s="124"/>
      <c r="HKC890" s="124"/>
      <c r="HKD890" s="124"/>
      <c r="HKE890" s="124"/>
      <c r="HKF890" s="124"/>
      <c r="HKG890" s="124"/>
      <c r="HKH890" s="124"/>
      <c r="HKI890" s="124"/>
      <c r="HKJ890" s="124"/>
      <c r="HKK890" s="124"/>
      <c r="HKL890" s="124"/>
      <c r="HKM890" s="124"/>
      <c r="HKN890" s="124"/>
      <c r="HKO890" s="124"/>
      <c r="HKP890" s="124"/>
      <c r="HKQ890" s="124"/>
      <c r="HKR890" s="124"/>
      <c r="HKS890" s="124"/>
      <c r="HKT890" s="124"/>
      <c r="HKU890" s="124"/>
      <c r="HKV890" s="124"/>
      <c r="HKW890" s="124"/>
      <c r="HKX890" s="124"/>
      <c r="HKY890" s="124"/>
      <c r="HKZ890" s="124"/>
      <c r="HLA890" s="124"/>
      <c r="HLB890" s="124"/>
      <c r="HLC890" s="124"/>
      <c r="HLD890" s="124"/>
      <c r="HLE890" s="124"/>
      <c r="HLF890" s="124"/>
      <c r="HLG890" s="124"/>
      <c r="HLH890" s="124"/>
      <c r="HLI890" s="124"/>
      <c r="HLJ890" s="124"/>
      <c r="HLK890" s="124"/>
      <c r="HLL890" s="124"/>
      <c r="HLM890" s="124"/>
      <c r="HLN890" s="124"/>
      <c r="HLO890" s="124"/>
      <c r="HLP890" s="124"/>
      <c r="HLQ890" s="124"/>
      <c r="HLR890" s="124"/>
      <c r="HLS890" s="124"/>
      <c r="HLT890" s="124"/>
      <c r="HLU890" s="124"/>
      <c r="HLV890" s="124"/>
      <c r="HLW890" s="124"/>
      <c r="HLX890" s="124"/>
      <c r="HLY890" s="124"/>
      <c r="HLZ890" s="124"/>
      <c r="HMA890" s="124"/>
      <c r="HMB890" s="124"/>
      <c r="HMC890" s="124"/>
      <c r="HMD890" s="124"/>
      <c r="HME890" s="124"/>
      <c r="HMF890" s="124"/>
      <c r="HMG890" s="124"/>
      <c r="HMH890" s="124"/>
      <c r="HMI890" s="124"/>
      <c r="HMJ890" s="124"/>
      <c r="HMK890" s="124"/>
      <c r="HML890" s="124"/>
      <c r="HMM890" s="124"/>
      <c r="HMN890" s="124"/>
      <c r="HMO890" s="124"/>
      <c r="HMP890" s="124"/>
      <c r="HMQ890" s="124"/>
      <c r="HMR890" s="124"/>
      <c r="HMS890" s="124"/>
      <c r="HMT890" s="124"/>
      <c r="HMU890" s="124"/>
      <c r="HMV890" s="124"/>
      <c r="HMW890" s="124"/>
      <c r="HMX890" s="124"/>
      <c r="HMY890" s="124"/>
      <c r="HMZ890" s="124"/>
      <c r="HNA890" s="124"/>
      <c r="HNB890" s="124"/>
      <c r="HNC890" s="124"/>
      <c r="HND890" s="124"/>
      <c r="HNE890" s="124"/>
      <c r="HNF890" s="124"/>
      <c r="HNG890" s="124"/>
      <c r="HNH890" s="124"/>
      <c r="HNI890" s="124"/>
      <c r="HNJ890" s="124"/>
      <c r="HNK890" s="124"/>
      <c r="HNL890" s="124"/>
      <c r="HNM890" s="124"/>
      <c r="HNN890" s="124"/>
      <c r="HNO890" s="124"/>
      <c r="HNP890" s="124"/>
      <c r="HNQ890" s="124"/>
      <c r="HNR890" s="124"/>
      <c r="HNS890" s="124"/>
      <c r="HNT890" s="124"/>
      <c r="HNU890" s="124"/>
      <c r="HNV890" s="124"/>
      <c r="HNW890" s="124"/>
      <c r="HNX890" s="124"/>
      <c r="HNY890" s="124"/>
      <c r="HNZ890" s="124"/>
      <c r="HOA890" s="124"/>
      <c r="HOB890" s="124"/>
      <c r="HOC890" s="124"/>
      <c r="HOD890" s="124"/>
      <c r="HOE890" s="124"/>
      <c r="HOF890" s="124"/>
      <c r="HOG890" s="124"/>
      <c r="HOH890" s="124"/>
      <c r="HOI890" s="124"/>
      <c r="HOJ890" s="124"/>
      <c r="HOK890" s="124"/>
      <c r="HOL890" s="124"/>
      <c r="HOM890" s="124"/>
      <c r="HON890" s="124"/>
      <c r="HOO890" s="124"/>
      <c r="HOP890" s="124"/>
      <c r="HOQ890" s="124"/>
      <c r="HOR890" s="124"/>
      <c r="HOS890" s="124"/>
      <c r="HOT890" s="124"/>
      <c r="HOU890" s="124"/>
      <c r="HOV890" s="124"/>
      <c r="HOW890" s="124"/>
      <c r="HOX890" s="124"/>
      <c r="HOY890" s="124"/>
      <c r="HOZ890" s="124"/>
      <c r="HPA890" s="124"/>
      <c r="HPB890" s="124"/>
      <c r="HPC890" s="124"/>
      <c r="HPD890" s="124"/>
      <c r="HPE890" s="124"/>
      <c r="HPF890" s="124"/>
      <c r="HPG890" s="124"/>
      <c r="HPH890" s="124"/>
      <c r="HPI890" s="124"/>
      <c r="HPJ890" s="124"/>
      <c r="HPK890" s="124"/>
      <c r="HPL890" s="124"/>
      <c r="HPM890" s="124"/>
      <c r="HPN890" s="124"/>
      <c r="HPO890" s="124"/>
      <c r="HPP890" s="124"/>
      <c r="HPQ890" s="124"/>
      <c r="HPR890" s="124"/>
      <c r="HPS890" s="124"/>
      <c r="HPT890" s="124"/>
      <c r="HPU890" s="124"/>
      <c r="HPV890" s="124"/>
      <c r="HPW890" s="124"/>
      <c r="HPX890" s="124"/>
      <c r="HPY890" s="124"/>
      <c r="HPZ890" s="124"/>
      <c r="HQA890" s="124"/>
      <c r="HQB890" s="124"/>
      <c r="HQC890" s="124"/>
      <c r="HQD890" s="124"/>
      <c r="HQE890" s="124"/>
      <c r="HQF890" s="124"/>
      <c r="HQG890" s="124"/>
      <c r="HQH890" s="124"/>
      <c r="HQI890" s="124"/>
      <c r="HQJ890" s="124"/>
      <c r="HQK890" s="124"/>
      <c r="HQL890" s="124"/>
      <c r="HQM890" s="124"/>
      <c r="HQN890" s="124"/>
      <c r="HQO890" s="124"/>
      <c r="HQP890" s="124"/>
      <c r="HQQ890" s="124"/>
      <c r="HQR890" s="124"/>
      <c r="HQS890" s="124"/>
      <c r="HQT890" s="124"/>
      <c r="HQU890" s="124"/>
      <c r="HQV890" s="124"/>
      <c r="HQW890" s="124"/>
      <c r="HQX890" s="124"/>
      <c r="HQY890" s="124"/>
      <c r="HQZ890" s="124"/>
      <c r="HRA890" s="124"/>
      <c r="HRB890" s="124"/>
      <c r="HRC890" s="124"/>
      <c r="HRD890" s="124"/>
      <c r="HRE890" s="124"/>
      <c r="HRF890" s="124"/>
      <c r="HRG890" s="124"/>
      <c r="HRH890" s="124"/>
      <c r="HRI890" s="124"/>
      <c r="HRJ890" s="124"/>
      <c r="HRK890" s="124"/>
      <c r="HRL890" s="124"/>
      <c r="HRM890" s="124"/>
      <c r="HRN890" s="124"/>
      <c r="HRO890" s="124"/>
      <c r="HRP890" s="124"/>
      <c r="HRQ890" s="124"/>
      <c r="HRR890" s="124"/>
      <c r="HRS890" s="124"/>
      <c r="HRT890" s="124"/>
      <c r="HRU890" s="124"/>
      <c r="HRV890" s="124"/>
      <c r="HRW890" s="124"/>
      <c r="HRX890" s="124"/>
      <c r="HRY890" s="124"/>
      <c r="HRZ890" s="124"/>
      <c r="HSA890" s="124"/>
      <c r="HSB890" s="124"/>
      <c r="HSC890" s="124"/>
      <c r="HSD890" s="124"/>
      <c r="HSE890" s="124"/>
      <c r="HSF890" s="124"/>
      <c r="HSG890" s="124"/>
      <c r="HSH890" s="124"/>
      <c r="HSI890" s="124"/>
      <c r="HSJ890" s="124"/>
      <c r="HSK890" s="124"/>
      <c r="HSL890" s="124"/>
      <c r="HSM890" s="124"/>
      <c r="HSN890" s="124"/>
      <c r="HSO890" s="124"/>
      <c r="HSP890" s="124"/>
      <c r="HSQ890" s="124"/>
      <c r="HSR890" s="124"/>
      <c r="HSS890" s="124"/>
      <c r="HST890" s="124"/>
      <c r="HSU890" s="124"/>
      <c r="HSV890" s="124"/>
      <c r="HSW890" s="124"/>
      <c r="HSX890" s="124"/>
      <c r="HSY890" s="124"/>
      <c r="HSZ890" s="124"/>
      <c r="HTA890" s="124"/>
      <c r="HTB890" s="124"/>
      <c r="HTC890" s="124"/>
      <c r="HTD890" s="124"/>
      <c r="HTE890" s="124"/>
      <c r="HTF890" s="124"/>
      <c r="HTG890" s="124"/>
      <c r="HTH890" s="124"/>
      <c r="HTI890" s="124"/>
      <c r="HTJ890" s="124"/>
      <c r="HTK890" s="124"/>
      <c r="HTL890" s="124"/>
      <c r="HTM890" s="124"/>
      <c r="HTN890" s="124"/>
      <c r="HTO890" s="124"/>
      <c r="HTP890" s="124"/>
      <c r="HTQ890" s="124"/>
      <c r="HTR890" s="124"/>
      <c r="HTS890" s="124"/>
      <c r="HTT890" s="124"/>
      <c r="HTU890" s="124"/>
      <c r="HTV890" s="124"/>
      <c r="HTW890" s="124"/>
      <c r="HTX890" s="124"/>
      <c r="HTY890" s="124"/>
      <c r="HTZ890" s="124"/>
      <c r="HUA890" s="124"/>
      <c r="HUB890" s="124"/>
      <c r="HUC890" s="124"/>
      <c r="HUD890" s="124"/>
      <c r="HUE890" s="124"/>
      <c r="HUF890" s="124"/>
      <c r="HUG890" s="124"/>
      <c r="HUH890" s="124"/>
      <c r="HUI890" s="124"/>
      <c r="HUJ890" s="124"/>
      <c r="HUK890" s="124"/>
      <c r="HUL890" s="124"/>
      <c r="HUM890" s="124"/>
      <c r="HUN890" s="124"/>
      <c r="HUO890" s="124"/>
      <c r="HUP890" s="124"/>
      <c r="HUQ890" s="124"/>
      <c r="HUR890" s="124"/>
      <c r="HUS890" s="124"/>
      <c r="HUT890" s="124"/>
      <c r="HUU890" s="124"/>
      <c r="HUV890" s="124"/>
      <c r="HUW890" s="124"/>
      <c r="HUX890" s="124"/>
      <c r="HUY890" s="124"/>
      <c r="HUZ890" s="124"/>
      <c r="HVA890" s="124"/>
      <c r="HVB890" s="124"/>
      <c r="HVC890" s="124"/>
      <c r="HVD890" s="124"/>
      <c r="HVE890" s="124"/>
      <c r="HVF890" s="124"/>
      <c r="HVG890" s="124"/>
      <c r="HVH890" s="124"/>
      <c r="HVI890" s="124"/>
      <c r="HVJ890" s="124"/>
      <c r="HVK890" s="124"/>
      <c r="HVL890" s="124"/>
      <c r="HVM890" s="124"/>
      <c r="HVN890" s="124"/>
      <c r="HVO890" s="124"/>
      <c r="HVP890" s="124"/>
      <c r="HVQ890" s="124"/>
      <c r="HVR890" s="124"/>
      <c r="HVS890" s="124"/>
      <c r="HVT890" s="124"/>
      <c r="HVU890" s="124"/>
      <c r="HVV890" s="124"/>
      <c r="HVW890" s="124"/>
      <c r="HVX890" s="124"/>
      <c r="HVY890" s="124"/>
      <c r="HVZ890" s="124"/>
      <c r="HWA890" s="124"/>
      <c r="HWB890" s="124"/>
      <c r="HWC890" s="124"/>
      <c r="HWD890" s="124"/>
      <c r="HWE890" s="124"/>
      <c r="HWF890" s="124"/>
      <c r="HWG890" s="124"/>
      <c r="HWH890" s="124"/>
      <c r="HWI890" s="124"/>
      <c r="HWJ890" s="124"/>
      <c r="HWK890" s="124"/>
      <c r="HWL890" s="124"/>
      <c r="HWM890" s="124"/>
      <c r="HWN890" s="124"/>
      <c r="HWO890" s="124"/>
      <c r="HWP890" s="124"/>
      <c r="HWQ890" s="124"/>
      <c r="HWR890" s="124"/>
      <c r="HWS890" s="124"/>
      <c r="HWT890" s="124"/>
      <c r="HWU890" s="124"/>
      <c r="HWV890" s="124"/>
      <c r="HWW890" s="124"/>
      <c r="HWX890" s="124"/>
      <c r="HWY890" s="124"/>
      <c r="HWZ890" s="124"/>
      <c r="HXA890" s="124"/>
      <c r="HXB890" s="124"/>
      <c r="HXC890" s="124"/>
      <c r="HXD890" s="124"/>
      <c r="HXE890" s="124"/>
      <c r="HXF890" s="124"/>
      <c r="HXG890" s="124"/>
      <c r="HXH890" s="124"/>
      <c r="HXI890" s="124"/>
      <c r="HXJ890" s="124"/>
      <c r="HXK890" s="124"/>
      <c r="HXL890" s="124"/>
      <c r="HXM890" s="124"/>
      <c r="HXN890" s="124"/>
      <c r="HXO890" s="124"/>
      <c r="HXP890" s="124"/>
      <c r="HXQ890" s="124"/>
      <c r="HXR890" s="124"/>
      <c r="HXS890" s="124"/>
      <c r="HXT890" s="124"/>
      <c r="HXU890" s="124"/>
      <c r="HXV890" s="124"/>
      <c r="HXW890" s="124"/>
      <c r="HXX890" s="124"/>
      <c r="HXY890" s="124"/>
      <c r="HXZ890" s="124"/>
      <c r="HYA890" s="124"/>
      <c r="HYB890" s="124"/>
      <c r="HYC890" s="124"/>
      <c r="HYD890" s="124"/>
      <c r="HYE890" s="124"/>
      <c r="HYF890" s="124"/>
      <c r="HYG890" s="124"/>
      <c r="HYH890" s="124"/>
      <c r="HYI890" s="124"/>
      <c r="HYJ890" s="124"/>
      <c r="HYK890" s="124"/>
      <c r="HYL890" s="124"/>
      <c r="HYM890" s="124"/>
      <c r="HYN890" s="124"/>
      <c r="HYO890" s="124"/>
      <c r="HYP890" s="124"/>
      <c r="HYQ890" s="124"/>
      <c r="HYR890" s="124"/>
      <c r="HYS890" s="124"/>
      <c r="HYT890" s="124"/>
      <c r="HYU890" s="124"/>
      <c r="HYV890" s="124"/>
      <c r="HYW890" s="124"/>
      <c r="HYX890" s="124"/>
      <c r="HYY890" s="124"/>
      <c r="HYZ890" s="124"/>
      <c r="HZA890" s="124"/>
      <c r="HZB890" s="124"/>
      <c r="HZC890" s="124"/>
      <c r="HZD890" s="124"/>
      <c r="HZE890" s="124"/>
      <c r="HZF890" s="124"/>
      <c r="HZG890" s="124"/>
      <c r="HZH890" s="124"/>
      <c r="HZI890" s="124"/>
      <c r="HZJ890" s="124"/>
      <c r="HZK890" s="124"/>
      <c r="HZL890" s="124"/>
      <c r="HZM890" s="124"/>
      <c r="HZN890" s="124"/>
      <c r="HZO890" s="124"/>
      <c r="HZP890" s="124"/>
      <c r="HZQ890" s="124"/>
      <c r="HZR890" s="124"/>
      <c r="HZS890" s="124"/>
      <c r="HZT890" s="124"/>
      <c r="HZU890" s="124"/>
      <c r="HZV890" s="124"/>
      <c r="HZW890" s="124"/>
      <c r="HZX890" s="124"/>
      <c r="HZY890" s="124"/>
      <c r="HZZ890" s="124"/>
      <c r="IAA890" s="124"/>
      <c r="IAB890" s="124"/>
      <c r="IAC890" s="124"/>
      <c r="IAD890" s="124"/>
      <c r="IAE890" s="124"/>
      <c r="IAF890" s="124"/>
      <c r="IAG890" s="124"/>
      <c r="IAH890" s="124"/>
      <c r="IAI890" s="124"/>
      <c r="IAJ890" s="124"/>
      <c r="IAK890" s="124"/>
      <c r="IAL890" s="124"/>
      <c r="IAM890" s="124"/>
      <c r="IAN890" s="124"/>
      <c r="IAO890" s="124"/>
      <c r="IAP890" s="124"/>
      <c r="IAQ890" s="124"/>
      <c r="IAR890" s="124"/>
      <c r="IAS890" s="124"/>
      <c r="IAT890" s="124"/>
      <c r="IAU890" s="124"/>
      <c r="IAV890" s="124"/>
      <c r="IAW890" s="124"/>
      <c r="IAX890" s="124"/>
      <c r="IAY890" s="124"/>
      <c r="IAZ890" s="124"/>
      <c r="IBA890" s="124"/>
      <c r="IBB890" s="124"/>
      <c r="IBC890" s="124"/>
      <c r="IBD890" s="124"/>
      <c r="IBE890" s="124"/>
      <c r="IBF890" s="124"/>
      <c r="IBG890" s="124"/>
      <c r="IBH890" s="124"/>
      <c r="IBI890" s="124"/>
      <c r="IBJ890" s="124"/>
      <c r="IBK890" s="124"/>
      <c r="IBL890" s="124"/>
      <c r="IBM890" s="124"/>
      <c r="IBN890" s="124"/>
      <c r="IBO890" s="124"/>
      <c r="IBP890" s="124"/>
      <c r="IBQ890" s="124"/>
      <c r="IBR890" s="124"/>
      <c r="IBS890" s="124"/>
      <c r="IBT890" s="124"/>
      <c r="IBU890" s="124"/>
      <c r="IBV890" s="124"/>
      <c r="IBW890" s="124"/>
      <c r="IBX890" s="124"/>
      <c r="IBY890" s="124"/>
      <c r="IBZ890" s="124"/>
      <c r="ICA890" s="124"/>
      <c r="ICB890" s="124"/>
      <c r="ICC890" s="124"/>
      <c r="ICD890" s="124"/>
      <c r="ICE890" s="124"/>
      <c r="ICF890" s="124"/>
      <c r="ICG890" s="124"/>
      <c r="ICH890" s="124"/>
      <c r="ICI890" s="124"/>
      <c r="ICJ890" s="124"/>
      <c r="ICK890" s="124"/>
      <c r="ICL890" s="124"/>
      <c r="ICM890" s="124"/>
      <c r="ICN890" s="124"/>
      <c r="ICO890" s="124"/>
      <c r="ICP890" s="124"/>
      <c r="ICQ890" s="124"/>
      <c r="ICR890" s="124"/>
      <c r="ICS890" s="124"/>
      <c r="ICT890" s="124"/>
      <c r="ICU890" s="124"/>
      <c r="ICV890" s="124"/>
      <c r="ICW890" s="124"/>
      <c r="ICX890" s="124"/>
      <c r="ICY890" s="124"/>
      <c r="ICZ890" s="124"/>
      <c r="IDA890" s="124"/>
      <c r="IDB890" s="124"/>
      <c r="IDC890" s="124"/>
      <c r="IDD890" s="124"/>
      <c r="IDE890" s="124"/>
      <c r="IDF890" s="124"/>
      <c r="IDG890" s="124"/>
      <c r="IDH890" s="124"/>
      <c r="IDI890" s="124"/>
      <c r="IDJ890" s="124"/>
      <c r="IDK890" s="124"/>
      <c r="IDL890" s="124"/>
      <c r="IDM890" s="124"/>
      <c r="IDN890" s="124"/>
      <c r="IDO890" s="124"/>
      <c r="IDP890" s="124"/>
      <c r="IDQ890" s="124"/>
      <c r="IDR890" s="124"/>
      <c r="IDS890" s="124"/>
      <c r="IDT890" s="124"/>
      <c r="IDU890" s="124"/>
      <c r="IDV890" s="124"/>
      <c r="IDW890" s="124"/>
      <c r="IDX890" s="124"/>
      <c r="IDY890" s="124"/>
      <c r="IDZ890" s="124"/>
      <c r="IEA890" s="124"/>
      <c r="IEB890" s="124"/>
      <c r="IEC890" s="124"/>
      <c r="IED890" s="124"/>
      <c r="IEE890" s="124"/>
      <c r="IEF890" s="124"/>
      <c r="IEG890" s="124"/>
      <c r="IEH890" s="124"/>
      <c r="IEI890" s="124"/>
      <c r="IEJ890" s="124"/>
      <c r="IEK890" s="124"/>
      <c r="IEL890" s="124"/>
      <c r="IEM890" s="124"/>
      <c r="IEN890" s="124"/>
      <c r="IEO890" s="124"/>
      <c r="IEP890" s="124"/>
      <c r="IEQ890" s="124"/>
      <c r="IER890" s="124"/>
      <c r="IES890" s="124"/>
      <c r="IET890" s="124"/>
      <c r="IEU890" s="124"/>
      <c r="IEV890" s="124"/>
      <c r="IEW890" s="124"/>
      <c r="IEX890" s="124"/>
      <c r="IEY890" s="124"/>
      <c r="IEZ890" s="124"/>
      <c r="IFA890" s="124"/>
      <c r="IFB890" s="124"/>
      <c r="IFC890" s="124"/>
      <c r="IFD890" s="124"/>
      <c r="IFE890" s="124"/>
      <c r="IFF890" s="124"/>
      <c r="IFG890" s="124"/>
      <c r="IFH890" s="124"/>
      <c r="IFI890" s="124"/>
      <c r="IFJ890" s="124"/>
      <c r="IFK890" s="124"/>
      <c r="IFL890" s="124"/>
      <c r="IFM890" s="124"/>
      <c r="IFN890" s="124"/>
      <c r="IFO890" s="124"/>
      <c r="IFP890" s="124"/>
      <c r="IFQ890" s="124"/>
      <c r="IFR890" s="124"/>
      <c r="IFS890" s="124"/>
      <c r="IFT890" s="124"/>
      <c r="IFU890" s="124"/>
      <c r="IFV890" s="124"/>
      <c r="IFW890" s="124"/>
      <c r="IFX890" s="124"/>
      <c r="IFY890" s="124"/>
      <c r="IFZ890" s="124"/>
      <c r="IGA890" s="124"/>
      <c r="IGB890" s="124"/>
      <c r="IGC890" s="124"/>
      <c r="IGD890" s="124"/>
      <c r="IGE890" s="124"/>
      <c r="IGF890" s="124"/>
      <c r="IGG890" s="124"/>
      <c r="IGH890" s="124"/>
      <c r="IGI890" s="124"/>
      <c r="IGJ890" s="124"/>
      <c r="IGK890" s="124"/>
      <c r="IGL890" s="124"/>
      <c r="IGM890" s="124"/>
      <c r="IGN890" s="124"/>
      <c r="IGO890" s="124"/>
      <c r="IGP890" s="124"/>
      <c r="IGQ890" s="124"/>
      <c r="IGR890" s="124"/>
      <c r="IGS890" s="124"/>
      <c r="IGT890" s="124"/>
      <c r="IGU890" s="124"/>
      <c r="IGV890" s="124"/>
      <c r="IGW890" s="124"/>
      <c r="IGX890" s="124"/>
      <c r="IGY890" s="124"/>
      <c r="IGZ890" s="124"/>
      <c r="IHA890" s="124"/>
      <c r="IHB890" s="124"/>
      <c r="IHC890" s="124"/>
      <c r="IHD890" s="124"/>
      <c r="IHE890" s="124"/>
      <c r="IHF890" s="124"/>
      <c r="IHG890" s="124"/>
      <c r="IHH890" s="124"/>
      <c r="IHI890" s="124"/>
      <c r="IHJ890" s="124"/>
      <c r="IHK890" s="124"/>
      <c r="IHL890" s="124"/>
      <c r="IHM890" s="124"/>
      <c r="IHN890" s="124"/>
      <c r="IHO890" s="124"/>
      <c r="IHP890" s="124"/>
      <c r="IHQ890" s="124"/>
      <c r="IHR890" s="124"/>
      <c r="IHS890" s="124"/>
      <c r="IHT890" s="124"/>
      <c r="IHU890" s="124"/>
      <c r="IHV890" s="124"/>
      <c r="IHW890" s="124"/>
      <c r="IHX890" s="124"/>
      <c r="IHY890" s="124"/>
      <c r="IHZ890" s="124"/>
      <c r="IIA890" s="124"/>
      <c r="IIB890" s="124"/>
      <c r="IIC890" s="124"/>
      <c r="IID890" s="124"/>
      <c r="IIE890" s="124"/>
      <c r="IIF890" s="124"/>
      <c r="IIG890" s="124"/>
      <c r="IIH890" s="124"/>
      <c r="III890" s="124"/>
      <c r="IIJ890" s="124"/>
      <c r="IIK890" s="124"/>
      <c r="IIL890" s="124"/>
      <c r="IIM890" s="124"/>
      <c r="IIN890" s="124"/>
      <c r="IIO890" s="124"/>
      <c r="IIP890" s="124"/>
      <c r="IIQ890" s="124"/>
      <c r="IIR890" s="124"/>
      <c r="IIS890" s="124"/>
      <c r="IIT890" s="124"/>
      <c r="IIU890" s="124"/>
      <c r="IIV890" s="124"/>
      <c r="IIW890" s="124"/>
      <c r="IIX890" s="124"/>
      <c r="IIY890" s="124"/>
      <c r="IIZ890" s="124"/>
      <c r="IJA890" s="124"/>
      <c r="IJB890" s="124"/>
      <c r="IJC890" s="124"/>
      <c r="IJD890" s="124"/>
      <c r="IJE890" s="124"/>
      <c r="IJF890" s="124"/>
      <c r="IJG890" s="124"/>
      <c r="IJH890" s="124"/>
      <c r="IJI890" s="124"/>
      <c r="IJJ890" s="124"/>
      <c r="IJK890" s="124"/>
      <c r="IJL890" s="124"/>
      <c r="IJM890" s="124"/>
      <c r="IJN890" s="124"/>
      <c r="IJO890" s="124"/>
      <c r="IJP890" s="124"/>
      <c r="IJQ890" s="124"/>
      <c r="IJR890" s="124"/>
      <c r="IJS890" s="124"/>
      <c r="IJT890" s="124"/>
      <c r="IJU890" s="124"/>
      <c r="IJV890" s="124"/>
      <c r="IJW890" s="124"/>
      <c r="IJX890" s="124"/>
      <c r="IJY890" s="124"/>
      <c r="IJZ890" s="124"/>
      <c r="IKA890" s="124"/>
      <c r="IKB890" s="124"/>
      <c r="IKC890" s="124"/>
      <c r="IKD890" s="124"/>
      <c r="IKE890" s="124"/>
      <c r="IKF890" s="124"/>
      <c r="IKG890" s="124"/>
      <c r="IKH890" s="124"/>
      <c r="IKI890" s="124"/>
      <c r="IKJ890" s="124"/>
      <c r="IKK890" s="124"/>
      <c r="IKL890" s="124"/>
      <c r="IKM890" s="124"/>
      <c r="IKN890" s="124"/>
      <c r="IKO890" s="124"/>
      <c r="IKP890" s="124"/>
      <c r="IKQ890" s="124"/>
      <c r="IKR890" s="124"/>
      <c r="IKS890" s="124"/>
      <c r="IKT890" s="124"/>
      <c r="IKU890" s="124"/>
      <c r="IKV890" s="124"/>
      <c r="IKW890" s="124"/>
      <c r="IKX890" s="124"/>
      <c r="IKY890" s="124"/>
      <c r="IKZ890" s="124"/>
      <c r="ILA890" s="124"/>
      <c r="ILB890" s="124"/>
      <c r="ILC890" s="124"/>
      <c r="ILD890" s="124"/>
      <c r="ILE890" s="124"/>
      <c r="ILF890" s="124"/>
      <c r="ILG890" s="124"/>
      <c r="ILH890" s="124"/>
      <c r="ILI890" s="124"/>
      <c r="ILJ890" s="124"/>
      <c r="ILK890" s="124"/>
      <c r="ILL890" s="124"/>
      <c r="ILM890" s="124"/>
      <c r="ILN890" s="124"/>
      <c r="ILO890" s="124"/>
      <c r="ILP890" s="124"/>
      <c r="ILQ890" s="124"/>
      <c r="ILR890" s="124"/>
      <c r="ILS890" s="124"/>
      <c r="ILT890" s="124"/>
      <c r="ILU890" s="124"/>
      <c r="ILV890" s="124"/>
      <c r="ILW890" s="124"/>
      <c r="ILX890" s="124"/>
      <c r="ILY890" s="124"/>
      <c r="ILZ890" s="124"/>
      <c r="IMA890" s="124"/>
      <c r="IMB890" s="124"/>
      <c r="IMC890" s="124"/>
      <c r="IMD890" s="124"/>
      <c r="IME890" s="124"/>
      <c r="IMF890" s="124"/>
      <c r="IMG890" s="124"/>
      <c r="IMH890" s="124"/>
      <c r="IMI890" s="124"/>
      <c r="IMJ890" s="124"/>
      <c r="IMK890" s="124"/>
      <c r="IML890" s="124"/>
      <c r="IMM890" s="124"/>
      <c r="IMN890" s="124"/>
      <c r="IMO890" s="124"/>
      <c r="IMP890" s="124"/>
      <c r="IMQ890" s="124"/>
      <c r="IMR890" s="124"/>
      <c r="IMS890" s="124"/>
      <c r="IMT890" s="124"/>
      <c r="IMU890" s="124"/>
      <c r="IMV890" s="124"/>
      <c r="IMW890" s="124"/>
      <c r="IMX890" s="124"/>
      <c r="IMY890" s="124"/>
      <c r="IMZ890" s="124"/>
      <c r="INA890" s="124"/>
      <c r="INB890" s="124"/>
      <c r="INC890" s="124"/>
      <c r="IND890" s="124"/>
      <c r="INE890" s="124"/>
      <c r="INF890" s="124"/>
      <c r="ING890" s="124"/>
      <c r="INH890" s="124"/>
      <c r="INI890" s="124"/>
      <c r="INJ890" s="124"/>
      <c r="INK890" s="124"/>
      <c r="INL890" s="124"/>
      <c r="INM890" s="124"/>
      <c r="INN890" s="124"/>
      <c r="INO890" s="124"/>
      <c r="INP890" s="124"/>
      <c r="INQ890" s="124"/>
      <c r="INR890" s="124"/>
      <c r="INS890" s="124"/>
      <c r="INT890" s="124"/>
      <c r="INU890" s="124"/>
      <c r="INV890" s="124"/>
      <c r="INW890" s="124"/>
      <c r="INX890" s="124"/>
      <c r="INY890" s="124"/>
      <c r="INZ890" s="124"/>
      <c r="IOA890" s="124"/>
      <c r="IOB890" s="124"/>
      <c r="IOC890" s="124"/>
      <c r="IOD890" s="124"/>
      <c r="IOE890" s="124"/>
      <c r="IOF890" s="124"/>
      <c r="IOG890" s="124"/>
      <c r="IOH890" s="124"/>
      <c r="IOI890" s="124"/>
      <c r="IOJ890" s="124"/>
      <c r="IOK890" s="124"/>
      <c r="IOL890" s="124"/>
      <c r="IOM890" s="124"/>
      <c r="ION890" s="124"/>
      <c r="IOO890" s="124"/>
      <c r="IOP890" s="124"/>
      <c r="IOQ890" s="124"/>
      <c r="IOR890" s="124"/>
      <c r="IOS890" s="124"/>
      <c r="IOT890" s="124"/>
      <c r="IOU890" s="124"/>
      <c r="IOV890" s="124"/>
      <c r="IOW890" s="124"/>
      <c r="IOX890" s="124"/>
      <c r="IOY890" s="124"/>
      <c r="IOZ890" s="124"/>
      <c r="IPA890" s="124"/>
      <c r="IPB890" s="124"/>
      <c r="IPC890" s="124"/>
      <c r="IPD890" s="124"/>
      <c r="IPE890" s="124"/>
      <c r="IPF890" s="124"/>
      <c r="IPG890" s="124"/>
      <c r="IPH890" s="124"/>
      <c r="IPI890" s="124"/>
      <c r="IPJ890" s="124"/>
      <c r="IPK890" s="124"/>
      <c r="IPL890" s="124"/>
      <c r="IPM890" s="124"/>
      <c r="IPN890" s="124"/>
      <c r="IPO890" s="124"/>
      <c r="IPP890" s="124"/>
      <c r="IPQ890" s="124"/>
      <c r="IPR890" s="124"/>
      <c r="IPS890" s="124"/>
      <c r="IPT890" s="124"/>
      <c r="IPU890" s="124"/>
      <c r="IPV890" s="124"/>
      <c r="IPW890" s="124"/>
      <c r="IPX890" s="124"/>
      <c r="IPY890" s="124"/>
      <c r="IPZ890" s="124"/>
      <c r="IQA890" s="124"/>
      <c r="IQB890" s="124"/>
      <c r="IQC890" s="124"/>
      <c r="IQD890" s="124"/>
      <c r="IQE890" s="124"/>
      <c r="IQF890" s="124"/>
      <c r="IQG890" s="124"/>
      <c r="IQH890" s="124"/>
      <c r="IQI890" s="124"/>
      <c r="IQJ890" s="124"/>
      <c r="IQK890" s="124"/>
      <c r="IQL890" s="124"/>
      <c r="IQM890" s="124"/>
      <c r="IQN890" s="124"/>
      <c r="IQO890" s="124"/>
      <c r="IQP890" s="124"/>
      <c r="IQQ890" s="124"/>
      <c r="IQR890" s="124"/>
      <c r="IQS890" s="124"/>
      <c r="IQT890" s="124"/>
      <c r="IQU890" s="124"/>
      <c r="IQV890" s="124"/>
      <c r="IQW890" s="124"/>
      <c r="IQX890" s="124"/>
      <c r="IQY890" s="124"/>
      <c r="IQZ890" s="124"/>
      <c r="IRA890" s="124"/>
      <c r="IRB890" s="124"/>
      <c r="IRC890" s="124"/>
      <c r="IRD890" s="124"/>
      <c r="IRE890" s="124"/>
      <c r="IRF890" s="124"/>
      <c r="IRG890" s="124"/>
      <c r="IRH890" s="124"/>
      <c r="IRI890" s="124"/>
      <c r="IRJ890" s="124"/>
      <c r="IRK890" s="124"/>
      <c r="IRL890" s="124"/>
      <c r="IRM890" s="124"/>
      <c r="IRN890" s="124"/>
      <c r="IRO890" s="124"/>
      <c r="IRP890" s="124"/>
      <c r="IRQ890" s="124"/>
      <c r="IRR890" s="124"/>
      <c r="IRS890" s="124"/>
      <c r="IRT890" s="124"/>
      <c r="IRU890" s="124"/>
      <c r="IRV890" s="124"/>
      <c r="IRW890" s="124"/>
      <c r="IRX890" s="124"/>
      <c r="IRY890" s="124"/>
      <c r="IRZ890" s="124"/>
      <c r="ISA890" s="124"/>
      <c r="ISB890" s="124"/>
      <c r="ISC890" s="124"/>
      <c r="ISD890" s="124"/>
      <c r="ISE890" s="124"/>
      <c r="ISF890" s="124"/>
      <c r="ISG890" s="124"/>
      <c r="ISH890" s="124"/>
      <c r="ISI890" s="124"/>
      <c r="ISJ890" s="124"/>
      <c r="ISK890" s="124"/>
      <c r="ISL890" s="124"/>
      <c r="ISM890" s="124"/>
      <c r="ISN890" s="124"/>
      <c r="ISO890" s="124"/>
      <c r="ISP890" s="124"/>
      <c r="ISQ890" s="124"/>
      <c r="ISR890" s="124"/>
      <c r="ISS890" s="124"/>
      <c r="IST890" s="124"/>
      <c r="ISU890" s="124"/>
      <c r="ISV890" s="124"/>
      <c r="ISW890" s="124"/>
      <c r="ISX890" s="124"/>
      <c r="ISY890" s="124"/>
      <c r="ISZ890" s="124"/>
      <c r="ITA890" s="124"/>
      <c r="ITB890" s="124"/>
      <c r="ITC890" s="124"/>
      <c r="ITD890" s="124"/>
      <c r="ITE890" s="124"/>
      <c r="ITF890" s="124"/>
      <c r="ITG890" s="124"/>
      <c r="ITH890" s="124"/>
      <c r="ITI890" s="124"/>
      <c r="ITJ890" s="124"/>
      <c r="ITK890" s="124"/>
      <c r="ITL890" s="124"/>
      <c r="ITM890" s="124"/>
      <c r="ITN890" s="124"/>
      <c r="ITO890" s="124"/>
      <c r="ITP890" s="124"/>
      <c r="ITQ890" s="124"/>
      <c r="ITR890" s="124"/>
      <c r="ITS890" s="124"/>
      <c r="ITT890" s="124"/>
      <c r="ITU890" s="124"/>
      <c r="ITV890" s="124"/>
      <c r="ITW890" s="124"/>
      <c r="ITX890" s="124"/>
      <c r="ITY890" s="124"/>
      <c r="ITZ890" s="124"/>
      <c r="IUA890" s="124"/>
      <c r="IUB890" s="124"/>
      <c r="IUC890" s="124"/>
      <c r="IUD890" s="124"/>
      <c r="IUE890" s="124"/>
      <c r="IUF890" s="124"/>
      <c r="IUG890" s="124"/>
      <c r="IUH890" s="124"/>
      <c r="IUI890" s="124"/>
      <c r="IUJ890" s="124"/>
      <c r="IUK890" s="124"/>
      <c r="IUL890" s="124"/>
      <c r="IUM890" s="124"/>
      <c r="IUN890" s="124"/>
      <c r="IUO890" s="124"/>
      <c r="IUP890" s="124"/>
      <c r="IUQ890" s="124"/>
      <c r="IUR890" s="124"/>
      <c r="IUS890" s="124"/>
      <c r="IUT890" s="124"/>
      <c r="IUU890" s="124"/>
      <c r="IUV890" s="124"/>
      <c r="IUW890" s="124"/>
      <c r="IUX890" s="124"/>
      <c r="IUY890" s="124"/>
      <c r="IUZ890" s="124"/>
      <c r="IVA890" s="124"/>
      <c r="IVB890" s="124"/>
      <c r="IVC890" s="124"/>
      <c r="IVD890" s="124"/>
      <c r="IVE890" s="124"/>
      <c r="IVF890" s="124"/>
      <c r="IVG890" s="124"/>
      <c r="IVH890" s="124"/>
      <c r="IVI890" s="124"/>
      <c r="IVJ890" s="124"/>
      <c r="IVK890" s="124"/>
      <c r="IVL890" s="124"/>
      <c r="IVM890" s="124"/>
      <c r="IVN890" s="124"/>
      <c r="IVO890" s="124"/>
      <c r="IVP890" s="124"/>
      <c r="IVQ890" s="124"/>
      <c r="IVR890" s="124"/>
      <c r="IVS890" s="124"/>
      <c r="IVT890" s="124"/>
      <c r="IVU890" s="124"/>
      <c r="IVV890" s="124"/>
      <c r="IVW890" s="124"/>
      <c r="IVX890" s="124"/>
      <c r="IVY890" s="124"/>
      <c r="IVZ890" s="124"/>
      <c r="IWA890" s="124"/>
      <c r="IWB890" s="124"/>
      <c r="IWC890" s="124"/>
      <c r="IWD890" s="124"/>
      <c r="IWE890" s="124"/>
      <c r="IWF890" s="124"/>
      <c r="IWG890" s="124"/>
      <c r="IWH890" s="124"/>
      <c r="IWI890" s="124"/>
      <c r="IWJ890" s="124"/>
      <c r="IWK890" s="124"/>
      <c r="IWL890" s="124"/>
      <c r="IWM890" s="124"/>
      <c r="IWN890" s="124"/>
      <c r="IWO890" s="124"/>
      <c r="IWP890" s="124"/>
      <c r="IWQ890" s="124"/>
      <c r="IWR890" s="124"/>
      <c r="IWS890" s="124"/>
      <c r="IWT890" s="124"/>
      <c r="IWU890" s="124"/>
      <c r="IWV890" s="124"/>
      <c r="IWW890" s="124"/>
      <c r="IWX890" s="124"/>
      <c r="IWY890" s="124"/>
      <c r="IWZ890" s="124"/>
      <c r="IXA890" s="124"/>
      <c r="IXB890" s="124"/>
      <c r="IXC890" s="124"/>
      <c r="IXD890" s="124"/>
      <c r="IXE890" s="124"/>
      <c r="IXF890" s="124"/>
      <c r="IXG890" s="124"/>
      <c r="IXH890" s="124"/>
      <c r="IXI890" s="124"/>
      <c r="IXJ890" s="124"/>
      <c r="IXK890" s="124"/>
      <c r="IXL890" s="124"/>
      <c r="IXM890" s="124"/>
      <c r="IXN890" s="124"/>
      <c r="IXO890" s="124"/>
      <c r="IXP890" s="124"/>
      <c r="IXQ890" s="124"/>
      <c r="IXR890" s="124"/>
      <c r="IXS890" s="124"/>
      <c r="IXT890" s="124"/>
      <c r="IXU890" s="124"/>
      <c r="IXV890" s="124"/>
      <c r="IXW890" s="124"/>
      <c r="IXX890" s="124"/>
      <c r="IXY890" s="124"/>
      <c r="IXZ890" s="124"/>
      <c r="IYA890" s="124"/>
      <c r="IYB890" s="124"/>
      <c r="IYC890" s="124"/>
      <c r="IYD890" s="124"/>
      <c r="IYE890" s="124"/>
      <c r="IYF890" s="124"/>
      <c r="IYG890" s="124"/>
      <c r="IYH890" s="124"/>
      <c r="IYI890" s="124"/>
      <c r="IYJ890" s="124"/>
      <c r="IYK890" s="124"/>
      <c r="IYL890" s="124"/>
      <c r="IYM890" s="124"/>
      <c r="IYN890" s="124"/>
      <c r="IYO890" s="124"/>
      <c r="IYP890" s="124"/>
      <c r="IYQ890" s="124"/>
      <c r="IYR890" s="124"/>
      <c r="IYS890" s="124"/>
      <c r="IYT890" s="124"/>
      <c r="IYU890" s="124"/>
      <c r="IYV890" s="124"/>
      <c r="IYW890" s="124"/>
      <c r="IYX890" s="124"/>
      <c r="IYY890" s="124"/>
      <c r="IYZ890" s="124"/>
      <c r="IZA890" s="124"/>
      <c r="IZB890" s="124"/>
      <c r="IZC890" s="124"/>
      <c r="IZD890" s="124"/>
      <c r="IZE890" s="124"/>
      <c r="IZF890" s="124"/>
      <c r="IZG890" s="124"/>
      <c r="IZH890" s="124"/>
      <c r="IZI890" s="124"/>
      <c r="IZJ890" s="124"/>
      <c r="IZK890" s="124"/>
      <c r="IZL890" s="124"/>
      <c r="IZM890" s="124"/>
      <c r="IZN890" s="124"/>
      <c r="IZO890" s="124"/>
      <c r="IZP890" s="124"/>
      <c r="IZQ890" s="124"/>
      <c r="IZR890" s="124"/>
      <c r="IZS890" s="124"/>
      <c r="IZT890" s="124"/>
      <c r="IZU890" s="124"/>
      <c r="IZV890" s="124"/>
      <c r="IZW890" s="124"/>
      <c r="IZX890" s="124"/>
      <c r="IZY890" s="124"/>
      <c r="IZZ890" s="124"/>
      <c r="JAA890" s="124"/>
      <c r="JAB890" s="124"/>
      <c r="JAC890" s="124"/>
      <c r="JAD890" s="124"/>
      <c r="JAE890" s="124"/>
      <c r="JAF890" s="124"/>
      <c r="JAG890" s="124"/>
      <c r="JAH890" s="124"/>
      <c r="JAI890" s="124"/>
      <c r="JAJ890" s="124"/>
      <c r="JAK890" s="124"/>
      <c r="JAL890" s="124"/>
      <c r="JAM890" s="124"/>
      <c r="JAN890" s="124"/>
      <c r="JAO890" s="124"/>
      <c r="JAP890" s="124"/>
      <c r="JAQ890" s="124"/>
      <c r="JAR890" s="124"/>
      <c r="JAS890" s="124"/>
      <c r="JAT890" s="124"/>
      <c r="JAU890" s="124"/>
      <c r="JAV890" s="124"/>
      <c r="JAW890" s="124"/>
      <c r="JAX890" s="124"/>
      <c r="JAY890" s="124"/>
      <c r="JAZ890" s="124"/>
      <c r="JBA890" s="124"/>
      <c r="JBB890" s="124"/>
      <c r="JBC890" s="124"/>
      <c r="JBD890" s="124"/>
      <c r="JBE890" s="124"/>
      <c r="JBF890" s="124"/>
      <c r="JBG890" s="124"/>
      <c r="JBH890" s="124"/>
      <c r="JBI890" s="124"/>
      <c r="JBJ890" s="124"/>
      <c r="JBK890" s="124"/>
      <c r="JBL890" s="124"/>
      <c r="JBM890" s="124"/>
      <c r="JBN890" s="124"/>
      <c r="JBO890" s="124"/>
      <c r="JBP890" s="124"/>
      <c r="JBQ890" s="124"/>
      <c r="JBR890" s="124"/>
      <c r="JBS890" s="124"/>
      <c r="JBT890" s="124"/>
      <c r="JBU890" s="124"/>
      <c r="JBV890" s="124"/>
      <c r="JBW890" s="124"/>
      <c r="JBX890" s="124"/>
      <c r="JBY890" s="124"/>
      <c r="JBZ890" s="124"/>
      <c r="JCA890" s="124"/>
      <c r="JCB890" s="124"/>
      <c r="JCC890" s="124"/>
      <c r="JCD890" s="124"/>
      <c r="JCE890" s="124"/>
      <c r="JCF890" s="124"/>
      <c r="JCG890" s="124"/>
      <c r="JCH890" s="124"/>
      <c r="JCI890" s="124"/>
      <c r="JCJ890" s="124"/>
      <c r="JCK890" s="124"/>
      <c r="JCL890" s="124"/>
      <c r="JCM890" s="124"/>
      <c r="JCN890" s="124"/>
      <c r="JCO890" s="124"/>
      <c r="JCP890" s="124"/>
      <c r="JCQ890" s="124"/>
      <c r="JCR890" s="124"/>
      <c r="JCS890" s="124"/>
      <c r="JCT890" s="124"/>
      <c r="JCU890" s="124"/>
      <c r="JCV890" s="124"/>
      <c r="JCW890" s="124"/>
      <c r="JCX890" s="124"/>
      <c r="JCY890" s="124"/>
      <c r="JCZ890" s="124"/>
      <c r="JDA890" s="124"/>
      <c r="JDB890" s="124"/>
      <c r="JDC890" s="124"/>
      <c r="JDD890" s="124"/>
      <c r="JDE890" s="124"/>
      <c r="JDF890" s="124"/>
      <c r="JDG890" s="124"/>
      <c r="JDH890" s="124"/>
      <c r="JDI890" s="124"/>
      <c r="JDJ890" s="124"/>
      <c r="JDK890" s="124"/>
      <c r="JDL890" s="124"/>
      <c r="JDM890" s="124"/>
      <c r="JDN890" s="124"/>
      <c r="JDO890" s="124"/>
      <c r="JDP890" s="124"/>
      <c r="JDQ890" s="124"/>
      <c r="JDR890" s="124"/>
      <c r="JDS890" s="124"/>
      <c r="JDT890" s="124"/>
      <c r="JDU890" s="124"/>
      <c r="JDV890" s="124"/>
      <c r="JDW890" s="124"/>
      <c r="JDX890" s="124"/>
      <c r="JDY890" s="124"/>
      <c r="JDZ890" s="124"/>
      <c r="JEA890" s="124"/>
      <c r="JEB890" s="124"/>
      <c r="JEC890" s="124"/>
      <c r="JED890" s="124"/>
      <c r="JEE890" s="124"/>
      <c r="JEF890" s="124"/>
      <c r="JEG890" s="124"/>
      <c r="JEH890" s="124"/>
      <c r="JEI890" s="124"/>
      <c r="JEJ890" s="124"/>
      <c r="JEK890" s="124"/>
      <c r="JEL890" s="124"/>
      <c r="JEM890" s="124"/>
      <c r="JEN890" s="124"/>
      <c r="JEO890" s="124"/>
      <c r="JEP890" s="124"/>
      <c r="JEQ890" s="124"/>
      <c r="JER890" s="124"/>
      <c r="JES890" s="124"/>
      <c r="JET890" s="124"/>
      <c r="JEU890" s="124"/>
      <c r="JEV890" s="124"/>
      <c r="JEW890" s="124"/>
      <c r="JEX890" s="124"/>
      <c r="JEY890" s="124"/>
      <c r="JEZ890" s="124"/>
      <c r="JFA890" s="124"/>
      <c r="JFB890" s="124"/>
      <c r="JFC890" s="124"/>
      <c r="JFD890" s="124"/>
      <c r="JFE890" s="124"/>
      <c r="JFF890" s="124"/>
      <c r="JFG890" s="124"/>
      <c r="JFH890" s="124"/>
      <c r="JFI890" s="124"/>
      <c r="JFJ890" s="124"/>
      <c r="JFK890" s="124"/>
      <c r="JFL890" s="124"/>
      <c r="JFM890" s="124"/>
      <c r="JFN890" s="124"/>
      <c r="JFO890" s="124"/>
      <c r="JFP890" s="124"/>
      <c r="JFQ890" s="124"/>
      <c r="JFR890" s="124"/>
      <c r="JFS890" s="124"/>
      <c r="JFT890" s="124"/>
      <c r="JFU890" s="124"/>
      <c r="JFV890" s="124"/>
      <c r="JFW890" s="124"/>
      <c r="JFX890" s="124"/>
      <c r="JFY890" s="124"/>
      <c r="JFZ890" s="124"/>
      <c r="JGA890" s="124"/>
      <c r="JGB890" s="124"/>
      <c r="JGC890" s="124"/>
      <c r="JGD890" s="124"/>
      <c r="JGE890" s="124"/>
      <c r="JGF890" s="124"/>
      <c r="JGG890" s="124"/>
      <c r="JGH890" s="124"/>
      <c r="JGI890" s="124"/>
      <c r="JGJ890" s="124"/>
      <c r="JGK890" s="124"/>
      <c r="JGL890" s="124"/>
      <c r="JGM890" s="124"/>
      <c r="JGN890" s="124"/>
      <c r="JGO890" s="124"/>
      <c r="JGP890" s="124"/>
      <c r="JGQ890" s="124"/>
      <c r="JGR890" s="124"/>
      <c r="JGS890" s="124"/>
      <c r="JGT890" s="124"/>
      <c r="JGU890" s="124"/>
      <c r="JGV890" s="124"/>
      <c r="JGW890" s="124"/>
      <c r="JGX890" s="124"/>
      <c r="JGY890" s="124"/>
      <c r="JGZ890" s="124"/>
      <c r="JHA890" s="124"/>
      <c r="JHB890" s="124"/>
      <c r="JHC890" s="124"/>
      <c r="JHD890" s="124"/>
      <c r="JHE890" s="124"/>
      <c r="JHF890" s="124"/>
      <c r="JHG890" s="124"/>
      <c r="JHH890" s="124"/>
      <c r="JHI890" s="124"/>
      <c r="JHJ890" s="124"/>
      <c r="JHK890" s="124"/>
      <c r="JHL890" s="124"/>
      <c r="JHM890" s="124"/>
      <c r="JHN890" s="124"/>
      <c r="JHO890" s="124"/>
      <c r="JHP890" s="124"/>
      <c r="JHQ890" s="124"/>
      <c r="JHR890" s="124"/>
      <c r="JHS890" s="124"/>
      <c r="JHT890" s="124"/>
      <c r="JHU890" s="124"/>
      <c r="JHV890" s="124"/>
      <c r="JHW890" s="124"/>
      <c r="JHX890" s="124"/>
      <c r="JHY890" s="124"/>
      <c r="JHZ890" s="124"/>
      <c r="JIA890" s="124"/>
      <c r="JIB890" s="124"/>
      <c r="JIC890" s="124"/>
      <c r="JID890" s="124"/>
      <c r="JIE890" s="124"/>
      <c r="JIF890" s="124"/>
      <c r="JIG890" s="124"/>
      <c r="JIH890" s="124"/>
      <c r="JII890" s="124"/>
      <c r="JIJ890" s="124"/>
      <c r="JIK890" s="124"/>
      <c r="JIL890" s="124"/>
      <c r="JIM890" s="124"/>
      <c r="JIN890" s="124"/>
      <c r="JIO890" s="124"/>
      <c r="JIP890" s="124"/>
      <c r="JIQ890" s="124"/>
      <c r="JIR890" s="124"/>
      <c r="JIS890" s="124"/>
      <c r="JIT890" s="124"/>
      <c r="JIU890" s="124"/>
      <c r="JIV890" s="124"/>
      <c r="JIW890" s="124"/>
      <c r="JIX890" s="124"/>
      <c r="JIY890" s="124"/>
      <c r="JIZ890" s="124"/>
      <c r="JJA890" s="124"/>
      <c r="JJB890" s="124"/>
      <c r="JJC890" s="124"/>
      <c r="JJD890" s="124"/>
      <c r="JJE890" s="124"/>
      <c r="JJF890" s="124"/>
      <c r="JJG890" s="124"/>
      <c r="JJH890" s="124"/>
      <c r="JJI890" s="124"/>
      <c r="JJJ890" s="124"/>
      <c r="JJK890" s="124"/>
      <c r="JJL890" s="124"/>
      <c r="JJM890" s="124"/>
      <c r="JJN890" s="124"/>
      <c r="JJO890" s="124"/>
      <c r="JJP890" s="124"/>
      <c r="JJQ890" s="124"/>
      <c r="JJR890" s="124"/>
      <c r="JJS890" s="124"/>
      <c r="JJT890" s="124"/>
      <c r="JJU890" s="124"/>
      <c r="JJV890" s="124"/>
      <c r="JJW890" s="124"/>
      <c r="JJX890" s="124"/>
      <c r="JJY890" s="124"/>
      <c r="JJZ890" s="124"/>
      <c r="JKA890" s="124"/>
      <c r="JKB890" s="124"/>
      <c r="JKC890" s="124"/>
      <c r="JKD890" s="124"/>
      <c r="JKE890" s="124"/>
      <c r="JKF890" s="124"/>
      <c r="JKG890" s="124"/>
      <c r="JKH890" s="124"/>
      <c r="JKI890" s="124"/>
      <c r="JKJ890" s="124"/>
      <c r="JKK890" s="124"/>
      <c r="JKL890" s="124"/>
      <c r="JKM890" s="124"/>
      <c r="JKN890" s="124"/>
      <c r="JKO890" s="124"/>
      <c r="JKP890" s="124"/>
      <c r="JKQ890" s="124"/>
      <c r="JKR890" s="124"/>
      <c r="JKS890" s="124"/>
      <c r="JKT890" s="124"/>
      <c r="JKU890" s="124"/>
      <c r="JKV890" s="124"/>
      <c r="JKW890" s="124"/>
      <c r="JKX890" s="124"/>
      <c r="JKY890" s="124"/>
      <c r="JKZ890" s="124"/>
      <c r="JLA890" s="124"/>
      <c r="JLB890" s="124"/>
      <c r="JLC890" s="124"/>
      <c r="JLD890" s="124"/>
      <c r="JLE890" s="124"/>
      <c r="JLF890" s="124"/>
      <c r="JLG890" s="124"/>
      <c r="JLH890" s="124"/>
      <c r="JLI890" s="124"/>
      <c r="JLJ890" s="124"/>
      <c r="JLK890" s="124"/>
      <c r="JLL890" s="124"/>
      <c r="JLM890" s="124"/>
      <c r="JLN890" s="124"/>
      <c r="JLO890" s="124"/>
      <c r="JLP890" s="124"/>
      <c r="JLQ890" s="124"/>
      <c r="JLR890" s="124"/>
      <c r="JLS890" s="124"/>
      <c r="JLT890" s="124"/>
      <c r="JLU890" s="124"/>
      <c r="JLV890" s="124"/>
      <c r="JLW890" s="124"/>
      <c r="JLX890" s="124"/>
      <c r="JLY890" s="124"/>
      <c r="JLZ890" s="124"/>
      <c r="JMA890" s="124"/>
      <c r="JMB890" s="124"/>
      <c r="JMC890" s="124"/>
      <c r="JMD890" s="124"/>
      <c r="JME890" s="124"/>
      <c r="JMF890" s="124"/>
      <c r="JMG890" s="124"/>
      <c r="JMH890" s="124"/>
      <c r="JMI890" s="124"/>
      <c r="JMJ890" s="124"/>
      <c r="JMK890" s="124"/>
      <c r="JML890" s="124"/>
      <c r="JMM890" s="124"/>
      <c r="JMN890" s="124"/>
      <c r="JMO890" s="124"/>
      <c r="JMP890" s="124"/>
      <c r="JMQ890" s="124"/>
      <c r="JMR890" s="124"/>
      <c r="JMS890" s="124"/>
      <c r="JMT890" s="124"/>
      <c r="JMU890" s="124"/>
      <c r="JMV890" s="124"/>
      <c r="JMW890" s="124"/>
      <c r="JMX890" s="124"/>
      <c r="JMY890" s="124"/>
      <c r="JMZ890" s="124"/>
      <c r="JNA890" s="124"/>
      <c r="JNB890" s="124"/>
      <c r="JNC890" s="124"/>
      <c r="JND890" s="124"/>
      <c r="JNE890" s="124"/>
      <c r="JNF890" s="124"/>
      <c r="JNG890" s="124"/>
      <c r="JNH890" s="124"/>
      <c r="JNI890" s="124"/>
      <c r="JNJ890" s="124"/>
      <c r="JNK890" s="124"/>
      <c r="JNL890" s="124"/>
      <c r="JNM890" s="124"/>
      <c r="JNN890" s="124"/>
      <c r="JNO890" s="124"/>
      <c r="JNP890" s="124"/>
      <c r="JNQ890" s="124"/>
      <c r="JNR890" s="124"/>
      <c r="JNS890" s="124"/>
      <c r="JNT890" s="124"/>
      <c r="JNU890" s="124"/>
      <c r="JNV890" s="124"/>
      <c r="JNW890" s="124"/>
      <c r="JNX890" s="124"/>
      <c r="JNY890" s="124"/>
      <c r="JNZ890" s="124"/>
      <c r="JOA890" s="124"/>
      <c r="JOB890" s="124"/>
      <c r="JOC890" s="124"/>
      <c r="JOD890" s="124"/>
      <c r="JOE890" s="124"/>
      <c r="JOF890" s="124"/>
      <c r="JOG890" s="124"/>
      <c r="JOH890" s="124"/>
      <c r="JOI890" s="124"/>
      <c r="JOJ890" s="124"/>
      <c r="JOK890" s="124"/>
      <c r="JOL890" s="124"/>
      <c r="JOM890" s="124"/>
      <c r="JON890" s="124"/>
      <c r="JOO890" s="124"/>
      <c r="JOP890" s="124"/>
      <c r="JOQ890" s="124"/>
      <c r="JOR890" s="124"/>
      <c r="JOS890" s="124"/>
      <c r="JOT890" s="124"/>
      <c r="JOU890" s="124"/>
      <c r="JOV890" s="124"/>
      <c r="JOW890" s="124"/>
      <c r="JOX890" s="124"/>
      <c r="JOY890" s="124"/>
      <c r="JOZ890" s="124"/>
      <c r="JPA890" s="124"/>
      <c r="JPB890" s="124"/>
      <c r="JPC890" s="124"/>
      <c r="JPD890" s="124"/>
      <c r="JPE890" s="124"/>
      <c r="JPF890" s="124"/>
      <c r="JPG890" s="124"/>
      <c r="JPH890" s="124"/>
      <c r="JPI890" s="124"/>
      <c r="JPJ890" s="124"/>
      <c r="JPK890" s="124"/>
      <c r="JPL890" s="124"/>
      <c r="JPM890" s="124"/>
      <c r="JPN890" s="124"/>
      <c r="JPO890" s="124"/>
      <c r="JPP890" s="124"/>
      <c r="JPQ890" s="124"/>
      <c r="JPR890" s="124"/>
      <c r="JPS890" s="124"/>
      <c r="JPT890" s="124"/>
      <c r="JPU890" s="124"/>
      <c r="JPV890" s="124"/>
      <c r="JPW890" s="124"/>
      <c r="JPX890" s="124"/>
      <c r="JPY890" s="124"/>
      <c r="JPZ890" s="124"/>
      <c r="JQA890" s="124"/>
      <c r="JQB890" s="124"/>
      <c r="JQC890" s="124"/>
      <c r="JQD890" s="124"/>
      <c r="JQE890" s="124"/>
      <c r="JQF890" s="124"/>
      <c r="JQG890" s="124"/>
      <c r="JQH890" s="124"/>
      <c r="JQI890" s="124"/>
      <c r="JQJ890" s="124"/>
      <c r="JQK890" s="124"/>
      <c r="JQL890" s="124"/>
      <c r="JQM890" s="124"/>
      <c r="JQN890" s="124"/>
      <c r="JQO890" s="124"/>
      <c r="JQP890" s="124"/>
      <c r="JQQ890" s="124"/>
      <c r="JQR890" s="124"/>
      <c r="JQS890" s="124"/>
      <c r="JQT890" s="124"/>
      <c r="JQU890" s="124"/>
      <c r="JQV890" s="124"/>
      <c r="JQW890" s="124"/>
      <c r="JQX890" s="124"/>
      <c r="JQY890" s="124"/>
      <c r="JQZ890" s="124"/>
      <c r="JRA890" s="124"/>
      <c r="JRB890" s="124"/>
      <c r="JRC890" s="124"/>
      <c r="JRD890" s="124"/>
      <c r="JRE890" s="124"/>
      <c r="JRF890" s="124"/>
      <c r="JRG890" s="124"/>
      <c r="JRH890" s="124"/>
      <c r="JRI890" s="124"/>
      <c r="JRJ890" s="124"/>
      <c r="JRK890" s="124"/>
      <c r="JRL890" s="124"/>
      <c r="JRM890" s="124"/>
      <c r="JRN890" s="124"/>
      <c r="JRO890" s="124"/>
      <c r="JRP890" s="124"/>
      <c r="JRQ890" s="124"/>
      <c r="JRR890" s="124"/>
      <c r="JRS890" s="124"/>
      <c r="JRT890" s="124"/>
      <c r="JRU890" s="124"/>
      <c r="JRV890" s="124"/>
      <c r="JRW890" s="124"/>
      <c r="JRX890" s="124"/>
      <c r="JRY890" s="124"/>
      <c r="JRZ890" s="124"/>
      <c r="JSA890" s="124"/>
      <c r="JSB890" s="124"/>
      <c r="JSC890" s="124"/>
      <c r="JSD890" s="124"/>
      <c r="JSE890" s="124"/>
      <c r="JSF890" s="124"/>
      <c r="JSG890" s="124"/>
      <c r="JSH890" s="124"/>
      <c r="JSI890" s="124"/>
      <c r="JSJ890" s="124"/>
      <c r="JSK890" s="124"/>
      <c r="JSL890" s="124"/>
      <c r="JSM890" s="124"/>
      <c r="JSN890" s="124"/>
      <c r="JSO890" s="124"/>
      <c r="JSP890" s="124"/>
      <c r="JSQ890" s="124"/>
      <c r="JSR890" s="124"/>
      <c r="JSS890" s="124"/>
      <c r="JST890" s="124"/>
      <c r="JSU890" s="124"/>
      <c r="JSV890" s="124"/>
      <c r="JSW890" s="124"/>
      <c r="JSX890" s="124"/>
      <c r="JSY890" s="124"/>
      <c r="JSZ890" s="124"/>
      <c r="JTA890" s="124"/>
      <c r="JTB890" s="124"/>
      <c r="JTC890" s="124"/>
      <c r="JTD890" s="124"/>
      <c r="JTE890" s="124"/>
      <c r="JTF890" s="124"/>
      <c r="JTG890" s="124"/>
      <c r="JTH890" s="124"/>
      <c r="JTI890" s="124"/>
      <c r="JTJ890" s="124"/>
      <c r="JTK890" s="124"/>
      <c r="JTL890" s="124"/>
      <c r="JTM890" s="124"/>
      <c r="JTN890" s="124"/>
      <c r="JTO890" s="124"/>
      <c r="JTP890" s="124"/>
      <c r="JTQ890" s="124"/>
      <c r="JTR890" s="124"/>
      <c r="JTS890" s="124"/>
      <c r="JTT890" s="124"/>
      <c r="JTU890" s="124"/>
      <c r="JTV890" s="124"/>
      <c r="JTW890" s="124"/>
      <c r="JTX890" s="124"/>
      <c r="JTY890" s="124"/>
      <c r="JTZ890" s="124"/>
      <c r="JUA890" s="124"/>
      <c r="JUB890" s="124"/>
      <c r="JUC890" s="124"/>
      <c r="JUD890" s="124"/>
      <c r="JUE890" s="124"/>
      <c r="JUF890" s="124"/>
      <c r="JUG890" s="124"/>
      <c r="JUH890" s="124"/>
      <c r="JUI890" s="124"/>
      <c r="JUJ890" s="124"/>
      <c r="JUK890" s="124"/>
      <c r="JUL890" s="124"/>
      <c r="JUM890" s="124"/>
      <c r="JUN890" s="124"/>
      <c r="JUO890" s="124"/>
      <c r="JUP890" s="124"/>
      <c r="JUQ890" s="124"/>
      <c r="JUR890" s="124"/>
      <c r="JUS890" s="124"/>
      <c r="JUT890" s="124"/>
      <c r="JUU890" s="124"/>
      <c r="JUV890" s="124"/>
      <c r="JUW890" s="124"/>
      <c r="JUX890" s="124"/>
      <c r="JUY890" s="124"/>
      <c r="JUZ890" s="124"/>
      <c r="JVA890" s="124"/>
      <c r="JVB890" s="124"/>
      <c r="JVC890" s="124"/>
      <c r="JVD890" s="124"/>
      <c r="JVE890" s="124"/>
      <c r="JVF890" s="124"/>
      <c r="JVG890" s="124"/>
      <c r="JVH890" s="124"/>
      <c r="JVI890" s="124"/>
      <c r="JVJ890" s="124"/>
      <c r="JVK890" s="124"/>
      <c r="JVL890" s="124"/>
      <c r="JVM890" s="124"/>
      <c r="JVN890" s="124"/>
      <c r="JVO890" s="124"/>
      <c r="JVP890" s="124"/>
      <c r="JVQ890" s="124"/>
      <c r="JVR890" s="124"/>
      <c r="JVS890" s="124"/>
      <c r="JVT890" s="124"/>
      <c r="JVU890" s="124"/>
      <c r="JVV890" s="124"/>
      <c r="JVW890" s="124"/>
      <c r="JVX890" s="124"/>
      <c r="JVY890" s="124"/>
      <c r="JVZ890" s="124"/>
      <c r="JWA890" s="124"/>
      <c r="JWB890" s="124"/>
      <c r="JWC890" s="124"/>
      <c r="JWD890" s="124"/>
      <c r="JWE890" s="124"/>
      <c r="JWF890" s="124"/>
      <c r="JWG890" s="124"/>
      <c r="JWH890" s="124"/>
      <c r="JWI890" s="124"/>
      <c r="JWJ890" s="124"/>
      <c r="JWK890" s="124"/>
      <c r="JWL890" s="124"/>
      <c r="JWM890" s="124"/>
      <c r="JWN890" s="124"/>
      <c r="JWO890" s="124"/>
      <c r="JWP890" s="124"/>
      <c r="JWQ890" s="124"/>
      <c r="JWR890" s="124"/>
      <c r="JWS890" s="124"/>
      <c r="JWT890" s="124"/>
      <c r="JWU890" s="124"/>
      <c r="JWV890" s="124"/>
      <c r="JWW890" s="124"/>
      <c r="JWX890" s="124"/>
      <c r="JWY890" s="124"/>
      <c r="JWZ890" s="124"/>
      <c r="JXA890" s="124"/>
      <c r="JXB890" s="124"/>
      <c r="JXC890" s="124"/>
      <c r="JXD890" s="124"/>
      <c r="JXE890" s="124"/>
      <c r="JXF890" s="124"/>
      <c r="JXG890" s="124"/>
      <c r="JXH890" s="124"/>
      <c r="JXI890" s="124"/>
      <c r="JXJ890" s="124"/>
      <c r="JXK890" s="124"/>
      <c r="JXL890" s="124"/>
      <c r="JXM890" s="124"/>
      <c r="JXN890" s="124"/>
      <c r="JXO890" s="124"/>
      <c r="JXP890" s="124"/>
      <c r="JXQ890" s="124"/>
      <c r="JXR890" s="124"/>
      <c r="JXS890" s="124"/>
      <c r="JXT890" s="124"/>
      <c r="JXU890" s="124"/>
      <c r="JXV890" s="124"/>
      <c r="JXW890" s="124"/>
      <c r="JXX890" s="124"/>
      <c r="JXY890" s="124"/>
      <c r="JXZ890" s="124"/>
      <c r="JYA890" s="124"/>
      <c r="JYB890" s="124"/>
      <c r="JYC890" s="124"/>
      <c r="JYD890" s="124"/>
      <c r="JYE890" s="124"/>
      <c r="JYF890" s="124"/>
      <c r="JYG890" s="124"/>
      <c r="JYH890" s="124"/>
      <c r="JYI890" s="124"/>
      <c r="JYJ890" s="124"/>
      <c r="JYK890" s="124"/>
      <c r="JYL890" s="124"/>
      <c r="JYM890" s="124"/>
      <c r="JYN890" s="124"/>
      <c r="JYO890" s="124"/>
      <c r="JYP890" s="124"/>
      <c r="JYQ890" s="124"/>
      <c r="JYR890" s="124"/>
      <c r="JYS890" s="124"/>
      <c r="JYT890" s="124"/>
      <c r="JYU890" s="124"/>
      <c r="JYV890" s="124"/>
      <c r="JYW890" s="124"/>
      <c r="JYX890" s="124"/>
      <c r="JYY890" s="124"/>
      <c r="JYZ890" s="124"/>
      <c r="JZA890" s="124"/>
      <c r="JZB890" s="124"/>
      <c r="JZC890" s="124"/>
      <c r="JZD890" s="124"/>
      <c r="JZE890" s="124"/>
      <c r="JZF890" s="124"/>
      <c r="JZG890" s="124"/>
      <c r="JZH890" s="124"/>
      <c r="JZI890" s="124"/>
      <c r="JZJ890" s="124"/>
      <c r="JZK890" s="124"/>
      <c r="JZL890" s="124"/>
      <c r="JZM890" s="124"/>
      <c r="JZN890" s="124"/>
      <c r="JZO890" s="124"/>
      <c r="JZP890" s="124"/>
      <c r="JZQ890" s="124"/>
      <c r="JZR890" s="124"/>
      <c r="JZS890" s="124"/>
      <c r="JZT890" s="124"/>
      <c r="JZU890" s="124"/>
      <c r="JZV890" s="124"/>
      <c r="JZW890" s="124"/>
      <c r="JZX890" s="124"/>
      <c r="JZY890" s="124"/>
      <c r="JZZ890" s="124"/>
      <c r="KAA890" s="124"/>
      <c r="KAB890" s="124"/>
      <c r="KAC890" s="124"/>
      <c r="KAD890" s="124"/>
      <c r="KAE890" s="124"/>
      <c r="KAF890" s="124"/>
      <c r="KAG890" s="124"/>
      <c r="KAH890" s="124"/>
      <c r="KAI890" s="124"/>
      <c r="KAJ890" s="124"/>
      <c r="KAK890" s="124"/>
      <c r="KAL890" s="124"/>
      <c r="KAM890" s="124"/>
      <c r="KAN890" s="124"/>
      <c r="KAO890" s="124"/>
      <c r="KAP890" s="124"/>
      <c r="KAQ890" s="124"/>
      <c r="KAR890" s="124"/>
      <c r="KAS890" s="124"/>
      <c r="KAT890" s="124"/>
      <c r="KAU890" s="124"/>
      <c r="KAV890" s="124"/>
      <c r="KAW890" s="124"/>
      <c r="KAX890" s="124"/>
      <c r="KAY890" s="124"/>
      <c r="KAZ890" s="124"/>
      <c r="KBA890" s="124"/>
      <c r="KBB890" s="124"/>
      <c r="KBC890" s="124"/>
      <c r="KBD890" s="124"/>
      <c r="KBE890" s="124"/>
      <c r="KBF890" s="124"/>
      <c r="KBG890" s="124"/>
      <c r="KBH890" s="124"/>
      <c r="KBI890" s="124"/>
      <c r="KBJ890" s="124"/>
      <c r="KBK890" s="124"/>
      <c r="KBL890" s="124"/>
      <c r="KBM890" s="124"/>
      <c r="KBN890" s="124"/>
      <c r="KBO890" s="124"/>
      <c r="KBP890" s="124"/>
      <c r="KBQ890" s="124"/>
      <c r="KBR890" s="124"/>
      <c r="KBS890" s="124"/>
      <c r="KBT890" s="124"/>
      <c r="KBU890" s="124"/>
      <c r="KBV890" s="124"/>
      <c r="KBW890" s="124"/>
      <c r="KBX890" s="124"/>
      <c r="KBY890" s="124"/>
      <c r="KBZ890" s="124"/>
      <c r="KCA890" s="124"/>
      <c r="KCB890" s="124"/>
      <c r="KCC890" s="124"/>
      <c r="KCD890" s="124"/>
      <c r="KCE890" s="124"/>
      <c r="KCF890" s="124"/>
      <c r="KCG890" s="124"/>
      <c r="KCH890" s="124"/>
      <c r="KCI890" s="124"/>
      <c r="KCJ890" s="124"/>
      <c r="KCK890" s="124"/>
      <c r="KCL890" s="124"/>
      <c r="KCM890" s="124"/>
      <c r="KCN890" s="124"/>
      <c r="KCO890" s="124"/>
      <c r="KCP890" s="124"/>
      <c r="KCQ890" s="124"/>
      <c r="KCR890" s="124"/>
      <c r="KCS890" s="124"/>
      <c r="KCT890" s="124"/>
      <c r="KCU890" s="124"/>
      <c r="KCV890" s="124"/>
      <c r="KCW890" s="124"/>
      <c r="KCX890" s="124"/>
      <c r="KCY890" s="124"/>
      <c r="KCZ890" s="124"/>
      <c r="KDA890" s="124"/>
      <c r="KDB890" s="124"/>
      <c r="KDC890" s="124"/>
      <c r="KDD890" s="124"/>
      <c r="KDE890" s="124"/>
      <c r="KDF890" s="124"/>
      <c r="KDG890" s="124"/>
      <c r="KDH890" s="124"/>
      <c r="KDI890" s="124"/>
      <c r="KDJ890" s="124"/>
      <c r="KDK890" s="124"/>
      <c r="KDL890" s="124"/>
      <c r="KDM890" s="124"/>
      <c r="KDN890" s="124"/>
      <c r="KDO890" s="124"/>
      <c r="KDP890" s="124"/>
      <c r="KDQ890" s="124"/>
      <c r="KDR890" s="124"/>
      <c r="KDS890" s="124"/>
      <c r="KDT890" s="124"/>
      <c r="KDU890" s="124"/>
      <c r="KDV890" s="124"/>
      <c r="KDW890" s="124"/>
      <c r="KDX890" s="124"/>
      <c r="KDY890" s="124"/>
      <c r="KDZ890" s="124"/>
      <c r="KEA890" s="124"/>
      <c r="KEB890" s="124"/>
      <c r="KEC890" s="124"/>
      <c r="KED890" s="124"/>
      <c r="KEE890" s="124"/>
      <c r="KEF890" s="124"/>
      <c r="KEG890" s="124"/>
      <c r="KEH890" s="124"/>
      <c r="KEI890" s="124"/>
      <c r="KEJ890" s="124"/>
      <c r="KEK890" s="124"/>
      <c r="KEL890" s="124"/>
      <c r="KEM890" s="124"/>
      <c r="KEN890" s="124"/>
      <c r="KEO890" s="124"/>
      <c r="KEP890" s="124"/>
      <c r="KEQ890" s="124"/>
      <c r="KER890" s="124"/>
      <c r="KES890" s="124"/>
      <c r="KET890" s="124"/>
      <c r="KEU890" s="124"/>
      <c r="KEV890" s="124"/>
      <c r="KEW890" s="124"/>
      <c r="KEX890" s="124"/>
      <c r="KEY890" s="124"/>
      <c r="KEZ890" s="124"/>
      <c r="KFA890" s="124"/>
      <c r="KFB890" s="124"/>
      <c r="KFC890" s="124"/>
      <c r="KFD890" s="124"/>
      <c r="KFE890" s="124"/>
      <c r="KFF890" s="124"/>
      <c r="KFG890" s="124"/>
      <c r="KFH890" s="124"/>
      <c r="KFI890" s="124"/>
      <c r="KFJ890" s="124"/>
      <c r="KFK890" s="124"/>
      <c r="KFL890" s="124"/>
      <c r="KFM890" s="124"/>
      <c r="KFN890" s="124"/>
      <c r="KFO890" s="124"/>
      <c r="KFP890" s="124"/>
      <c r="KFQ890" s="124"/>
      <c r="KFR890" s="124"/>
      <c r="KFS890" s="124"/>
      <c r="KFT890" s="124"/>
      <c r="KFU890" s="124"/>
      <c r="KFV890" s="124"/>
      <c r="KFW890" s="124"/>
      <c r="KFX890" s="124"/>
      <c r="KFY890" s="124"/>
      <c r="KFZ890" s="124"/>
      <c r="KGA890" s="124"/>
      <c r="KGB890" s="124"/>
      <c r="KGC890" s="124"/>
      <c r="KGD890" s="124"/>
      <c r="KGE890" s="124"/>
      <c r="KGF890" s="124"/>
      <c r="KGG890" s="124"/>
      <c r="KGH890" s="124"/>
      <c r="KGI890" s="124"/>
      <c r="KGJ890" s="124"/>
      <c r="KGK890" s="124"/>
      <c r="KGL890" s="124"/>
      <c r="KGM890" s="124"/>
      <c r="KGN890" s="124"/>
      <c r="KGO890" s="124"/>
      <c r="KGP890" s="124"/>
      <c r="KGQ890" s="124"/>
      <c r="KGR890" s="124"/>
      <c r="KGS890" s="124"/>
      <c r="KGT890" s="124"/>
      <c r="KGU890" s="124"/>
      <c r="KGV890" s="124"/>
      <c r="KGW890" s="124"/>
      <c r="KGX890" s="124"/>
      <c r="KGY890" s="124"/>
      <c r="KGZ890" s="124"/>
      <c r="KHA890" s="124"/>
      <c r="KHB890" s="124"/>
      <c r="KHC890" s="124"/>
      <c r="KHD890" s="124"/>
      <c r="KHE890" s="124"/>
      <c r="KHF890" s="124"/>
      <c r="KHG890" s="124"/>
      <c r="KHH890" s="124"/>
      <c r="KHI890" s="124"/>
      <c r="KHJ890" s="124"/>
      <c r="KHK890" s="124"/>
      <c r="KHL890" s="124"/>
      <c r="KHM890" s="124"/>
      <c r="KHN890" s="124"/>
      <c r="KHO890" s="124"/>
      <c r="KHP890" s="124"/>
      <c r="KHQ890" s="124"/>
      <c r="KHR890" s="124"/>
      <c r="KHS890" s="124"/>
      <c r="KHT890" s="124"/>
      <c r="KHU890" s="124"/>
      <c r="KHV890" s="124"/>
      <c r="KHW890" s="124"/>
      <c r="KHX890" s="124"/>
      <c r="KHY890" s="124"/>
      <c r="KHZ890" s="124"/>
      <c r="KIA890" s="124"/>
      <c r="KIB890" s="124"/>
      <c r="KIC890" s="124"/>
      <c r="KID890" s="124"/>
      <c r="KIE890" s="124"/>
      <c r="KIF890" s="124"/>
      <c r="KIG890" s="124"/>
      <c r="KIH890" s="124"/>
      <c r="KII890" s="124"/>
      <c r="KIJ890" s="124"/>
      <c r="KIK890" s="124"/>
      <c r="KIL890" s="124"/>
      <c r="KIM890" s="124"/>
      <c r="KIN890" s="124"/>
      <c r="KIO890" s="124"/>
      <c r="KIP890" s="124"/>
      <c r="KIQ890" s="124"/>
      <c r="KIR890" s="124"/>
      <c r="KIS890" s="124"/>
      <c r="KIT890" s="124"/>
      <c r="KIU890" s="124"/>
      <c r="KIV890" s="124"/>
      <c r="KIW890" s="124"/>
      <c r="KIX890" s="124"/>
      <c r="KIY890" s="124"/>
      <c r="KIZ890" s="124"/>
      <c r="KJA890" s="124"/>
      <c r="KJB890" s="124"/>
      <c r="KJC890" s="124"/>
      <c r="KJD890" s="124"/>
      <c r="KJE890" s="124"/>
      <c r="KJF890" s="124"/>
      <c r="KJG890" s="124"/>
      <c r="KJH890" s="124"/>
      <c r="KJI890" s="124"/>
      <c r="KJJ890" s="124"/>
      <c r="KJK890" s="124"/>
      <c r="KJL890" s="124"/>
      <c r="KJM890" s="124"/>
      <c r="KJN890" s="124"/>
      <c r="KJO890" s="124"/>
      <c r="KJP890" s="124"/>
      <c r="KJQ890" s="124"/>
      <c r="KJR890" s="124"/>
      <c r="KJS890" s="124"/>
      <c r="KJT890" s="124"/>
      <c r="KJU890" s="124"/>
      <c r="KJV890" s="124"/>
      <c r="KJW890" s="124"/>
      <c r="KJX890" s="124"/>
      <c r="KJY890" s="124"/>
      <c r="KJZ890" s="124"/>
      <c r="KKA890" s="124"/>
      <c r="KKB890" s="124"/>
      <c r="KKC890" s="124"/>
      <c r="KKD890" s="124"/>
      <c r="KKE890" s="124"/>
      <c r="KKF890" s="124"/>
      <c r="KKG890" s="124"/>
      <c r="KKH890" s="124"/>
      <c r="KKI890" s="124"/>
      <c r="KKJ890" s="124"/>
      <c r="KKK890" s="124"/>
      <c r="KKL890" s="124"/>
      <c r="KKM890" s="124"/>
      <c r="KKN890" s="124"/>
      <c r="KKO890" s="124"/>
      <c r="KKP890" s="124"/>
      <c r="KKQ890" s="124"/>
      <c r="KKR890" s="124"/>
      <c r="KKS890" s="124"/>
      <c r="KKT890" s="124"/>
      <c r="KKU890" s="124"/>
      <c r="KKV890" s="124"/>
      <c r="KKW890" s="124"/>
      <c r="KKX890" s="124"/>
      <c r="KKY890" s="124"/>
      <c r="KKZ890" s="124"/>
      <c r="KLA890" s="124"/>
      <c r="KLB890" s="124"/>
      <c r="KLC890" s="124"/>
      <c r="KLD890" s="124"/>
      <c r="KLE890" s="124"/>
      <c r="KLF890" s="124"/>
      <c r="KLG890" s="124"/>
      <c r="KLH890" s="124"/>
      <c r="KLI890" s="124"/>
      <c r="KLJ890" s="124"/>
      <c r="KLK890" s="124"/>
      <c r="KLL890" s="124"/>
      <c r="KLM890" s="124"/>
      <c r="KLN890" s="124"/>
      <c r="KLO890" s="124"/>
      <c r="KLP890" s="124"/>
      <c r="KLQ890" s="124"/>
      <c r="KLR890" s="124"/>
      <c r="KLS890" s="124"/>
      <c r="KLT890" s="124"/>
      <c r="KLU890" s="124"/>
      <c r="KLV890" s="124"/>
      <c r="KLW890" s="124"/>
      <c r="KLX890" s="124"/>
      <c r="KLY890" s="124"/>
      <c r="KLZ890" s="124"/>
      <c r="KMA890" s="124"/>
      <c r="KMB890" s="124"/>
      <c r="KMC890" s="124"/>
      <c r="KMD890" s="124"/>
      <c r="KME890" s="124"/>
      <c r="KMF890" s="124"/>
      <c r="KMG890" s="124"/>
      <c r="KMH890" s="124"/>
      <c r="KMI890" s="124"/>
      <c r="KMJ890" s="124"/>
      <c r="KMK890" s="124"/>
      <c r="KML890" s="124"/>
      <c r="KMM890" s="124"/>
      <c r="KMN890" s="124"/>
      <c r="KMO890" s="124"/>
      <c r="KMP890" s="124"/>
      <c r="KMQ890" s="124"/>
      <c r="KMR890" s="124"/>
      <c r="KMS890" s="124"/>
      <c r="KMT890" s="124"/>
      <c r="KMU890" s="124"/>
      <c r="KMV890" s="124"/>
      <c r="KMW890" s="124"/>
      <c r="KMX890" s="124"/>
      <c r="KMY890" s="124"/>
      <c r="KMZ890" s="124"/>
      <c r="KNA890" s="124"/>
      <c r="KNB890" s="124"/>
      <c r="KNC890" s="124"/>
      <c r="KND890" s="124"/>
      <c r="KNE890" s="124"/>
      <c r="KNF890" s="124"/>
      <c r="KNG890" s="124"/>
      <c r="KNH890" s="124"/>
      <c r="KNI890" s="124"/>
      <c r="KNJ890" s="124"/>
      <c r="KNK890" s="124"/>
      <c r="KNL890" s="124"/>
      <c r="KNM890" s="124"/>
      <c r="KNN890" s="124"/>
      <c r="KNO890" s="124"/>
      <c r="KNP890" s="124"/>
      <c r="KNQ890" s="124"/>
      <c r="KNR890" s="124"/>
      <c r="KNS890" s="124"/>
      <c r="KNT890" s="124"/>
      <c r="KNU890" s="124"/>
      <c r="KNV890" s="124"/>
      <c r="KNW890" s="124"/>
      <c r="KNX890" s="124"/>
      <c r="KNY890" s="124"/>
      <c r="KNZ890" s="124"/>
      <c r="KOA890" s="124"/>
      <c r="KOB890" s="124"/>
      <c r="KOC890" s="124"/>
      <c r="KOD890" s="124"/>
      <c r="KOE890" s="124"/>
      <c r="KOF890" s="124"/>
      <c r="KOG890" s="124"/>
      <c r="KOH890" s="124"/>
      <c r="KOI890" s="124"/>
      <c r="KOJ890" s="124"/>
      <c r="KOK890" s="124"/>
      <c r="KOL890" s="124"/>
      <c r="KOM890" s="124"/>
      <c r="KON890" s="124"/>
      <c r="KOO890" s="124"/>
      <c r="KOP890" s="124"/>
      <c r="KOQ890" s="124"/>
      <c r="KOR890" s="124"/>
      <c r="KOS890" s="124"/>
      <c r="KOT890" s="124"/>
      <c r="KOU890" s="124"/>
      <c r="KOV890" s="124"/>
      <c r="KOW890" s="124"/>
      <c r="KOX890" s="124"/>
      <c r="KOY890" s="124"/>
      <c r="KOZ890" s="124"/>
      <c r="KPA890" s="124"/>
      <c r="KPB890" s="124"/>
      <c r="KPC890" s="124"/>
      <c r="KPD890" s="124"/>
      <c r="KPE890" s="124"/>
      <c r="KPF890" s="124"/>
      <c r="KPG890" s="124"/>
      <c r="KPH890" s="124"/>
      <c r="KPI890" s="124"/>
      <c r="KPJ890" s="124"/>
      <c r="KPK890" s="124"/>
      <c r="KPL890" s="124"/>
      <c r="KPM890" s="124"/>
      <c r="KPN890" s="124"/>
      <c r="KPO890" s="124"/>
      <c r="KPP890" s="124"/>
      <c r="KPQ890" s="124"/>
      <c r="KPR890" s="124"/>
      <c r="KPS890" s="124"/>
      <c r="KPT890" s="124"/>
      <c r="KPU890" s="124"/>
      <c r="KPV890" s="124"/>
      <c r="KPW890" s="124"/>
      <c r="KPX890" s="124"/>
      <c r="KPY890" s="124"/>
      <c r="KPZ890" s="124"/>
      <c r="KQA890" s="124"/>
      <c r="KQB890" s="124"/>
      <c r="KQC890" s="124"/>
      <c r="KQD890" s="124"/>
      <c r="KQE890" s="124"/>
      <c r="KQF890" s="124"/>
      <c r="KQG890" s="124"/>
      <c r="KQH890" s="124"/>
      <c r="KQI890" s="124"/>
      <c r="KQJ890" s="124"/>
      <c r="KQK890" s="124"/>
      <c r="KQL890" s="124"/>
      <c r="KQM890" s="124"/>
      <c r="KQN890" s="124"/>
      <c r="KQO890" s="124"/>
      <c r="KQP890" s="124"/>
      <c r="KQQ890" s="124"/>
      <c r="KQR890" s="124"/>
      <c r="KQS890" s="124"/>
      <c r="KQT890" s="124"/>
      <c r="KQU890" s="124"/>
      <c r="KQV890" s="124"/>
      <c r="KQW890" s="124"/>
      <c r="KQX890" s="124"/>
      <c r="KQY890" s="124"/>
      <c r="KQZ890" s="124"/>
      <c r="KRA890" s="124"/>
      <c r="KRB890" s="124"/>
      <c r="KRC890" s="124"/>
      <c r="KRD890" s="124"/>
      <c r="KRE890" s="124"/>
      <c r="KRF890" s="124"/>
      <c r="KRG890" s="124"/>
      <c r="KRH890" s="124"/>
      <c r="KRI890" s="124"/>
      <c r="KRJ890" s="124"/>
      <c r="KRK890" s="124"/>
      <c r="KRL890" s="124"/>
      <c r="KRM890" s="124"/>
      <c r="KRN890" s="124"/>
      <c r="KRO890" s="124"/>
      <c r="KRP890" s="124"/>
      <c r="KRQ890" s="124"/>
      <c r="KRR890" s="124"/>
      <c r="KRS890" s="124"/>
      <c r="KRT890" s="124"/>
      <c r="KRU890" s="124"/>
      <c r="KRV890" s="124"/>
      <c r="KRW890" s="124"/>
      <c r="KRX890" s="124"/>
      <c r="KRY890" s="124"/>
      <c r="KRZ890" s="124"/>
      <c r="KSA890" s="124"/>
      <c r="KSB890" s="124"/>
      <c r="KSC890" s="124"/>
      <c r="KSD890" s="124"/>
      <c r="KSE890" s="124"/>
      <c r="KSF890" s="124"/>
      <c r="KSG890" s="124"/>
      <c r="KSH890" s="124"/>
      <c r="KSI890" s="124"/>
      <c r="KSJ890" s="124"/>
      <c r="KSK890" s="124"/>
      <c r="KSL890" s="124"/>
      <c r="KSM890" s="124"/>
      <c r="KSN890" s="124"/>
      <c r="KSO890" s="124"/>
      <c r="KSP890" s="124"/>
      <c r="KSQ890" s="124"/>
      <c r="KSR890" s="124"/>
      <c r="KSS890" s="124"/>
      <c r="KST890" s="124"/>
      <c r="KSU890" s="124"/>
      <c r="KSV890" s="124"/>
      <c r="KSW890" s="124"/>
      <c r="KSX890" s="124"/>
      <c r="KSY890" s="124"/>
      <c r="KSZ890" s="124"/>
      <c r="KTA890" s="124"/>
      <c r="KTB890" s="124"/>
      <c r="KTC890" s="124"/>
      <c r="KTD890" s="124"/>
      <c r="KTE890" s="124"/>
      <c r="KTF890" s="124"/>
      <c r="KTG890" s="124"/>
      <c r="KTH890" s="124"/>
      <c r="KTI890" s="124"/>
      <c r="KTJ890" s="124"/>
      <c r="KTK890" s="124"/>
      <c r="KTL890" s="124"/>
      <c r="KTM890" s="124"/>
      <c r="KTN890" s="124"/>
      <c r="KTO890" s="124"/>
      <c r="KTP890" s="124"/>
      <c r="KTQ890" s="124"/>
      <c r="KTR890" s="124"/>
      <c r="KTS890" s="124"/>
      <c r="KTT890" s="124"/>
      <c r="KTU890" s="124"/>
      <c r="KTV890" s="124"/>
      <c r="KTW890" s="124"/>
      <c r="KTX890" s="124"/>
      <c r="KTY890" s="124"/>
      <c r="KTZ890" s="124"/>
      <c r="KUA890" s="124"/>
      <c r="KUB890" s="124"/>
      <c r="KUC890" s="124"/>
      <c r="KUD890" s="124"/>
      <c r="KUE890" s="124"/>
      <c r="KUF890" s="124"/>
      <c r="KUG890" s="124"/>
      <c r="KUH890" s="124"/>
      <c r="KUI890" s="124"/>
      <c r="KUJ890" s="124"/>
      <c r="KUK890" s="124"/>
      <c r="KUL890" s="124"/>
      <c r="KUM890" s="124"/>
      <c r="KUN890" s="124"/>
      <c r="KUO890" s="124"/>
      <c r="KUP890" s="124"/>
      <c r="KUQ890" s="124"/>
      <c r="KUR890" s="124"/>
      <c r="KUS890" s="124"/>
      <c r="KUT890" s="124"/>
      <c r="KUU890" s="124"/>
      <c r="KUV890" s="124"/>
      <c r="KUW890" s="124"/>
      <c r="KUX890" s="124"/>
      <c r="KUY890" s="124"/>
      <c r="KUZ890" s="124"/>
      <c r="KVA890" s="124"/>
      <c r="KVB890" s="124"/>
      <c r="KVC890" s="124"/>
      <c r="KVD890" s="124"/>
      <c r="KVE890" s="124"/>
      <c r="KVF890" s="124"/>
      <c r="KVG890" s="124"/>
      <c r="KVH890" s="124"/>
      <c r="KVI890" s="124"/>
      <c r="KVJ890" s="124"/>
      <c r="KVK890" s="124"/>
      <c r="KVL890" s="124"/>
      <c r="KVM890" s="124"/>
      <c r="KVN890" s="124"/>
      <c r="KVO890" s="124"/>
      <c r="KVP890" s="124"/>
      <c r="KVQ890" s="124"/>
      <c r="KVR890" s="124"/>
      <c r="KVS890" s="124"/>
      <c r="KVT890" s="124"/>
      <c r="KVU890" s="124"/>
      <c r="KVV890" s="124"/>
      <c r="KVW890" s="124"/>
      <c r="KVX890" s="124"/>
      <c r="KVY890" s="124"/>
      <c r="KVZ890" s="124"/>
      <c r="KWA890" s="124"/>
      <c r="KWB890" s="124"/>
      <c r="KWC890" s="124"/>
      <c r="KWD890" s="124"/>
      <c r="KWE890" s="124"/>
      <c r="KWF890" s="124"/>
      <c r="KWG890" s="124"/>
      <c r="KWH890" s="124"/>
      <c r="KWI890" s="124"/>
      <c r="KWJ890" s="124"/>
      <c r="KWK890" s="124"/>
      <c r="KWL890" s="124"/>
      <c r="KWM890" s="124"/>
      <c r="KWN890" s="124"/>
      <c r="KWO890" s="124"/>
      <c r="KWP890" s="124"/>
      <c r="KWQ890" s="124"/>
      <c r="KWR890" s="124"/>
      <c r="KWS890" s="124"/>
      <c r="KWT890" s="124"/>
      <c r="KWU890" s="124"/>
      <c r="KWV890" s="124"/>
      <c r="KWW890" s="124"/>
      <c r="KWX890" s="124"/>
      <c r="KWY890" s="124"/>
      <c r="KWZ890" s="124"/>
      <c r="KXA890" s="124"/>
      <c r="KXB890" s="124"/>
      <c r="KXC890" s="124"/>
      <c r="KXD890" s="124"/>
      <c r="KXE890" s="124"/>
      <c r="KXF890" s="124"/>
      <c r="KXG890" s="124"/>
      <c r="KXH890" s="124"/>
      <c r="KXI890" s="124"/>
      <c r="KXJ890" s="124"/>
      <c r="KXK890" s="124"/>
      <c r="KXL890" s="124"/>
      <c r="KXM890" s="124"/>
      <c r="KXN890" s="124"/>
      <c r="KXO890" s="124"/>
      <c r="KXP890" s="124"/>
      <c r="KXQ890" s="124"/>
      <c r="KXR890" s="124"/>
      <c r="KXS890" s="124"/>
      <c r="KXT890" s="124"/>
      <c r="KXU890" s="124"/>
      <c r="KXV890" s="124"/>
      <c r="KXW890" s="124"/>
      <c r="KXX890" s="124"/>
      <c r="KXY890" s="124"/>
      <c r="KXZ890" s="124"/>
      <c r="KYA890" s="124"/>
      <c r="KYB890" s="124"/>
      <c r="KYC890" s="124"/>
      <c r="KYD890" s="124"/>
      <c r="KYE890" s="124"/>
      <c r="KYF890" s="124"/>
      <c r="KYG890" s="124"/>
      <c r="KYH890" s="124"/>
      <c r="KYI890" s="124"/>
      <c r="KYJ890" s="124"/>
      <c r="KYK890" s="124"/>
      <c r="KYL890" s="124"/>
      <c r="KYM890" s="124"/>
      <c r="KYN890" s="124"/>
      <c r="KYO890" s="124"/>
      <c r="KYP890" s="124"/>
      <c r="KYQ890" s="124"/>
      <c r="KYR890" s="124"/>
      <c r="KYS890" s="124"/>
      <c r="KYT890" s="124"/>
      <c r="KYU890" s="124"/>
      <c r="KYV890" s="124"/>
      <c r="KYW890" s="124"/>
      <c r="KYX890" s="124"/>
      <c r="KYY890" s="124"/>
      <c r="KYZ890" s="124"/>
      <c r="KZA890" s="124"/>
      <c r="KZB890" s="124"/>
      <c r="KZC890" s="124"/>
      <c r="KZD890" s="124"/>
      <c r="KZE890" s="124"/>
      <c r="KZF890" s="124"/>
      <c r="KZG890" s="124"/>
      <c r="KZH890" s="124"/>
      <c r="KZI890" s="124"/>
      <c r="KZJ890" s="124"/>
      <c r="KZK890" s="124"/>
      <c r="KZL890" s="124"/>
      <c r="KZM890" s="124"/>
      <c r="KZN890" s="124"/>
      <c r="KZO890" s="124"/>
      <c r="KZP890" s="124"/>
      <c r="KZQ890" s="124"/>
      <c r="KZR890" s="124"/>
      <c r="KZS890" s="124"/>
      <c r="KZT890" s="124"/>
      <c r="KZU890" s="124"/>
      <c r="KZV890" s="124"/>
      <c r="KZW890" s="124"/>
      <c r="KZX890" s="124"/>
      <c r="KZY890" s="124"/>
      <c r="KZZ890" s="124"/>
      <c r="LAA890" s="124"/>
      <c r="LAB890" s="124"/>
      <c r="LAC890" s="124"/>
      <c r="LAD890" s="124"/>
      <c r="LAE890" s="124"/>
      <c r="LAF890" s="124"/>
      <c r="LAG890" s="124"/>
      <c r="LAH890" s="124"/>
      <c r="LAI890" s="124"/>
      <c r="LAJ890" s="124"/>
      <c r="LAK890" s="124"/>
      <c r="LAL890" s="124"/>
      <c r="LAM890" s="124"/>
      <c r="LAN890" s="124"/>
      <c r="LAO890" s="124"/>
      <c r="LAP890" s="124"/>
      <c r="LAQ890" s="124"/>
      <c r="LAR890" s="124"/>
      <c r="LAS890" s="124"/>
      <c r="LAT890" s="124"/>
      <c r="LAU890" s="124"/>
      <c r="LAV890" s="124"/>
      <c r="LAW890" s="124"/>
      <c r="LAX890" s="124"/>
      <c r="LAY890" s="124"/>
      <c r="LAZ890" s="124"/>
      <c r="LBA890" s="124"/>
      <c r="LBB890" s="124"/>
      <c r="LBC890" s="124"/>
      <c r="LBD890" s="124"/>
      <c r="LBE890" s="124"/>
      <c r="LBF890" s="124"/>
      <c r="LBG890" s="124"/>
      <c r="LBH890" s="124"/>
      <c r="LBI890" s="124"/>
      <c r="LBJ890" s="124"/>
      <c r="LBK890" s="124"/>
      <c r="LBL890" s="124"/>
      <c r="LBM890" s="124"/>
      <c r="LBN890" s="124"/>
      <c r="LBO890" s="124"/>
      <c r="LBP890" s="124"/>
      <c r="LBQ890" s="124"/>
      <c r="LBR890" s="124"/>
      <c r="LBS890" s="124"/>
      <c r="LBT890" s="124"/>
      <c r="LBU890" s="124"/>
      <c r="LBV890" s="124"/>
      <c r="LBW890" s="124"/>
      <c r="LBX890" s="124"/>
      <c r="LBY890" s="124"/>
      <c r="LBZ890" s="124"/>
      <c r="LCA890" s="124"/>
      <c r="LCB890" s="124"/>
      <c r="LCC890" s="124"/>
      <c r="LCD890" s="124"/>
      <c r="LCE890" s="124"/>
      <c r="LCF890" s="124"/>
      <c r="LCG890" s="124"/>
      <c r="LCH890" s="124"/>
      <c r="LCI890" s="124"/>
      <c r="LCJ890" s="124"/>
      <c r="LCK890" s="124"/>
      <c r="LCL890" s="124"/>
      <c r="LCM890" s="124"/>
      <c r="LCN890" s="124"/>
      <c r="LCO890" s="124"/>
      <c r="LCP890" s="124"/>
      <c r="LCQ890" s="124"/>
      <c r="LCR890" s="124"/>
      <c r="LCS890" s="124"/>
      <c r="LCT890" s="124"/>
      <c r="LCU890" s="124"/>
      <c r="LCV890" s="124"/>
      <c r="LCW890" s="124"/>
      <c r="LCX890" s="124"/>
      <c r="LCY890" s="124"/>
      <c r="LCZ890" s="124"/>
      <c r="LDA890" s="124"/>
      <c r="LDB890" s="124"/>
      <c r="LDC890" s="124"/>
      <c r="LDD890" s="124"/>
      <c r="LDE890" s="124"/>
      <c r="LDF890" s="124"/>
      <c r="LDG890" s="124"/>
      <c r="LDH890" s="124"/>
      <c r="LDI890" s="124"/>
      <c r="LDJ890" s="124"/>
      <c r="LDK890" s="124"/>
      <c r="LDL890" s="124"/>
      <c r="LDM890" s="124"/>
      <c r="LDN890" s="124"/>
      <c r="LDO890" s="124"/>
      <c r="LDP890" s="124"/>
      <c r="LDQ890" s="124"/>
      <c r="LDR890" s="124"/>
      <c r="LDS890" s="124"/>
      <c r="LDT890" s="124"/>
      <c r="LDU890" s="124"/>
      <c r="LDV890" s="124"/>
      <c r="LDW890" s="124"/>
      <c r="LDX890" s="124"/>
      <c r="LDY890" s="124"/>
      <c r="LDZ890" s="124"/>
      <c r="LEA890" s="124"/>
      <c r="LEB890" s="124"/>
      <c r="LEC890" s="124"/>
      <c r="LED890" s="124"/>
      <c r="LEE890" s="124"/>
      <c r="LEF890" s="124"/>
      <c r="LEG890" s="124"/>
      <c r="LEH890" s="124"/>
      <c r="LEI890" s="124"/>
      <c r="LEJ890" s="124"/>
      <c r="LEK890" s="124"/>
      <c r="LEL890" s="124"/>
      <c r="LEM890" s="124"/>
      <c r="LEN890" s="124"/>
      <c r="LEO890" s="124"/>
      <c r="LEP890" s="124"/>
      <c r="LEQ890" s="124"/>
      <c r="LER890" s="124"/>
      <c r="LES890" s="124"/>
      <c r="LET890" s="124"/>
      <c r="LEU890" s="124"/>
      <c r="LEV890" s="124"/>
      <c r="LEW890" s="124"/>
      <c r="LEX890" s="124"/>
      <c r="LEY890" s="124"/>
      <c r="LEZ890" s="124"/>
      <c r="LFA890" s="124"/>
      <c r="LFB890" s="124"/>
      <c r="LFC890" s="124"/>
      <c r="LFD890" s="124"/>
      <c r="LFE890" s="124"/>
      <c r="LFF890" s="124"/>
      <c r="LFG890" s="124"/>
      <c r="LFH890" s="124"/>
      <c r="LFI890" s="124"/>
      <c r="LFJ890" s="124"/>
      <c r="LFK890" s="124"/>
      <c r="LFL890" s="124"/>
      <c r="LFM890" s="124"/>
      <c r="LFN890" s="124"/>
      <c r="LFO890" s="124"/>
      <c r="LFP890" s="124"/>
      <c r="LFQ890" s="124"/>
      <c r="LFR890" s="124"/>
      <c r="LFS890" s="124"/>
      <c r="LFT890" s="124"/>
      <c r="LFU890" s="124"/>
      <c r="LFV890" s="124"/>
      <c r="LFW890" s="124"/>
      <c r="LFX890" s="124"/>
      <c r="LFY890" s="124"/>
      <c r="LFZ890" s="124"/>
      <c r="LGA890" s="124"/>
      <c r="LGB890" s="124"/>
      <c r="LGC890" s="124"/>
      <c r="LGD890" s="124"/>
      <c r="LGE890" s="124"/>
      <c r="LGF890" s="124"/>
      <c r="LGG890" s="124"/>
      <c r="LGH890" s="124"/>
      <c r="LGI890" s="124"/>
      <c r="LGJ890" s="124"/>
      <c r="LGK890" s="124"/>
      <c r="LGL890" s="124"/>
      <c r="LGM890" s="124"/>
      <c r="LGN890" s="124"/>
      <c r="LGO890" s="124"/>
      <c r="LGP890" s="124"/>
      <c r="LGQ890" s="124"/>
      <c r="LGR890" s="124"/>
      <c r="LGS890" s="124"/>
      <c r="LGT890" s="124"/>
      <c r="LGU890" s="124"/>
      <c r="LGV890" s="124"/>
      <c r="LGW890" s="124"/>
      <c r="LGX890" s="124"/>
      <c r="LGY890" s="124"/>
      <c r="LGZ890" s="124"/>
      <c r="LHA890" s="124"/>
      <c r="LHB890" s="124"/>
      <c r="LHC890" s="124"/>
      <c r="LHD890" s="124"/>
      <c r="LHE890" s="124"/>
      <c r="LHF890" s="124"/>
      <c r="LHG890" s="124"/>
      <c r="LHH890" s="124"/>
      <c r="LHI890" s="124"/>
      <c r="LHJ890" s="124"/>
      <c r="LHK890" s="124"/>
      <c r="LHL890" s="124"/>
      <c r="LHM890" s="124"/>
      <c r="LHN890" s="124"/>
      <c r="LHO890" s="124"/>
      <c r="LHP890" s="124"/>
      <c r="LHQ890" s="124"/>
      <c r="LHR890" s="124"/>
      <c r="LHS890" s="124"/>
      <c r="LHT890" s="124"/>
      <c r="LHU890" s="124"/>
      <c r="LHV890" s="124"/>
      <c r="LHW890" s="124"/>
      <c r="LHX890" s="124"/>
      <c r="LHY890" s="124"/>
      <c r="LHZ890" s="124"/>
      <c r="LIA890" s="124"/>
      <c r="LIB890" s="124"/>
      <c r="LIC890" s="124"/>
      <c r="LID890" s="124"/>
      <c r="LIE890" s="124"/>
      <c r="LIF890" s="124"/>
      <c r="LIG890" s="124"/>
      <c r="LIH890" s="124"/>
      <c r="LII890" s="124"/>
      <c r="LIJ890" s="124"/>
      <c r="LIK890" s="124"/>
      <c r="LIL890" s="124"/>
      <c r="LIM890" s="124"/>
      <c r="LIN890" s="124"/>
      <c r="LIO890" s="124"/>
      <c r="LIP890" s="124"/>
      <c r="LIQ890" s="124"/>
      <c r="LIR890" s="124"/>
      <c r="LIS890" s="124"/>
      <c r="LIT890" s="124"/>
      <c r="LIU890" s="124"/>
      <c r="LIV890" s="124"/>
      <c r="LIW890" s="124"/>
      <c r="LIX890" s="124"/>
      <c r="LIY890" s="124"/>
      <c r="LIZ890" s="124"/>
      <c r="LJA890" s="124"/>
      <c r="LJB890" s="124"/>
      <c r="LJC890" s="124"/>
      <c r="LJD890" s="124"/>
      <c r="LJE890" s="124"/>
      <c r="LJF890" s="124"/>
      <c r="LJG890" s="124"/>
      <c r="LJH890" s="124"/>
      <c r="LJI890" s="124"/>
      <c r="LJJ890" s="124"/>
      <c r="LJK890" s="124"/>
      <c r="LJL890" s="124"/>
      <c r="LJM890" s="124"/>
      <c r="LJN890" s="124"/>
      <c r="LJO890" s="124"/>
      <c r="LJP890" s="124"/>
      <c r="LJQ890" s="124"/>
      <c r="LJR890" s="124"/>
      <c r="LJS890" s="124"/>
      <c r="LJT890" s="124"/>
      <c r="LJU890" s="124"/>
      <c r="LJV890" s="124"/>
      <c r="LJW890" s="124"/>
      <c r="LJX890" s="124"/>
      <c r="LJY890" s="124"/>
      <c r="LJZ890" s="124"/>
      <c r="LKA890" s="124"/>
      <c r="LKB890" s="124"/>
      <c r="LKC890" s="124"/>
      <c r="LKD890" s="124"/>
      <c r="LKE890" s="124"/>
      <c r="LKF890" s="124"/>
      <c r="LKG890" s="124"/>
      <c r="LKH890" s="124"/>
      <c r="LKI890" s="124"/>
      <c r="LKJ890" s="124"/>
      <c r="LKK890" s="124"/>
      <c r="LKL890" s="124"/>
      <c r="LKM890" s="124"/>
      <c r="LKN890" s="124"/>
      <c r="LKO890" s="124"/>
      <c r="LKP890" s="124"/>
      <c r="LKQ890" s="124"/>
      <c r="LKR890" s="124"/>
      <c r="LKS890" s="124"/>
      <c r="LKT890" s="124"/>
      <c r="LKU890" s="124"/>
      <c r="LKV890" s="124"/>
      <c r="LKW890" s="124"/>
      <c r="LKX890" s="124"/>
      <c r="LKY890" s="124"/>
      <c r="LKZ890" s="124"/>
      <c r="LLA890" s="124"/>
      <c r="LLB890" s="124"/>
      <c r="LLC890" s="124"/>
      <c r="LLD890" s="124"/>
      <c r="LLE890" s="124"/>
      <c r="LLF890" s="124"/>
      <c r="LLG890" s="124"/>
      <c r="LLH890" s="124"/>
      <c r="LLI890" s="124"/>
      <c r="LLJ890" s="124"/>
      <c r="LLK890" s="124"/>
      <c r="LLL890" s="124"/>
      <c r="LLM890" s="124"/>
      <c r="LLN890" s="124"/>
      <c r="LLO890" s="124"/>
      <c r="LLP890" s="124"/>
      <c r="LLQ890" s="124"/>
      <c r="LLR890" s="124"/>
      <c r="LLS890" s="124"/>
      <c r="LLT890" s="124"/>
      <c r="LLU890" s="124"/>
      <c r="LLV890" s="124"/>
      <c r="LLW890" s="124"/>
      <c r="LLX890" s="124"/>
      <c r="LLY890" s="124"/>
      <c r="LLZ890" s="124"/>
      <c r="LMA890" s="124"/>
      <c r="LMB890" s="124"/>
      <c r="LMC890" s="124"/>
      <c r="LMD890" s="124"/>
      <c r="LME890" s="124"/>
      <c r="LMF890" s="124"/>
      <c r="LMG890" s="124"/>
      <c r="LMH890" s="124"/>
      <c r="LMI890" s="124"/>
      <c r="LMJ890" s="124"/>
      <c r="LMK890" s="124"/>
      <c r="LML890" s="124"/>
      <c r="LMM890" s="124"/>
      <c r="LMN890" s="124"/>
      <c r="LMO890" s="124"/>
      <c r="LMP890" s="124"/>
      <c r="LMQ890" s="124"/>
      <c r="LMR890" s="124"/>
      <c r="LMS890" s="124"/>
      <c r="LMT890" s="124"/>
      <c r="LMU890" s="124"/>
      <c r="LMV890" s="124"/>
      <c r="LMW890" s="124"/>
      <c r="LMX890" s="124"/>
      <c r="LMY890" s="124"/>
      <c r="LMZ890" s="124"/>
      <c r="LNA890" s="124"/>
      <c r="LNB890" s="124"/>
      <c r="LNC890" s="124"/>
      <c r="LND890" s="124"/>
      <c r="LNE890" s="124"/>
      <c r="LNF890" s="124"/>
      <c r="LNG890" s="124"/>
      <c r="LNH890" s="124"/>
      <c r="LNI890" s="124"/>
      <c r="LNJ890" s="124"/>
      <c r="LNK890" s="124"/>
      <c r="LNL890" s="124"/>
      <c r="LNM890" s="124"/>
      <c r="LNN890" s="124"/>
      <c r="LNO890" s="124"/>
      <c r="LNP890" s="124"/>
      <c r="LNQ890" s="124"/>
      <c r="LNR890" s="124"/>
      <c r="LNS890" s="124"/>
      <c r="LNT890" s="124"/>
      <c r="LNU890" s="124"/>
      <c r="LNV890" s="124"/>
      <c r="LNW890" s="124"/>
      <c r="LNX890" s="124"/>
      <c r="LNY890" s="124"/>
      <c r="LNZ890" s="124"/>
      <c r="LOA890" s="124"/>
      <c r="LOB890" s="124"/>
      <c r="LOC890" s="124"/>
      <c r="LOD890" s="124"/>
      <c r="LOE890" s="124"/>
      <c r="LOF890" s="124"/>
      <c r="LOG890" s="124"/>
      <c r="LOH890" s="124"/>
      <c r="LOI890" s="124"/>
      <c r="LOJ890" s="124"/>
      <c r="LOK890" s="124"/>
      <c r="LOL890" s="124"/>
      <c r="LOM890" s="124"/>
      <c r="LON890" s="124"/>
      <c r="LOO890" s="124"/>
      <c r="LOP890" s="124"/>
      <c r="LOQ890" s="124"/>
      <c r="LOR890" s="124"/>
      <c r="LOS890" s="124"/>
      <c r="LOT890" s="124"/>
      <c r="LOU890" s="124"/>
      <c r="LOV890" s="124"/>
      <c r="LOW890" s="124"/>
      <c r="LOX890" s="124"/>
      <c r="LOY890" s="124"/>
      <c r="LOZ890" s="124"/>
      <c r="LPA890" s="124"/>
      <c r="LPB890" s="124"/>
      <c r="LPC890" s="124"/>
      <c r="LPD890" s="124"/>
      <c r="LPE890" s="124"/>
      <c r="LPF890" s="124"/>
      <c r="LPG890" s="124"/>
      <c r="LPH890" s="124"/>
      <c r="LPI890" s="124"/>
      <c r="LPJ890" s="124"/>
      <c r="LPK890" s="124"/>
      <c r="LPL890" s="124"/>
      <c r="LPM890" s="124"/>
      <c r="LPN890" s="124"/>
      <c r="LPO890" s="124"/>
      <c r="LPP890" s="124"/>
      <c r="LPQ890" s="124"/>
      <c r="LPR890" s="124"/>
      <c r="LPS890" s="124"/>
      <c r="LPT890" s="124"/>
      <c r="LPU890" s="124"/>
      <c r="LPV890" s="124"/>
      <c r="LPW890" s="124"/>
      <c r="LPX890" s="124"/>
      <c r="LPY890" s="124"/>
      <c r="LPZ890" s="124"/>
      <c r="LQA890" s="124"/>
      <c r="LQB890" s="124"/>
      <c r="LQC890" s="124"/>
      <c r="LQD890" s="124"/>
      <c r="LQE890" s="124"/>
      <c r="LQF890" s="124"/>
      <c r="LQG890" s="124"/>
      <c r="LQH890" s="124"/>
      <c r="LQI890" s="124"/>
      <c r="LQJ890" s="124"/>
      <c r="LQK890" s="124"/>
      <c r="LQL890" s="124"/>
      <c r="LQM890" s="124"/>
      <c r="LQN890" s="124"/>
      <c r="LQO890" s="124"/>
      <c r="LQP890" s="124"/>
      <c r="LQQ890" s="124"/>
      <c r="LQR890" s="124"/>
      <c r="LQS890" s="124"/>
      <c r="LQT890" s="124"/>
      <c r="LQU890" s="124"/>
      <c r="LQV890" s="124"/>
      <c r="LQW890" s="124"/>
      <c r="LQX890" s="124"/>
      <c r="LQY890" s="124"/>
      <c r="LQZ890" s="124"/>
      <c r="LRA890" s="124"/>
      <c r="LRB890" s="124"/>
      <c r="LRC890" s="124"/>
      <c r="LRD890" s="124"/>
      <c r="LRE890" s="124"/>
      <c r="LRF890" s="124"/>
      <c r="LRG890" s="124"/>
      <c r="LRH890" s="124"/>
      <c r="LRI890" s="124"/>
      <c r="LRJ890" s="124"/>
      <c r="LRK890" s="124"/>
      <c r="LRL890" s="124"/>
      <c r="LRM890" s="124"/>
      <c r="LRN890" s="124"/>
      <c r="LRO890" s="124"/>
      <c r="LRP890" s="124"/>
      <c r="LRQ890" s="124"/>
      <c r="LRR890" s="124"/>
      <c r="LRS890" s="124"/>
      <c r="LRT890" s="124"/>
      <c r="LRU890" s="124"/>
      <c r="LRV890" s="124"/>
      <c r="LRW890" s="124"/>
      <c r="LRX890" s="124"/>
      <c r="LRY890" s="124"/>
      <c r="LRZ890" s="124"/>
      <c r="LSA890" s="124"/>
      <c r="LSB890" s="124"/>
      <c r="LSC890" s="124"/>
      <c r="LSD890" s="124"/>
      <c r="LSE890" s="124"/>
      <c r="LSF890" s="124"/>
      <c r="LSG890" s="124"/>
      <c r="LSH890" s="124"/>
      <c r="LSI890" s="124"/>
      <c r="LSJ890" s="124"/>
      <c r="LSK890" s="124"/>
      <c r="LSL890" s="124"/>
      <c r="LSM890" s="124"/>
      <c r="LSN890" s="124"/>
      <c r="LSO890" s="124"/>
      <c r="LSP890" s="124"/>
      <c r="LSQ890" s="124"/>
      <c r="LSR890" s="124"/>
      <c r="LSS890" s="124"/>
      <c r="LST890" s="124"/>
      <c r="LSU890" s="124"/>
      <c r="LSV890" s="124"/>
      <c r="LSW890" s="124"/>
      <c r="LSX890" s="124"/>
      <c r="LSY890" s="124"/>
      <c r="LSZ890" s="124"/>
      <c r="LTA890" s="124"/>
      <c r="LTB890" s="124"/>
      <c r="LTC890" s="124"/>
      <c r="LTD890" s="124"/>
      <c r="LTE890" s="124"/>
      <c r="LTF890" s="124"/>
      <c r="LTG890" s="124"/>
      <c r="LTH890" s="124"/>
      <c r="LTI890" s="124"/>
      <c r="LTJ890" s="124"/>
      <c r="LTK890" s="124"/>
      <c r="LTL890" s="124"/>
      <c r="LTM890" s="124"/>
      <c r="LTN890" s="124"/>
      <c r="LTO890" s="124"/>
      <c r="LTP890" s="124"/>
      <c r="LTQ890" s="124"/>
      <c r="LTR890" s="124"/>
      <c r="LTS890" s="124"/>
      <c r="LTT890" s="124"/>
      <c r="LTU890" s="124"/>
      <c r="LTV890" s="124"/>
      <c r="LTW890" s="124"/>
      <c r="LTX890" s="124"/>
      <c r="LTY890" s="124"/>
      <c r="LTZ890" s="124"/>
      <c r="LUA890" s="124"/>
      <c r="LUB890" s="124"/>
      <c r="LUC890" s="124"/>
      <c r="LUD890" s="124"/>
      <c r="LUE890" s="124"/>
      <c r="LUF890" s="124"/>
      <c r="LUG890" s="124"/>
      <c r="LUH890" s="124"/>
      <c r="LUI890" s="124"/>
      <c r="LUJ890" s="124"/>
      <c r="LUK890" s="124"/>
      <c r="LUL890" s="124"/>
      <c r="LUM890" s="124"/>
      <c r="LUN890" s="124"/>
      <c r="LUO890" s="124"/>
      <c r="LUP890" s="124"/>
      <c r="LUQ890" s="124"/>
      <c r="LUR890" s="124"/>
      <c r="LUS890" s="124"/>
      <c r="LUT890" s="124"/>
      <c r="LUU890" s="124"/>
      <c r="LUV890" s="124"/>
      <c r="LUW890" s="124"/>
      <c r="LUX890" s="124"/>
      <c r="LUY890" s="124"/>
      <c r="LUZ890" s="124"/>
      <c r="LVA890" s="124"/>
      <c r="LVB890" s="124"/>
      <c r="LVC890" s="124"/>
      <c r="LVD890" s="124"/>
      <c r="LVE890" s="124"/>
      <c r="LVF890" s="124"/>
      <c r="LVG890" s="124"/>
      <c r="LVH890" s="124"/>
      <c r="LVI890" s="124"/>
      <c r="LVJ890" s="124"/>
      <c r="LVK890" s="124"/>
      <c r="LVL890" s="124"/>
      <c r="LVM890" s="124"/>
      <c r="LVN890" s="124"/>
      <c r="LVO890" s="124"/>
      <c r="LVP890" s="124"/>
      <c r="LVQ890" s="124"/>
      <c r="LVR890" s="124"/>
      <c r="LVS890" s="124"/>
      <c r="LVT890" s="124"/>
      <c r="LVU890" s="124"/>
      <c r="LVV890" s="124"/>
      <c r="LVW890" s="124"/>
      <c r="LVX890" s="124"/>
      <c r="LVY890" s="124"/>
      <c r="LVZ890" s="124"/>
      <c r="LWA890" s="124"/>
      <c r="LWB890" s="124"/>
      <c r="LWC890" s="124"/>
      <c r="LWD890" s="124"/>
      <c r="LWE890" s="124"/>
      <c r="LWF890" s="124"/>
      <c r="LWG890" s="124"/>
      <c r="LWH890" s="124"/>
      <c r="LWI890" s="124"/>
      <c r="LWJ890" s="124"/>
      <c r="LWK890" s="124"/>
      <c r="LWL890" s="124"/>
      <c r="LWM890" s="124"/>
      <c r="LWN890" s="124"/>
      <c r="LWO890" s="124"/>
      <c r="LWP890" s="124"/>
      <c r="LWQ890" s="124"/>
      <c r="LWR890" s="124"/>
      <c r="LWS890" s="124"/>
      <c r="LWT890" s="124"/>
      <c r="LWU890" s="124"/>
      <c r="LWV890" s="124"/>
      <c r="LWW890" s="124"/>
      <c r="LWX890" s="124"/>
      <c r="LWY890" s="124"/>
      <c r="LWZ890" s="124"/>
      <c r="LXA890" s="124"/>
      <c r="LXB890" s="124"/>
      <c r="LXC890" s="124"/>
      <c r="LXD890" s="124"/>
      <c r="LXE890" s="124"/>
      <c r="LXF890" s="124"/>
      <c r="LXG890" s="124"/>
      <c r="LXH890" s="124"/>
      <c r="LXI890" s="124"/>
      <c r="LXJ890" s="124"/>
      <c r="LXK890" s="124"/>
      <c r="LXL890" s="124"/>
      <c r="LXM890" s="124"/>
      <c r="LXN890" s="124"/>
      <c r="LXO890" s="124"/>
      <c r="LXP890" s="124"/>
      <c r="LXQ890" s="124"/>
      <c r="LXR890" s="124"/>
      <c r="LXS890" s="124"/>
      <c r="LXT890" s="124"/>
      <c r="LXU890" s="124"/>
      <c r="LXV890" s="124"/>
      <c r="LXW890" s="124"/>
      <c r="LXX890" s="124"/>
      <c r="LXY890" s="124"/>
      <c r="LXZ890" s="124"/>
      <c r="LYA890" s="124"/>
      <c r="LYB890" s="124"/>
      <c r="LYC890" s="124"/>
      <c r="LYD890" s="124"/>
      <c r="LYE890" s="124"/>
      <c r="LYF890" s="124"/>
      <c r="LYG890" s="124"/>
      <c r="LYH890" s="124"/>
      <c r="LYI890" s="124"/>
      <c r="LYJ890" s="124"/>
      <c r="LYK890" s="124"/>
      <c r="LYL890" s="124"/>
      <c r="LYM890" s="124"/>
      <c r="LYN890" s="124"/>
      <c r="LYO890" s="124"/>
      <c r="LYP890" s="124"/>
      <c r="LYQ890" s="124"/>
      <c r="LYR890" s="124"/>
      <c r="LYS890" s="124"/>
      <c r="LYT890" s="124"/>
      <c r="LYU890" s="124"/>
      <c r="LYV890" s="124"/>
      <c r="LYW890" s="124"/>
      <c r="LYX890" s="124"/>
      <c r="LYY890" s="124"/>
      <c r="LYZ890" s="124"/>
      <c r="LZA890" s="124"/>
      <c r="LZB890" s="124"/>
      <c r="LZC890" s="124"/>
      <c r="LZD890" s="124"/>
      <c r="LZE890" s="124"/>
      <c r="LZF890" s="124"/>
      <c r="LZG890" s="124"/>
      <c r="LZH890" s="124"/>
      <c r="LZI890" s="124"/>
      <c r="LZJ890" s="124"/>
      <c r="LZK890" s="124"/>
      <c r="LZL890" s="124"/>
      <c r="LZM890" s="124"/>
      <c r="LZN890" s="124"/>
      <c r="LZO890" s="124"/>
      <c r="LZP890" s="124"/>
      <c r="LZQ890" s="124"/>
      <c r="LZR890" s="124"/>
      <c r="LZS890" s="124"/>
      <c r="LZT890" s="124"/>
      <c r="LZU890" s="124"/>
      <c r="LZV890" s="124"/>
      <c r="LZW890" s="124"/>
      <c r="LZX890" s="124"/>
      <c r="LZY890" s="124"/>
      <c r="LZZ890" s="124"/>
      <c r="MAA890" s="124"/>
      <c r="MAB890" s="124"/>
      <c r="MAC890" s="124"/>
      <c r="MAD890" s="124"/>
      <c r="MAE890" s="124"/>
      <c r="MAF890" s="124"/>
      <c r="MAG890" s="124"/>
      <c r="MAH890" s="124"/>
      <c r="MAI890" s="124"/>
      <c r="MAJ890" s="124"/>
      <c r="MAK890" s="124"/>
      <c r="MAL890" s="124"/>
      <c r="MAM890" s="124"/>
      <c r="MAN890" s="124"/>
      <c r="MAO890" s="124"/>
      <c r="MAP890" s="124"/>
      <c r="MAQ890" s="124"/>
      <c r="MAR890" s="124"/>
      <c r="MAS890" s="124"/>
      <c r="MAT890" s="124"/>
      <c r="MAU890" s="124"/>
      <c r="MAV890" s="124"/>
      <c r="MAW890" s="124"/>
      <c r="MAX890" s="124"/>
      <c r="MAY890" s="124"/>
      <c r="MAZ890" s="124"/>
      <c r="MBA890" s="124"/>
      <c r="MBB890" s="124"/>
      <c r="MBC890" s="124"/>
      <c r="MBD890" s="124"/>
      <c r="MBE890" s="124"/>
      <c r="MBF890" s="124"/>
      <c r="MBG890" s="124"/>
      <c r="MBH890" s="124"/>
      <c r="MBI890" s="124"/>
      <c r="MBJ890" s="124"/>
      <c r="MBK890" s="124"/>
      <c r="MBL890" s="124"/>
      <c r="MBM890" s="124"/>
      <c r="MBN890" s="124"/>
      <c r="MBO890" s="124"/>
      <c r="MBP890" s="124"/>
      <c r="MBQ890" s="124"/>
      <c r="MBR890" s="124"/>
      <c r="MBS890" s="124"/>
      <c r="MBT890" s="124"/>
      <c r="MBU890" s="124"/>
      <c r="MBV890" s="124"/>
      <c r="MBW890" s="124"/>
      <c r="MBX890" s="124"/>
      <c r="MBY890" s="124"/>
      <c r="MBZ890" s="124"/>
      <c r="MCA890" s="124"/>
      <c r="MCB890" s="124"/>
      <c r="MCC890" s="124"/>
      <c r="MCD890" s="124"/>
      <c r="MCE890" s="124"/>
      <c r="MCF890" s="124"/>
      <c r="MCG890" s="124"/>
      <c r="MCH890" s="124"/>
      <c r="MCI890" s="124"/>
      <c r="MCJ890" s="124"/>
      <c r="MCK890" s="124"/>
      <c r="MCL890" s="124"/>
      <c r="MCM890" s="124"/>
      <c r="MCN890" s="124"/>
      <c r="MCO890" s="124"/>
      <c r="MCP890" s="124"/>
      <c r="MCQ890" s="124"/>
      <c r="MCR890" s="124"/>
      <c r="MCS890" s="124"/>
      <c r="MCT890" s="124"/>
      <c r="MCU890" s="124"/>
      <c r="MCV890" s="124"/>
      <c r="MCW890" s="124"/>
      <c r="MCX890" s="124"/>
      <c r="MCY890" s="124"/>
      <c r="MCZ890" s="124"/>
      <c r="MDA890" s="124"/>
      <c r="MDB890" s="124"/>
      <c r="MDC890" s="124"/>
      <c r="MDD890" s="124"/>
      <c r="MDE890" s="124"/>
      <c r="MDF890" s="124"/>
      <c r="MDG890" s="124"/>
      <c r="MDH890" s="124"/>
      <c r="MDI890" s="124"/>
      <c r="MDJ890" s="124"/>
      <c r="MDK890" s="124"/>
      <c r="MDL890" s="124"/>
      <c r="MDM890" s="124"/>
      <c r="MDN890" s="124"/>
      <c r="MDO890" s="124"/>
      <c r="MDP890" s="124"/>
      <c r="MDQ890" s="124"/>
      <c r="MDR890" s="124"/>
      <c r="MDS890" s="124"/>
      <c r="MDT890" s="124"/>
      <c r="MDU890" s="124"/>
      <c r="MDV890" s="124"/>
      <c r="MDW890" s="124"/>
      <c r="MDX890" s="124"/>
      <c r="MDY890" s="124"/>
      <c r="MDZ890" s="124"/>
      <c r="MEA890" s="124"/>
      <c r="MEB890" s="124"/>
      <c r="MEC890" s="124"/>
      <c r="MED890" s="124"/>
      <c r="MEE890" s="124"/>
      <c r="MEF890" s="124"/>
      <c r="MEG890" s="124"/>
      <c r="MEH890" s="124"/>
      <c r="MEI890" s="124"/>
      <c r="MEJ890" s="124"/>
      <c r="MEK890" s="124"/>
      <c r="MEL890" s="124"/>
      <c r="MEM890" s="124"/>
      <c r="MEN890" s="124"/>
      <c r="MEO890" s="124"/>
      <c r="MEP890" s="124"/>
      <c r="MEQ890" s="124"/>
      <c r="MER890" s="124"/>
      <c r="MES890" s="124"/>
      <c r="MET890" s="124"/>
      <c r="MEU890" s="124"/>
      <c r="MEV890" s="124"/>
      <c r="MEW890" s="124"/>
      <c r="MEX890" s="124"/>
      <c r="MEY890" s="124"/>
      <c r="MEZ890" s="124"/>
      <c r="MFA890" s="124"/>
      <c r="MFB890" s="124"/>
      <c r="MFC890" s="124"/>
      <c r="MFD890" s="124"/>
      <c r="MFE890" s="124"/>
      <c r="MFF890" s="124"/>
      <c r="MFG890" s="124"/>
      <c r="MFH890" s="124"/>
      <c r="MFI890" s="124"/>
      <c r="MFJ890" s="124"/>
      <c r="MFK890" s="124"/>
      <c r="MFL890" s="124"/>
      <c r="MFM890" s="124"/>
      <c r="MFN890" s="124"/>
      <c r="MFO890" s="124"/>
      <c r="MFP890" s="124"/>
      <c r="MFQ890" s="124"/>
      <c r="MFR890" s="124"/>
      <c r="MFS890" s="124"/>
      <c r="MFT890" s="124"/>
      <c r="MFU890" s="124"/>
      <c r="MFV890" s="124"/>
      <c r="MFW890" s="124"/>
      <c r="MFX890" s="124"/>
      <c r="MFY890" s="124"/>
      <c r="MFZ890" s="124"/>
      <c r="MGA890" s="124"/>
      <c r="MGB890" s="124"/>
      <c r="MGC890" s="124"/>
      <c r="MGD890" s="124"/>
      <c r="MGE890" s="124"/>
      <c r="MGF890" s="124"/>
      <c r="MGG890" s="124"/>
      <c r="MGH890" s="124"/>
      <c r="MGI890" s="124"/>
      <c r="MGJ890" s="124"/>
      <c r="MGK890" s="124"/>
      <c r="MGL890" s="124"/>
      <c r="MGM890" s="124"/>
      <c r="MGN890" s="124"/>
      <c r="MGO890" s="124"/>
      <c r="MGP890" s="124"/>
      <c r="MGQ890" s="124"/>
      <c r="MGR890" s="124"/>
      <c r="MGS890" s="124"/>
      <c r="MGT890" s="124"/>
      <c r="MGU890" s="124"/>
      <c r="MGV890" s="124"/>
      <c r="MGW890" s="124"/>
      <c r="MGX890" s="124"/>
      <c r="MGY890" s="124"/>
      <c r="MGZ890" s="124"/>
      <c r="MHA890" s="124"/>
      <c r="MHB890" s="124"/>
      <c r="MHC890" s="124"/>
      <c r="MHD890" s="124"/>
      <c r="MHE890" s="124"/>
      <c r="MHF890" s="124"/>
      <c r="MHG890" s="124"/>
      <c r="MHH890" s="124"/>
      <c r="MHI890" s="124"/>
      <c r="MHJ890" s="124"/>
      <c r="MHK890" s="124"/>
      <c r="MHL890" s="124"/>
      <c r="MHM890" s="124"/>
      <c r="MHN890" s="124"/>
      <c r="MHO890" s="124"/>
      <c r="MHP890" s="124"/>
      <c r="MHQ890" s="124"/>
      <c r="MHR890" s="124"/>
      <c r="MHS890" s="124"/>
      <c r="MHT890" s="124"/>
      <c r="MHU890" s="124"/>
      <c r="MHV890" s="124"/>
      <c r="MHW890" s="124"/>
      <c r="MHX890" s="124"/>
      <c r="MHY890" s="124"/>
      <c r="MHZ890" s="124"/>
      <c r="MIA890" s="124"/>
      <c r="MIB890" s="124"/>
      <c r="MIC890" s="124"/>
      <c r="MID890" s="124"/>
      <c r="MIE890" s="124"/>
      <c r="MIF890" s="124"/>
      <c r="MIG890" s="124"/>
      <c r="MIH890" s="124"/>
      <c r="MII890" s="124"/>
      <c r="MIJ890" s="124"/>
      <c r="MIK890" s="124"/>
      <c r="MIL890" s="124"/>
      <c r="MIM890" s="124"/>
      <c r="MIN890" s="124"/>
      <c r="MIO890" s="124"/>
      <c r="MIP890" s="124"/>
      <c r="MIQ890" s="124"/>
      <c r="MIR890" s="124"/>
      <c r="MIS890" s="124"/>
      <c r="MIT890" s="124"/>
      <c r="MIU890" s="124"/>
      <c r="MIV890" s="124"/>
      <c r="MIW890" s="124"/>
      <c r="MIX890" s="124"/>
      <c r="MIY890" s="124"/>
      <c r="MIZ890" s="124"/>
      <c r="MJA890" s="124"/>
      <c r="MJB890" s="124"/>
      <c r="MJC890" s="124"/>
      <c r="MJD890" s="124"/>
      <c r="MJE890" s="124"/>
      <c r="MJF890" s="124"/>
      <c r="MJG890" s="124"/>
      <c r="MJH890" s="124"/>
      <c r="MJI890" s="124"/>
      <c r="MJJ890" s="124"/>
      <c r="MJK890" s="124"/>
      <c r="MJL890" s="124"/>
      <c r="MJM890" s="124"/>
      <c r="MJN890" s="124"/>
      <c r="MJO890" s="124"/>
      <c r="MJP890" s="124"/>
      <c r="MJQ890" s="124"/>
      <c r="MJR890" s="124"/>
      <c r="MJS890" s="124"/>
      <c r="MJT890" s="124"/>
      <c r="MJU890" s="124"/>
      <c r="MJV890" s="124"/>
      <c r="MJW890" s="124"/>
      <c r="MJX890" s="124"/>
      <c r="MJY890" s="124"/>
      <c r="MJZ890" s="124"/>
      <c r="MKA890" s="124"/>
      <c r="MKB890" s="124"/>
      <c r="MKC890" s="124"/>
      <c r="MKD890" s="124"/>
      <c r="MKE890" s="124"/>
      <c r="MKF890" s="124"/>
      <c r="MKG890" s="124"/>
      <c r="MKH890" s="124"/>
      <c r="MKI890" s="124"/>
      <c r="MKJ890" s="124"/>
      <c r="MKK890" s="124"/>
      <c r="MKL890" s="124"/>
      <c r="MKM890" s="124"/>
      <c r="MKN890" s="124"/>
      <c r="MKO890" s="124"/>
      <c r="MKP890" s="124"/>
      <c r="MKQ890" s="124"/>
      <c r="MKR890" s="124"/>
      <c r="MKS890" s="124"/>
      <c r="MKT890" s="124"/>
      <c r="MKU890" s="124"/>
      <c r="MKV890" s="124"/>
      <c r="MKW890" s="124"/>
      <c r="MKX890" s="124"/>
      <c r="MKY890" s="124"/>
      <c r="MKZ890" s="124"/>
      <c r="MLA890" s="124"/>
      <c r="MLB890" s="124"/>
      <c r="MLC890" s="124"/>
      <c r="MLD890" s="124"/>
      <c r="MLE890" s="124"/>
      <c r="MLF890" s="124"/>
      <c r="MLG890" s="124"/>
      <c r="MLH890" s="124"/>
      <c r="MLI890" s="124"/>
      <c r="MLJ890" s="124"/>
      <c r="MLK890" s="124"/>
      <c r="MLL890" s="124"/>
      <c r="MLM890" s="124"/>
      <c r="MLN890" s="124"/>
      <c r="MLO890" s="124"/>
      <c r="MLP890" s="124"/>
      <c r="MLQ890" s="124"/>
      <c r="MLR890" s="124"/>
      <c r="MLS890" s="124"/>
      <c r="MLT890" s="124"/>
      <c r="MLU890" s="124"/>
      <c r="MLV890" s="124"/>
      <c r="MLW890" s="124"/>
      <c r="MLX890" s="124"/>
      <c r="MLY890" s="124"/>
      <c r="MLZ890" s="124"/>
      <c r="MMA890" s="124"/>
      <c r="MMB890" s="124"/>
      <c r="MMC890" s="124"/>
      <c r="MMD890" s="124"/>
      <c r="MME890" s="124"/>
      <c r="MMF890" s="124"/>
      <c r="MMG890" s="124"/>
      <c r="MMH890" s="124"/>
      <c r="MMI890" s="124"/>
      <c r="MMJ890" s="124"/>
      <c r="MMK890" s="124"/>
      <c r="MML890" s="124"/>
      <c r="MMM890" s="124"/>
      <c r="MMN890" s="124"/>
      <c r="MMO890" s="124"/>
      <c r="MMP890" s="124"/>
      <c r="MMQ890" s="124"/>
      <c r="MMR890" s="124"/>
      <c r="MMS890" s="124"/>
      <c r="MMT890" s="124"/>
      <c r="MMU890" s="124"/>
      <c r="MMV890" s="124"/>
      <c r="MMW890" s="124"/>
      <c r="MMX890" s="124"/>
      <c r="MMY890" s="124"/>
      <c r="MMZ890" s="124"/>
      <c r="MNA890" s="124"/>
      <c r="MNB890" s="124"/>
      <c r="MNC890" s="124"/>
      <c r="MND890" s="124"/>
      <c r="MNE890" s="124"/>
      <c r="MNF890" s="124"/>
      <c r="MNG890" s="124"/>
      <c r="MNH890" s="124"/>
      <c r="MNI890" s="124"/>
      <c r="MNJ890" s="124"/>
      <c r="MNK890" s="124"/>
      <c r="MNL890" s="124"/>
      <c r="MNM890" s="124"/>
      <c r="MNN890" s="124"/>
      <c r="MNO890" s="124"/>
      <c r="MNP890" s="124"/>
      <c r="MNQ890" s="124"/>
      <c r="MNR890" s="124"/>
      <c r="MNS890" s="124"/>
      <c r="MNT890" s="124"/>
      <c r="MNU890" s="124"/>
      <c r="MNV890" s="124"/>
      <c r="MNW890" s="124"/>
      <c r="MNX890" s="124"/>
      <c r="MNY890" s="124"/>
      <c r="MNZ890" s="124"/>
      <c r="MOA890" s="124"/>
      <c r="MOB890" s="124"/>
      <c r="MOC890" s="124"/>
      <c r="MOD890" s="124"/>
      <c r="MOE890" s="124"/>
      <c r="MOF890" s="124"/>
      <c r="MOG890" s="124"/>
      <c r="MOH890" s="124"/>
      <c r="MOI890" s="124"/>
      <c r="MOJ890" s="124"/>
      <c r="MOK890" s="124"/>
      <c r="MOL890" s="124"/>
      <c r="MOM890" s="124"/>
      <c r="MON890" s="124"/>
      <c r="MOO890" s="124"/>
      <c r="MOP890" s="124"/>
      <c r="MOQ890" s="124"/>
      <c r="MOR890" s="124"/>
      <c r="MOS890" s="124"/>
      <c r="MOT890" s="124"/>
      <c r="MOU890" s="124"/>
      <c r="MOV890" s="124"/>
      <c r="MOW890" s="124"/>
      <c r="MOX890" s="124"/>
      <c r="MOY890" s="124"/>
      <c r="MOZ890" s="124"/>
      <c r="MPA890" s="124"/>
      <c r="MPB890" s="124"/>
      <c r="MPC890" s="124"/>
      <c r="MPD890" s="124"/>
      <c r="MPE890" s="124"/>
      <c r="MPF890" s="124"/>
      <c r="MPG890" s="124"/>
      <c r="MPH890" s="124"/>
      <c r="MPI890" s="124"/>
      <c r="MPJ890" s="124"/>
      <c r="MPK890" s="124"/>
      <c r="MPL890" s="124"/>
      <c r="MPM890" s="124"/>
      <c r="MPN890" s="124"/>
      <c r="MPO890" s="124"/>
      <c r="MPP890" s="124"/>
      <c r="MPQ890" s="124"/>
      <c r="MPR890" s="124"/>
      <c r="MPS890" s="124"/>
      <c r="MPT890" s="124"/>
      <c r="MPU890" s="124"/>
      <c r="MPV890" s="124"/>
      <c r="MPW890" s="124"/>
      <c r="MPX890" s="124"/>
      <c r="MPY890" s="124"/>
      <c r="MPZ890" s="124"/>
      <c r="MQA890" s="124"/>
      <c r="MQB890" s="124"/>
      <c r="MQC890" s="124"/>
      <c r="MQD890" s="124"/>
      <c r="MQE890" s="124"/>
      <c r="MQF890" s="124"/>
      <c r="MQG890" s="124"/>
      <c r="MQH890" s="124"/>
      <c r="MQI890" s="124"/>
      <c r="MQJ890" s="124"/>
      <c r="MQK890" s="124"/>
      <c r="MQL890" s="124"/>
      <c r="MQM890" s="124"/>
      <c r="MQN890" s="124"/>
      <c r="MQO890" s="124"/>
      <c r="MQP890" s="124"/>
      <c r="MQQ890" s="124"/>
      <c r="MQR890" s="124"/>
      <c r="MQS890" s="124"/>
      <c r="MQT890" s="124"/>
      <c r="MQU890" s="124"/>
      <c r="MQV890" s="124"/>
      <c r="MQW890" s="124"/>
      <c r="MQX890" s="124"/>
      <c r="MQY890" s="124"/>
      <c r="MQZ890" s="124"/>
      <c r="MRA890" s="124"/>
      <c r="MRB890" s="124"/>
      <c r="MRC890" s="124"/>
      <c r="MRD890" s="124"/>
      <c r="MRE890" s="124"/>
      <c r="MRF890" s="124"/>
      <c r="MRG890" s="124"/>
      <c r="MRH890" s="124"/>
      <c r="MRI890" s="124"/>
      <c r="MRJ890" s="124"/>
      <c r="MRK890" s="124"/>
      <c r="MRL890" s="124"/>
      <c r="MRM890" s="124"/>
      <c r="MRN890" s="124"/>
      <c r="MRO890" s="124"/>
      <c r="MRP890" s="124"/>
      <c r="MRQ890" s="124"/>
      <c r="MRR890" s="124"/>
      <c r="MRS890" s="124"/>
      <c r="MRT890" s="124"/>
      <c r="MRU890" s="124"/>
      <c r="MRV890" s="124"/>
      <c r="MRW890" s="124"/>
      <c r="MRX890" s="124"/>
      <c r="MRY890" s="124"/>
      <c r="MRZ890" s="124"/>
      <c r="MSA890" s="124"/>
      <c r="MSB890" s="124"/>
      <c r="MSC890" s="124"/>
      <c r="MSD890" s="124"/>
      <c r="MSE890" s="124"/>
      <c r="MSF890" s="124"/>
      <c r="MSG890" s="124"/>
      <c r="MSH890" s="124"/>
      <c r="MSI890" s="124"/>
      <c r="MSJ890" s="124"/>
      <c r="MSK890" s="124"/>
      <c r="MSL890" s="124"/>
      <c r="MSM890" s="124"/>
      <c r="MSN890" s="124"/>
      <c r="MSO890" s="124"/>
      <c r="MSP890" s="124"/>
      <c r="MSQ890" s="124"/>
      <c r="MSR890" s="124"/>
      <c r="MSS890" s="124"/>
      <c r="MST890" s="124"/>
      <c r="MSU890" s="124"/>
      <c r="MSV890" s="124"/>
      <c r="MSW890" s="124"/>
      <c r="MSX890" s="124"/>
      <c r="MSY890" s="124"/>
      <c r="MSZ890" s="124"/>
      <c r="MTA890" s="124"/>
      <c r="MTB890" s="124"/>
      <c r="MTC890" s="124"/>
      <c r="MTD890" s="124"/>
      <c r="MTE890" s="124"/>
      <c r="MTF890" s="124"/>
      <c r="MTG890" s="124"/>
      <c r="MTH890" s="124"/>
      <c r="MTI890" s="124"/>
      <c r="MTJ890" s="124"/>
      <c r="MTK890" s="124"/>
      <c r="MTL890" s="124"/>
      <c r="MTM890" s="124"/>
      <c r="MTN890" s="124"/>
      <c r="MTO890" s="124"/>
      <c r="MTP890" s="124"/>
      <c r="MTQ890" s="124"/>
      <c r="MTR890" s="124"/>
      <c r="MTS890" s="124"/>
      <c r="MTT890" s="124"/>
      <c r="MTU890" s="124"/>
      <c r="MTV890" s="124"/>
      <c r="MTW890" s="124"/>
      <c r="MTX890" s="124"/>
      <c r="MTY890" s="124"/>
      <c r="MTZ890" s="124"/>
      <c r="MUA890" s="124"/>
      <c r="MUB890" s="124"/>
      <c r="MUC890" s="124"/>
      <c r="MUD890" s="124"/>
      <c r="MUE890" s="124"/>
      <c r="MUF890" s="124"/>
      <c r="MUG890" s="124"/>
      <c r="MUH890" s="124"/>
      <c r="MUI890" s="124"/>
      <c r="MUJ890" s="124"/>
      <c r="MUK890" s="124"/>
      <c r="MUL890" s="124"/>
      <c r="MUM890" s="124"/>
      <c r="MUN890" s="124"/>
      <c r="MUO890" s="124"/>
      <c r="MUP890" s="124"/>
      <c r="MUQ890" s="124"/>
      <c r="MUR890" s="124"/>
      <c r="MUS890" s="124"/>
      <c r="MUT890" s="124"/>
      <c r="MUU890" s="124"/>
      <c r="MUV890" s="124"/>
      <c r="MUW890" s="124"/>
      <c r="MUX890" s="124"/>
      <c r="MUY890" s="124"/>
      <c r="MUZ890" s="124"/>
      <c r="MVA890" s="124"/>
      <c r="MVB890" s="124"/>
      <c r="MVC890" s="124"/>
      <c r="MVD890" s="124"/>
      <c r="MVE890" s="124"/>
      <c r="MVF890" s="124"/>
      <c r="MVG890" s="124"/>
      <c r="MVH890" s="124"/>
      <c r="MVI890" s="124"/>
      <c r="MVJ890" s="124"/>
      <c r="MVK890" s="124"/>
      <c r="MVL890" s="124"/>
      <c r="MVM890" s="124"/>
      <c r="MVN890" s="124"/>
      <c r="MVO890" s="124"/>
      <c r="MVP890" s="124"/>
      <c r="MVQ890" s="124"/>
      <c r="MVR890" s="124"/>
      <c r="MVS890" s="124"/>
      <c r="MVT890" s="124"/>
      <c r="MVU890" s="124"/>
      <c r="MVV890" s="124"/>
      <c r="MVW890" s="124"/>
      <c r="MVX890" s="124"/>
      <c r="MVY890" s="124"/>
      <c r="MVZ890" s="124"/>
      <c r="MWA890" s="124"/>
      <c r="MWB890" s="124"/>
      <c r="MWC890" s="124"/>
      <c r="MWD890" s="124"/>
      <c r="MWE890" s="124"/>
      <c r="MWF890" s="124"/>
      <c r="MWG890" s="124"/>
      <c r="MWH890" s="124"/>
      <c r="MWI890" s="124"/>
      <c r="MWJ890" s="124"/>
      <c r="MWK890" s="124"/>
      <c r="MWL890" s="124"/>
      <c r="MWM890" s="124"/>
      <c r="MWN890" s="124"/>
      <c r="MWO890" s="124"/>
      <c r="MWP890" s="124"/>
      <c r="MWQ890" s="124"/>
      <c r="MWR890" s="124"/>
      <c r="MWS890" s="124"/>
      <c r="MWT890" s="124"/>
      <c r="MWU890" s="124"/>
      <c r="MWV890" s="124"/>
      <c r="MWW890" s="124"/>
      <c r="MWX890" s="124"/>
      <c r="MWY890" s="124"/>
      <c r="MWZ890" s="124"/>
      <c r="MXA890" s="124"/>
      <c r="MXB890" s="124"/>
      <c r="MXC890" s="124"/>
      <c r="MXD890" s="124"/>
      <c r="MXE890" s="124"/>
      <c r="MXF890" s="124"/>
      <c r="MXG890" s="124"/>
      <c r="MXH890" s="124"/>
      <c r="MXI890" s="124"/>
      <c r="MXJ890" s="124"/>
      <c r="MXK890" s="124"/>
      <c r="MXL890" s="124"/>
      <c r="MXM890" s="124"/>
      <c r="MXN890" s="124"/>
      <c r="MXO890" s="124"/>
      <c r="MXP890" s="124"/>
      <c r="MXQ890" s="124"/>
      <c r="MXR890" s="124"/>
      <c r="MXS890" s="124"/>
      <c r="MXT890" s="124"/>
      <c r="MXU890" s="124"/>
      <c r="MXV890" s="124"/>
      <c r="MXW890" s="124"/>
      <c r="MXX890" s="124"/>
      <c r="MXY890" s="124"/>
      <c r="MXZ890" s="124"/>
      <c r="MYA890" s="124"/>
      <c r="MYB890" s="124"/>
      <c r="MYC890" s="124"/>
      <c r="MYD890" s="124"/>
      <c r="MYE890" s="124"/>
      <c r="MYF890" s="124"/>
      <c r="MYG890" s="124"/>
      <c r="MYH890" s="124"/>
      <c r="MYI890" s="124"/>
      <c r="MYJ890" s="124"/>
      <c r="MYK890" s="124"/>
      <c r="MYL890" s="124"/>
      <c r="MYM890" s="124"/>
      <c r="MYN890" s="124"/>
      <c r="MYO890" s="124"/>
      <c r="MYP890" s="124"/>
      <c r="MYQ890" s="124"/>
      <c r="MYR890" s="124"/>
      <c r="MYS890" s="124"/>
      <c r="MYT890" s="124"/>
      <c r="MYU890" s="124"/>
      <c r="MYV890" s="124"/>
      <c r="MYW890" s="124"/>
      <c r="MYX890" s="124"/>
      <c r="MYY890" s="124"/>
      <c r="MYZ890" s="124"/>
      <c r="MZA890" s="124"/>
      <c r="MZB890" s="124"/>
      <c r="MZC890" s="124"/>
      <c r="MZD890" s="124"/>
      <c r="MZE890" s="124"/>
      <c r="MZF890" s="124"/>
      <c r="MZG890" s="124"/>
      <c r="MZH890" s="124"/>
      <c r="MZI890" s="124"/>
      <c r="MZJ890" s="124"/>
      <c r="MZK890" s="124"/>
      <c r="MZL890" s="124"/>
      <c r="MZM890" s="124"/>
      <c r="MZN890" s="124"/>
      <c r="MZO890" s="124"/>
      <c r="MZP890" s="124"/>
      <c r="MZQ890" s="124"/>
      <c r="MZR890" s="124"/>
      <c r="MZS890" s="124"/>
      <c r="MZT890" s="124"/>
      <c r="MZU890" s="124"/>
      <c r="MZV890" s="124"/>
      <c r="MZW890" s="124"/>
      <c r="MZX890" s="124"/>
      <c r="MZY890" s="124"/>
      <c r="MZZ890" s="124"/>
      <c r="NAA890" s="124"/>
      <c r="NAB890" s="124"/>
      <c r="NAC890" s="124"/>
      <c r="NAD890" s="124"/>
      <c r="NAE890" s="124"/>
      <c r="NAF890" s="124"/>
      <c r="NAG890" s="124"/>
      <c r="NAH890" s="124"/>
      <c r="NAI890" s="124"/>
      <c r="NAJ890" s="124"/>
      <c r="NAK890" s="124"/>
      <c r="NAL890" s="124"/>
      <c r="NAM890" s="124"/>
      <c r="NAN890" s="124"/>
      <c r="NAO890" s="124"/>
      <c r="NAP890" s="124"/>
      <c r="NAQ890" s="124"/>
      <c r="NAR890" s="124"/>
      <c r="NAS890" s="124"/>
      <c r="NAT890" s="124"/>
      <c r="NAU890" s="124"/>
      <c r="NAV890" s="124"/>
      <c r="NAW890" s="124"/>
      <c r="NAX890" s="124"/>
      <c r="NAY890" s="124"/>
      <c r="NAZ890" s="124"/>
      <c r="NBA890" s="124"/>
      <c r="NBB890" s="124"/>
      <c r="NBC890" s="124"/>
      <c r="NBD890" s="124"/>
      <c r="NBE890" s="124"/>
      <c r="NBF890" s="124"/>
      <c r="NBG890" s="124"/>
      <c r="NBH890" s="124"/>
      <c r="NBI890" s="124"/>
      <c r="NBJ890" s="124"/>
      <c r="NBK890" s="124"/>
      <c r="NBL890" s="124"/>
      <c r="NBM890" s="124"/>
      <c r="NBN890" s="124"/>
      <c r="NBO890" s="124"/>
      <c r="NBP890" s="124"/>
      <c r="NBQ890" s="124"/>
      <c r="NBR890" s="124"/>
      <c r="NBS890" s="124"/>
      <c r="NBT890" s="124"/>
      <c r="NBU890" s="124"/>
      <c r="NBV890" s="124"/>
      <c r="NBW890" s="124"/>
      <c r="NBX890" s="124"/>
      <c r="NBY890" s="124"/>
      <c r="NBZ890" s="124"/>
      <c r="NCA890" s="124"/>
      <c r="NCB890" s="124"/>
      <c r="NCC890" s="124"/>
      <c r="NCD890" s="124"/>
      <c r="NCE890" s="124"/>
      <c r="NCF890" s="124"/>
      <c r="NCG890" s="124"/>
      <c r="NCH890" s="124"/>
      <c r="NCI890" s="124"/>
      <c r="NCJ890" s="124"/>
      <c r="NCK890" s="124"/>
      <c r="NCL890" s="124"/>
      <c r="NCM890" s="124"/>
      <c r="NCN890" s="124"/>
      <c r="NCO890" s="124"/>
      <c r="NCP890" s="124"/>
      <c r="NCQ890" s="124"/>
      <c r="NCR890" s="124"/>
      <c r="NCS890" s="124"/>
      <c r="NCT890" s="124"/>
      <c r="NCU890" s="124"/>
      <c r="NCV890" s="124"/>
      <c r="NCW890" s="124"/>
      <c r="NCX890" s="124"/>
      <c r="NCY890" s="124"/>
      <c r="NCZ890" s="124"/>
      <c r="NDA890" s="124"/>
      <c r="NDB890" s="124"/>
      <c r="NDC890" s="124"/>
      <c r="NDD890" s="124"/>
      <c r="NDE890" s="124"/>
      <c r="NDF890" s="124"/>
      <c r="NDG890" s="124"/>
      <c r="NDH890" s="124"/>
      <c r="NDI890" s="124"/>
      <c r="NDJ890" s="124"/>
      <c r="NDK890" s="124"/>
      <c r="NDL890" s="124"/>
      <c r="NDM890" s="124"/>
      <c r="NDN890" s="124"/>
      <c r="NDO890" s="124"/>
      <c r="NDP890" s="124"/>
      <c r="NDQ890" s="124"/>
      <c r="NDR890" s="124"/>
      <c r="NDS890" s="124"/>
      <c r="NDT890" s="124"/>
      <c r="NDU890" s="124"/>
      <c r="NDV890" s="124"/>
      <c r="NDW890" s="124"/>
      <c r="NDX890" s="124"/>
      <c r="NDY890" s="124"/>
      <c r="NDZ890" s="124"/>
      <c r="NEA890" s="124"/>
      <c r="NEB890" s="124"/>
      <c r="NEC890" s="124"/>
      <c r="NED890" s="124"/>
      <c r="NEE890" s="124"/>
      <c r="NEF890" s="124"/>
      <c r="NEG890" s="124"/>
      <c r="NEH890" s="124"/>
      <c r="NEI890" s="124"/>
      <c r="NEJ890" s="124"/>
      <c r="NEK890" s="124"/>
      <c r="NEL890" s="124"/>
      <c r="NEM890" s="124"/>
      <c r="NEN890" s="124"/>
      <c r="NEO890" s="124"/>
      <c r="NEP890" s="124"/>
      <c r="NEQ890" s="124"/>
      <c r="NER890" s="124"/>
      <c r="NES890" s="124"/>
      <c r="NET890" s="124"/>
      <c r="NEU890" s="124"/>
      <c r="NEV890" s="124"/>
      <c r="NEW890" s="124"/>
      <c r="NEX890" s="124"/>
      <c r="NEY890" s="124"/>
      <c r="NEZ890" s="124"/>
      <c r="NFA890" s="124"/>
      <c r="NFB890" s="124"/>
      <c r="NFC890" s="124"/>
      <c r="NFD890" s="124"/>
      <c r="NFE890" s="124"/>
      <c r="NFF890" s="124"/>
      <c r="NFG890" s="124"/>
      <c r="NFH890" s="124"/>
      <c r="NFI890" s="124"/>
      <c r="NFJ890" s="124"/>
      <c r="NFK890" s="124"/>
      <c r="NFL890" s="124"/>
      <c r="NFM890" s="124"/>
      <c r="NFN890" s="124"/>
      <c r="NFO890" s="124"/>
      <c r="NFP890" s="124"/>
      <c r="NFQ890" s="124"/>
      <c r="NFR890" s="124"/>
      <c r="NFS890" s="124"/>
      <c r="NFT890" s="124"/>
      <c r="NFU890" s="124"/>
      <c r="NFV890" s="124"/>
      <c r="NFW890" s="124"/>
      <c r="NFX890" s="124"/>
      <c r="NFY890" s="124"/>
      <c r="NFZ890" s="124"/>
      <c r="NGA890" s="124"/>
      <c r="NGB890" s="124"/>
      <c r="NGC890" s="124"/>
      <c r="NGD890" s="124"/>
      <c r="NGE890" s="124"/>
      <c r="NGF890" s="124"/>
      <c r="NGG890" s="124"/>
      <c r="NGH890" s="124"/>
      <c r="NGI890" s="124"/>
      <c r="NGJ890" s="124"/>
      <c r="NGK890" s="124"/>
      <c r="NGL890" s="124"/>
      <c r="NGM890" s="124"/>
      <c r="NGN890" s="124"/>
      <c r="NGO890" s="124"/>
      <c r="NGP890" s="124"/>
      <c r="NGQ890" s="124"/>
      <c r="NGR890" s="124"/>
      <c r="NGS890" s="124"/>
      <c r="NGT890" s="124"/>
      <c r="NGU890" s="124"/>
      <c r="NGV890" s="124"/>
      <c r="NGW890" s="124"/>
      <c r="NGX890" s="124"/>
      <c r="NGY890" s="124"/>
      <c r="NGZ890" s="124"/>
      <c r="NHA890" s="124"/>
      <c r="NHB890" s="124"/>
      <c r="NHC890" s="124"/>
      <c r="NHD890" s="124"/>
      <c r="NHE890" s="124"/>
      <c r="NHF890" s="124"/>
      <c r="NHG890" s="124"/>
      <c r="NHH890" s="124"/>
      <c r="NHI890" s="124"/>
      <c r="NHJ890" s="124"/>
      <c r="NHK890" s="124"/>
      <c r="NHL890" s="124"/>
      <c r="NHM890" s="124"/>
      <c r="NHN890" s="124"/>
      <c r="NHO890" s="124"/>
      <c r="NHP890" s="124"/>
      <c r="NHQ890" s="124"/>
      <c r="NHR890" s="124"/>
      <c r="NHS890" s="124"/>
      <c r="NHT890" s="124"/>
      <c r="NHU890" s="124"/>
      <c r="NHV890" s="124"/>
      <c r="NHW890" s="124"/>
      <c r="NHX890" s="124"/>
      <c r="NHY890" s="124"/>
      <c r="NHZ890" s="124"/>
      <c r="NIA890" s="124"/>
      <c r="NIB890" s="124"/>
      <c r="NIC890" s="124"/>
      <c r="NID890" s="124"/>
      <c r="NIE890" s="124"/>
      <c r="NIF890" s="124"/>
      <c r="NIG890" s="124"/>
      <c r="NIH890" s="124"/>
      <c r="NII890" s="124"/>
      <c r="NIJ890" s="124"/>
      <c r="NIK890" s="124"/>
      <c r="NIL890" s="124"/>
      <c r="NIM890" s="124"/>
      <c r="NIN890" s="124"/>
      <c r="NIO890" s="124"/>
      <c r="NIP890" s="124"/>
      <c r="NIQ890" s="124"/>
      <c r="NIR890" s="124"/>
      <c r="NIS890" s="124"/>
      <c r="NIT890" s="124"/>
      <c r="NIU890" s="124"/>
      <c r="NIV890" s="124"/>
      <c r="NIW890" s="124"/>
      <c r="NIX890" s="124"/>
      <c r="NIY890" s="124"/>
      <c r="NIZ890" s="124"/>
      <c r="NJA890" s="124"/>
      <c r="NJB890" s="124"/>
      <c r="NJC890" s="124"/>
      <c r="NJD890" s="124"/>
      <c r="NJE890" s="124"/>
      <c r="NJF890" s="124"/>
      <c r="NJG890" s="124"/>
      <c r="NJH890" s="124"/>
      <c r="NJI890" s="124"/>
      <c r="NJJ890" s="124"/>
      <c r="NJK890" s="124"/>
      <c r="NJL890" s="124"/>
      <c r="NJM890" s="124"/>
      <c r="NJN890" s="124"/>
      <c r="NJO890" s="124"/>
      <c r="NJP890" s="124"/>
      <c r="NJQ890" s="124"/>
      <c r="NJR890" s="124"/>
      <c r="NJS890" s="124"/>
      <c r="NJT890" s="124"/>
      <c r="NJU890" s="124"/>
      <c r="NJV890" s="124"/>
      <c r="NJW890" s="124"/>
      <c r="NJX890" s="124"/>
      <c r="NJY890" s="124"/>
      <c r="NJZ890" s="124"/>
      <c r="NKA890" s="124"/>
      <c r="NKB890" s="124"/>
      <c r="NKC890" s="124"/>
      <c r="NKD890" s="124"/>
      <c r="NKE890" s="124"/>
      <c r="NKF890" s="124"/>
      <c r="NKG890" s="124"/>
      <c r="NKH890" s="124"/>
      <c r="NKI890" s="124"/>
      <c r="NKJ890" s="124"/>
      <c r="NKK890" s="124"/>
      <c r="NKL890" s="124"/>
      <c r="NKM890" s="124"/>
      <c r="NKN890" s="124"/>
      <c r="NKO890" s="124"/>
      <c r="NKP890" s="124"/>
      <c r="NKQ890" s="124"/>
      <c r="NKR890" s="124"/>
      <c r="NKS890" s="124"/>
      <c r="NKT890" s="124"/>
      <c r="NKU890" s="124"/>
      <c r="NKV890" s="124"/>
      <c r="NKW890" s="124"/>
      <c r="NKX890" s="124"/>
      <c r="NKY890" s="124"/>
      <c r="NKZ890" s="124"/>
      <c r="NLA890" s="124"/>
      <c r="NLB890" s="124"/>
      <c r="NLC890" s="124"/>
      <c r="NLD890" s="124"/>
      <c r="NLE890" s="124"/>
      <c r="NLF890" s="124"/>
      <c r="NLG890" s="124"/>
      <c r="NLH890" s="124"/>
      <c r="NLI890" s="124"/>
      <c r="NLJ890" s="124"/>
      <c r="NLK890" s="124"/>
      <c r="NLL890" s="124"/>
      <c r="NLM890" s="124"/>
      <c r="NLN890" s="124"/>
      <c r="NLO890" s="124"/>
      <c r="NLP890" s="124"/>
      <c r="NLQ890" s="124"/>
      <c r="NLR890" s="124"/>
      <c r="NLS890" s="124"/>
      <c r="NLT890" s="124"/>
      <c r="NLU890" s="124"/>
      <c r="NLV890" s="124"/>
      <c r="NLW890" s="124"/>
      <c r="NLX890" s="124"/>
      <c r="NLY890" s="124"/>
      <c r="NLZ890" s="124"/>
      <c r="NMA890" s="124"/>
      <c r="NMB890" s="124"/>
      <c r="NMC890" s="124"/>
      <c r="NMD890" s="124"/>
      <c r="NME890" s="124"/>
      <c r="NMF890" s="124"/>
      <c r="NMG890" s="124"/>
      <c r="NMH890" s="124"/>
      <c r="NMI890" s="124"/>
      <c r="NMJ890" s="124"/>
      <c r="NMK890" s="124"/>
      <c r="NML890" s="124"/>
      <c r="NMM890" s="124"/>
      <c r="NMN890" s="124"/>
      <c r="NMO890" s="124"/>
      <c r="NMP890" s="124"/>
      <c r="NMQ890" s="124"/>
      <c r="NMR890" s="124"/>
      <c r="NMS890" s="124"/>
      <c r="NMT890" s="124"/>
      <c r="NMU890" s="124"/>
      <c r="NMV890" s="124"/>
      <c r="NMW890" s="124"/>
      <c r="NMX890" s="124"/>
      <c r="NMY890" s="124"/>
      <c r="NMZ890" s="124"/>
      <c r="NNA890" s="124"/>
      <c r="NNB890" s="124"/>
      <c r="NNC890" s="124"/>
      <c r="NND890" s="124"/>
      <c r="NNE890" s="124"/>
      <c r="NNF890" s="124"/>
      <c r="NNG890" s="124"/>
      <c r="NNH890" s="124"/>
      <c r="NNI890" s="124"/>
      <c r="NNJ890" s="124"/>
      <c r="NNK890" s="124"/>
      <c r="NNL890" s="124"/>
      <c r="NNM890" s="124"/>
      <c r="NNN890" s="124"/>
      <c r="NNO890" s="124"/>
      <c r="NNP890" s="124"/>
      <c r="NNQ890" s="124"/>
      <c r="NNR890" s="124"/>
      <c r="NNS890" s="124"/>
      <c r="NNT890" s="124"/>
      <c r="NNU890" s="124"/>
      <c r="NNV890" s="124"/>
      <c r="NNW890" s="124"/>
      <c r="NNX890" s="124"/>
      <c r="NNY890" s="124"/>
      <c r="NNZ890" s="124"/>
      <c r="NOA890" s="124"/>
      <c r="NOB890" s="124"/>
      <c r="NOC890" s="124"/>
      <c r="NOD890" s="124"/>
      <c r="NOE890" s="124"/>
      <c r="NOF890" s="124"/>
      <c r="NOG890" s="124"/>
      <c r="NOH890" s="124"/>
      <c r="NOI890" s="124"/>
      <c r="NOJ890" s="124"/>
      <c r="NOK890" s="124"/>
      <c r="NOL890" s="124"/>
      <c r="NOM890" s="124"/>
      <c r="NON890" s="124"/>
      <c r="NOO890" s="124"/>
      <c r="NOP890" s="124"/>
      <c r="NOQ890" s="124"/>
      <c r="NOR890" s="124"/>
      <c r="NOS890" s="124"/>
      <c r="NOT890" s="124"/>
      <c r="NOU890" s="124"/>
      <c r="NOV890" s="124"/>
      <c r="NOW890" s="124"/>
      <c r="NOX890" s="124"/>
      <c r="NOY890" s="124"/>
      <c r="NOZ890" s="124"/>
      <c r="NPA890" s="124"/>
      <c r="NPB890" s="124"/>
      <c r="NPC890" s="124"/>
      <c r="NPD890" s="124"/>
      <c r="NPE890" s="124"/>
      <c r="NPF890" s="124"/>
      <c r="NPG890" s="124"/>
      <c r="NPH890" s="124"/>
      <c r="NPI890" s="124"/>
      <c r="NPJ890" s="124"/>
      <c r="NPK890" s="124"/>
      <c r="NPL890" s="124"/>
      <c r="NPM890" s="124"/>
      <c r="NPN890" s="124"/>
      <c r="NPO890" s="124"/>
      <c r="NPP890" s="124"/>
      <c r="NPQ890" s="124"/>
      <c r="NPR890" s="124"/>
      <c r="NPS890" s="124"/>
      <c r="NPT890" s="124"/>
      <c r="NPU890" s="124"/>
      <c r="NPV890" s="124"/>
      <c r="NPW890" s="124"/>
      <c r="NPX890" s="124"/>
      <c r="NPY890" s="124"/>
      <c r="NPZ890" s="124"/>
      <c r="NQA890" s="124"/>
      <c r="NQB890" s="124"/>
      <c r="NQC890" s="124"/>
      <c r="NQD890" s="124"/>
      <c r="NQE890" s="124"/>
      <c r="NQF890" s="124"/>
      <c r="NQG890" s="124"/>
      <c r="NQH890" s="124"/>
      <c r="NQI890" s="124"/>
      <c r="NQJ890" s="124"/>
      <c r="NQK890" s="124"/>
      <c r="NQL890" s="124"/>
      <c r="NQM890" s="124"/>
      <c r="NQN890" s="124"/>
      <c r="NQO890" s="124"/>
      <c r="NQP890" s="124"/>
      <c r="NQQ890" s="124"/>
      <c r="NQR890" s="124"/>
      <c r="NQS890" s="124"/>
      <c r="NQT890" s="124"/>
      <c r="NQU890" s="124"/>
      <c r="NQV890" s="124"/>
      <c r="NQW890" s="124"/>
      <c r="NQX890" s="124"/>
      <c r="NQY890" s="124"/>
      <c r="NQZ890" s="124"/>
      <c r="NRA890" s="124"/>
      <c r="NRB890" s="124"/>
      <c r="NRC890" s="124"/>
      <c r="NRD890" s="124"/>
      <c r="NRE890" s="124"/>
      <c r="NRF890" s="124"/>
      <c r="NRG890" s="124"/>
      <c r="NRH890" s="124"/>
      <c r="NRI890" s="124"/>
      <c r="NRJ890" s="124"/>
      <c r="NRK890" s="124"/>
      <c r="NRL890" s="124"/>
      <c r="NRM890" s="124"/>
      <c r="NRN890" s="124"/>
      <c r="NRO890" s="124"/>
      <c r="NRP890" s="124"/>
      <c r="NRQ890" s="124"/>
      <c r="NRR890" s="124"/>
      <c r="NRS890" s="124"/>
      <c r="NRT890" s="124"/>
      <c r="NRU890" s="124"/>
      <c r="NRV890" s="124"/>
      <c r="NRW890" s="124"/>
      <c r="NRX890" s="124"/>
      <c r="NRY890" s="124"/>
      <c r="NRZ890" s="124"/>
      <c r="NSA890" s="124"/>
      <c r="NSB890" s="124"/>
      <c r="NSC890" s="124"/>
      <c r="NSD890" s="124"/>
      <c r="NSE890" s="124"/>
      <c r="NSF890" s="124"/>
      <c r="NSG890" s="124"/>
      <c r="NSH890" s="124"/>
      <c r="NSI890" s="124"/>
      <c r="NSJ890" s="124"/>
      <c r="NSK890" s="124"/>
      <c r="NSL890" s="124"/>
      <c r="NSM890" s="124"/>
      <c r="NSN890" s="124"/>
      <c r="NSO890" s="124"/>
      <c r="NSP890" s="124"/>
      <c r="NSQ890" s="124"/>
      <c r="NSR890" s="124"/>
      <c r="NSS890" s="124"/>
      <c r="NST890" s="124"/>
      <c r="NSU890" s="124"/>
      <c r="NSV890" s="124"/>
      <c r="NSW890" s="124"/>
      <c r="NSX890" s="124"/>
      <c r="NSY890" s="124"/>
      <c r="NSZ890" s="124"/>
      <c r="NTA890" s="124"/>
      <c r="NTB890" s="124"/>
      <c r="NTC890" s="124"/>
      <c r="NTD890" s="124"/>
      <c r="NTE890" s="124"/>
      <c r="NTF890" s="124"/>
      <c r="NTG890" s="124"/>
      <c r="NTH890" s="124"/>
      <c r="NTI890" s="124"/>
      <c r="NTJ890" s="124"/>
      <c r="NTK890" s="124"/>
      <c r="NTL890" s="124"/>
      <c r="NTM890" s="124"/>
      <c r="NTN890" s="124"/>
      <c r="NTO890" s="124"/>
      <c r="NTP890" s="124"/>
      <c r="NTQ890" s="124"/>
      <c r="NTR890" s="124"/>
      <c r="NTS890" s="124"/>
      <c r="NTT890" s="124"/>
      <c r="NTU890" s="124"/>
      <c r="NTV890" s="124"/>
      <c r="NTW890" s="124"/>
      <c r="NTX890" s="124"/>
      <c r="NTY890" s="124"/>
      <c r="NTZ890" s="124"/>
      <c r="NUA890" s="124"/>
      <c r="NUB890" s="124"/>
      <c r="NUC890" s="124"/>
      <c r="NUD890" s="124"/>
      <c r="NUE890" s="124"/>
      <c r="NUF890" s="124"/>
      <c r="NUG890" s="124"/>
      <c r="NUH890" s="124"/>
      <c r="NUI890" s="124"/>
      <c r="NUJ890" s="124"/>
      <c r="NUK890" s="124"/>
      <c r="NUL890" s="124"/>
      <c r="NUM890" s="124"/>
      <c r="NUN890" s="124"/>
      <c r="NUO890" s="124"/>
      <c r="NUP890" s="124"/>
      <c r="NUQ890" s="124"/>
      <c r="NUR890" s="124"/>
      <c r="NUS890" s="124"/>
      <c r="NUT890" s="124"/>
      <c r="NUU890" s="124"/>
      <c r="NUV890" s="124"/>
      <c r="NUW890" s="124"/>
      <c r="NUX890" s="124"/>
      <c r="NUY890" s="124"/>
      <c r="NUZ890" s="124"/>
      <c r="NVA890" s="124"/>
      <c r="NVB890" s="124"/>
      <c r="NVC890" s="124"/>
      <c r="NVD890" s="124"/>
      <c r="NVE890" s="124"/>
      <c r="NVF890" s="124"/>
      <c r="NVG890" s="124"/>
      <c r="NVH890" s="124"/>
      <c r="NVI890" s="124"/>
      <c r="NVJ890" s="124"/>
      <c r="NVK890" s="124"/>
      <c r="NVL890" s="124"/>
      <c r="NVM890" s="124"/>
      <c r="NVN890" s="124"/>
      <c r="NVO890" s="124"/>
      <c r="NVP890" s="124"/>
      <c r="NVQ890" s="124"/>
      <c r="NVR890" s="124"/>
      <c r="NVS890" s="124"/>
      <c r="NVT890" s="124"/>
      <c r="NVU890" s="124"/>
      <c r="NVV890" s="124"/>
      <c r="NVW890" s="124"/>
      <c r="NVX890" s="124"/>
      <c r="NVY890" s="124"/>
      <c r="NVZ890" s="124"/>
      <c r="NWA890" s="124"/>
      <c r="NWB890" s="124"/>
      <c r="NWC890" s="124"/>
      <c r="NWD890" s="124"/>
      <c r="NWE890" s="124"/>
      <c r="NWF890" s="124"/>
      <c r="NWG890" s="124"/>
      <c r="NWH890" s="124"/>
      <c r="NWI890" s="124"/>
      <c r="NWJ890" s="124"/>
      <c r="NWK890" s="124"/>
      <c r="NWL890" s="124"/>
      <c r="NWM890" s="124"/>
      <c r="NWN890" s="124"/>
      <c r="NWO890" s="124"/>
      <c r="NWP890" s="124"/>
      <c r="NWQ890" s="124"/>
      <c r="NWR890" s="124"/>
      <c r="NWS890" s="124"/>
      <c r="NWT890" s="124"/>
      <c r="NWU890" s="124"/>
      <c r="NWV890" s="124"/>
      <c r="NWW890" s="124"/>
      <c r="NWX890" s="124"/>
      <c r="NWY890" s="124"/>
      <c r="NWZ890" s="124"/>
      <c r="NXA890" s="124"/>
      <c r="NXB890" s="124"/>
      <c r="NXC890" s="124"/>
      <c r="NXD890" s="124"/>
      <c r="NXE890" s="124"/>
      <c r="NXF890" s="124"/>
      <c r="NXG890" s="124"/>
      <c r="NXH890" s="124"/>
      <c r="NXI890" s="124"/>
      <c r="NXJ890" s="124"/>
      <c r="NXK890" s="124"/>
      <c r="NXL890" s="124"/>
      <c r="NXM890" s="124"/>
      <c r="NXN890" s="124"/>
      <c r="NXO890" s="124"/>
      <c r="NXP890" s="124"/>
      <c r="NXQ890" s="124"/>
      <c r="NXR890" s="124"/>
      <c r="NXS890" s="124"/>
      <c r="NXT890" s="124"/>
      <c r="NXU890" s="124"/>
      <c r="NXV890" s="124"/>
      <c r="NXW890" s="124"/>
      <c r="NXX890" s="124"/>
      <c r="NXY890" s="124"/>
      <c r="NXZ890" s="124"/>
      <c r="NYA890" s="124"/>
      <c r="NYB890" s="124"/>
      <c r="NYC890" s="124"/>
      <c r="NYD890" s="124"/>
      <c r="NYE890" s="124"/>
      <c r="NYF890" s="124"/>
      <c r="NYG890" s="124"/>
      <c r="NYH890" s="124"/>
      <c r="NYI890" s="124"/>
      <c r="NYJ890" s="124"/>
      <c r="NYK890" s="124"/>
      <c r="NYL890" s="124"/>
      <c r="NYM890" s="124"/>
      <c r="NYN890" s="124"/>
      <c r="NYO890" s="124"/>
      <c r="NYP890" s="124"/>
      <c r="NYQ890" s="124"/>
      <c r="NYR890" s="124"/>
      <c r="NYS890" s="124"/>
      <c r="NYT890" s="124"/>
      <c r="NYU890" s="124"/>
      <c r="NYV890" s="124"/>
      <c r="NYW890" s="124"/>
      <c r="NYX890" s="124"/>
      <c r="NYY890" s="124"/>
      <c r="NYZ890" s="124"/>
      <c r="NZA890" s="124"/>
      <c r="NZB890" s="124"/>
      <c r="NZC890" s="124"/>
      <c r="NZD890" s="124"/>
      <c r="NZE890" s="124"/>
      <c r="NZF890" s="124"/>
      <c r="NZG890" s="124"/>
      <c r="NZH890" s="124"/>
      <c r="NZI890" s="124"/>
      <c r="NZJ890" s="124"/>
      <c r="NZK890" s="124"/>
      <c r="NZL890" s="124"/>
      <c r="NZM890" s="124"/>
      <c r="NZN890" s="124"/>
      <c r="NZO890" s="124"/>
      <c r="NZP890" s="124"/>
      <c r="NZQ890" s="124"/>
      <c r="NZR890" s="124"/>
      <c r="NZS890" s="124"/>
      <c r="NZT890" s="124"/>
      <c r="NZU890" s="124"/>
      <c r="NZV890" s="124"/>
      <c r="NZW890" s="124"/>
      <c r="NZX890" s="124"/>
      <c r="NZY890" s="124"/>
      <c r="NZZ890" s="124"/>
      <c r="OAA890" s="124"/>
      <c r="OAB890" s="124"/>
      <c r="OAC890" s="124"/>
      <c r="OAD890" s="124"/>
      <c r="OAE890" s="124"/>
      <c r="OAF890" s="124"/>
      <c r="OAG890" s="124"/>
      <c r="OAH890" s="124"/>
      <c r="OAI890" s="124"/>
      <c r="OAJ890" s="124"/>
      <c r="OAK890" s="124"/>
      <c r="OAL890" s="124"/>
      <c r="OAM890" s="124"/>
      <c r="OAN890" s="124"/>
      <c r="OAO890" s="124"/>
      <c r="OAP890" s="124"/>
      <c r="OAQ890" s="124"/>
      <c r="OAR890" s="124"/>
      <c r="OAS890" s="124"/>
      <c r="OAT890" s="124"/>
      <c r="OAU890" s="124"/>
      <c r="OAV890" s="124"/>
      <c r="OAW890" s="124"/>
      <c r="OAX890" s="124"/>
      <c r="OAY890" s="124"/>
      <c r="OAZ890" s="124"/>
      <c r="OBA890" s="124"/>
      <c r="OBB890" s="124"/>
      <c r="OBC890" s="124"/>
      <c r="OBD890" s="124"/>
      <c r="OBE890" s="124"/>
      <c r="OBF890" s="124"/>
      <c r="OBG890" s="124"/>
      <c r="OBH890" s="124"/>
      <c r="OBI890" s="124"/>
      <c r="OBJ890" s="124"/>
      <c r="OBK890" s="124"/>
      <c r="OBL890" s="124"/>
      <c r="OBM890" s="124"/>
      <c r="OBN890" s="124"/>
      <c r="OBO890" s="124"/>
      <c r="OBP890" s="124"/>
      <c r="OBQ890" s="124"/>
      <c r="OBR890" s="124"/>
      <c r="OBS890" s="124"/>
      <c r="OBT890" s="124"/>
      <c r="OBU890" s="124"/>
      <c r="OBV890" s="124"/>
      <c r="OBW890" s="124"/>
      <c r="OBX890" s="124"/>
      <c r="OBY890" s="124"/>
      <c r="OBZ890" s="124"/>
      <c r="OCA890" s="124"/>
      <c r="OCB890" s="124"/>
      <c r="OCC890" s="124"/>
      <c r="OCD890" s="124"/>
      <c r="OCE890" s="124"/>
      <c r="OCF890" s="124"/>
      <c r="OCG890" s="124"/>
      <c r="OCH890" s="124"/>
      <c r="OCI890" s="124"/>
      <c r="OCJ890" s="124"/>
      <c r="OCK890" s="124"/>
      <c r="OCL890" s="124"/>
      <c r="OCM890" s="124"/>
      <c r="OCN890" s="124"/>
      <c r="OCO890" s="124"/>
      <c r="OCP890" s="124"/>
      <c r="OCQ890" s="124"/>
      <c r="OCR890" s="124"/>
      <c r="OCS890" s="124"/>
      <c r="OCT890" s="124"/>
      <c r="OCU890" s="124"/>
      <c r="OCV890" s="124"/>
      <c r="OCW890" s="124"/>
      <c r="OCX890" s="124"/>
      <c r="OCY890" s="124"/>
      <c r="OCZ890" s="124"/>
      <c r="ODA890" s="124"/>
      <c r="ODB890" s="124"/>
      <c r="ODC890" s="124"/>
      <c r="ODD890" s="124"/>
      <c r="ODE890" s="124"/>
      <c r="ODF890" s="124"/>
      <c r="ODG890" s="124"/>
      <c r="ODH890" s="124"/>
      <c r="ODI890" s="124"/>
      <c r="ODJ890" s="124"/>
      <c r="ODK890" s="124"/>
      <c r="ODL890" s="124"/>
      <c r="ODM890" s="124"/>
      <c r="ODN890" s="124"/>
      <c r="ODO890" s="124"/>
      <c r="ODP890" s="124"/>
      <c r="ODQ890" s="124"/>
      <c r="ODR890" s="124"/>
      <c r="ODS890" s="124"/>
      <c r="ODT890" s="124"/>
      <c r="ODU890" s="124"/>
      <c r="ODV890" s="124"/>
      <c r="ODW890" s="124"/>
      <c r="ODX890" s="124"/>
      <c r="ODY890" s="124"/>
      <c r="ODZ890" s="124"/>
      <c r="OEA890" s="124"/>
      <c r="OEB890" s="124"/>
      <c r="OEC890" s="124"/>
      <c r="OED890" s="124"/>
      <c r="OEE890" s="124"/>
      <c r="OEF890" s="124"/>
      <c r="OEG890" s="124"/>
      <c r="OEH890" s="124"/>
      <c r="OEI890" s="124"/>
      <c r="OEJ890" s="124"/>
      <c r="OEK890" s="124"/>
      <c r="OEL890" s="124"/>
      <c r="OEM890" s="124"/>
      <c r="OEN890" s="124"/>
      <c r="OEO890" s="124"/>
      <c r="OEP890" s="124"/>
      <c r="OEQ890" s="124"/>
      <c r="OER890" s="124"/>
      <c r="OES890" s="124"/>
      <c r="OET890" s="124"/>
      <c r="OEU890" s="124"/>
      <c r="OEV890" s="124"/>
      <c r="OEW890" s="124"/>
      <c r="OEX890" s="124"/>
      <c r="OEY890" s="124"/>
      <c r="OEZ890" s="124"/>
      <c r="OFA890" s="124"/>
      <c r="OFB890" s="124"/>
      <c r="OFC890" s="124"/>
      <c r="OFD890" s="124"/>
      <c r="OFE890" s="124"/>
      <c r="OFF890" s="124"/>
      <c r="OFG890" s="124"/>
      <c r="OFH890" s="124"/>
      <c r="OFI890" s="124"/>
      <c r="OFJ890" s="124"/>
      <c r="OFK890" s="124"/>
      <c r="OFL890" s="124"/>
      <c r="OFM890" s="124"/>
      <c r="OFN890" s="124"/>
      <c r="OFO890" s="124"/>
      <c r="OFP890" s="124"/>
      <c r="OFQ890" s="124"/>
      <c r="OFR890" s="124"/>
      <c r="OFS890" s="124"/>
      <c r="OFT890" s="124"/>
      <c r="OFU890" s="124"/>
      <c r="OFV890" s="124"/>
      <c r="OFW890" s="124"/>
      <c r="OFX890" s="124"/>
      <c r="OFY890" s="124"/>
      <c r="OFZ890" s="124"/>
      <c r="OGA890" s="124"/>
      <c r="OGB890" s="124"/>
      <c r="OGC890" s="124"/>
      <c r="OGD890" s="124"/>
      <c r="OGE890" s="124"/>
      <c r="OGF890" s="124"/>
      <c r="OGG890" s="124"/>
      <c r="OGH890" s="124"/>
      <c r="OGI890" s="124"/>
      <c r="OGJ890" s="124"/>
      <c r="OGK890" s="124"/>
      <c r="OGL890" s="124"/>
      <c r="OGM890" s="124"/>
      <c r="OGN890" s="124"/>
      <c r="OGO890" s="124"/>
      <c r="OGP890" s="124"/>
      <c r="OGQ890" s="124"/>
      <c r="OGR890" s="124"/>
      <c r="OGS890" s="124"/>
      <c r="OGT890" s="124"/>
      <c r="OGU890" s="124"/>
      <c r="OGV890" s="124"/>
      <c r="OGW890" s="124"/>
      <c r="OGX890" s="124"/>
      <c r="OGY890" s="124"/>
      <c r="OGZ890" s="124"/>
      <c r="OHA890" s="124"/>
      <c r="OHB890" s="124"/>
      <c r="OHC890" s="124"/>
      <c r="OHD890" s="124"/>
      <c r="OHE890" s="124"/>
      <c r="OHF890" s="124"/>
      <c r="OHG890" s="124"/>
      <c r="OHH890" s="124"/>
      <c r="OHI890" s="124"/>
      <c r="OHJ890" s="124"/>
      <c r="OHK890" s="124"/>
      <c r="OHL890" s="124"/>
      <c r="OHM890" s="124"/>
      <c r="OHN890" s="124"/>
      <c r="OHO890" s="124"/>
      <c r="OHP890" s="124"/>
      <c r="OHQ890" s="124"/>
      <c r="OHR890" s="124"/>
      <c r="OHS890" s="124"/>
      <c r="OHT890" s="124"/>
      <c r="OHU890" s="124"/>
      <c r="OHV890" s="124"/>
      <c r="OHW890" s="124"/>
      <c r="OHX890" s="124"/>
      <c r="OHY890" s="124"/>
      <c r="OHZ890" s="124"/>
      <c r="OIA890" s="124"/>
      <c r="OIB890" s="124"/>
      <c r="OIC890" s="124"/>
      <c r="OID890" s="124"/>
      <c r="OIE890" s="124"/>
      <c r="OIF890" s="124"/>
      <c r="OIG890" s="124"/>
      <c r="OIH890" s="124"/>
      <c r="OII890" s="124"/>
      <c r="OIJ890" s="124"/>
      <c r="OIK890" s="124"/>
      <c r="OIL890" s="124"/>
      <c r="OIM890" s="124"/>
      <c r="OIN890" s="124"/>
      <c r="OIO890" s="124"/>
      <c r="OIP890" s="124"/>
      <c r="OIQ890" s="124"/>
      <c r="OIR890" s="124"/>
      <c r="OIS890" s="124"/>
      <c r="OIT890" s="124"/>
      <c r="OIU890" s="124"/>
      <c r="OIV890" s="124"/>
      <c r="OIW890" s="124"/>
      <c r="OIX890" s="124"/>
      <c r="OIY890" s="124"/>
      <c r="OIZ890" s="124"/>
      <c r="OJA890" s="124"/>
      <c r="OJB890" s="124"/>
      <c r="OJC890" s="124"/>
      <c r="OJD890" s="124"/>
      <c r="OJE890" s="124"/>
      <c r="OJF890" s="124"/>
      <c r="OJG890" s="124"/>
      <c r="OJH890" s="124"/>
      <c r="OJI890" s="124"/>
      <c r="OJJ890" s="124"/>
      <c r="OJK890" s="124"/>
      <c r="OJL890" s="124"/>
      <c r="OJM890" s="124"/>
      <c r="OJN890" s="124"/>
      <c r="OJO890" s="124"/>
      <c r="OJP890" s="124"/>
      <c r="OJQ890" s="124"/>
      <c r="OJR890" s="124"/>
      <c r="OJS890" s="124"/>
      <c r="OJT890" s="124"/>
      <c r="OJU890" s="124"/>
      <c r="OJV890" s="124"/>
      <c r="OJW890" s="124"/>
      <c r="OJX890" s="124"/>
      <c r="OJY890" s="124"/>
      <c r="OJZ890" s="124"/>
      <c r="OKA890" s="124"/>
      <c r="OKB890" s="124"/>
      <c r="OKC890" s="124"/>
      <c r="OKD890" s="124"/>
      <c r="OKE890" s="124"/>
      <c r="OKF890" s="124"/>
      <c r="OKG890" s="124"/>
      <c r="OKH890" s="124"/>
      <c r="OKI890" s="124"/>
      <c r="OKJ890" s="124"/>
      <c r="OKK890" s="124"/>
      <c r="OKL890" s="124"/>
      <c r="OKM890" s="124"/>
      <c r="OKN890" s="124"/>
      <c r="OKO890" s="124"/>
      <c r="OKP890" s="124"/>
      <c r="OKQ890" s="124"/>
      <c r="OKR890" s="124"/>
      <c r="OKS890" s="124"/>
      <c r="OKT890" s="124"/>
      <c r="OKU890" s="124"/>
      <c r="OKV890" s="124"/>
      <c r="OKW890" s="124"/>
      <c r="OKX890" s="124"/>
      <c r="OKY890" s="124"/>
      <c r="OKZ890" s="124"/>
      <c r="OLA890" s="124"/>
      <c r="OLB890" s="124"/>
      <c r="OLC890" s="124"/>
      <c r="OLD890" s="124"/>
      <c r="OLE890" s="124"/>
      <c r="OLF890" s="124"/>
      <c r="OLG890" s="124"/>
      <c r="OLH890" s="124"/>
      <c r="OLI890" s="124"/>
      <c r="OLJ890" s="124"/>
      <c r="OLK890" s="124"/>
      <c r="OLL890" s="124"/>
      <c r="OLM890" s="124"/>
      <c r="OLN890" s="124"/>
      <c r="OLO890" s="124"/>
      <c r="OLP890" s="124"/>
      <c r="OLQ890" s="124"/>
      <c r="OLR890" s="124"/>
      <c r="OLS890" s="124"/>
      <c r="OLT890" s="124"/>
      <c r="OLU890" s="124"/>
      <c r="OLV890" s="124"/>
      <c r="OLW890" s="124"/>
      <c r="OLX890" s="124"/>
      <c r="OLY890" s="124"/>
      <c r="OLZ890" s="124"/>
      <c r="OMA890" s="124"/>
      <c r="OMB890" s="124"/>
      <c r="OMC890" s="124"/>
      <c r="OMD890" s="124"/>
      <c r="OME890" s="124"/>
      <c r="OMF890" s="124"/>
      <c r="OMG890" s="124"/>
      <c r="OMH890" s="124"/>
      <c r="OMI890" s="124"/>
      <c r="OMJ890" s="124"/>
      <c r="OMK890" s="124"/>
      <c r="OML890" s="124"/>
      <c r="OMM890" s="124"/>
      <c r="OMN890" s="124"/>
      <c r="OMO890" s="124"/>
      <c r="OMP890" s="124"/>
      <c r="OMQ890" s="124"/>
      <c r="OMR890" s="124"/>
      <c r="OMS890" s="124"/>
      <c r="OMT890" s="124"/>
      <c r="OMU890" s="124"/>
      <c r="OMV890" s="124"/>
      <c r="OMW890" s="124"/>
      <c r="OMX890" s="124"/>
      <c r="OMY890" s="124"/>
      <c r="OMZ890" s="124"/>
      <c r="ONA890" s="124"/>
      <c r="ONB890" s="124"/>
      <c r="ONC890" s="124"/>
      <c r="OND890" s="124"/>
      <c r="ONE890" s="124"/>
      <c r="ONF890" s="124"/>
      <c r="ONG890" s="124"/>
      <c r="ONH890" s="124"/>
      <c r="ONI890" s="124"/>
      <c r="ONJ890" s="124"/>
      <c r="ONK890" s="124"/>
      <c r="ONL890" s="124"/>
      <c r="ONM890" s="124"/>
      <c r="ONN890" s="124"/>
      <c r="ONO890" s="124"/>
      <c r="ONP890" s="124"/>
      <c r="ONQ890" s="124"/>
      <c r="ONR890" s="124"/>
      <c r="ONS890" s="124"/>
      <c r="ONT890" s="124"/>
      <c r="ONU890" s="124"/>
      <c r="ONV890" s="124"/>
      <c r="ONW890" s="124"/>
      <c r="ONX890" s="124"/>
      <c r="ONY890" s="124"/>
      <c r="ONZ890" s="124"/>
      <c r="OOA890" s="124"/>
      <c r="OOB890" s="124"/>
      <c r="OOC890" s="124"/>
      <c r="OOD890" s="124"/>
      <c r="OOE890" s="124"/>
      <c r="OOF890" s="124"/>
      <c r="OOG890" s="124"/>
      <c r="OOH890" s="124"/>
      <c r="OOI890" s="124"/>
      <c r="OOJ890" s="124"/>
      <c r="OOK890" s="124"/>
      <c r="OOL890" s="124"/>
      <c r="OOM890" s="124"/>
      <c r="OON890" s="124"/>
      <c r="OOO890" s="124"/>
      <c r="OOP890" s="124"/>
      <c r="OOQ890" s="124"/>
      <c r="OOR890" s="124"/>
      <c r="OOS890" s="124"/>
      <c r="OOT890" s="124"/>
      <c r="OOU890" s="124"/>
      <c r="OOV890" s="124"/>
      <c r="OOW890" s="124"/>
      <c r="OOX890" s="124"/>
      <c r="OOY890" s="124"/>
      <c r="OOZ890" s="124"/>
      <c r="OPA890" s="124"/>
      <c r="OPB890" s="124"/>
      <c r="OPC890" s="124"/>
      <c r="OPD890" s="124"/>
      <c r="OPE890" s="124"/>
      <c r="OPF890" s="124"/>
      <c r="OPG890" s="124"/>
      <c r="OPH890" s="124"/>
      <c r="OPI890" s="124"/>
      <c r="OPJ890" s="124"/>
      <c r="OPK890" s="124"/>
      <c r="OPL890" s="124"/>
      <c r="OPM890" s="124"/>
      <c r="OPN890" s="124"/>
      <c r="OPO890" s="124"/>
      <c r="OPP890" s="124"/>
      <c r="OPQ890" s="124"/>
      <c r="OPR890" s="124"/>
      <c r="OPS890" s="124"/>
      <c r="OPT890" s="124"/>
      <c r="OPU890" s="124"/>
      <c r="OPV890" s="124"/>
      <c r="OPW890" s="124"/>
      <c r="OPX890" s="124"/>
      <c r="OPY890" s="124"/>
      <c r="OPZ890" s="124"/>
      <c r="OQA890" s="124"/>
      <c r="OQB890" s="124"/>
      <c r="OQC890" s="124"/>
      <c r="OQD890" s="124"/>
      <c r="OQE890" s="124"/>
      <c r="OQF890" s="124"/>
      <c r="OQG890" s="124"/>
      <c r="OQH890" s="124"/>
      <c r="OQI890" s="124"/>
      <c r="OQJ890" s="124"/>
      <c r="OQK890" s="124"/>
      <c r="OQL890" s="124"/>
      <c r="OQM890" s="124"/>
      <c r="OQN890" s="124"/>
      <c r="OQO890" s="124"/>
      <c r="OQP890" s="124"/>
      <c r="OQQ890" s="124"/>
      <c r="OQR890" s="124"/>
      <c r="OQS890" s="124"/>
      <c r="OQT890" s="124"/>
      <c r="OQU890" s="124"/>
      <c r="OQV890" s="124"/>
      <c r="OQW890" s="124"/>
      <c r="OQX890" s="124"/>
      <c r="OQY890" s="124"/>
      <c r="OQZ890" s="124"/>
      <c r="ORA890" s="124"/>
      <c r="ORB890" s="124"/>
      <c r="ORC890" s="124"/>
      <c r="ORD890" s="124"/>
      <c r="ORE890" s="124"/>
      <c r="ORF890" s="124"/>
      <c r="ORG890" s="124"/>
      <c r="ORH890" s="124"/>
      <c r="ORI890" s="124"/>
      <c r="ORJ890" s="124"/>
      <c r="ORK890" s="124"/>
      <c r="ORL890" s="124"/>
      <c r="ORM890" s="124"/>
      <c r="ORN890" s="124"/>
      <c r="ORO890" s="124"/>
      <c r="ORP890" s="124"/>
      <c r="ORQ890" s="124"/>
      <c r="ORR890" s="124"/>
      <c r="ORS890" s="124"/>
      <c r="ORT890" s="124"/>
      <c r="ORU890" s="124"/>
      <c r="ORV890" s="124"/>
      <c r="ORW890" s="124"/>
      <c r="ORX890" s="124"/>
      <c r="ORY890" s="124"/>
      <c r="ORZ890" s="124"/>
      <c r="OSA890" s="124"/>
      <c r="OSB890" s="124"/>
      <c r="OSC890" s="124"/>
      <c r="OSD890" s="124"/>
      <c r="OSE890" s="124"/>
      <c r="OSF890" s="124"/>
      <c r="OSG890" s="124"/>
      <c r="OSH890" s="124"/>
      <c r="OSI890" s="124"/>
      <c r="OSJ890" s="124"/>
      <c r="OSK890" s="124"/>
      <c r="OSL890" s="124"/>
      <c r="OSM890" s="124"/>
      <c r="OSN890" s="124"/>
      <c r="OSO890" s="124"/>
      <c r="OSP890" s="124"/>
      <c r="OSQ890" s="124"/>
      <c r="OSR890" s="124"/>
      <c r="OSS890" s="124"/>
      <c r="OST890" s="124"/>
      <c r="OSU890" s="124"/>
      <c r="OSV890" s="124"/>
      <c r="OSW890" s="124"/>
      <c r="OSX890" s="124"/>
      <c r="OSY890" s="124"/>
      <c r="OSZ890" s="124"/>
      <c r="OTA890" s="124"/>
      <c r="OTB890" s="124"/>
      <c r="OTC890" s="124"/>
      <c r="OTD890" s="124"/>
      <c r="OTE890" s="124"/>
      <c r="OTF890" s="124"/>
      <c r="OTG890" s="124"/>
      <c r="OTH890" s="124"/>
      <c r="OTI890" s="124"/>
      <c r="OTJ890" s="124"/>
      <c r="OTK890" s="124"/>
      <c r="OTL890" s="124"/>
      <c r="OTM890" s="124"/>
      <c r="OTN890" s="124"/>
      <c r="OTO890" s="124"/>
      <c r="OTP890" s="124"/>
      <c r="OTQ890" s="124"/>
      <c r="OTR890" s="124"/>
      <c r="OTS890" s="124"/>
      <c r="OTT890" s="124"/>
      <c r="OTU890" s="124"/>
      <c r="OTV890" s="124"/>
      <c r="OTW890" s="124"/>
      <c r="OTX890" s="124"/>
      <c r="OTY890" s="124"/>
      <c r="OTZ890" s="124"/>
      <c r="OUA890" s="124"/>
      <c r="OUB890" s="124"/>
      <c r="OUC890" s="124"/>
      <c r="OUD890" s="124"/>
      <c r="OUE890" s="124"/>
      <c r="OUF890" s="124"/>
      <c r="OUG890" s="124"/>
      <c r="OUH890" s="124"/>
      <c r="OUI890" s="124"/>
      <c r="OUJ890" s="124"/>
      <c r="OUK890" s="124"/>
      <c r="OUL890" s="124"/>
      <c r="OUM890" s="124"/>
      <c r="OUN890" s="124"/>
      <c r="OUO890" s="124"/>
      <c r="OUP890" s="124"/>
      <c r="OUQ890" s="124"/>
      <c r="OUR890" s="124"/>
      <c r="OUS890" s="124"/>
      <c r="OUT890" s="124"/>
      <c r="OUU890" s="124"/>
      <c r="OUV890" s="124"/>
      <c r="OUW890" s="124"/>
      <c r="OUX890" s="124"/>
      <c r="OUY890" s="124"/>
      <c r="OUZ890" s="124"/>
      <c r="OVA890" s="124"/>
      <c r="OVB890" s="124"/>
      <c r="OVC890" s="124"/>
      <c r="OVD890" s="124"/>
      <c r="OVE890" s="124"/>
      <c r="OVF890" s="124"/>
      <c r="OVG890" s="124"/>
      <c r="OVH890" s="124"/>
      <c r="OVI890" s="124"/>
      <c r="OVJ890" s="124"/>
      <c r="OVK890" s="124"/>
      <c r="OVL890" s="124"/>
      <c r="OVM890" s="124"/>
      <c r="OVN890" s="124"/>
      <c r="OVO890" s="124"/>
      <c r="OVP890" s="124"/>
      <c r="OVQ890" s="124"/>
      <c r="OVR890" s="124"/>
      <c r="OVS890" s="124"/>
      <c r="OVT890" s="124"/>
      <c r="OVU890" s="124"/>
      <c r="OVV890" s="124"/>
      <c r="OVW890" s="124"/>
      <c r="OVX890" s="124"/>
      <c r="OVY890" s="124"/>
      <c r="OVZ890" s="124"/>
      <c r="OWA890" s="124"/>
      <c r="OWB890" s="124"/>
      <c r="OWC890" s="124"/>
      <c r="OWD890" s="124"/>
      <c r="OWE890" s="124"/>
      <c r="OWF890" s="124"/>
      <c r="OWG890" s="124"/>
      <c r="OWH890" s="124"/>
      <c r="OWI890" s="124"/>
      <c r="OWJ890" s="124"/>
      <c r="OWK890" s="124"/>
      <c r="OWL890" s="124"/>
      <c r="OWM890" s="124"/>
      <c r="OWN890" s="124"/>
      <c r="OWO890" s="124"/>
      <c r="OWP890" s="124"/>
      <c r="OWQ890" s="124"/>
      <c r="OWR890" s="124"/>
      <c r="OWS890" s="124"/>
      <c r="OWT890" s="124"/>
      <c r="OWU890" s="124"/>
      <c r="OWV890" s="124"/>
      <c r="OWW890" s="124"/>
      <c r="OWX890" s="124"/>
      <c r="OWY890" s="124"/>
      <c r="OWZ890" s="124"/>
      <c r="OXA890" s="124"/>
      <c r="OXB890" s="124"/>
      <c r="OXC890" s="124"/>
      <c r="OXD890" s="124"/>
      <c r="OXE890" s="124"/>
      <c r="OXF890" s="124"/>
      <c r="OXG890" s="124"/>
      <c r="OXH890" s="124"/>
      <c r="OXI890" s="124"/>
      <c r="OXJ890" s="124"/>
      <c r="OXK890" s="124"/>
      <c r="OXL890" s="124"/>
      <c r="OXM890" s="124"/>
      <c r="OXN890" s="124"/>
      <c r="OXO890" s="124"/>
      <c r="OXP890" s="124"/>
      <c r="OXQ890" s="124"/>
      <c r="OXR890" s="124"/>
      <c r="OXS890" s="124"/>
      <c r="OXT890" s="124"/>
      <c r="OXU890" s="124"/>
      <c r="OXV890" s="124"/>
      <c r="OXW890" s="124"/>
      <c r="OXX890" s="124"/>
      <c r="OXY890" s="124"/>
      <c r="OXZ890" s="124"/>
      <c r="OYA890" s="124"/>
      <c r="OYB890" s="124"/>
      <c r="OYC890" s="124"/>
      <c r="OYD890" s="124"/>
      <c r="OYE890" s="124"/>
      <c r="OYF890" s="124"/>
      <c r="OYG890" s="124"/>
      <c r="OYH890" s="124"/>
      <c r="OYI890" s="124"/>
      <c r="OYJ890" s="124"/>
      <c r="OYK890" s="124"/>
      <c r="OYL890" s="124"/>
      <c r="OYM890" s="124"/>
      <c r="OYN890" s="124"/>
      <c r="OYO890" s="124"/>
      <c r="OYP890" s="124"/>
      <c r="OYQ890" s="124"/>
      <c r="OYR890" s="124"/>
      <c r="OYS890" s="124"/>
      <c r="OYT890" s="124"/>
      <c r="OYU890" s="124"/>
      <c r="OYV890" s="124"/>
      <c r="OYW890" s="124"/>
      <c r="OYX890" s="124"/>
      <c r="OYY890" s="124"/>
      <c r="OYZ890" s="124"/>
      <c r="OZA890" s="124"/>
      <c r="OZB890" s="124"/>
      <c r="OZC890" s="124"/>
      <c r="OZD890" s="124"/>
      <c r="OZE890" s="124"/>
      <c r="OZF890" s="124"/>
      <c r="OZG890" s="124"/>
      <c r="OZH890" s="124"/>
      <c r="OZI890" s="124"/>
      <c r="OZJ890" s="124"/>
      <c r="OZK890" s="124"/>
      <c r="OZL890" s="124"/>
      <c r="OZM890" s="124"/>
      <c r="OZN890" s="124"/>
      <c r="OZO890" s="124"/>
      <c r="OZP890" s="124"/>
      <c r="OZQ890" s="124"/>
      <c r="OZR890" s="124"/>
      <c r="OZS890" s="124"/>
      <c r="OZT890" s="124"/>
      <c r="OZU890" s="124"/>
      <c r="OZV890" s="124"/>
      <c r="OZW890" s="124"/>
      <c r="OZX890" s="124"/>
      <c r="OZY890" s="124"/>
      <c r="OZZ890" s="124"/>
      <c r="PAA890" s="124"/>
      <c r="PAB890" s="124"/>
      <c r="PAC890" s="124"/>
      <c r="PAD890" s="124"/>
      <c r="PAE890" s="124"/>
      <c r="PAF890" s="124"/>
      <c r="PAG890" s="124"/>
      <c r="PAH890" s="124"/>
      <c r="PAI890" s="124"/>
      <c r="PAJ890" s="124"/>
      <c r="PAK890" s="124"/>
      <c r="PAL890" s="124"/>
      <c r="PAM890" s="124"/>
      <c r="PAN890" s="124"/>
      <c r="PAO890" s="124"/>
      <c r="PAP890" s="124"/>
      <c r="PAQ890" s="124"/>
      <c r="PAR890" s="124"/>
      <c r="PAS890" s="124"/>
      <c r="PAT890" s="124"/>
      <c r="PAU890" s="124"/>
      <c r="PAV890" s="124"/>
      <c r="PAW890" s="124"/>
      <c r="PAX890" s="124"/>
      <c r="PAY890" s="124"/>
      <c r="PAZ890" s="124"/>
      <c r="PBA890" s="124"/>
      <c r="PBB890" s="124"/>
      <c r="PBC890" s="124"/>
      <c r="PBD890" s="124"/>
      <c r="PBE890" s="124"/>
      <c r="PBF890" s="124"/>
      <c r="PBG890" s="124"/>
      <c r="PBH890" s="124"/>
      <c r="PBI890" s="124"/>
      <c r="PBJ890" s="124"/>
      <c r="PBK890" s="124"/>
      <c r="PBL890" s="124"/>
      <c r="PBM890" s="124"/>
      <c r="PBN890" s="124"/>
      <c r="PBO890" s="124"/>
      <c r="PBP890" s="124"/>
      <c r="PBQ890" s="124"/>
      <c r="PBR890" s="124"/>
      <c r="PBS890" s="124"/>
      <c r="PBT890" s="124"/>
      <c r="PBU890" s="124"/>
      <c r="PBV890" s="124"/>
      <c r="PBW890" s="124"/>
      <c r="PBX890" s="124"/>
      <c r="PBY890" s="124"/>
      <c r="PBZ890" s="124"/>
      <c r="PCA890" s="124"/>
      <c r="PCB890" s="124"/>
      <c r="PCC890" s="124"/>
      <c r="PCD890" s="124"/>
      <c r="PCE890" s="124"/>
      <c r="PCF890" s="124"/>
      <c r="PCG890" s="124"/>
      <c r="PCH890" s="124"/>
      <c r="PCI890" s="124"/>
      <c r="PCJ890" s="124"/>
      <c r="PCK890" s="124"/>
      <c r="PCL890" s="124"/>
      <c r="PCM890" s="124"/>
      <c r="PCN890" s="124"/>
      <c r="PCO890" s="124"/>
      <c r="PCP890" s="124"/>
      <c r="PCQ890" s="124"/>
      <c r="PCR890" s="124"/>
      <c r="PCS890" s="124"/>
      <c r="PCT890" s="124"/>
      <c r="PCU890" s="124"/>
      <c r="PCV890" s="124"/>
      <c r="PCW890" s="124"/>
      <c r="PCX890" s="124"/>
      <c r="PCY890" s="124"/>
      <c r="PCZ890" s="124"/>
      <c r="PDA890" s="124"/>
      <c r="PDB890" s="124"/>
      <c r="PDC890" s="124"/>
      <c r="PDD890" s="124"/>
      <c r="PDE890" s="124"/>
      <c r="PDF890" s="124"/>
      <c r="PDG890" s="124"/>
      <c r="PDH890" s="124"/>
      <c r="PDI890" s="124"/>
      <c r="PDJ890" s="124"/>
      <c r="PDK890" s="124"/>
      <c r="PDL890" s="124"/>
      <c r="PDM890" s="124"/>
      <c r="PDN890" s="124"/>
      <c r="PDO890" s="124"/>
      <c r="PDP890" s="124"/>
      <c r="PDQ890" s="124"/>
      <c r="PDR890" s="124"/>
      <c r="PDS890" s="124"/>
      <c r="PDT890" s="124"/>
      <c r="PDU890" s="124"/>
      <c r="PDV890" s="124"/>
      <c r="PDW890" s="124"/>
      <c r="PDX890" s="124"/>
      <c r="PDY890" s="124"/>
      <c r="PDZ890" s="124"/>
      <c r="PEA890" s="124"/>
      <c r="PEB890" s="124"/>
      <c r="PEC890" s="124"/>
      <c r="PED890" s="124"/>
      <c r="PEE890" s="124"/>
      <c r="PEF890" s="124"/>
      <c r="PEG890" s="124"/>
      <c r="PEH890" s="124"/>
      <c r="PEI890" s="124"/>
      <c r="PEJ890" s="124"/>
      <c r="PEK890" s="124"/>
      <c r="PEL890" s="124"/>
      <c r="PEM890" s="124"/>
      <c r="PEN890" s="124"/>
      <c r="PEO890" s="124"/>
      <c r="PEP890" s="124"/>
      <c r="PEQ890" s="124"/>
      <c r="PER890" s="124"/>
      <c r="PES890" s="124"/>
      <c r="PET890" s="124"/>
      <c r="PEU890" s="124"/>
      <c r="PEV890" s="124"/>
      <c r="PEW890" s="124"/>
      <c r="PEX890" s="124"/>
      <c r="PEY890" s="124"/>
      <c r="PEZ890" s="124"/>
      <c r="PFA890" s="124"/>
      <c r="PFB890" s="124"/>
      <c r="PFC890" s="124"/>
      <c r="PFD890" s="124"/>
      <c r="PFE890" s="124"/>
      <c r="PFF890" s="124"/>
      <c r="PFG890" s="124"/>
      <c r="PFH890" s="124"/>
      <c r="PFI890" s="124"/>
      <c r="PFJ890" s="124"/>
      <c r="PFK890" s="124"/>
      <c r="PFL890" s="124"/>
      <c r="PFM890" s="124"/>
      <c r="PFN890" s="124"/>
      <c r="PFO890" s="124"/>
      <c r="PFP890" s="124"/>
      <c r="PFQ890" s="124"/>
      <c r="PFR890" s="124"/>
      <c r="PFS890" s="124"/>
      <c r="PFT890" s="124"/>
      <c r="PFU890" s="124"/>
      <c r="PFV890" s="124"/>
      <c r="PFW890" s="124"/>
      <c r="PFX890" s="124"/>
      <c r="PFY890" s="124"/>
      <c r="PFZ890" s="124"/>
      <c r="PGA890" s="124"/>
      <c r="PGB890" s="124"/>
      <c r="PGC890" s="124"/>
      <c r="PGD890" s="124"/>
      <c r="PGE890" s="124"/>
      <c r="PGF890" s="124"/>
      <c r="PGG890" s="124"/>
      <c r="PGH890" s="124"/>
      <c r="PGI890" s="124"/>
      <c r="PGJ890" s="124"/>
      <c r="PGK890" s="124"/>
      <c r="PGL890" s="124"/>
      <c r="PGM890" s="124"/>
      <c r="PGN890" s="124"/>
      <c r="PGO890" s="124"/>
      <c r="PGP890" s="124"/>
      <c r="PGQ890" s="124"/>
      <c r="PGR890" s="124"/>
      <c r="PGS890" s="124"/>
      <c r="PGT890" s="124"/>
      <c r="PGU890" s="124"/>
      <c r="PGV890" s="124"/>
      <c r="PGW890" s="124"/>
      <c r="PGX890" s="124"/>
      <c r="PGY890" s="124"/>
      <c r="PGZ890" s="124"/>
      <c r="PHA890" s="124"/>
      <c r="PHB890" s="124"/>
      <c r="PHC890" s="124"/>
      <c r="PHD890" s="124"/>
      <c r="PHE890" s="124"/>
      <c r="PHF890" s="124"/>
      <c r="PHG890" s="124"/>
      <c r="PHH890" s="124"/>
      <c r="PHI890" s="124"/>
      <c r="PHJ890" s="124"/>
      <c r="PHK890" s="124"/>
      <c r="PHL890" s="124"/>
      <c r="PHM890" s="124"/>
      <c r="PHN890" s="124"/>
      <c r="PHO890" s="124"/>
      <c r="PHP890" s="124"/>
      <c r="PHQ890" s="124"/>
      <c r="PHR890" s="124"/>
      <c r="PHS890" s="124"/>
      <c r="PHT890" s="124"/>
      <c r="PHU890" s="124"/>
      <c r="PHV890" s="124"/>
      <c r="PHW890" s="124"/>
      <c r="PHX890" s="124"/>
      <c r="PHY890" s="124"/>
      <c r="PHZ890" s="124"/>
      <c r="PIA890" s="124"/>
      <c r="PIB890" s="124"/>
      <c r="PIC890" s="124"/>
      <c r="PID890" s="124"/>
      <c r="PIE890" s="124"/>
      <c r="PIF890" s="124"/>
      <c r="PIG890" s="124"/>
      <c r="PIH890" s="124"/>
      <c r="PII890" s="124"/>
      <c r="PIJ890" s="124"/>
      <c r="PIK890" s="124"/>
      <c r="PIL890" s="124"/>
      <c r="PIM890" s="124"/>
      <c r="PIN890" s="124"/>
      <c r="PIO890" s="124"/>
      <c r="PIP890" s="124"/>
      <c r="PIQ890" s="124"/>
      <c r="PIR890" s="124"/>
      <c r="PIS890" s="124"/>
      <c r="PIT890" s="124"/>
      <c r="PIU890" s="124"/>
      <c r="PIV890" s="124"/>
      <c r="PIW890" s="124"/>
      <c r="PIX890" s="124"/>
      <c r="PIY890" s="124"/>
      <c r="PIZ890" s="124"/>
      <c r="PJA890" s="124"/>
      <c r="PJB890" s="124"/>
      <c r="PJC890" s="124"/>
      <c r="PJD890" s="124"/>
      <c r="PJE890" s="124"/>
      <c r="PJF890" s="124"/>
      <c r="PJG890" s="124"/>
      <c r="PJH890" s="124"/>
      <c r="PJI890" s="124"/>
      <c r="PJJ890" s="124"/>
      <c r="PJK890" s="124"/>
      <c r="PJL890" s="124"/>
      <c r="PJM890" s="124"/>
      <c r="PJN890" s="124"/>
      <c r="PJO890" s="124"/>
      <c r="PJP890" s="124"/>
      <c r="PJQ890" s="124"/>
      <c r="PJR890" s="124"/>
      <c r="PJS890" s="124"/>
      <c r="PJT890" s="124"/>
      <c r="PJU890" s="124"/>
      <c r="PJV890" s="124"/>
      <c r="PJW890" s="124"/>
      <c r="PJX890" s="124"/>
      <c r="PJY890" s="124"/>
      <c r="PJZ890" s="124"/>
      <c r="PKA890" s="124"/>
      <c r="PKB890" s="124"/>
      <c r="PKC890" s="124"/>
      <c r="PKD890" s="124"/>
      <c r="PKE890" s="124"/>
      <c r="PKF890" s="124"/>
      <c r="PKG890" s="124"/>
      <c r="PKH890" s="124"/>
      <c r="PKI890" s="124"/>
      <c r="PKJ890" s="124"/>
      <c r="PKK890" s="124"/>
      <c r="PKL890" s="124"/>
      <c r="PKM890" s="124"/>
      <c r="PKN890" s="124"/>
      <c r="PKO890" s="124"/>
      <c r="PKP890" s="124"/>
      <c r="PKQ890" s="124"/>
      <c r="PKR890" s="124"/>
      <c r="PKS890" s="124"/>
      <c r="PKT890" s="124"/>
      <c r="PKU890" s="124"/>
      <c r="PKV890" s="124"/>
      <c r="PKW890" s="124"/>
      <c r="PKX890" s="124"/>
      <c r="PKY890" s="124"/>
      <c r="PKZ890" s="124"/>
      <c r="PLA890" s="124"/>
      <c r="PLB890" s="124"/>
      <c r="PLC890" s="124"/>
      <c r="PLD890" s="124"/>
      <c r="PLE890" s="124"/>
      <c r="PLF890" s="124"/>
      <c r="PLG890" s="124"/>
      <c r="PLH890" s="124"/>
      <c r="PLI890" s="124"/>
      <c r="PLJ890" s="124"/>
      <c r="PLK890" s="124"/>
      <c r="PLL890" s="124"/>
      <c r="PLM890" s="124"/>
      <c r="PLN890" s="124"/>
      <c r="PLO890" s="124"/>
      <c r="PLP890" s="124"/>
      <c r="PLQ890" s="124"/>
      <c r="PLR890" s="124"/>
      <c r="PLS890" s="124"/>
      <c r="PLT890" s="124"/>
      <c r="PLU890" s="124"/>
      <c r="PLV890" s="124"/>
      <c r="PLW890" s="124"/>
      <c r="PLX890" s="124"/>
      <c r="PLY890" s="124"/>
      <c r="PLZ890" s="124"/>
      <c r="PMA890" s="124"/>
      <c r="PMB890" s="124"/>
      <c r="PMC890" s="124"/>
      <c r="PMD890" s="124"/>
      <c r="PME890" s="124"/>
      <c r="PMF890" s="124"/>
      <c r="PMG890" s="124"/>
      <c r="PMH890" s="124"/>
      <c r="PMI890" s="124"/>
      <c r="PMJ890" s="124"/>
      <c r="PMK890" s="124"/>
      <c r="PML890" s="124"/>
      <c r="PMM890" s="124"/>
      <c r="PMN890" s="124"/>
      <c r="PMO890" s="124"/>
      <c r="PMP890" s="124"/>
      <c r="PMQ890" s="124"/>
      <c r="PMR890" s="124"/>
      <c r="PMS890" s="124"/>
      <c r="PMT890" s="124"/>
      <c r="PMU890" s="124"/>
      <c r="PMV890" s="124"/>
      <c r="PMW890" s="124"/>
      <c r="PMX890" s="124"/>
      <c r="PMY890" s="124"/>
      <c r="PMZ890" s="124"/>
      <c r="PNA890" s="124"/>
      <c r="PNB890" s="124"/>
      <c r="PNC890" s="124"/>
      <c r="PND890" s="124"/>
      <c r="PNE890" s="124"/>
      <c r="PNF890" s="124"/>
      <c r="PNG890" s="124"/>
      <c r="PNH890" s="124"/>
      <c r="PNI890" s="124"/>
      <c r="PNJ890" s="124"/>
      <c r="PNK890" s="124"/>
      <c r="PNL890" s="124"/>
      <c r="PNM890" s="124"/>
      <c r="PNN890" s="124"/>
      <c r="PNO890" s="124"/>
      <c r="PNP890" s="124"/>
      <c r="PNQ890" s="124"/>
      <c r="PNR890" s="124"/>
      <c r="PNS890" s="124"/>
      <c r="PNT890" s="124"/>
      <c r="PNU890" s="124"/>
      <c r="PNV890" s="124"/>
      <c r="PNW890" s="124"/>
      <c r="PNX890" s="124"/>
      <c r="PNY890" s="124"/>
      <c r="PNZ890" s="124"/>
      <c r="POA890" s="124"/>
      <c r="POB890" s="124"/>
      <c r="POC890" s="124"/>
      <c r="POD890" s="124"/>
      <c r="POE890" s="124"/>
      <c r="POF890" s="124"/>
      <c r="POG890" s="124"/>
      <c r="POH890" s="124"/>
      <c r="POI890" s="124"/>
      <c r="POJ890" s="124"/>
      <c r="POK890" s="124"/>
      <c r="POL890" s="124"/>
      <c r="POM890" s="124"/>
      <c r="PON890" s="124"/>
      <c r="POO890" s="124"/>
      <c r="POP890" s="124"/>
      <c r="POQ890" s="124"/>
      <c r="POR890" s="124"/>
      <c r="POS890" s="124"/>
      <c r="POT890" s="124"/>
      <c r="POU890" s="124"/>
      <c r="POV890" s="124"/>
      <c r="POW890" s="124"/>
      <c r="POX890" s="124"/>
      <c r="POY890" s="124"/>
      <c r="POZ890" s="124"/>
      <c r="PPA890" s="124"/>
      <c r="PPB890" s="124"/>
      <c r="PPC890" s="124"/>
      <c r="PPD890" s="124"/>
      <c r="PPE890" s="124"/>
      <c r="PPF890" s="124"/>
      <c r="PPG890" s="124"/>
      <c r="PPH890" s="124"/>
      <c r="PPI890" s="124"/>
      <c r="PPJ890" s="124"/>
      <c r="PPK890" s="124"/>
      <c r="PPL890" s="124"/>
      <c r="PPM890" s="124"/>
      <c r="PPN890" s="124"/>
      <c r="PPO890" s="124"/>
      <c r="PPP890" s="124"/>
      <c r="PPQ890" s="124"/>
      <c r="PPR890" s="124"/>
      <c r="PPS890" s="124"/>
      <c r="PPT890" s="124"/>
      <c r="PPU890" s="124"/>
      <c r="PPV890" s="124"/>
      <c r="PPW890" s="124"/>
      <c r="PPX890" s="124"/>
      <c r="PPY890" s="124"/>
      <c r="PPZ890" s="124"/>
      <c r="PQA890" s="124"/>
      <c r="PQB890" s="124"/>
      <c r="PQC890" s="124"/>
      <c r="PQD890" s="124"/>
      <c r="PQE890" s="124"/>
      <c r="PQF890" s="124"/>
      <c r="PQG890" s="124"/>
      <c r="PQH890" s="124"/>
      <c r="PQI890" s="124"/>
      <c r="PQJ890" s="124"/>
      <c r="PQK890" s="124"/>
      <c r="PQL890" s="124"/>
      <c r="PQM890" s="124"/>
      <c r="PQN890" s="124"/>
      <c r="PQO890" s="124"/>
      <c r="PQP890" s="124"/>
      <c r="PQQ890" s="124"/>
      <c r="PQR890" s="124"/>
      <c r="PQS890" s="124"/>
      <c r="PQT890" s="124"/>
      <c r="PQU890" s="124"/>
      <c r="PQV890" s="124"/>
      <c r="PQW890" s="124"/>
      <c r="PQX890" s="124"/>
      <c r="PQY890" s="124"/>
      <c r="PQZ890" s="124"/>
      <c r="PRA890" s="124"/>
      <c r="PRB890" s="124"/>
      <c r="PRC890" s="124"/>
      <c r="PRD890" s="124"/>
      <c r="PRE890" s="124"/>
      <c r="PRF890" s="124"/>
      <c r="PRG890" s="124"/>
      <c r="PRH890" s="124"/>
      <c r="PRI890" s="124"/>
      <c r="PRJ890" s="124"/>
      <c r="PRK890" s="124"/>
      <c r="PRL890" s="124"/>
      <c r="PRM890" s="124"/>
      <c r="PRN890" s="124"/>
      <c r="PRO890" s="124"/>
      <c r="PRP890" s="124"/>
      <c r="PRQ890" s="124"/>
      <c r="PRR890" s="124"/>
      <c r="PRS890" s="124"/>
      <c r="PRT890" s="124"/>
      <c r="PRU890" s="124"/>
      <c r="PRV890" s="124"/>
      <c r="PRW890" s="124"/>
      <c r="PRX890" s="124"/>
      <c r="PRY890" s="124"/>
      <c r="PRZ890" s="124"/>
      <c r="PSA890" s="124"/>
      <c r="PSB890" s="124"/>
      <c r="PSC890" s="124"/>
      <c r="PSD890" s="124"/>
      <c r="PSE890" s="124"/>
      <c r="PSF890" s="124"/>
      <c r="PSG890" s="124"/>
      <c r="PSH890" s="124"/>
      <c r="PSI890" s="124"/>
      <c r="PSJ890" s="124"/>
      <c r="PSK890" s="124"/>
      <c r="PSL890" s="124"/>
      <c r="PSM890" s="124"/>
      <c r="PSN890" s="124"/>
      <c r="PSO890" s="124"/>
      <c r="PSP890" s="124"/>
      <c r="PSQ890" s="124"/>
      <c r="PSR890" s="124"/>
      <c r="PSS890" s="124"/>
      <c r="PST890" s="124"/>
      <c r="PSU890" s="124"/>
      <c r="PSV890" s="124"/>
      <c r="PSW890" s="124"/>
      <c r="PSX890" s="124"/>
      <c r="PSY890" s="124"/>
      <c r="PSZ890" s="124"/>
      <c r="PTA890" s="124"/>
      <c r="PTB890" s="124"/>
      <c r="PTC890" s="124"/>
      <c r="PTD890" s="124"/>
      <c r="PTE890" s="124"/>
      <c r="PTF890" s="124"/>
      <c r="PTG890" s="124"/>
      <c r="PTH890" s="124"/>
      <c r="PTI890" s="124"/>
      <c r="PTJ890" s="124"/>
      <c r="PTK890" s="124"/>
      <c r="PTL890" s="124"/>
      <c r="PTM890" s="124"/>
      <c r="PTN890" s="124"/>
      <c r="PTO890" s="124"/>
      <c r="PTP890" s="124"/>
      <c r="PTQ890" s="124"/>
      <c r="PTR890" s="124"/>
      <c r="PTS890" s="124"/>
      <c r="PTT890" s="124"/>
      <c r="PTU890" s="124"/>
      <c r="PTV890" s="124"/>
      <c r="PTW890" s="124"/>
      <c r="PTX890" s="124"/>
      <c r="PTY890" s="124"/>
      <c r="PTZ890" s="124"/>
      <c r="PUA890" s="124"/>
      <c r="PUB890" s="124"/>
      <c r="PUC890" s="124"/>
      <c r="PUD890" s="124"/>
      <c r="PUE890" s="124"/>
      <c r="PUF890" s="124"/>
      <c r="PUG890" s="124"/>
      <c r="PUH890" s="124"/>
      <c r="PUI890" s="124"/>
      <c r="PUJ890" s="124"/>
      <c r="PUK890" s="124"/>
      <c r="PUL890" s="124"/>
      <c r="PUM890" s="124"/>
      <c r="PUN890" s="124"/>
      <c r="PUO890" s="124"/>
      <c r="PUP890" s="124"/>
      <c r="PUQ890" s="124"/>
      <c r="PUR890" s="124"/>
      <c r="PUS890" s="124"/>
      <c r="PUT890" s="124"/>
      <c r="PUU890" s="124"/>
      <c r="PUV890" s="124"/>
      <c r="PUW890" s="124"/>
      <c r="PUX890" s="124"/>
      <c r="PUY890" s="124"/>
      <c r="PUZ890" s="124"/>
      <c r="PVA890" s="124"/>
      <c r="PVB890" s="124"/>
      <c r="PVC890" s="124"/>
      <c r="PVD890" s="124"/>
      <c r="PVE890" s="124"/>
      <c r="PVF890" s="124"/>
      <c r="PVG890" s="124"/>
      <c r="PVH890" s="124"/>
      <c r="PVI890" s="124"/>
      <c r="PVJ890" s="124"/>
      <c r="PVK890" s="124"/>
      <c r="PVL890" s="124"/>
      <c r="PVM890" s="124"/>
      <c r="PVN890" s="124"/>
      <c r="PVO890" s="124"/>
      <c r="PVP890" s="124"/>
      <c r="PVQ890" s="124"/>
      <c r="PVR890" s="124"/>
      <c r="PVS890" s="124"/>
      <c r="PVT890" s="124"/>
      <c r="PVU890" s="124"/>
      <c r="PVV890" s="124"/>
      <c r="PVW890" s="124"/>
      <c r="PVX890" s="124"/>
      <c r="PVY890" s="124"/>
      <c r="PVZ890" s="124"/>
      <c r="PWA890" s="124"/>
      <c r="PWB890" s="124"/>
      <c r="PWC890" s="124"/>
      <c r="PWD890" s="124"/>
      <c r="PWE890" s="124"/>
      <c r="PWF890" s="124"/>
      <c r="PWG890" s="124"/>
      <c r="PWH890" s="124"/>
      <c r="PWI890" s="124"/>
      <c r="PWJ890" s="124"/>
      <c r="PWK890" s="124"/>
      <c r="PWL890" s="124"/>
      <c r="PWM890" s="124"/>
      <c r="PWN890" s="124"/>
      <c r="PWO890" s="124"/>
      <c r="PWP890" s="124"/>
      <c r="PWQ890" s="124"/>
      <c r="PWR890" s="124"/>
      <c r="PWS890" s="124"/>
      <c r="PWT890" s="124"/>
      <c r="PWU890" s="124"/>
      <c r="PWV890" s="124"/>
      <c r="PWW890" s="124"/>
      <c r="PWX890" s="124"/>
      <c r="PWY890" s="124"/>
      <c r="PWZ890" s="124"/>
      <c r="PXA890" s="124"/>
      <c r="PXB890" s="124"/>
      <c r="PXC890" s="124"/>
      <c r="PXD890" s="124"/>
      <c r="PXE890" s="124"/>
      <c r="PXF890" s="124"/>
      <c r="PXG890" s="124"/>
      <c r="PXH890" s="124"/>
      <c r="PXI890" s="124"/>
      <c r="PXJ890" s="124"/>
      <c r="PXK890" s="124"/>
      <c r="PXL890" s="124"/>
      <c r="PXM890" s="124"/>
      <c r="PXN890" s="124"/>
      <c r="PXO890" s="124"/>
      <c r="PXP890" s="124"/>
      <c r="PXQ890" s="124"/>
      <c r="PXR890" s="124"/>
      <c r="PXS890" s="124"/>
      <c r="PXT890" s="124"/>
      <c r="PXU890" s="124"/>
      <c r="PXV890" s="124"/>
      <c r="PXW890" s="124"/>
      <c r="PXX890" s="124"/>
      <c r="PXY890" s="124"/>
      <c r="PXZ890" s="124"/>
      <c r="PYA890" s="124"/>
      <c r="PYB890" s="124"/>
      <c r="PYC890" s="124"/>
      <c r="PYD890" s="124"/>
      <c r="PYE890" s="124"/>
      <c r="PYF890" s="124"/>
      <c r="PYG890" s="124"/>
      <c r="PYH890" s="124"/>
      <c r="PYI890" s="124"/>
      <c r="PYJ890" s="124"/>
      <c r="PYK890" s="124"/>
      <c r="PYL890" s="124"/>
      <c r="PYM890" s="124"/>
      <c r="PYN890" s="124"/>
      <c r="PYO890" s="124"/>
      <c r="PYP890" s="124"/>
      <c r="PYQ890" s="124"/>
      <c r="PYR890" s="124"/>
      <c r="PYS890" s="124"/>
      <c r="PYT890" s="124"/>
      <c r="PYU890" s="124"/>
      <c r="PYV890" s="124"/>
      <c r="PYW890" s="124"/>
      <c r="PYX890" s="124"/>
      <c r="PYY890" s="124"/>
      <c r="PYZ890" s="124"/>
      <c r="PZA890" s="124"/>
      <c r="PZB890" s="124"/>
      <c r="PZC890" s="124"/>
      <c r="PZD890" s="124"/>
      <c r="PZE890" s="124"/>
      <c r="PZF890" s="124"/>
      <c r="PZG890" s="124"/>
      <c r="PZH890" s="124"/>
      <c r="PZI890" s="124"/>
      <c r="PZJ890" s="124"/>
      <c r="PZK890" s="124"/>
      <c r="PZL890" s="124"/>
      <c r="PZM890" s="124"/>
      <c r="PZN890" s="124"/>
      <c r="PZO890" s="124"/>
      <c r="PZP890" s="124"/>
      <c r="PZQ890" s="124"/>
      <c r="PZR890" s="124"/>
      <c r="PZS890" s="124"/>
      <c r="PZT890" s="124"/>
      <c r="PZU890" s="124"/>
      <c r="PZV890" s="124"/>
      <c r="PZW890" s="124"/>
      <c r="PZX890" s="124"/>
      <c r="PZY890" s="124"/>
      <c r="PZZ890" s="124"/>
      <c r="QAA890" s="124"/>
      <c r="QAB890" s="124"/>
      <c r="QAC890" s="124"/>
      <c r="QAD890" s="124"/>
      <c r="QAE890" s="124"/>
      <c r="QAF890" s="124"/>
      <c r="QAG890" s="124"/>
      <c r="QAH890" s="124"/>
      <c r="QAI890" s="124"/>
      <c r="QAJ890" s="124"/>
      <c r="QAK890" s="124"/>
      <c r="QAL890" s="124"/>
      <c r="QAM890" s="124"/>
      <c r="QAN890" s="124"/>
      <c r="QAO890" s="124"/>
      <c r="QAP890" s="124"/>
      <c r="QAQ890" s="124"/>
      <c r="QAR890" s="124"/>
      <c r="QAS890" s="124"/>
      <c r="QAT890" s="124"/>
      <c r="QAU890" s="124"/>
      <c r="QAV890" s="124"/>
      <c r="QAW890" s="124"/>
      <c r="QAX890" s="124"/>
      <c r="QAY890" s="124"/>
      <c r="QAZ890" s="124"/>
      <c r="QBA890" s="124"/>
      <c r="QBB890" s="124"/>
      <c r="QBC890" s="124"/>
      <c r="QBD890" s="124"/>
      <c r="QBE890" s="124"/>
      <c r="QBF890" s="124"/>
      <c r="QBG890" s="124"/>
      <c r="QBH890" s="124"/>
      <c r="QBI890" s="124"/>
      <c r="QBJ890" s="124"/>
      <c r="QBK890" s="124"/>
      <c r="QBL890" s="124"/>
      <c r="QBM890" s="124"/>
      <c r="QBN890" s="124"/>
      <c r="QBO890" s="124"/>
      <c r="QBP890" s="124"/>
      <c r="QBQ890" s="124"/>
      <c r="QBR890" s="124"/>
      <c r="QBS890" s="124"/>
      <c r="QBT890" s="124"/>
      <c r="QBU890" s="124"/>
      <c r="QBV890" s="124"/>
      <c r="QBW890" s="124"/>
      <c r="QBX890" s="124"/>
      <c r="QBY890" s="124"/>
      <c r="QBZ890" s="124"/>
      <c r="QCA890" s="124"/>
      <c r="QCB890" s="124"/>
      <c r="QCC890" s="124"/>
      <c r="QCD890" s="124"/>
      <c r="QCE890" s="124"/>
      <c r="QCF890" s="124"/>
      <c r="QCG890" s="124"/>
      <c r="QCH890" s="124"/>
      <c r="QCI890" s="124"/>
      <c r="QCJ890" s="124"/>
      <c r="QCK890" s="124"/>
      <c r="QCL890" s="124"/>
      <c r="QCM890" s="124"/>
      <c r="QCN890" s="124"/>
      <c r="QCO890" s="124"/>
      <c r="QCP890" s="124"/>
      <c r="QCQ890" s="124"/>
      <c r="QCR890" s="124"/>
      <c r="QCS890" s="124"/>
      <c r="QCT890" s="124"/>
      <c r="QCU890" s="124"/>
      <c r="QCV890" s="124"/>
      <c r="QCW890" s="124"/>
      <c r="QCX890" s="124"/>
      <c r="QCY890" s="124"/>
      <c r="QCZ890" s="124"/>
      <c r="QDA890" s="124"/>
      <c r="QDB890" s="124"/>
      <c r="QDC890" s="124"/>
      <c r="QDD890" s="124"/>
      <c r="QDE890" s="124"/>
      <c r="QDF890" s="124"/>
      <c r="QDG890" s="124"/>
      <c r="QDH890" s="124"/>
      <c r="QDI890" s="124"/>
      <c r="QDJ890" s="124"/>
      <c r="QDK890" s="124"/>
      <c r="QDL890" s="124"/>
      <c r="QDM890" s="124"/>
      <c r="QDN890" s="124"/>
      <c r="QDO890" s="124"/>
      <c r="QDP890" s="124"/>
      <c r="QDQ890" s="124"/>
      <c r="QDR890" s="124"/>
      <c r="QDS890" s="124"/>
      <c r="QDT890" s="124"/>
      <c r="QDU890" s="124"/>
      <c r="QDV890" s="124"/>
      <c r="QDW890" s="124"/>
      <c r="QDX890" s="124"/>
      <c r="QDY890" s="124"/>
      <c r="QDZ890" s="124"/>
      <c r="QEA890" s="124"/>
      <c r="QEB890" s="124"/>
      <c r="QEC890" s="124"/>
      <c r="QED890" s="124"/>
      <c r="QEE890" s="124"/>
      <c r="QEF890" s="124"/>
      <c r="QEG890" s="124"/>
      <c r="QEH890" s="124"/>
      <c r="QEI890" s="124"/>
      <c r="QEJ890" s="124"/>
      <c r="QEK890" s="124"/>
      <c r="QEL890" s="124"/>
      <c r="QEM890" s="124"/>
      <c r="QEN890" s="124"/>
      <c r="QEO890" s="124"/>
      <c r="QEP890" s="124"/>
      <c r="QEQ890" s="124"/>
      <c r="QER890" s="124"/>
      <c r="QES890" s="124"/>
      <c r="QET890" s="124"/>
      <c r="QEU890" s="124"/>
      <c r="QEV890" s="124"/>
      <c r="QEW890" s="124"/>
      <c r="QEX890" s="124"/>
      <c r="QEY890" s="124"/>
      <c r="QEZ890" s="124"/>
      <c r="QFA890" s="124"/>
      <c r="QFB890" s="124"/>
      <c r="QFC890" s="124"/>
      <c r="QFD890" s="124"/>
      <c r="QFE890" s="124"/>
      <c r="QFF890" s="124"/>
      <c r="QFG890" s="124"/>
      <c r="QFH890" s="124"/>
      <c r="QFI890" s="124"/>
      <c r="QFJ890" s="124"/>
      <c r="QFK890" s="124"/>
      <c r="QFL890" s="124"/>
      <c r="QFM890" s="124"/>
      <c r="QFN890" s="124"/>
      <c r="QFO890" s="124"/>
      <c r="QFP890" s="124"/>
      <c r="QFQ890" s="124"/>
      <c r="QFR890" s="124"/>
      <c r="QFS890" s="124"/>
      <c r="QFT890" s="124"/>
      <c r="QFU890" s="124"/>
      <c r="QFV890" s="124"/>
      <c r="QFW890" s="124"/>
      <c r="QFX890" s="124"/>
      <c r="QFY890" s="124"/>
      <c r="QFZ890" s="124"/>
      <c r="QGA890" s="124"/>
      <c r="QGB890" s="124"/>
      <c r="QGC890" s="124"/>
      <c r="QGD890" s="124"/>
      <c r="QGE890" s="124"/>
      <c r="QGF890" s="124"/>
      <c r="QGG890" s="124"/>
      <c r="QGH890" s="124"/>
      <c r="QGI890" s="124"/>
      <c r="QGJ890" s="124"/>
      <c r="QGK890" s="124"/>
      <c r="QGL890" s="124"/>
      <c r="QGM890" s="124"/>
      <c r="QGN890" s="124"/>
      <c r="QGO890" s="124"/>
      <c r="QGP890" s="124"/>
      <c r="QGQ890" s="124"/>
      <c r="QGR890" s="124"/>
      <c r="QGS890" s="124"/>
      <c r="QGT890" s="124"/>
      <c r="QGU890" s="124"/>
      <c r="QGV890" s="124"/>
      <c r="QGW890" s="124"/>
      <c r="QGX890" s="124"/>
      <c r="QGY890" s="124"/>
      <c r="QGZ890" s="124"/>
      <c r="QHA890" s="124"/>
      <c r="QHB890" s="124"/>
      <c r="QHC890" s="124"/>
      <c r="QHD890" s="124"/>
      <c r="QHE890" s="124"/>
      <c r="QHF890" s="124"/>
      <c r="QHG890" s="124"/>
      <c r="QHH890" s="124"/>
      <c r="QHI890" s="124"/>
      <c r="QHJ890" s="124"/>
      <c r="QHK890" s="124"/>
      <c r="QHL890" s="124"/>
      <c r="QHM890" s="124"/>
      <c r="QHN890" s="124"/>
      <c r="QHO890" s="124"/>
      <c r="QHP890" s="124"/>
      <c r="QHQ890" s="124"/>
      <c r="QHR890" s="124"/>
      <c r="QHS890" s="124"/>
      <c r="QHT890" s="124"/>
      <c r="QHU890" s="124"/>
      <c r="QHV890" s="124"/>
      <c r="QHW890" s="124"/>
      <c r="QHX890" s="124"/>
      <c r="QHY890" s="124"/>
      <c r="QHZ890" s="124"/>
      <c r="QIA890" s="124"/>
      <c r="QIB890" s="124"/>
      <c r="QIC890" s="124"/>
      <c r="QID890" s="124"/>
      <c r="QIE890" s="124"/>
      <c r="QIF890" s="124"/>
      <c r="QIG890" s="124"/>
      <c r="QIH890" s="124"/>
      <c r="QII890" s="124"/>
      <c r="QIJ890" s="124"/>
      <c r="QIK890" s="124"/>
      <c r="QIL890" s="124"/>
      <c r="QIM890" s="124"/>
      <c r="QIN890" s="124"/>
      <c r="QIO890" s="124"/>
      <c r="QIP890" s="124"/>
      <c r="QIQ890" s="124"/>
      <c r="QIR890" s="124"/>
      <c r="QIS890" s="124"/>
      <c r="QIT890" s="124"/>
      <c r="QIU890" s="124"/>
      <c r="QIV890" s="124"/>
      <c r="QIW890" s="124"/>
      <c r="QIX890" s="124"/>
      <c r="QIY890" s="124"/>
      <c r="QIZ890" s="124"/>
      <c r="QJA890" s="124"/>
      <c r="QJB890" s="124"/>
      <c r="QJC890" s="124"/>
      <c r="QJD890" s="124"/>
      <c r="QJE890" s="124"/>
      <c r="QJF890" s="124"/>
      <c r="QJG890" s="124"/>
      <c r="QJH890" s="124"/>
      <c r="QJI890" s="124"/>
      <c r="QJJ890" s="124"/>
      <c r="QJK890" s="124"/>
      <c r="QJL890" s="124"/>
      <c r="QJM890" s="124"/>
      <c r="QJN890" s="124"/>
      <c r="QJO890" s="124"/>
      <c r="QJP890" s="124"/>
      <c r="QJQ890" s="124"/>
      <c r="QJR890" s="124"/>
      <c r="QJS890" s="124"/>
      <c r="QJT890" s="124"/>
      <c r="QJU890" s="124"/>
      <c r="QJV890" s="124"/>
      <c r="QJW890" s="124"/>
      <c r="QJX890" s="124"/>
      <c r="QJY890" s="124"/>
      <c r="QJZ890" s="124"/>
      <c r="QKA890" s="124"/>
      <c r="QKB890" s="124"/>
      <c r="QKC890" s="124"/>
      <c r="QKD890" s="124"/>
      <c r="QKE890" s="124"/>
      <c r="QKF890" s="124"/>
      <c r="QKG890" s="124"/>
      <c r="QKH890" s="124"/>
      <c r="QKI890" s="124"/>
      <c r="QKJ890" s="124"/>
      <c r="QKK890" s="124"/>
      <c r="QKL890" s="124"/>
      <c r="QKM890" s="124"/>
      <c r="QKN890" s="124"/>
      <c r="QKO890" s="124"/>
      <c r="QKP890" s="124"/>
      <c r="QKQ890" s="124"/>
      <c r="QKR890" s="124"/>
      <c r="QKS890" s="124"/>
      <c r="QKT890" s="124"/>
      <c r="QKU890" s="124"/>
      <c r="QKV890" s="124"/>
      <c r="QKW890" s="124"/>
      <c r="QKX890" s="124"/>
      <c r="QKY890" s="124"/>
      <c r="QKZ890" s="124"/>
      <c r="QLA890" s="124"/>
      <c r="QLB890" s="124"/>
      <c r="QLC890" s="124"/>
      <c r="QLD890" s="124"/>
      <c r="QLE890" s="124"/>
      <c r="QLF890" s="124"/>
      <c r="QLG890" s="124"/>
      <c r="QLH890" s="124"/>
      <c r="QLI890" s="124"/>
      <c r="QLJ890" s="124"/>
      <c r="QLK890" s="124"/>
      <c r="QLL890" s="124"/>
      <c r="QLM890" s="124"/>
      <c r="QLN890" s="124"/>
      <c r="QLO890" s="124"/>
      <c r="QLP890" s="124"/>
      <c r="QLQ890" s="124"/>
      <c r="QLR890" s="124"/>
      <c r="QLS890" s="124"/>
      <c r="QLT890" s="124"/>
      <c r="QLU890" s="124"/>
      <c r="QLV890" s="124"/>
      <c r="QLW890" s="124"/>
      <c r="QLX890" s="124"/>
      <c r="QLY890" s="124"/>
      <c r="QLZ890" s="124"/>
      <c r="QMA890" s="124"/>
      <c r="QMB890" s="124"/>
      <c r="QMC890" s="124"/>
      <c r="QMD890" s="124"/>
      <c r="QME890" s="124"/>
      <c r="QMF890" s="124"/>
      <c r="QMG890" s="124"/>
      <c r="QMH890" s="124"/>
      <c r="QMI890" s="124"/>
      <c r="QMJ890" s="124"/>
      <c r="QMK890" s="124"/>
      <c r="QML890" s="124"/>
      <c r="QMM890" s="124"/>
      <c r="QMN890" s="124"/>
      <c r="QMO890" s="124"/>
      <c r="QMP890" s="124"/>
      <c r="QMQ890" s="124"/>
      <c r="QMR890" s="124"/>
      <c r="QMS890" s="124"/>
      <c r="QMT890" s="124"/>
      <c r="QMU890" s="124"/>
      <c r="QMV890" s="124"/>
      <c r="QMW890" s="124"/>
      <c r="QMX890" s="124"/>
      <c r="QMY890" s="124"/>
      <c r="QMZ890" s="124"/>
      <c r="QNA890" s="124"/>
      <c r="QNB890" s="124"/>
      <c r="QNC890" s="124"/>
      <c r="QND890" s="124"/>
      <c r="QNE890" s="124"/>
      <c r="QNF890" s="124"/>
      <c r="QNG890" s="124"/>
      <c r="QNH890" s="124"/>
      <c r="QNI890" s="124"/>
      <c r="QNJ890" s="124"/>
      <c r="QNK890" s="124"/>
      <c r="QNL890" s="124"/>
      <c r="QNM890" s="124"/>
      <c r="QNN890" s="124"/>
      <c r="QNO890" s="124"/>
      <c r="QNP890" s="124"/>
      <c r="QNQ890" s="124"/>
      <c r="QNR890" s="124"/>
      <c r="QNS890" s="124"/>
      <c r="QNT890" s="124"/>
      <c r="QNU890" s="124"/>
      <c r="QNV890" s="124"/>
      <c r="QNW890" s="124"/>
      <c r="QNX890" s="124"/>
      <c r="QNY890" s="124"/>
      <c r="QNZ890" s="124"/>
      <c r="QOA890" s="124"/>
      <c r="QOB890" s="124"/>
      <c r="QOC890" s="124"/>
      <c r="QOD890" s="124"/>
      <c r="QOE890" s="124"/>
      <c r="QOF890" s="124"/>
      <c r="QOG890" s="124"/>
      <c r="QOH890" s="124"/>
      <c r="QOI890" s="124"/>
      <c r="QOJ890" s="124"/>
      <c r="QOK890" s="124"/>
      <c r="QOL890" s="124"/>
      <c r="QOM890" s="124"/>
      <c r="QON890" s="124"/>
      <c r="QOO890" s="124"/>
      <c r="QOP890" s="124"/>
      <c r="QOQ890" s="124"/>
      <c r="QOR890" s="124"/>
      <c r="QOS890" s="124"/>
      <c r="QOT890" s="124"/>
      <c r="QOU890" s="124"/>
      <c r="QOV890" s="124"/>
      <c r="QOW890" s="124"/>
      <c r="QOX890" s="124"/>
      <c r="QOY890" s="124"/>
      <c r="QOZ890" s="124"/>
      <c r="QPA890" s="124"/>
      <c r="QPB890" s="124"/>
      <c r="QPC890" s="124"/>
      <c r="QPD890" s="124"/>
      <c r="QPE890" s="124"/>
      <c r="QPF890" s="124"/>
      <c r="QPG890" s="124"/>
      <c r="QPH890" s="124"/>
      <c r="QPI890" s="124"/>
      <c r="QPJ890" s="124"/>
      <c r="QPK890" s="124"/>
      <c r="QPL890" s="124"/>
      <c r="QPM890" s="124"/>
      <c r="QPN890" s="124"/>
      <c r="QPO890" s="124"/>
      <c r="QPP890" s="124"/>
      <c r="QPQ890" s="124"/>
      <c r="QPR890" s="124"/>
      <c r="QPS890" s="124"/>
      <c r="QPT890" s="124"/>
      <c r="QPU890" s="124"/>
      <c r="QPV890" s="124"/>
      <c r="QPW890" s="124"/>
      <c r="QPX890" s="124"/>
      <c r="QPY890" s="124"/>
      <c r="QPZ890" s="124"/>
      <c r="QQA890" s="124"/>
      <c r="QQB890" s="124"/>
      <c r="QQC890" s="124"/>
      <c r="QQD890" s="124"/>
      <c r="QQE890" s="124"/>
      <c r="QQF890" s="124"/>
      <c r="QQG890" s="124"/>
      <c r="QQH890" s="124"/>
      <c r="QQI890" s="124"/>
      <c r="QQJ890" s="124"/>
      <c r="QQK890" s="124"/>
      <c r="QQL890" s="124"/>
      <c r="QQM890" s="124"/>
      <c r="QQN890" s="124"/>
      <c r="QQO890" s="124"/>
      <c r="QQP890" s="124"/>
      <c r="QQQ890" s="124"/>
      <c r="QQR890" s="124"/>
      <c r="QQS890" s="124"/>
      <c r="QQT890" s="124"/>
      <c r="QQU890" s="124"/>
      <c r="QQV890" s="124"/>
      <c r="QQW890" s="124"/>
      <c r="QQX890" s="124"/>
      <c r="QQY890" s="124"/>
      <c r="QQZ890" s="124"/>
      <c r="QRA890" s="124"/>
      <c r="QRB890" s="124"/>
      <c r="QRC890" s="124"/>
      <c r="QRD890" s="124"/>
      <c r="QRE890" s="124"/>
      <c r="QRF890" s="124"/>
      <c r="QRG890" s="124"/>
      <c r="QRH890" s="124"/>
      <c r="QRI890" s="124"/>
      <c r="QRJ890" s="124"/>
      <c r="QRK890" s="124"/>
      <c r="QRL890" s="124"/>
      <c r="QRM890" s="124"/>
      <c r="QRN890" s="124"/>
      <c r="QRO890" s="124"/>
      <c r="QRP890" s="124"/>
      <c r="QRQ890" s="124"/>
      <c r="QRR890" s="124"/>
      <c r="QRS890" s="124"/>
      <c r="QRT890" s="124"/>
      <c r="QRU890" s="124"/>
      <c r="QRV890" s="124"/>
      <c r="QRW890" s="124"/>
      <c r="QRX890" s="124"/>
      <c r="QRY890" s="124"/>
      <c r="QRZ890" s="124"/>
      <c r="QSA890" s="124"/>
      <c r="QSB890" s="124"/>
      <c r="QSC890" s="124"/>
      <c r="QSD890" s="124"/>
      <c r="QSE890" s="124"/>
      <c r="QSF890" s="124"/>
      <c r="QSG890" s="124"/>
      <c r="QSH890" s="124"/>
      <c r="QSI890" s="124"/>
      <c r="QSJ890" s="124"/>
      <c r="QSK890" s="124"/>
      <c r="QSL890" s="124"/>
      <c r="QSM890" s="124"/>
      <c r="QSN890" s="124"/>
      <c r="QSO890" s="124"/>
      <c r="QSP890" s="124"/>
      <c r="QSQ890" s="124"/>
      <c r="QSR890" s="124"/>
      <c r="QSS890" s="124"/>
      <c r="QST890" s="124"/>
      <c r="QSU890" s="124"/>
      <c r="QSV890" s="124"/>
      <c r="QSW890" s="124"/>
      <c r="QSX890" s="124"/>
      <c r="QSY890" s="124"/>
      <c r="QSZ890" s="124"/>
      <c r="QTA890" s="124"/>
      <c r="QTB890" s="124"/>
      <c r="QTC890" s="124"/>
      <c r="QTD890" s="124"/>
      <c r="QTE890" s="124"/>
      <c r="QTF890" s="124"/>
      <c r="QTG890" s="124"/>
      <c r="QTH890" s="124"/>
      <c r="QTI890" s="124"/>
      <c r="QTJ890" s="124"/>
      <c r="QTK890" s="124"/>
      <c r="QTL890" s="124"/>
      <c r="QTM890" s="124"/>
      <c r="QTN890" s="124"/>
      <c r="QTO890" s="124"/>
      <c r="QTP890" s="124"/>
      <c r="QTQ890" s="124"/>
      <c r="QTR890" s="124"/>
      <c r="QTS890" s="124"/>
      <c r="QTT890" s="124"/>
      <c r="QTU890" s="124"/>
      <c r="QTV890" s="124"/>
      <c r="QTW890" s="124"/>
      <c r="QTX890" s="124"/>
      <c r="QTY890" s="124"/>
      <c r="QTZ890" s="124"/>
      <c r="QUA890" s="124"/>
      <c r="QUB890" s="124"/>
      <c r="QUC890" s="124"/>
      <c r="QUD890" s="124"/>
      <c r="QUE890" s="124"/>
      <c r="QUF890" s="124"/>
      <c r="QUG890" s="124"/>
      <c r="QUH890" s="124"/>
      <c r="QUI890" s="124"/>
      <c r="QUJ890" s="124"/>
      <c r="QUK890" s="124"/>
      <c r="QUL890" s="124"/>
      <c r="QUM890" s="124"/>
      <c r="QUN890" s="124"/>
      <c r="QUO890" s="124"/>
      <c r="QUP890" s="124"/>
      <c r="QUQ890" s="124"/>
      <c r="QUR890" s="124"/>
      <c r="QUS890" s="124"/>
      <c r="QUT890" s="124"/>
      <c r="QUU890" s="124"/>
      <c r="QUV890" s="124"/>
      <c r="QUW890" s="124"/>
      <c r="QUX890" s="124"/>
      <c r="QUY890" s="124"/>
      <c r="QUZ890" s="124"/>
      <c r="QVA890" s="124"/>
      <c r="QVB890" s="124"/>
      <c r="QVC890" s="124"/>
      <c r="QVD890" s="124"/>
      <c r="QVE890" s="124"/>
      <c r="QVF890" s="124"/>
      <c r="QVG890" s="124"/>
      <c r="QVH890" s="124"/>
      <c r="QVI890" s="124"/>
      <c r="QVJ890" s="124"/>
      <c r="QVK890" s="124"/>
      <c r="QVL890" s="124"/>
      <c r="QVM890" s="124"/>
      <c r="QVN890" s="124"/>
      <c r="QVO890" s="124"/>
      <c r="QVP890" s="124"/>
      <c r="QVQ890" s="124"/>
      <c r="QVR890" s="124"/>
      <c r="QVS890" s="124"/>
      <c r="QVT890" s="124"/>
      <c r="QVU890" s="124"/>
      <c r="QVV890" s="124"/>
      <c r="QVW890" s="124"/>
      <c r="QVX890" s="124"/>
      <c r="QVY890" s="124"/>
      <c r="QVZ890" s="124"/>
      <c r="QWA890" s="124"/>
      <c r="QWB890" s="124"/>
      <c r="QWC890" s="124"/>
      <c r="QWD890" s="124"/>
      <c r="QWE890" s="124"/>
      <c r="QWF890" s="124"/>
      <c r="QWG890" s="124"/>
      <c r="QWH890" s="124"/>
      <c r="QWI890" s="124"/>
      <c r="QWJ890" s="124"/>
      <c r="QWK890" s="124"/>
      <c r="QWL890" s="124"/>
      <c r="QWM890" s="124"/>
      <c r="QWN890" s="124"/>
      <c r="QWO890" s="124"/>
      <c r="QWP890" s="124"/>
      <c r="QWQ890" s="124"/>
      <c r="QWR890" s="124"/>
      <c r="QWS890" s="124"/>
      <c r="QWT890" s="124"/>
      <c r="QWU890" s="124"/>
      <c r="QWV890" s="124"/>
      <c r="QWW890" s="124"/>
      <c r="QWX890" s="124"/>
      <c r="QWY890" s="124"/>
      <c r="QWZ890" s="124"/>
      <c r="QXA890" s="124"/>
      <c r="QXB890" s="124"/>
      <c r="QXC890" s="124"/>
      <c r="QXD890" s="124"/>
      <c r="QXE890" s="124"/>
      <c r="QXF890" s="124"/>
      <c r="QXG890" s="124"/>
      <c r="QXH890" s="124"/>
      <c r="QXI890" s="124"/>
      <c r="QXJ890" s="124"/>
      <c r="QXK890" s="124"/>
      <c r="QXL890" s="124"/>
      <c r="QXM890" s="124"/>
      <c r="QXN890" s="124"/>
      <c r="QXO890" s="124"/>
      <c r="QXP890" s="124"/>
      <c r="QXQ890" s="124"/>
      <c r="QXR890" s="124"/>
      <c r="QXS890" s="124"/>
      <c r="QXT890" s="124"/>
      <c r="QXU890" s="124"/>
      <c r="QXV890" s="124"/>
      <c r="QXW890" s="124"/>
      <c r="QXX890" s="124"/>
      <c r="QXY890" s="124"/>
      <c r="QXZ890" s="124"/>
      <c r="QYA890" s="124"/>
      <c r="QYB890" s="124"/>
      <c r="QYC890" s="124"/>
      <c r="QYD890" s="124"/>
      <c r="QYE890" s="124"/>
      <c r="QYF890" s="124"/>
      <c r="QYG890" s="124"/>
      <c r="QYH890" s="124"/>
      <c r="QYI890" s="124"/>
      <c r="QYJ890" s="124"/>
      <c r="QYK890" s="124"/>
      <c r="QYL890" s="124"/>
      <c r="QYM890" s="124"/>
      <c r="QYN890" s="124"/>
      <c r="QYO890" s="124"/>
      <c r="QYP890" s="124"/>
      <c r="QYQ890" s="124"/>
      <c r="QYR890" s="124"/>
      <c r="QYS890" s="124"/>
      <c r="QYT890" s="124"/>
      <c r="QYU890" s="124"/>
      <c r="QYV890" s="124"/>
      <c r="QYW890" s="124"/>
      <c r="QYX890" s="124"/>
      <c r="QYY890" s="124"/>
      <c r="QYZ890" s="124"/>
      <c r="QZA890" s="124"/>
      <c r="QZB890" s="124"/>
      <c r="QZC890" s="124"/>
      <c r="QZD890" s="124"/>
      <c r="QZE890" s="124"/>
      <c r="QZF890" s="124"/>
      <c r="QZG890" s="124"/>
      <c r="QZH890" s="124"/>
      <c r="QZI890" s="124"/>
      <c r="QZJ890" s="124"/>
      <c r="QZK890" s="124"/>
      <c r="QZL890" s="124"/>
      <c r="QZM890" s="124"/>
      <c r="QZN890" s="124"/>
      <c r="QZO890" s="124"/>
      <c r="QZP890" s="124"/>
      <c r="QZQ890" s="124"/>
      <c r="QZR890" s="124"/>
      <c r="QZS890" s="124"/>
      <c r="QZT890" s="124"/>
      <c r="QZU890" s="124"/>
      <c r="QZV890" s="124"/>
      <c r="QZW890" s="124"/>
      <c r="QZX890" s="124"/>
      <c r="QZY890" s="124"/>
      <c r="QZZ890" s="124"/>
      <c r="RAA890" s="124"/>
      <c r="RAB890" s="124"/>
      <c r="RAC890" s="124"/>
      <c r="RAD890" s="124"/>
      <c r="RAE890" s="124"/>
      <c r="RAF890" s="124"/>
      <c r="RAG890" s="124"/>
      <c r="RAH890" s="124"/>
      <c r="RAI890" s="124"/>
      <c r="RAJ890" s="124"/>
      <c r="RAK890" s="124"/>
      <c r="RAL890" s="124"/>
      <c r="RAM890" s="124"/>
      <c r="RAN890" s="124"/>
      <c r="RAO890" s="124"/>
      <c r="RAP890" s="124"/>
      <c r="RAQ890" s="124"/>
      <c r="RAR890" s="124"/>
      <c r="RAS890" s="124"/>
      <c r="RAT890" s="124"/>
      <c r="RAU890" s="124"/>
      <c r="RAV890" s="124"/>
      <c r="RAW890" s="124"/>
      <c r="RAX890" s="124"/>
      <c r="RAY890" s="124"/>
      <c r="RAZ890" s="124"/>
      <c r="RBA890" s="124"/>
      <c r="RBB890" s="124"/>
      <c r="RBC890" s="124"/>
      <c r="RBD890" s="124"/>
      <c r="RBE890" s="124"/>
      <c r="RBF890" s="124"/>
      <c r="RBG890" s="124"/>
      <c r="RBH890" s="124"/>
      <c r="RBI890" s="124"/>
      <c r="RBJ890" s="124"/>
      <c r="RBK890" s="124"/>
      <c r="RBL890" s="124"/>
      <c r="RBM890" s="124"/>
      <c r="RBN890" s="124"/>
      <c r="RBO890" s="124"/>
      <c r="RBP890" s="124"/>
      <c r="RBQ890" s="124"/>
      <c r="RBR890" s="124"/>
      <c r="RBS890" s="124"/>
      <c r="RBT890" s="124"/>
      <c r="RBU890" s="124"/>
      <c r="RBV890" s="124"/>
      <c r="RBW890" s="124"/>
      <c r="RBX890" s="124"/>
      <c r="RBY890" s="124"/>
      <c r="RBZ890" s="124"/>
      <c r="RCA890" s="124"/>
      <c r="RCB890" s="124"/>
      <c r="RCC890" s="124"/>
      <c r="RCD890" s="124"/>
      <c r="RCE890" s="124"/>
      <c r="RCF890" s="124"/>
      <c r="RCG890" s="124"/>
      <c r="RCH890" s="124"/>
      <c r="RCI890" s="124"/>
      <c r="RCJ890" s="124"/>
      <c r="RCK890" s="124"/>
      <c r="RCL890" s="124"/>
      <c r="RCM890" s="124"/>
      <c r="RCN890" s="124"/>
      <c r="RCO890" s="124"/>
      <c r="RCP890" s="124"/>
      <c r="RCQ890" s="124"/>
      <c r="RCR890" s="124"/>
      <c r="RCS890" s="124"/>
      <c r="RCT890" s="124"/>
      <c r="RCU890" s="124"/>
      <c r="RCV890" s="124"/>
      <c r="RCW890" s="124"/>
      <c r="RCX890" s="124"/>
      <c r="RCY890" s="124"/>
      <c r="RCZ890" s="124"/>
      <c r="RDA890" s="124"/>
      <c r="RDB890" s="124"/>
      <c r="RDC890" s="124"/>
      <c r="RDD890" s="124"/>
      <c r="RDE890" s="124"/>
      <c r="RDF890" s="124"/>
      <c r="RDG890" s="124"/>
      <c r="RDH890" s="124"/>
      <c r="RDI890" s="124"/>
      <c r="RDJ890" s="124"/>
      <c r="RDK890" s="124"/>
      <c r="RDL890" s="124"/>
      <c r="RDM890" s="124"/>
      <c r="RDN890" s="124"/>
      <c r="RDO890" s="124"/>
      <c r="RDP890" s="124"/>
      <c r="RDQ890" s="124"/>
      <c r="RDR890" s="124"/>
      <c r="RDS890" s="124"/>
      <c r="RDT890" s="124"/>
      <c r="RDU890" s="124"/>
      <c r="RDV890" s="124"/>
      <c r="RDW890" s="124"/>
      <c r="RDX890" s="124"/>
      <c r="RDY890" s="124"/>
      <c r="RDZ890" s="124"/>
      <c r="REA890" s="124"/>
      <c r="REB890" s="124"/>
      <c r="REC890" s="124"/>
      <c r="RED890" s="124"/>
      <c r="REE890" s="124"/>
      <c r="REF890" s="124"/>
      <c r="REG890" s="124"/>
      <c r="REH890" s="124"/>
      <c r="REI890" s="124"/>
      <c r="REJ890" s="124"/>
      <c r="REK890" s="124"/>
      <c r="REL890" s="124"/>
      <c r="REM890" s="124"/>
      <c r="REN890" s="124"/>
      <c r="REO890" s="124"/>
      <c r="REP890" s="124"/>
      <c r="REQ890" s="124"/>
      <c r="RER890" s="124"/>
      <c r="RES890" s="124"/>
      <c r="RET890" s="124"/>
      <c r="REU890" s="124"/>
      <c r="REV890" s="124"/>
      <c r="REW890" s="124"/>
      <c r="REX890" s="124"/>
      <c r="REY890" s="124"/>
      <c r="REZ890" s="124"/>
      <c r="RFA890" s="124"/>
      <c r="RFB890" s="124"/>
      <c r="RFC890" s="124"/>
      <c r="RFD890" s="124"/>
      <c r="RFE890" s="124"/>
      <c r="RFF890" s="124"/>
      <c r="RFG890" s="124"/>
      <c r="RFH890" s="124"/>
      <c r="RFI890" s="124"/>
      <c r="RFJ890" s="124"/>
      <c r="RFK890" s="124"/>
      <c r="RFL890" s="124"/>
      <c r="RFM890" s="124"/>
      <c r="RFN890" s="124"/>
      <c r="RFO890" s="124"/>
      <c r="RFP890" s="124"/>
      <c r="RFQ890" s="124"/>
      <c r="RFR890" s="124"/>
      <c r="RFS890" s="124"/>
      <c r="RFT890" s="124"/>
      <c r="RFU890" s="124"/>
      <c r="RFV890" s="124"/>
      <c r="RFW890" s="124"/>
      <c r="RFX890" s="124"/>
      <c r="RFY890" s="124"/>
      <c r="RFZ890" s="124"/>
      <c r="RGA890" s="124"/>
      <c r="RGB890" s="124"/>
      <c r="RGC890" s="124"/>
      <c r="RGD890" s="124"/>
      <c r="RGE890" s="124"/>
      <c r="RGF890" s="124"/>
      <c r="RGG890" s="124"/>
      <c r="RGH890" s="124"/>
      <c r="RGI890" s="124"/>
      <c r="RGJ890" s="124"/>
      <c r="RGK890" s="124"/>
      <c r="RGL890" s="124"/>
      <c r="RGM890" s="124"/>
      <c r="RGN890" s="124"/>
      <c r="RGO890" s="124"/>
      <c r="RGP890" s="124"/>
      <c r="RGQ890" s="124"/>
      <c r="RGR890" s="124"/>
      <c r="RGS890" s="124"/>
      <c r="RGT890" s="124"/>
      <c r="RGU890" s="124"/>
      <c r="RGV890" s="124"/>
      <c r="RGW890" s="124"/>
      <c r="RGX890" s="124"/>
      <c r="RGY890" s="124"/>
      <c r="RGZ890" s="124"/>
      <c r="RHA890" s="124"/>
      <c r="RHB890" s="124"/>
      <c r="RHC890" s="124"/>
      <c r="RHD890" s="124"/>
      <c r="RHE890" s="124"/>
      <c r="RHF890" s="124"/>
      <c r="RHG890" s="124"/>
      <c r="RHH890" s="124"/>
      <c r="RHI890" s="124"/>
      <c r="RHJ890" s="124"/>
      <c r="RHK890" s="124"/>
      <c r="RHL890" s="124"/>
      <c r="RHM890" s="124"/>
      <c r="RHN890" s="124"/>
      <c r="RHO890" s="124"/>
      <c r="RHP890" s="124"/>
      <c r="RHQ890" s="124"/>
      <c r="RHR890" s="124"/>
      <c r="RHS890" s="124"/>
      <c r="RHT890" s="124"/>
      <c r="RHU890" s="124"/>
      <c r="RHV890" s="124"/>
      <c r="RHW890" s="124"/>
      <c r="RHX890" s="124"/>
      <c r="RHY890" s="124"/>
      <c r="RHZ890" s="124"/>
      <c r="RIA890" s="124"/>
      <c r="RIB890" s="124"/>
      <c r="RIC890" s="124"/>
      <c r="RID890" s="124"/>
      <c r="RIE890" s="124"/>
      <c r="RIF890" s="124"/>
      <c r="RIG890" s="124"/>
      <c r="RIH890" s="124"/>
      <c r="RII890" s="124"/>
      <c r="RIJ890" s="124"/>
      <c r="RIK890" s="124"/>
      <c r="RIL890" s="124"/>
      <c r="RIM890" s="124"/>
      <c r="RIN890" s="124"/>
      <c r="RIO890" s="124"/>
      <c r="RIP890" s="124"/>
      <c r="RIQ890" s="124"/>
      <c r="RIR890" s="124"/>
      <c r="RIS890" s="124"/>
      <c r="RIT890" s="124"/>
      <c r="RIU890" s="124"/>
      <c r="RIV890" s="124"/>
      <c r="RIW890" s="124"/>
      <c r="RIX890" s="124"/>
      <c r="RIY890" s="124"/>
      <c r="RIZ890" s="124"/>
      <c r="RJA890" s="124"/>
      <c r="RJB890" s="124"/>
      <c r="RJC890" s="124"/>
      <c r="RJD890" s="124"/>
      <c r="RJE890" s="124"/>
      <c r="RJF890" s="124"/>
      <c r="RJG890" s="124"/>
      <c r="RJH890" s="124"/>
      <c r="RJI890" s="124"/>
      <c r="RJJ890" s="124"/>
      <c r="RJK890" s="124"/>
      <c r="RJL890" s="124"/>
      <c r="RJM890" s="124"/>
      <c r="RJN890" s="124"/>
      <c r="RJO890" s="124"/>
      <c r="RJP890" s="124"/>
      <c r="RJQ890" s="124"/>
      <c r="RJR890" s="124"/>
      <c r="RJS890" s="124"/>
      <c r="RJT890" s="124"/>
      <c r="RJU890" s="124"/>
      <c r="RJV890" s="124"/>
      <c r="RJW890" s="124"/>
      <c r="RJX890" s="124"/>
      <c r="RJY890" s="124"/>
      <c r="RJZ890" s="124"/>
      <c r="RKA890" s="124"/>
      <c r="RKB890" s="124"/>
      <c r="RKC890" s="124"/>
      <c r="RKD890" s="124"/>
      <c r="RKE890" s="124"/>
      <c r="RKF890" s="124"/>
      <c r="RKG890" s="124"/>
      <c r="RKH890" s="124"/>
      <c r="RKI890" s="124"/>
      <c r="RKJ890" s="124"/>
      <c r="RKK890" s="124"/>
      <c r="RKL890" s="124"/>
      <c r="RKM890" s="124"/>
      <c r="RKN890" s="124"/>
      <c r="RKO890" s="124"/>
      <c r="RKP890" s="124"/>
      <c r="RKQ890" s="124"/>
      <c r="RKR890" s="124"/>
      <c r="RKS890" s="124"/>
      <c r="RKT890" s="124"/>
      <c r="RKU890" s="124"/>
      <c r="RKV890" s="124"/>
      <c r="RKW890" s="124"/>
      <c r="RKX890" s="124"/>
      <c r="RKY890" s="124"/>
      <c r="RKZ890" s="124"/>
      <c r="RLA890" s="124"/>
      <c r="RLB890" s="124"/>
      <c r="RLC890" s="124"/>
      <c r="RLD890" s="124"/>
      <c r="RLE890" s="124"/>
      <c r="RLF890" s="124"/>
      <c r="RLG890" s="124"/>
      <c r="RLH890" s="124"/>
      <c r="RLI890" s="124"/>
      <c r="RLJ890" s="124"/>
      <c r="RLK890" s="124"/>
      <c r="RLL890" s="124"/>
      <c r="RLM890" s="124"/>
      <c r="RLN890" s="124"/>
      <c r="RLO890" s="124"/>
      <c r="RLP890" s="124"/>
      <c r="RLQ890" s="124"/>
      <c r="RLR890" s="124"/>
      <c r="RLS890" s="124"/>
      <c r="RLT890" s="124"/>
      <c r="RLU890" s="124"/>
      <c r="RLV890" s="124"/>
      <c r="RLW890" s="124"/>
      <c r="RLX890" s="124"/>
      <c r="RLY890" s="124"/>
      <c r="RLZ890" s="124"/>
      <c r="RMA890" s="124"/>
      <c r="RMB890" s="124"/>
      <c r="RMC890" s="124"/>
      <c r="RMD890" s="124"/>
      <c r="RME890" s="124"/>
      <c r="RMF890" s="124"/>
      <c r="RMG890" s="124"/>
      <c r="RMH890" s="124"/>
      <c r="RMI890" s="124"/>
      <c r="RMJ890" s="124"/>
      <c r="RMK890" s="124"/>
      <c r="RML890" s="124"/>
      <c r="RMM890" s="124"/>
      <c r="RMN890" s="124"/>
      <c r="RMO890" s="124"/>
      <c r="RMP890" s="124"/>
      <c r="RMQ890" s="124"/>
      <c r="RMR890" s="124"/>
      <c r="RMS890" s="124"/>
      <c r="RMT890" s="124"/>
      <c r="RMU890" s="124"/>
      <c r="RMV890" s="124"/>
      <c r="RMW890" s="124"/>
      <c r="RMX890" s="124"/>
      <c r="RMY890" s="124"/>
      <c r="RMZ890" s="124"/>
      <c r="RNA890" s="124"/>
      <c r="RNB890" s="124"/>
      <c r="RNC890" s="124"/>
      <c r="RND890" s="124"/>
      <c r="RNE890" s="124"/>
      <c r="RNF890" s="124"/>
      <c r="RNG890" s="124"/>
      <c r="RNH890" s="124"/>
      <c r="RNI890" s="124"/>
      <c r="RNJ890" s="124"/>
      <c r="RNK890" s="124"/>
      <c r="RNL890" s="124"/>
      <c r="RNM890" s="124"/>
      <c r="RNN890" s="124"/>
      <c r="RNO890" s="124"/>
      <c r="RNP890" s="124"/>
      <c r="RNQ890" s="124"/>
      <c r="RNR890" s="124"/>
      <c r="RNS890" s="124"/>
      <c r="RNT890" s="124"/>
      <c r="RNU890" s="124"/>
      <c r="RNV890" s="124"/>
      <c r="RNW890" s="124"/>
      <c r="RNX890" s="124"/>
      <c r="RNY890" s="124"/>
      <c r="RNZ890" s="124"/>
      <c r="ROA890" s="124"/>
      <c r="ROB890" s="124"/>
      <c r="ROC890" s="124"/>
      <c r="ROD890" s="124"/>
      <c r="ROE890" s="124"/>
      <c r="ROF890" s="124"/>
      <c r="ROG890" s="124"/>
      <c r="ROH890" s="124"/>
      <c r="ROI890" s="124"/>
      <c r="ROJ890" s="124"/>
      <c r="ROK890" s="124"/>
      <c r="ROL890" s="124"/>
      <c r="ROM890" s="124"/>
      <c r="RON890" s="124"/>
      <c r="ROO890" s="124"/>
      <c r="ROP890" s="124"/>
      <c r="ROQ890" s="124"/>
      <c r="ROR890" s="124"/>
      <c r="ROS890" s="124"/>
      <c r="ROT890" s="124"/>
      <c r="ROU890" s="124"/>
      <c r="ROV890" s="124"/>
      <c r="ROW890" s="124"/>
      <c r="ROX890" s="124"/>
      <c r="ROY890" s="124"/>
      <c r="ROZ890" s="124"/>
      <c r="RPA890" s="124"/>
      <c r="RPB890" s="124"/>
      <c r="RPC890" s="124"/>
      <c r="RPD890" s="124"/>
      <c r="RPE890" s="124"/>
      <c r="RPF890" s="124"/>
      <c r="RPG890" s="124"/>
      <c r="RPH890" s="124"/>
      <c r="RPI890" s="124"/>
      <c r="RPJ890" s="124"/>
      <c r="RPK890" s="124"/>
      <c r="RPL890" s="124"/>
      <c r="RPM890" s="124"/>
      <c r="RPN890" s="124"/>
      <c r="RPO890" s="124"/>
      <c r="RPP890" s="124"/>
      <c r="RPQ890" s="124"/>
      <c r="RPR890" s="124"/>
      <c r="RPS890" s="124"/>
      <c r="RPT890" s="124"/>
      <c r="RPU890" s="124"/>
      <c r="RPV890" s="124"/>
      <c r="RPW890" s="124"/>
      <c r="RPX890" s="124"/>
      <c r="RPY890" s="124"/>
      <c r="RPZ890" s="124"/>
      <c r="RQA890" s="124"/>
      <c r="RQB890" s="124"/>
      <c r="RQC890" s="124"/>
      <c r="RQD890" s="124"/>
      <c r="RQE890" s="124"/>
      <c r="RQF890" s="124"/>
      <c r="RQG890" s="124"/>
      <c r="RQH890" s="124"/>
      <c r="RQI890" s="124"/>
      <c r="RQJ890" s="124"/>
      <c r="RQK890" s="124"/>
      <c r="RQL890" s="124"/>
      <c r="RQM890" s="124"/>
      <c r="RQN890" s="124"/>
      <c r="RQO890" s="124"/>
      <c r="RQP890" s="124"/>
      <c r="RQQ890" s="124"/>
      <c r="RQR890" s="124"/>
      <c r="RQS890" s="124"/>
      <c r="RQT890" s="124"/>
      <c r="RQU890" s="124"/>
      <c r="RQV890" s="124"/>
      <c r="RQW890" s="124"/>
      <c r="RQX890" s="124"/>
      <c r="RQY890" s="124"/>
      <c r="RQZ890" s="124"/>
      <c r="RRA890" s="124"/>
      <c r="RRB890" s="124"/>
      <c r="RRC890" s="124"/>
      <c r="RRD890" s="124"/>
      <c r="RRE890" s="124"/>
      <c r="RRF890" s="124"/>
      <c r="RRG890" s="124"/>
      <c r="RRH890" s="124"/>
      <c r="RRI890" s="124"/>
      <c r="RRJ890" s="124"/>
      <c r="RRK890" s="124"/>
      <c r="RRL890" s="124"/>
      <c r="RRM890" s="124"/>
      <c r="RRN890" s="124"/>
      <c r="RRO890" s="124"/>
      <c r="RRP890" s="124"/>
      <c r="RRQ890" s="124"/>
      <c r="RRR890" s="124"/>
      <c r="RRS890" s="124"/>
      <c r="RRT890" s="124"/>
      <c r="RRU890" s="124"/>
      <c r="RRV890" s="124"/>
      <c r="RRW890" s="124"/>
      <c r="RRX890" s="124"/>
      <c r="RRY890" s="124"/>
      <c r="RRZ890" s="124"/>
      <c r="RSA890" s="124"/>
      <c r="RSB890" s="124"/>
      <c r="RSC890" s="124"/>
      <c r="RSD890" s="124"/>
      <c r="RSE890" s="124"/>
      <c r="RSF890" s="124"/>
      <c r="RSG890" s="124"/>
      <c r="RSH890" s="124"/>
      <c r="RSI890" s="124"/>
      <c r="RSJ890" s="124"/>
      <c r="RSK890" s="124"/>
      <c r="RSL890" s="124"/>
      <c r="RSM890" s="124"/>
      <c r="RSN890" s="124"/>
      <c r="RSO890" s="124"/>
      <c r="RSP890" s="124"/>
      <c r="RSQ890" s="124"/>
      <c r="RSR890" s="124"/>
      <c r="RSS890" s="124"/>
      <c r="RST890" s="124"/>
      <c r="RSU890" s="124"/>
      <c r="RSV890" s="124"/>
      <c r="RSW890" s="124"/>
      <c r="RSX890" s="124"/>
      <c r="RSY890" s="124"/>
      <c r="RSZ890" s="124"/>
      <c r="RTA890" s="124"/>
      <c r="RTB890" s="124"/>
      <c r="RTC890" s="124"/>
      <c r="RTD890" s="124"/>
      <c r="RTE890" s="124"/>
      <c r="RTF890" s="124"/>
      <c r="RTG890" s="124"/>
      <c r="RTH890" s="124"/>
      <c r="RTI890" s="124"/>
      <c r="RTJ890" s="124"/>
      <c r="RTK890" s="124"/>
      <c r="RTL890" s="124"/>
      <c r="RTM890" s="124"/>
      <c r="RTN890" s="124"/>
      <c r="RTO890" s="124"/>
      <c r="RTP890" s="124"/>
      <c r="RTQ890" s="124"/>
      <c r="RTR890" s="124"/>
      <c r="RTS890" s="124"/>
      <c r="RTT890" s="124"/>
      <c r="RTU890" s="124"/>
      <c r="RTV890" s="124"/>
      <c r="RTW890" s="124"/>
      <c r="RTX890" s="124"/>
      <c r="RTY890" s="124"/>
      <c r="RTZ890" s="124"/>
      <c r="RUA890" s="124"/>
      <c r="RUB890" s="124"/>
      <c r="RUC890" s="124"/>
      <c r="RUD890" s="124"/>
      <c r="RUE890" s="124"/>
      <c r="RUF890" s="124"/>
      <c r="RUG890" s="124"/>
      <c r="RUH890" s="124"/>
      <c r="RUI890" s="124"/>
      <c r="RUJ890" s="124"/>
      <c r="RUK890" s="124"/>
      <c r="RUL890" s="124"/>
      <c r="RUM890" s="124"/>
      <c r="RUN890" s="124"/>
      <c r="RUO890" s="124"/>
      <c r="RUP890" s="124"/>
      <c r="RUQ890" s="124"/>
      <c r="RUR890" s="124"/>
      <c r="RUS890" s="124"/>
      <c r="RUT890" s="124"/>
      <c r="RUU890" s="124"/>
      <c r="RUV890" s="124"/>
      <c r="RUW890" s="124"/>
      <c r="RUX890" s="124"/>
      <c r="RUY890" s="124"/>
      <c r="RUZ890" s="124"/>
      <c r="RVA890" s="124"/>
      <c r="RVB890" s="124"/>
      <c r="RVC890" s="124"/>
      <c r="RVD890" s="124"/>
      <c r="RVE890" s="124"/>
      <c r="RVF890" s="124"/>
      <c r="RVG890" s="124"/>
      <c r="RVH890" s="124"/>
      <c r="RVI890" s="124"/>
      <c r="RVJ890" s="124"/>
      <c r="RVK890" s="124"/>
      <c r="RVL890" s="124"/>
      <c r="RVM890" s="124"/>
      <c r="RVN890" s="124"/>
      <c r="RVO890" s="124"/>
      <c r="RVP890" s="124"/>
      <c r="RVQ890" s="124"/>
      <c r="RVR890" s="124"/>
      <c r="RVS890" s="124"/>
      <c r="RVT890" s="124"/>
      <c r="RVU890" s="124"/>
      <c r="RVV890" s="124"/>
      <c r="RVW890" s="124"/>
      <c r="RVX890" s="124"/>
      <c r="RVY890" s="124"/>
      <c r="RVZ890" s="124"/>
      <c r="RWA890" s="124"/>
      <c r="RWB890" s="124"/>
      <c r="RWC890" s="124"/>
      <c r="RWD890" s="124"/>
      <c r="RWE890" s="124"/>
      <c r="RWF890" s="124"/>
      <c r="RWG890" s="124"/>
      <c r="RWH890" s="124"/>
      <c r="RWI890" s="124"/>
      <c r="RWJ890" s="124"/>
      <c r="RWK890" s="124"/>
      <c r="RWL890" s="124"/>
      <c r="RWM890" s="124"/>
      <c r="RWN890" s="124"/>
      <c r="RWO890" s="124"/>
      <c r="RWP890" s="124"/>
      <c r="RWQ890" s="124"/>
      <c r="RWR890" s="124"/>
      <c r="RWS890" s="124"/>
      <c r="RWT890" s="124"/>
      <c r="RWU890" s="124"/>
      <c r="RWV890" s="124"/>
      <c r="RWW890" s="124"/>
      <c r="RWX890" s="124"/>
      <c r="RWY890" s="124"/>
      <c r="RWZ890" s="124"/>
      <c r="RXA890" s="124"/>
      <c r="RXB890" s="124"/>
      <c r="RXC890" s="124"/>
      <c r="RXD890" s="124"/>
      <c r="RXE890" s="124"/>
      <c r="RXF890" s="124"/>
      <c r="RXG890" s="124"/>
      <c r="RXH890" s="124"/>
      <c r="RXI890" s="124"/>
      <c r="RXJ890" s="124"/>
      <c r="RXK890" s="124"/>
      <c r="RXL890" s="124"/>
      <c r="RXM890" s="124"/>
      <c r="RXN890" s="124"/>
      <c r="RXO890" s="124"/>
      <c r="RXP890" s="124"/>
      <c r="RXQ890" s="124"/>
      <c r="RXR890" s="124"/>
      <c r="RXS890" s="124"/>
      <c r="RXT890" s="124"/>
      <c r="RXU890" s="124"/>
      <c r="RXV890" s="124"/>
      <c r="RXW890" s="124"/>
      <c r="RXX890" s="124"/>
      <c r="RXY890" s="124"/>
      <c r="RXZ890" s="124"/>
      <c r="RYA890" s="124"/>
      <c r="RYB890" s="124"/>
      <c r="RYC890" s="124"/>
      <c r="RYD890" s="124"/>
      <c r="RYE890" s="124"/>
      <c r="RYF890" s="124"/>
      <c r="RYG890" s="124"/>
      <c r="RYH890" s="124"/>
      <c r="RYI890" s="124"/>
      <c r="RYJ890" s="124"/>
      <c r="RYK890" s="124"/>
      <c r="RYL890" s="124"/>
      <c r="RYM890" s="124"/>
      <c r="RYN890" s="124"/>
      <c r="RYO890" s="124"/>
      <c r="RYP890" s="124"/>
      <c r="RYQ890" s="124"/>
      <c r="RYR890" s="124"/>
      <c r="RYS890" s="124"/>
      <c r="RYT890" s="124"/>
      <c r="RYU890" s="124"/>
      <c r="RYV890" s="124"/>
      <c r="RYW890" s="124"/>
      <c r="RYX890" s="124"/>
      <c r="RYY890" s="124"/>
      <c r="RYZ890" s="124"/>
      <c r="RZA890" s="124"/>
      <c r="RZB890" s="124"/>
      <c r="RZC890" s="124"/>
      <c r="RZD890" s="124"/>
      <c r="RZE890" s="124"/>
      <c r="RZF890" s="124"/>
      <c r="RZG890" s="124"/>
      <c r="RZH890" s="124"/>
      <c r="RZI890" s="124"/>
      <c r="RZJ890" s="124"/>
      <c r="RZK890" s="124"/>
      <c r="RZL890" s="124"/>
      <c r="RZM890" s="124"/>
      <c r="RZN890" s="124"/>
      <c r="RZO890" s="124"/>
      <c r="RZP890" s="124"/>
      <c r="RZQ890" s="124"/>
      <c r="RZR890" s="124"/>
      <c r="RZS890" s="124"/>
      <c r="RZT890" s="124"/>
      <c r="RZU890" s="124"/>
      <c r="RZV890" s="124"/>
      <c r="RZW890" s="124"/>
      <c r="RZX890" s="124"/>
      <c r="RZY890" s="124"/>
      <c r="RZZ890" s="124"/>
      <c r="SAA890" s="124"/>
      <c r="SAB890" s="124"/>
      <c r="SAC890" s="124"/>
      <c r="SAD890" s="124"/>
      <c r="SAE890" s="124"/>
      <c r="SAF890" s="124"/>
      <c r="SAG890" s="124"/>
      <c r="SAH890" s="124"/>
      <c r="SAI890" s="124"/>
      <c r="SAJ890" s="124"/>
      <c r="SAK890" s="124"/>
      <c r="SAL890" s="124"/>
      <c r="SAM890" s="124"/>
      <c r="SAN890" s="124"/>
      <c r="SAO890" s="124"/>
      <c r="SAP890" s="124"/>
      <c r="SAQ890" s="124"/>
      <c r="SAR890" s="124"/>
      <c r="SAS890" s="124"/>
      <c r="SAT890" s="124"/>
      <c r="SAU890" s="124"/>
      <c r="SAV890" s="124"/>
      <c r="SAW890" s="124"/>
      <c r="SAX890" s="124"/>
      <c r="SAY890" s="124"/>
      <c r="SAZ890" s="124"/>
      <c r="SBA890" s="124"/>
      <c r="SBB890" s="124"/>
      <c r="SBC890" s="124"/>
      <c r="SBD890" s="124"/>
      <c r="SBE890" s="124"/>
      <c r="SBF890" s="124"/>
      <c r="SBG890" s="124"/>
      <c r="SBH890" s="124"/>
      <c r="SBI890" s="124"/>
      <c r="SBJ890" s="124"/>
      <c r="SBK890" s="124"/>
      <c r="SBL890" s="124"/>
      <c r="SBM890" s="124"/>
      <c r="SBN890" s="124"/>
      <c r="SBO890" s="124"/>
      <c r="SBP890" s="124"/>
      <c r="SBQ890" s="124"/>
      <c r="SBR890" s="124"/>
      <c r="SBS890" s="124"/>
      <c r="SBT890" s="124"/>
      <c r="SBU890" s="124"/>
      <c r="SBV890" s="124"/>
      <c r="SBW890" s="124"/>
      <c r="SBX890" s="124"/>
      <c r="SBY890" s="124"/>
      <c r="SBZ890" s="124"/>
      <c r="SCA890" s="124"/>
      <c r="SCB890" s="124"/>
      <c r="SCC890" s="124"/>
      <c r="SCD890" s="124"/>
      <c r="SCE890" s="124"/>
      <c r="SCF890" s="124"/>
      <c r="SCG890" s="124"/>
      <c r="SCH890" s="124"/>
      <c r="SCI890" s="124"/>
      <c r="SCJ890" s="124"/>
      <c r="SCK890" s="124"/>
      <c r="SCL890" s="124"/>
      <c r="SCM890" s="124"/>
      <c r="SCN890" s="124"/>
      <c r="SCO890" s="124"/>
      <c r="SCP890" s="124"/>
      <c r="SCQ890" s="124"/>
      <c r="SCR890" s="124"/>
      <c r="SCS890" s="124"/>
      <c r="SCT890" s="124"/>
      <c r="SCU890" s="124"/>
      <c r="SCV890" s="124"/>
      <c r="SCW890" s="124"/>
      <c r="SCX890" s="124"/>
      <c r="SCY890" s="124"/>
      <c r="SCZ890" s="124"/>
      <c r="SDA890" s="124"/>
      <c r="SDB890" s="124"/>
      <c r="SDC890" s="124"/>
      <c r="SDD890" s="124"/>
      <c r="SDE890" s="124"/>
      <c r="SDF890" s="124"/>
      <c r="SDG890" s="124"/>
      <c r="SDH890" s="124"/>
      <c r="SDI890" s="124"/>
      <c r="SDJ890" s="124"/>
      <c r="SDK890" s="124"/>
      <c r="SDL890" s="124"/>
      <c r="SDM890" s="124"/>
      <c r="SDN890" s="124"/>
      <c r="SDO890" s="124"/>
      <c r="SDP890" s="124"/>
      <c r="SDQ890" s="124"/>
      <c r="SDR890" s="124"/>
      <c r="SDS890" s="124"/>
      <c r="SDT890" s="124"/>
      <c r="SDU890" s="124"/>
      <c r="SDV890" s="124"/>
      <c r="SDW890" s="124"/>
      <c r="SDX890" s="124"/>
      <c r="SDY890" s="124"/>
      <c r="SDZ890" s="124"/>
      <c r="SEA890" s="124"/>
      <c r="SEB890" s="124"/>
      <c r="SEC890" s="124"/>
      <c r="SED890" s="124"/>
      <c r="SEE890" s="124"/>
      <c r="SEF890" s="124"/>
      <c r="SEG890" s="124"/>
      <c r="SEH890" s="124"/>
      <c r="SEI890" s="124"/>
      <c r="SEJ890" s="124"/>
      <c r="SEK890" s="124"/>
      <c r="SEL890" s="124"/>
      <c r="SEM890" s="124"/>
      <c r="SEN890" s="124"/>
      <c r="SEO890" s="124"/>
      <c r="SEP890" s="124"/>
      <c r="SEQ890" s="124"/>
      <c r="SER890" s="124"/>
      <c r="SES890" s="124"/>
      <c r="SET890" s="124"/>
      <c r="SEU890" s="124"/>
      <c r="SEV890" s="124"/>
      <c r="SEW890" s="124"/>
      <c r="SEX890" s="124"/>
      <c r="SEY890" s="124"/>
      <c r="SEZ890" s="124"/>
      <c r="SFA890" s="124"/>
      <c r="SFB890" s="124"/>
      <c r="SFC890" s="124"/>
      <c r="SFD890" s="124"/>
      <c r="SFE890" s="124"/>
      <c r="SFF890" s="124"/>
      <c r="SFG890" s="124"/>
      <c r="SFH890" s="124"/>
      <c r="SFI890" s="124"/>
      <c r="SFJ890" s="124"/>
      <c r="SFK890" s="124"/>
      <c r="SFL890" s="124"/>
      <c r="SFM890" s="124"/>
      <c r="SFN890" s="124"/>
      <c r="SFO890" s="124"/>
      <c r="SFP890" s="124"/>
      <c r="SFQ890" s="124"/>
      <c r="SFR890" s="124"/>
      <c r="SFS890" s="124"/>
      <c r="SFT890" s="124"/>
      <c r="SFU890" s="124"/>
      <c r="SFV890" s="124"/>
      <c r="SFW890" s="124"/>
      <c r="SFX890" s="124"/>
      <c r="SFY890" s="124"/>
      <c r="SFZ890" s="124"/>
      <c r="SGA890" s="124"/>
      <c r="SGB890" s="124"/>
      <c r="SGC890" s="124"/>
      <c r="SGD890" s="124"/>
      <c r="SGE890" s="124"/>
      <c r="SGF890" s="124"/>
      <c r="SGG890" s="124"/>
      <c r="SGH890" s="124"/>
      <c r="SGI890" s="124"/>
      <c r="SGJ890" s="124"/>
      <c r="SGK890" s="124"/>
      <c r="SGL890" s="124"/>
      <c r="SGM890" s="124"/>
      <c r="SGN890" s="124"/>
      <c r="SGO890" s="124"/>
      <c r="SGP890" s="124"/>
      <c r="SGQ890" s="124"/>
      <c r="SGR890" s="124"/>
      <c r="SGS890" s="124"/>
      <c r="SGT890" s="124"/>
      <c r="SGU890" s="124"/>
      <c r="SGV890" s="124"/>
      <c r="SGW890" s="124"/>
      <c r="SGX890" s="124"/>
      <c r="SGY890" s="124"/>
      <c r="SGZ890" s="124"/>
      <c r="SHA890" s="124"/>
      <c r="SHB890" s="124"/>
      <c r="SHC890" s="124"/>
      <c r="SHD890" s="124"/>
      <c r="SHE890" s="124"/>
      <c r="SHF890" s="124"/>
      <c r="SHG890" s="124"/>
      <c r="SHH890" s="124"/>
      <c r="SHI890" s="124"/>
      <c r="SHJ890" s="124"/>
      <c r="SHK890" s="124"/>
      <c r="SHL890" s="124"/>
      <c r="SHM890" s="124"/>
      <c r="SHN890" s="124"/>
      <c r="SHO890" s="124"/>
      <c r="SHP890" s="124"/>
      <c r="SHQ890" s="124"/>
      <c r="SHR890" s="124"/>
      <c r="SHS890" s="124"/>
      <c r="SHT890" s="124"/>
      <c r="SHU890" s="124"/>
      <c r="SHV890" s="124"/>
      <c r="SHW890" s="124"/>
      <c r="SHX890" s="124"/>
      <c r="SHY890" s="124"/>
      <c r="SHZ890" s="124"/>
      <c r="SIA890" s="124"/>
      <c r="SIB890" s="124"/>
      <c r="SIC890" s="124"/>
      <c r="SID890" s="124"/>
      <c r="SIE890" s="124"/>
      <c r="SIF890" s="124"/>
      <c r="SIG890" s="124"/>
      <c r="SIH890" s="124"/>
      <c r="SII890" s="124"/>
      <c r="SIJ890" s="124"/>
      <c r="SIK890" s="124"/>
      <c r="SIL890" s="124"/>
      <c r="SIM890" s="124"/>
      <c r="SIN890" s="124"/>
      <c r="SIO890" s="124"/>
      <c r="SIP890" s="124"/>
      <c r="SIQ890" s="124"/>
      <c r="SIR890" s="124"/>
      <c r="SIS890" s="124"/>
      <c r="SIT890" s="124"/>
      <c r="SIU890" s="124"/>
      <c r="SIV890" s="124"/>
      <c r="SIW890" s="124"/>
      <c r="SIX890" s="124"/>
      <c r="SIY890" s="124"/>
      <c r="SIZ890" s="124"/>
      <c r="SJA890" s="124"/>
      <c r="SJB890" s="124"/>
      <c r="SJC890" s="124"/>
      <c r="SJD890" s="124"/>
      <c r="SJE890" s="124"/>
      <c r="SJF890" s="124"/>
      <c r="SJG890" s="124"/>
      <c r="SJH890" s="124"/>
      <c r="SJI890" s="124"/>
      <c r="SJJ890" s="124"/>
      <c r="SJK890" s="124"/>
      <c r="SJL890" s="124"/>
      <c r="SJM890" s="124"/>
      <c r="SJN890" s="124"/>
      <c r="SJO890" s="124"/>
      <c r="SJP890" s="124"/>
      <c r="SJQ890" s="124"/>
      <c r="SJR890" s="124"/>
      <c r="SJS890" s="124"/>
      <c r="SJT890" s="124"/>
      <c r="SJU890" s="124"/>
      <c r="SJV890" s="124"/>
      <c r="SJW890" s="124"/>
      <c r="SJX890" s="124"/>
      <c r="SJY890" s="124"/>
      <c r="SJZ890" s="124"/>
      <c r="SKA890" s="124"/>
      <c r="SKB890" s="124"/>
      <c r="SKC890" s="124"/>
      <c r="SKD890" s="124"/>
      <c r="SKE890" s="124"/>
      <c r="SKF890" s="124"/>
      <c r="SKG890" s="124"/>
      <c r="SKH890" s="124"/>
      <c r="SKI890" s="124"/>
      <c r="SKJ890" s="124"/>
      <c r="SKK890" s="124"/>
      <c r="SKL890" s="124"/>
      <c r="SKM890" s="124"/>
      <c r="SKN890" s="124"/>
      <c r="SKO890" s="124"/>
      <c r="SKP890" s="124"/>
      <c r="SKQ890" s="124"/>
      <c r="SKR890" s="124"/>
      <c r="SKS890" s="124"/>
      <c r="SKT890" s="124"/>
      <c r="SKU890" s="124"/>
      <c r="SKV890" s="124"/>
      <c r="SKW890" s="124"/>
      <c r="SKX890" s="124"/>
      <c r="SKY890" s="124"/>
      <c r="SKZ890" s="124"/>
      <c r="SLA890" s="124"/>
      <c r="SLB890" s="124"/>
      <c r="SLC890" s="124"/>
      <c r="SLD890" s="124"/>
      <c r="SLE890" s="124"/>
      <c r="SLF890" s="124"/>
      <c r="SLG890" s="124"/>
      <c r="SLH890" s="124"/>
      <c r="SLI890" s="124"/>
      <c r="SLJ890" s="124"/>
      <c r="SLK890" s="124"/>
      <c r="SLL890" s="124"/>
      <c r="SLM890" s="124"/>
      <c r="SLN890" s="124"/>
      <c r="SLO890" s="124"/>
      <c r="SLP890" s="124"/>
      <c r="SLQ890" s="124"/>
      <c r="SLR890" s="124"/>
      <c r="SLS890" s="124"/>
      <c r="SLT890" s="124"/>
      <c r="SLU890" s="124"/>
      <c r="SLV890" s="124"/>
      <c r="SLW890" s="124"/>
      <c r="SLX890" s="124"/>
      <c r="SLY890" s="124"/>
      <c r="SLZ890" s="124"/>
      <c r="SMA890" s="124"/>
      <c r="SMB890" s="124"/>
      <c r="SMC890" s="124"/>
      <c r="SMD890" s="124"/>
      <c r="SME890" s="124"/>
      <c r="SMF890" s="124"/>
      <c r="SMG890" s="124"/>
      <c r="SMH890" s="124"/>
      <c r="SMI890" s="124"/>
      <c r="SMJ890" s="124"/>
      <c r="SMK890" s="124"/>
      <c r="SML890" s="124"/>
      <c r="SMM890" s="124"/>
      <c r="SMN890" s="124"/>
      <c r="SMO890" s="124"/>
      <c r="SMP890" s="124"/>
      <c r="SMQ890" s="124"/>
      <c r="SMR890" s="124"/>
      <c r="SMS890" s="124"/>
      <c r="SMT890" s="124"/>
      <c r="SMU890" s="124"/>
      <c r="SMV890" s="124"/>
      <c r="SMW890" s="124"/>
      <c r="SMX890" s="124"/>
      <c r="SMY890" s="124"/>
      <c r="SMZ890" s="124"/>
      <c r="SNA890" s="124"/>
      <c r="SNB890" s="124"/>
      <c r="SNC890" s="124"/>
      <c r="SND890" s="124"/>
      <c r="SNE890" s="124"/>
      <c r="SNF890" s="124"/>
      <c r="SNG890" s="124"/>
      <c r="SNH890" s="124"/>
      <c r="SNI890" s="124"/>
      <c r="SNJ890" s="124"/>
      <c r="SNK890" s="124"/>
      <c r="SNL890" s="124"/>
      <c r="SNM890" s="124"/>
      <c r="SNN890" s="124"/>
      <c r="SNO890" s="124"/>
      <c r="SNP890" s="124"/>
      <c r="SNQ890" s="124"/>
      <c r="SNR890" s="124"/>
      <c r="SNS890" s="124"/>
      <c r="SNT890" s="124"/>
      <c r="SNU890" s="124"/>
      <c r="SNV890" s="124"/>
      <c r="SNW890" s="124"/>
      <c r="SNX890" s="124"/>
      <c r="SNY890" s="124"/>
      <c r="SNZ890" s="124"/>
      <c r="SOA890" s="124"/>
      <c r="SOB890" s="124"/>
      <c r="SOC890" s="124"/>
      <c r="SOD890" s="124"/>
      <c r="SOE890" s="124"/>
      <c r="SOF890" s="124"/>
      <c r="SOG890" s="124"/>
      <c r="SOH890" s="124"/>
      <c r="SOI890" s="124"/>
      <c r="SOJ890" s="124"/>
      <c r="SOK890" s="124"/>
      <c r="SOL890" s="124"/>
      <c r="SOM890" s="124"/>
      <c r="SON890" s="124"/>
      <c r="SOO890" s="124"/>
      <c r="SOP890" s="124"/>
      <c r="SOQ890" s="124"/>
      <c r="SOR890" s="124"/>
      <c r="SOS890" s="124"/>
      <c r="SOT890" s="124"/>
      <c r="SOU890" s="124"/>
      <c r="SOV890" s="124"/>
      <c r="SOW890" s="124"/>
      <c r="SOX890" s="124"/>
      <c r="SOY890" s="124"/>
      <c r="SOZ890" s="124"/>
      <c r="SPA890" s="124"/>
      <c r="SPB890" s="124"/>
      <c r="SPC890" s="124"/>
      <c r="SPD890" s="124"/>
      <c r="SPE890" s="124"/>
      <c r="SPF890" s="124"/>
      <c r="SPG890" s="124"/>
      <c r="SPH890" s="124"/>
      <c r="SPI890" s="124"/>
      <c r="SPJ890" s="124"/>
      <c r="SPK890" s="124"/>
      <c r="SPL890" s="124"/>
      <c r="SPM890" s="124"/>
      <c r="SPN890" s="124"/>
      <c r="SPO890" s="124"/>
      <c r="SPP890" s="124"/>
      <c r="SPQ890" s="124"/>
      <c r="SPR890" s="124"/>
      <c r="SPS890" s="124"/>
      <c r="SPT890" s="124"/>
      <c r="SPU890" s="124"/>
      <c r="SPV890" s="124"/>
      <c r="SPW890" s="124"/>
      <c r="SPX890" s="124"/>
      <c r="SPY890" s="124"/>
      <c r="SPZ890" s="124"/>
      <c r="SQA890" s="124"/>
      <c r="SQB890" s="124"/>
      <c r="SQC890" s="124"/>
      <c r="SQD890" s="124"/>
      <c r="SQE890" s="124"/>
      <c r="SQF890" s="124"/>
      <c r="SQG890" s="124"/>
      <c r="SQH890" s="124"/>
      <c r="SQI890" s="124"/>
      <c r="SQJ890" s="124"/>
      <c r="SQK890" s="124"/>
      <c r="SQL890" s="124"/>
      <c r="SQM890" s="124"/>
      <c r="SQN890" s="124"/>
      <c r="SQO890" s="124"/>
      <c r="SQP890" s="124"/>
      <c r="SQQ890" s="124"/>
      <c r="SQR890" s="124"/>
      <c r="SQS890" s="124"/>
      <c r="SQT890" s="124"/>
      <c r="SQU890" s="124"/>
      <c r="SQV890" s="124"/>
      <c r="SQW890" s="124"/>
      <c r="SQX890" s="124"/>
      <c r="SQY890" s="124"/>
      <c r="SQZ890" s="124"/>
      <c r="SRA890" s="124"/>
      <c r="SRB890" s="124"/>
      <c r="SRC890" s="124"/>
      <c r="SRD890" s="124"/>
      <c r="SRE890" s="124"/>
      <c r="SRF890" s="124"/>
      <c r="SRG890" s="124"/>
      <c r="SRH890" s="124"/>
      <c r="SRI890" s="124"/>
      <c r="SRJ890" s="124"/>
      <c r="SRK890" s="124"/>
      <c r="SRL890" s="124"/>
      <c r="SRM890" s="124"/>
      <c r="SRN890" s="124"/>
      <c r="SRO890" s="124"/>
      <c r="SRP890" s="124"/>
      <c r="SRQ890" s="124"/>
      <c r="SRR890" s="124"/>
      <c r="SRS890" s="124"/>
      <c r="SRT890" s="124"/>
      <c r="SRU890" s="124"/>
      <c r="SRV890" s="124"/>
      <c r="SRW890" s="124"/>
      <c r="SRX890" s="124"/>
      <c r="SRY890" s="124"/>
      <c r="SRZ890" s="124"/>
      <c r="SSA890" s="124"/>
      <c r="SSB890" s="124"/>
      <c r="SSC890" s="124"/>
      <c r="SSD890" s="124"/>
      <c r="SSE890" s="124"/>
      <c r="SSF890" s="124"/>
      <c r="SSG890" s="124"/>
      <c r="SSH890" s="124"/>
      <c r="SSI890" s="124"/>
      <c r="SSJ890" s="124"/>
      <c r="SSK890" s="124"/>
      <c r="SSL890" s="124"/>
      <c r="SSM890" s="124"/>
      <c r="SSN890" s="124"/>
      <c r="SSO890" s="124"/>
      <c r="SSP890" s="124"/>
      <c r="SSQ890" s="124"/>
      <c r="SSR890" s="124"/>
      <c r="SSS890" s="124"/>
      <c r="SST890" s="124"/>
      <c r="SSU890" s="124"/>
      <c r="SSV890" s="124"/>
      <c r="SSW890" s="124"/>
      <c r="SSX890" s="124"/>
      <c r="SSY890" s="124"/>
      <c r="SSZ890" s="124"/>
      <c r="STA890" s="124"/>
      <c r="STB890" s="124"/>
      <c r="STC890" s="124"/>
      <c r="STD890" s="124"/>
      <c r="STE890" s="124"/>
      <c r="STF890" s="124"/>
      <c r="STG890" s="124"/>
      <c r="STH890" s="124"/>
      <c r="STI890" s="124"/>
      <c r="STJ890" s="124"/>
      <c r="STK890" s="124"/>
      <c r="STL890" s="124"/>
      <c r="STM890" s="124"/>
      <c r="STN890" s="124"/>
      <c r="STO890" s="124"/>
      <c r="STP890" s="124"/>
      <c r="STQ890" s="124"/>
      <c r="STR890" s="124"/>
      <c r="STS890" s="124"/>
      <c r="STT890" s="124"/>
      <c r="STU890" s="124"/>
      <c r="STV890" s="124"/>
      <c r="STW890" s="124"/>
      <c r="STX890" s="124"/>
      <c r="STY890" s="124"/>
      <c r="STZ890" s="124"/>
      <c r="SUA890" s="124"/>
      <c r="SUB890" s="124"/>
      <c r="SUC890" s="124"/>
      <c r="SUD890" s="124"/>
      <c r="SUE890" s="124"/>
      <c r="SUF890" s="124"/>
      <c r="SUG890" s="124"/>
      <c r="SUH890" s="124"/>
      <c r="SUI890" s="124"/>
      <c r="SUJ890" s="124"/>
      <c r="SUK890" s="124"/>
      <c r="SUL890" s="124"/>
      <c r="SUM890" s="124"/>
      <c r="SUN890" s="124"/>
      <c r="SUO890" s="124"/>
      <c r="SUP890" s="124"/>
      <c r="SUQ890" s="124"/>
      <c r="SUR890" s="124"/>
      <c r="SUS890" s="124"/>
      <c r="SUT890" s="124"/>
      <c r="SUU890" s="124"/>
      <c r="SUV890" s="124"/>
      <c r="SUW890" s="124"/>
      <c r="SUX890" s="124"/>
      <c r="SUY890" s="124"/>
      <c r="SUZ890" s="124"/>
      <c r="SVA890" s="124"/>
      <c r="SVB890" s="124"/>
      <c r="SVC890" s="124"/>
      <c r="SVD890" s="124"/>
      <c r="SVE890" s="124"/>
      <c r="SVF890" s="124"/>
      <c r="SVG890" s="124"/>
      <c r="SVH890" s="124"/>
      <c r="SVI890" s="124"/>
      <c r="SVJ890" s="124"/>
      <c r="SVK890" s="124"/>
      <c r="SVL890" s="124"/>
      <c r="SVM890" s="124"/>
      <c r="SVN890" s="124"/>
      <c r="SVO890" s="124"/>
      <c r="SVP890" s="124"/>
      <c r="SVQ890" s="124"/>
      <c r="SVR890" s="124"/>
      <c r="SVS890" s="124"/>
      <c r="SVT890" s="124"/>
      <c r="SVU890" s="124"/>
      <c r="SVV890" s="124"/>
      <c r="SVW890" s="124"/>
      <c r="SVX890" s="124"/>
      <c r="SVY890" s="124"/>
      <c r="SVZ890" s="124"/>
      <c r="SWA890" s="124"/>
      <c r="SWB890" s="124"/>
      <c r="SWC890" s="124"/>
      <c r="SWD890" s="124"/>
      <c r="SWE890" s="124"/>
      <c r="SWF890" s="124"/>
      <c r="SWG890" s="124"/>
      <c r="SWH890" s="124"/>
      <c r="SWI890" s="124"/>
      <c r="SWJ890" s="124"/>
      <c r="SWK890" s="124"/>
      <c r="SWL890" s="124"/>
      <c r="SWM890" s="124"/>
      <c r="SWN890" s="124"/>
      <c r="SWO890" s="124"/>
      <c r="SWP890" s="124"/>
      <c r="SWQ890" s="124"/>
      <c r="SWR890" s="124"/>
      <c r="SWS890" s="124"/>
      <c r="SWT890" s="124"/>
      <c r="SWU890" s="124"/>
      <c r="SWV890" s="124"/>
      <c r="SWW890" s="124"/>
      <c r="SWX890" s="124"/>
      <c r="SWY890" s="124"/>
      <c r="SWZ890" s="124"/>
      <c r="SXA890" s="124"/>
      <c r="SXB890" s="124"/>
      <c r="SXC890" s="124"/>
      <c r="SXD890" s="124"/>
      <c r="SXE890" s="124"/>
      <c r="SXF890" s="124"/>
      <c r="SXG890" s="124"/>
      <c r="SXH890" s="124"/>
      <c r="SXI890" s="124"/>
      <c r="SXJ890" s="124"/>
      <c r="SXK890" s="124"/>
      <c r="SXL890" s="124"/>
      <c r="SXM890" s="124"/>
      <c r="SXN890" s="124"/>
      <c r="SXO890" s="124"/>
      <c r="SXP890" s="124"/>
      <c r="SXQ890" s="124"/>
      <c r="SXR890" s="124"/>
      <c r="SXS890" s="124"/>
      <c r="SXT890" s="124"/>
      <c r="SXU890" s="124"/>
      <c r="SXV890" s="124"/>
      <c r="SXW890" s="124"/>
      <c r="SXX890" s="124"/>
      <c r="SXY890" s="124"/>
      <c r="SXZ890" s="124"/>
      <c r="SYA890" s="124"/>
      <c r="SYB890" s="124"/>
      <c r="SYC890" s="124"/>
      <c r="SYD890" s="124"/>
      <c r="SYE890" s="124"/>
      <c r="SYF890" s="124"/>
      <c r="SYG890" s="124"/>
      <c r="SYH890" s="124"/>
      <c r="SYI890" s="124"/>
      <c r="SYJ890" s="124"/>
      <c r="SYK890" s="124"/>
      <c r="SYL890" s="124"/>
      <c r="SYM890" s="124"/>
      <c r="SYN890" s="124"/>
      <c r="SYO890" s="124"/>
      <c r="SYP890" s="124"/>
      <c r="SYQ890" s="124"/>
      <c r="SYR890" s="124"/>
      <c r="SYS890" s="124"/>
      <c r="SYT890" s="124"/>
      <c r="SYU890" s="124"/>
      <c r="SYV890" s="124"/>
      <c r="SYW890" s="124"/>
      <c r="SYX890" s="124"/>
      <c r="SYY890" s="124"/>
      <c r="SYZ890" s="124"/>
      <c r="SZA890" s="124"/>
      <c r="SZB890" s="124"/>
      <c r="SZC890" s="124"/>
      <c r="SZD890" s="124"/>
      <c r="SZE890" s="124"/>
      <c r="SZF890" s="124"/>
      <c r="SZG890" s="124"/>
      <c r="SZH890" s="124"/>
      <c r="SZI890" s="124"/>
      <c r="SZJ890" s="124"/>
      <c r="SZK890" s="124"/>
      <c r="SZL890" s="124"/>
      <c r="SZM890" s="124"/>
      <c r="SZN890" s="124"/>
      <c r="SZO890" s="124"/>
      <c r="SZP890" s="124"/>
      <c r="SZQ890" s="124"/>
      <c r="SZR890" s="124"/>
      <c r="SZS890" s="124"/>
      <c r="SZT890" s="124"/>
      <c r="SZU890" s="124"/>
      <c r="SZV890" s="124"/>
      <c r="SZW890" s="124"/>
      <c r="SZX890" s="124"/>
      <c r="SZY890" s="124"/>
      <c r="SZZ890" s="124"/>
      <c r="TAA890" s="124"/>
      <c r="TAB890" s="124"/>
      <c r="TAC890" s="124"/>
      <c r="TAD890" s="124"/>
      <c r="TAE890" s="124"/>
      <c r="TAF890" s="124"/>
      <c r="TAG890" s="124"/>
      <c r="TAH890" s="124"/>
      <c r="TAI890" s="124"/>
      <c r="TAJ890" s="124"/>
      <c r="TAK890" s="124"/>
      <c r="TAL890" s="124"/>
      <c r="TAM890" s="124"/>
      <c r="TAN890" s="124"/>
      <c r="TAO890" s="124"/>
      <c r="TAP890" s="124"/>
      <c r="TAQ890" s="124"/>
      <c r="TAR890" s="124"/>
      <c r="TAS890" s="124"/>
      <c r="TAT890" s="124"/>
      <c r="TAU890" s="124"/>
      <c r="TAV890" s="124"/>
      <c r="TAW890" s="124"/>
      <c r="TAX890" s="124"/>
      <c r="TAY890" s="124"/>
      <c r="TAZ890" s="124"/>
      <c r="TBA890" s="124"/>
      <c r="TBB890" s="124"/>
      <c r="TBC890" s="124"/>
      <c r="TBD890" s="124"/>
      <c r="TBE890" s="124"/>
      <c r="TBF890" s="124"/>
      <c r="TBG890" s="124"/>
      <c r="TBH890" s="124"/>
      <c r="TBI890" s="124"/>
      <c r="TBJ890" s="124"/>
      <c r="TBK890" s="124"/>
      <c r="TBL890" s="124"/>
      <c r="TBM890" s="124"/>
      <c r="TBN890" s="124"/>
      <c r="TBO890" s="124"/>
      <c r="TBP890" s="124"/>
      <c r="TBQ890" s="124"/>
      <c r="TBR890" s="124"/>
      <c r="TBS890" s="124"/>
      <c r="TBT890" s="124"/>
      <c r="TBU890" s="124"/>
      <c r="TBV890" s="124"/>
      <c r="TBW890" s="124"/>
      <c r="TBX890" s="124"/>
      <c r="TBY890" s="124"/>
      <c r="TBZ890" s="124"/>
      <c r="TCA890" s="124"/>
      <c r="TCB890" s="124"/>
      <c r="TCC890" s="124"/>
      <c r="TCD890" s="124"/>
      <c r="TCE890" s="124"/>
      <c r="TCF890" s="124"/>
      <c r="TCG890" s="124"/>
      <c r="TCH890" s="124"/>
      <c r="TCI890" s="124"/>
      <c r="TCJ890" s="124"/>
      <c r="TCK890" s="124"/>
      <c r="TCL890" s="124"/>
      <c r="TCM890" s="124"/>
      <c r="TCN890" s="124"/>
      <c r="TCO890" s="124"/>
      <c r="TCP890" s="124"/>
      <c r="TCQ890" s="124"/>
      <c r="TCR890" s="124"/>
      <c r="TCS890" s="124"/>
      <c r="TCT890" s="124"/>
      <c r="TCU890" s="124"/>
      <c r="TCV890" s="124"/>
      <c r="TCW890" s="124"/>
      <c r="TCX890" s="124"/>
      <c r="TCY890" s="124"/>
      <c r="TCZ890" s="124"/>
      <c r="TDA890" s="124"/>
      <c r="TDB890" s="124"/>
      <c r="TDC890" s="124"/>
      <c r="TDD890" s="124"/>
      <c r="TDE890" s="124"/>
      <c r="TDF890" s="124"/>
      <c r="TDG890" s="124"/>
      <c r="TDH890" s="124"/>
      <c r="TDI890" s="124"/>
      <c r="TDJ890" s="124"/>
      <c r="TDK890" s="124"/>
      <c r="TDL890" s="124"/>
      <c r="TDM890" s="124"/>
      <c r="TDN890" s="124"/>
      <c r="TDO890" s="124"/>
      <c r="TDP890" s="124"/>
      <c r="TDQ890" s="124"/>
      <c r="TDR890" s="124"/>
      <c r="TDS890" s="124"/>
      <c r="TDT890" s="124"/>
      <c r="TDU890" s="124"/>
      <c r="TDV890" s="124"/>
      <c r="TDW890" s="124"/>
      <c r="TDX890" s="124"/>
      <c r="TDY890" s="124"/>
      <c r="TDZ890" s="124"/>
      <c r="TEA890" s="124"/>
      <c r="TEB890" s="124"/>
      <c r="TEC890" s="124"/>
      <c r="TED890" s="124"/>
      <c r="TEE890" s="124"/>
      <c r="TEF890" s="124"/>
      <c r="TEG890" s="124"/>
      <c r="TEH890" s="124"/>
      <c r="TEI890" s="124"/>
      <c r="TEJ890" s="124"/>
      <c r="TEK890" s="124"/>
      <c r="TEL890" s="124"/>
      <c r="TEM890" s="124"/>
      <c r="TEN890" s="124"/>
      <c r="TEO890" s="124"/>
      <c r="TEP890" s="124"/>
      <c r="TEQ890" s="124"/>
      <c r="TER890" s="124"/>
      <c r="TES890" s="124"/>
      <c r="TET890" s="124"/>
      <c r="TEU890" s="124"/>
      <c r="TEV890" s="124"/>
      <c r="TEW890" s="124"/>
      <c r="TEX890" s="124"/>
      <c r="TEY890" s="124"/>
      <c r="TEZ890" s="124"/>
      <c r="TFA890" s="124"/>
      <c r="TFB890" s="124"/>
      <c r="TFC890" s="124"/>
      <c r="TFD890" s="124"/>
      <c r="TFE890" s="124"/>
      <c r="TFF890" s="124"/>
      <c r="TFG890" s="124"/>
      <c r="TFH890" s="124"/>
      <c r="TFI890" s="124"/>
      <c r="TFJ890" s="124"/>
      <c r="TFK890" s="124"/>
      <c r="TFL890" s="124"/>
      <c r="TFM890" s="124"/>
      <c r="TFN890" s="124"/>
      <c r="TFO890" s="124"/>
      <c r="TFP890" s="124"/>
      <c r="TFQ890" s="124"/>
      <c r="TFR890" s="124"/>
      <c r="TFS890" s="124"/>
      <c r="TFT890" s="124"/>
      <c r="TFU890" s="124"/>
      <c r="TFV890" s="124"/>
      <c r="TFW890" s="124"/>
      <c r="TFX890" s="124"/>
      <c r="TFY890" s="124"/>
      <c r="TFZ890" s="124"/>
      <c r="TGA890" s="124"/>
      <c r="TGB890" s="124"/>
      <c r="TGC890" s="124"/>
      <c r="TGD890" s="124"/>
      <c r="TGE890" s="124"/>
      <c r="TGF890" s="124"/>
      <c r="TGG890" s="124"/>
      <c r="TGH890" s="124"/>
      <c r="TGI890" s="124"/>
      <c r="TGJ890" s="124"/>
      <c r="TGK890" s="124"/>
      <c r="TGL890" s="124"/>
      <c r="TGM890" s="124"/>
      <c r="TGN890" s="124"/>
      <c r="TGO890" s="124"/>
      <c r="TGP890" s="124"/>
      <c r="TGQ890" s="124"/>
      <c r="TGR890" s="124"/>
      <c r="TGS890" s="124"/>
      <c r="TGT890" s="124"/>
      <c r="TGU890" s="124"/>
      <c r="TGV890" s="124"/>
      <c r="TGW890" s="124"/>
      <c r="TGX890" s="124"/>
      <c r="TGY890" s="124"/>
      <c r="TGZ890" s="124"/>
      <c r="THA890" s="124"/>
      <c r="THB890" s="124"/>
      <c r="THC890" s="124"/>
      <c r="THD890" s="124"/>
      <c r="THE890" s="124"/>
      <c r="THF890" s="124"/>
      <c r="THG890" s="124"/>
      <c r="THH890" s="124"/>
      <c r="THI890" s="124"/>
      <c r="THJ890" s="124"/>
      <c r="THK890" s="124"/>
      <c r="THL890" s="124"/>
      <c r="THM890" s="124"/>
      <c r="THN890" s="124"/>
      <c r="THO890" s="124"/>
      <c r="THP890" s="124"/>
      <c r="THQ890" s="124"/>
      <c r="THR890" s="124"/>
      <c r="THS890" s="124"/>
      <c r="THT890" s="124"/>
      <c r="THU890" s="124"/>
      <c r="THV890" s="124"/>
      <c r="THW890" s="124"/>
      <c r="THX890" s="124"/>
      <c r="THY890" s="124"/>
      <c r="THZ890" s="124"/>
      <c r="TIA890" s="124"/>
      <c r="TIB890" s="124"/>
      <c r="TIC890" s="124"/>
      <c r="TID890" s="124"/>
      <c r="TIE890" s="124"/>
      <c r="TIF890" s="124"/>
      <c r="TIG890" s="124"/>
      <c r="TIH890" s="124"/>
      <c r="TII890" s="124"/>
      <c r="TIJ890" s="124"/>
      <c r="TIK890" s="124"/>
      <c r="TIL890" s="124"/>
      <c r="TIM890" s="124"/>
      <c r="TIN890" s="124"/>
      <c r="TIO890" s="124"/>
      <c r="TIP890" s="124"/>
      <c r="TIQ890" s="124"/>
      <c r="TIR890" s="124"/>
      <c r="TIS890" s="124"/>
      <c r="TIT890" s="124"/>
      <c r="TIU890" s="124"/>
      <c r="TIV890" s="124"/>
      <c r="TIW890" s="124"/>
      <c r="TIX890" s="124"/>
      <c r="TIY890" s="124"/>
      <c r="TIZ890" s="124"/>
      <c r="TJA890" s="124"/>
      <c r="TJB890" s="124"/>
      <c r="TJC890" s="124"/>
      <c r="TJD890" s="124"/>
      <c r="TJE890" s="124"/>
      <c r="TJF890" s="124"/>
      <c r="TJG890" s="124"/>
      <c r="TJH890" s="124"/>
      <c r="TJI890" s="124"/>
      <c r="TJJ890" s="124"/>
      <c r="TJK890" s="124"/>
      <c r="TJL890" s="124"/>
      <c r="TJM890" s="124"/>
      <c r="TJN890" s="124"/>
      <c r="TJO890" s="124"/>
      <c r="TJP890" s="124"/>
      <c r="TJQ890" s="124"/>
      <c r="TJR890" s="124"/>
      <c r="TJS890" s="124"/>
      <c r="TJT890" s="124"/>
      <c r="TJU890" s="124"/>
      <c r="TJV890" s="124"/>
      <c r="TJW890" s="124"/>
      <c r="TJX890" s="124"/>
      <c r="TJY890" s="124"/>
      <c r="TJZ890" s="124"/>
      <c r="TKA890" s="124"/>
      <c r="TKB890" s="124"/>
      <c r="TKC890" s="124"/>
      <c r="TKD890" s="124"/>
      <c r="TKE890" s="124"/>
      <c r="TKF890" s="124"/>
      <c r="TKG890" s="124"/>
      <c r="TKH890" s="124"/>
      <c r="TKI890" s="124"/>
      <c r="TKJ890" s="124"/>
      <c r="TKK890" s="124"/>
      <c r="TKL890" s="124"/>
      <c r="TKM890" s="124"/>
      <c r="TKN890" s="124"/>
      <c r="TKO890" s="124"/>
      <c r="TKP890" s="124"/>
      <c r="TKQ890" s="124"/>
      <c r="TKR890" s="124"/>
      <c r="TKS890" s="124"/>
      <c r="TKT890" s="124"/>
      <c r="TKU890" s="124"/>
      <c r="TKV890" s="124"/>
      <c r="TKW890" s="124"/>
      <c r="TKX890" s="124"/>
      <c r="TKY890" s="124"/>
      <c r="TKZ890" s="124"/>
      <c r="TLA890" s="124"/>
      <c r="TLB890" s="124"/>
      <c r="TLC890" s="124"/>
      <c r="TLD890" s="124"/>
      <c r="TLE890" s="124"/>
      <c r="TLF890" s="124"/>
      <c r="TLG890" s="124"/>
      <c r="TLH890" s="124"/>
      <c r="TLI890" s="124"/>
      <c r="TLJ890" s="124"/>
      <c r="TLK890" s="124"/>
      <c r="TLL890" s="124"/>
      <c r="TLM890" s="124"/>
      <c r="TLN890" s="124"/>
      <c r="TLO890" s="124"/>
      <c r="TLP890" s="124"/>
      <c r="TLQ890" s="124"/>
      <c r="TLR890" s="124"/>
      <c r="TLS890" s="124"/>
      <c r="TLT890" s="124"/>
      <c r="TLU890" s="124"/>
      <c r="TLV890" s="124"/>
      <c r="TLW890" s="124"/>
      <c r="TLX890" s="124"/>
      <c r="TLY890" s="124"/>
      <c r="TLZ890" s="124"/>
      <c r="TMA890" s="124"/>
      <c r="TMB890" s="124"/>
      <c r="TMC890" s="124"/>
      <c r="TMD890" s="124"/>
      <c r="TME890" s="124"/>
      <c r="TMF890" s="124"/>
      <c r="TMG890" s="124"/>
      <c r="TMH890" s="124"/>
      <c r="TMI890" s="124"/>
      <c r="TMJ890" s="124"/>
      <c r="TMK890" s="124"/>
      <c r="TML890" s="124"/>
      <c r="TMM890" s="124"/>
      <c r="TMN890" s="124"/>
      <c r="TMO890" s="124"/>
      <c r="TMP890" s="124"/>
      <c r="TMQ890" s="124"/>
      <c r="TMR890" s="124"/>
      <c r="TMS890" s="124"/>
      <c r="TMT890" s="124"/>
      <c r="TMU890" s="124"/>
      <c r="TMV890" s="124"/>
      <c r="TMW890" s="124"/>
      <c r="TMX890" s="124"/>
      <c r="TMY890" s="124"/>
      <c r="TMZ890" s="124"/>
      <c r="TNA890" s="124"/>
      <c r="TNB890" s="124"/>
      <c r="TNC890" s="124"/>
      <c r="TND890" s="124"/>
      <c r="TNE890" s="124"/>
      <c r="TNF890" s="124"/>
      <c r="TNG890" s="124"/>
      <c r="TNH890" s="124"/>
      <c r="TNI890" s="124"/>
      <c r="TNJ890" s="124"/>
      <c r="TNK890" s="124"/>
      <c r="TNL890" s="124"/>
      <c r="TNM890" s="124"/>
      <c r="TNN890" s="124"/>
      <c r="TNO890" s="124"/>
      <c r="TNP890" s="124"/>
      <c r="TNQ890" s="124"/>
      <c r="TNR890" s="124"/>
      <c r="TNS890" s="124"/>
      <c r="TNT890" s="124"/>
      <c r="TNU890" s="124"/>
      <c r="TNV890" s="124"/>
      <c r="TNW890" s="124"/>
      <c r="TNX890" s="124"/>
      <c r="TNY890" s="124"/>
      <c r="TNZ890" s="124"/>
      <c r="TOA890" s="124"/>
      <c r="TOB890" s="124"/>
      <c r="TOC890" s="124"/>
      <c r="TOD890" s="124"/>
      <c r="TOE890" s="124"/>
      <c r="TOF890" s="124"/>
      <c r="TOG890" s="124"/>
      <c r="TOH890" s="124"/>
      <c r="TOI890" s="124"/>
      <c r="TOJ890" s="124"/>
      <c r="TOK890" s="124"/>
      <c r="TOL890" s="124"/>
      <c r="TOM890" s="124"/>
      <c r="TON890" s="124"/>
      <c r="TOO890" s="124"/>
      <c r="TOP890" s="124"/>
      <c r="TOQ890" s="124"/>
      <c r="TOR890" s="124"/>
      <c r="TOS890" s="124"/>
      <c r="TOT890" s="124"/>
      <c r="TOU890" s="124"/>
      <c r="TOV890" s="124"/>
      <c r="TOW890" s="124"/>
      <c r="TOX890" s="124"/>
      <c r="TOY890" s="124"/>
      <c r="TOZ890" s="124"/>
      <c r="TPA890" s="124"/>
      <c r="TPB890" s="124"/>
      <c r="TPC890" s="124"/>
      <c r="TPD890" s="124"/>
      <c r="TPE890" s="124"/>
      <c r="TPF890" s="124"/>
      <c r="TPG890" s="124"/>
      <c r="TPH890" s="124"/>
      <c r="TPI890" s="124"/>
      <c r="TPJ890" s="124"/>
      <c r="TPK890" s="124"/>
      <c r="TPL890" s="124"/>
      <c r="TPM890" s="124"/>
      <c r="TPN890" s="124"/>
      <c r="TPO890" s="124"/>
      <c r="TPP890" s="124"/>
      <c r="TPQ890" s="124"/>
      <c r="TPR890" s="124"/>
      <c r="TPS890" s="124"/>
      <c r="TPT890" s="124"/>
      <c r="TPU890" s="124"/>
      <c r="TPV890" s="124"/>
      <c r="TPW890" s="124"/>
      <c r="TPX890" s="124"/>
      <c r="TPY890" s="124"/>
      <c r="TPZ890" s="124"/>
      <c r="TQA890" s="124"/>
      <c r="TQB890" s="124"/>
      <c r="TQC890" s="124"/>
      <c r="TQD890" s="124"/>
      <c r="TQE890" s="124"/>
      <c r="TQF890" s="124"/>
      <c r="TQG890" s="124"/>
      <c r="TQH890" s="124"/>
      <c r="TQI890" s="124"/>
      <c r="TQJ890" s="124"/>
      <c r="TQK890" s="124"/>
      <c r="TQL890" s="124"/>
      <c r="TQM890" s="124"/>
      <c r="TQN890" s="124"/>
      <c r="TQO890" s="124"/>
      <c r="TQP890" s="124"/>
      <c r="TQQ890" s="124"/>
      <c r="TQR890" s="124"/>
      <c r="TQS890" s="124"/>
      <c r="TQT890" s="124"/>
      <c r="TQU890" s="124"/>
      <c r="TQV890" s="124"/>
      <c r="TQW890" s="124"/>
      <c r="TQX890" s="124"/>
      <c r="TQY890" s="124"/>
      <c r="TQZ890" s="124"/>
      <c r="TRA890" s="124"/>
      <c r="TRB890" s="124"/>
      <c r="TRC890" s="124"/>
      <c r="TRD890" s="124"/>
      <c r="TRE890" s="124"/>
      <c r="TRF890" s="124"/>
      <c r="TRG890" s="124"/>
      <c r="TRH890" s="124"/>
      <c r="TRI890" s="124"/>
      <c r="TRJ890" s="124"/>
      <c r="TRK890" s="124"/>
      <c r="TRL890" s="124"/>
      <c r="TRM890" s="124"/>
      <c r="TRN890" s="124"/>
      <c r="TRO890" s="124"/>
      <c r="TRP890" s="124"/>
      <c r="TRQ890" s="124"/>
      <c r="TRR890" s="124"/>
      <c r="TRS890" s="124"/>
      <c r="TRT890" s="124"/>
      <c r="TRU890" s="124"/>
      <c r="TRV890" s="124"/>
      <c r="TRW890" s="124"/>
      <c r="TRX890" s="124"/>
      <c r="TRY890" s="124"/>
      <c r="TRZ890" s="124"/>
      <c r="TSA890" s="124"/>
      <c r="TSB890" s="124"/>
      <c r="TSC890" s="124"/>
      <c r="TSD890" s="124"/>
      <c r="TSE890" s="124"/>
      <c r="TSF890" s="124"/>
      <c r="TSG890" s="124"/>
      <c r="TSH890" s="124"/>
      <c r="TSI890" s="124"/>
      <c r="TSJ890" s="124"/>
      <c r="TSK890" s="124"/>
      <c r="TSL890" s="124"/>
      <c r="TSM890" s="124"/>
      <c r="TSN890" s="124"/>
      <c r="TSO890" s="124"/>
      <c r="TSP890" s="124"/>
      <c r="TSQ890" s="124"/>
      <c r="TSR890" s="124"/>
      <c r="TSS890" s="124"/>
      <c r="TST890" s="124"/>
      <c r="TSU890" s="124"/>
      <c r="TSV890" s="124"/>
      <c r="TSW890" s="124"/>
      <c r="TSX890" s="124"/>
      <c r="TSY890" s="124"/>
      <c r="TSZ890" s="124"/>
      <c r="TTA890" s="124"/>
      <c r="TTB890" s="124"/>
      <c r="TTC890" s="124"/>
      <c r="TTD890" s="124"/>
      <c r="TTE890" s="124"/>
      <c r="TTF890" s="124"/>
      <c r="TTG890" s="124"/>
      <c r="TTH890" s="124"/>
      <c r="TTI890" s="124"/>
      <c r="TTJ890" s="124"/>
      <c r="TTK890" s="124"/>
      <c r="TTL890" s="124"/>
      <c r="TTM890" s="124"/>
      <c r="TTN890" s="124"/>
      <c r="TTO890" s="124"/>
      <c r="TTP890" s="124"/>
      <c r="TTQ890" s="124"/>
      <c r="TTR890" s="124"/>
      <c r="TTS890" s="124"/>
      <c r="TTT890" s="124"/>
      <c r="TTU890" s="124"/>
      <c r="TTV890" s="124"/>
      <c r="TTW890" s="124"/>
      <c r="TTX890" s="124"/>
      <c r="TTY890" s="124"/>
      <c r="TTZ890" s="124"/>
      <c r="TUA890" s="124"/>
      <c r="TUB890" s="124"/>
      <c r="TUC890" s="124"/>
      <c r="TUD890" s="124"/>
      <c r="TUE890" s="124"/>
      <c r="TUF890" s="124"/>
      <c r="TUG890" s="124"/>
      <c r="TUH890" s="124"/>
      <c r="TUI890" s="124"/>
      <c r="TUJ890" s="124"/>
      <c r="TUK890" s="124"/>
      <c r="TUL890" s="124"/>
      <c r="TUM890" s="124"/>
      <c r="TUN890" s="124"/>
      <c r="TUO890" s="124"/>
      <c r="TUP890" s="124"/>
      <c r="TUQ890" s="124"/>
      <c r="TUR890" s="124"/>
      <c r="TUS890" s="124"/>
      <c r="TUT890" s="124"/>
      <c r="TUU890" s="124"/>
      <c r="TUV890" s="124"/>
      <c r="TUW890" s="124"/>
      <c r="TUX890" s="124"/>
      <c r="TUY890" s="124"/>
      <c r="TUZ890" s="124"/>
      <c r="TVA890" s="124"/>
      <c r="TVB890" s="124"/>
      <c r="TVC890" s="124"/>
      <c r="TVD890" s="124"/>
      <c r="TVE890" s="124"/>
      <c r="TVF890" s="124"/>
      <c r="TVG890" s="124"/>
      <c r="TVH890" s="124"/>
      <c r="TVI890" s="124"/>
      <c r="TVJ890" s="124"/>
      <c r="TVK890" s="124"/>
      <c r="TVL890" s="124"/>
      <c r="TVM890" s="124"/>
      <c r="TVN890" s="124"/>
      <c r="TVO890" s="124"/>
      <c r="TVP890" s="124"/>
      <c r="TVQ890" s="124"/>
      <c r="TVR890" s="124"/>
      <c r="TVS890" s="124"/>
      <c r="TVT890" s="124"/>
      <c r="TVU890" s="124"/>
      <c r="TVV890" s="124"/>
      <c r="TVW890" s="124"/>
      <c r="TVX890" s="124"/>
      <c r="TVY890" s="124"/>
      <c r="TVZ890" s="124"/>
      <c r="TWA890" s="124"/>
      <c r="TWB890" s="124"/>
      <c r="TWC890" s="124"/>
      <c r="TWD890" s="124"/>
      <c r="TWE890" s="124"/>
      <c r="TWF890" s="124"/>
      <c r="TWG890" s="124"/>
      <c r="TWH890" s="124"/>
      <c r="TWI890" s="124"/>
      <c r="TWJ890" s="124"/>
      <c r="TWK890" s="124"/>
      <c r="TWL890" s="124"/>
      <c r="TWM890" s="124"/>
      <c r="TWN890" s="124"/>
      <c r="TWO890" s="124"/>
      <c r="TWP890" s="124"/>
      <c r="TWQ890" s="124"/>
      <c r="TWR890" s="124"/>
      <c r="TWS890" s="124"/>
      <c r="TWT890" s="124"/>
      <c r="TWU890" s="124"/>
      <c r="TWV890" s="124"/>
      <c r="TWW890" s="124"/>
      <c r="TWX890" s="124"/>
      <c r="TWY890" s="124"/>
      <c r="TWZ890" s="124"/>
      <c r="TXA890" s="124"/>
      <c r="TXB890" s="124"/>
      <c r="TXC890" s="124"/>
      <c r="TXD890" s="124"/>
      <c r="TXE890" s="124"/>
      <c r="TXF890" s="124"/>
      <c r="TXG890" s="124"/>
      <c r="TXH890" s="124"/>
      <c r="TXI890" s="124"/>
      <c r="TXJ890" s="124"/>
      <c r="TXK890" s="124"/>
      <c r="TXL890" s="124"/>
      <c r="TXM890" s="124"/>
      <c r="TXN890" s="124"/>
      <c r="TXO890" s="124"/>
      <c r="TXP890" s="124"/>
      <c r="TXQ890" s="124"/>
      <c r="TXR890" s="124"/>
      <c r="TXS890" s="124"/>
      <c r="TXT890" s="124"/>
      <c r="TXU890" s="124"/>
      <c r="TXV890" s="124"/>
      <c r="TXW890" s="124"/>
      <c r="TXX890" s="124"/>
      <c r="TXY890" s="124"/>
      <c r="TXZ890" s="124"/>
      <c r="TYA890" s="124"/>
      <c r="TYB890" s="124"/>
      <c r="TYC890" s="124"/>
      <c r="TYD890" s="124"/>
      <c r="TYE890" s="124"/>
      <c r="TYF890" s="124"/>
      <c r="TYG890" s="124"/>
      <c r="TYH890" s="124"/>
      <c r="TYI890" s="124"/>
      <c r="TYJ890" s="124"/>
      <c r="TYK890" s="124"/>
      <c r="TYL890" s="124"/>
      <c r="TYM890" s="124"/>
      <c r="TYN890" s="124"/>
      <c r="TYO890" s="124"/>
      <c r="TYP890" s="124"/>
      <c r="TYQ890" s="124"/>
      <c r="TYR890" s="124"/>
      <c r="TYS890" s="124"/>
      <c r="TYT890" s="124"/>
      <c r="TYU890" s="124"/>
      <c r="TYV890" s="124"/>
      <c r="TYW890" s="124"/>
      <c r="TYX890" s="124"/>
      <c r="TYY890" s="124"/>
      <c r="TYZ890" s="124"/>
      <c r="TZA890" s="124"/>
      <c r="TZB890" s="124"/>
      <c r="TZC890" s="124"/>
      <c r="TZD890" s="124"/>
      <c r="TZE890" s="124"/>
      <c r="TZF890" s="124"/>
      <c r="TZG890" s="124"/>
      <c r="TZH890" s="124"/>
      <c r="TZI890" s="124"/>
      <c r="TZJ890" s="124"/>
      <c r="TZK890" s="124"/>
      <c r="TZL890" s="124"/>
      <c r="TZM890" s="124"/>
      <c r="TZN890" s="124"/>
      <c r="TZO890" s="124"/>
      <c r="TZP890" s="124"/>
      <c r="TZQ890" s="124"/>
      <c r="TZR890" s="124"/>
      <c r="TZS890" s="124"/>
      <c r="TZT890" s="124"/>
      <c r="TZU890" s="124"/>
      <c r="TZV890" s="124"/>
      <c r="TZW890" s="124"/>
      <c r="TZX890" s="124"/>
      <c r="TZY890" s="124"/>
      <c r="TZZ890" s="124"/>
      <c r="UAA890" s="124"/>
      <c r="UAB890" s="124"/>
      <c r="UAC890" s="124"/>
      <c r="UAD890" s="124"/>
      <c r="UAE890" s="124"/>
      <c r="UAF890" s="124"/>
      <c r="UAG890" s="124"/>
      <c r="UAH890" s="124"/>
      <c r="UAI890" s="124"/>
      <c r="UAJ890" s="124"/>
      <c r="UAK890" s="124"/>
      <c r="UAL890" s="124"/>
      <c r="UAM890" s="124"/>
      <c r="UAN890" s="124"/>
      <c r="UAO890" s="124"/>
      <c r="UAP890" s="124"/>
      <c r="UAQ890" s="124"/>
      <c r="UAR890" s="124"/>
      <c r="UAS890" s="124"/>
      <c r="UAT890" s="124"/>
      <c r="UAU890" s="124"/>
      <c r="UAV890" s="124"/>
      <c r="UAW890" s="124"/>
      <c r="UAX890" s="124"/>
      <c r="UAY890" s="124"/>
      <c r="UAZ890" s="124"/>
      <c r="UBA890" s="124"/>
      <c r="UBB890" s="124"/>
      <c r="UBC890" s="124"/>
      <c r="UBD890" s="124"/>
      <c r="UBE890" s="124"/>
      <c r="UBF890" s="124"/>
      <c r="UBG890" s="124"/>
      <c r="UBH890" s="124"/>
      <c r="UBI890" s="124"/>
      <c r="UBJ890" s="124"/>
      <c r="UBK890" s="124"/>
      <c r="UBL890" s="124"/>
      <c r="UBM890" s="124"/>
      <c r="UBN890" s="124"/>
      <c r="UBO890" s="124"/>
      <c r="UBP890" s="124"/>
      <c r="UBQ890" s="124"/>
      <c r="UBR890" s="124"/>
      <c r="UBS890" s="124"/>
      <c r="UBT890" s="124"/>
      <c r="UBU890" s="124"/>
      <c r="UBV890" s="124"/>
      <c r="UBW890" s="124"/>
      <c r="UBX890" s="124"/>
      <c r="UBY890" s="124"/>
      <c r="UBZ890" s="124"/>
      <c r="UCA890" s="124"/>
      <c r="UCB890" s="124"/>
      <c r="UCC890" s="124"/>
      <c r="UCD890" s="124"/>
      <c r="UCE890" s="124"/>
      <c r="UCF890" s="124"/>
      <c r="UCG890" s="124"/>
      <c r="UCH890" s="124"/>
      <c r="UCI890" s="124"/>
      <c r="UCJ890" s="124"/>
      <c r="UCK890" s="124"/>
      <c r="UCL890" s="124"/>
      <c r="UCM890" s="124"/>
      <c r="UCN890" s="124"/>
      <c r="UCO890" s="124"/>
      <c r="UCP890" s="124"/>
      <c r="UCQ890" s="124"/>
      <c r="UCR890" s="124"/>
      <c r="UCS890" s="124"/>
      <c r="UCT890" s="124"/>
      <c r="UCU890" s="124"/>
      <c r="UCV890" s="124"/>
      <c r="UCW890" s="124"/>
      <c r="UCX890" s="124"/>
      <c r="UCY890" s="124"/>
      <c r="UCZ890" s="124"/>
      <c r="UDA890" s="124"/>
      <c r="UDB890" s="124"/>
      <c r="UDC890" s="124"/>
      <c r="UDD890" s="124"/>
      <c r="UDE890" s="124"/>
      <c r="UDF890" s="124"/>
      <c r="UDG890" s="124"/>
      <c r="UDH890" s="124"/>
      <c r="UDI890" s="124"/>
      <c r="UDJ890" s="124"/>
      <c r="UDK890" s="124"/>
      <c r="UDL890" s="124"/>
      <c r="UDM890" s="124"/>
      <c r="UDN890" s="124"/>
      <c r="UDO890" s="124"/>
      <c r="UDP890" s="124"/>
      <c r="UDQ890" s="124"/>
      <c r="UDR890" s="124"/>
      <c r="UDS890" s="124"/>
      <c r="UDT890" s="124"/>
      <c r="UDU890" s="124"/>
      <c r="UDV890" s="124"/>
      <c r="UDW890" s="124"/>
      <c r="UDX890" s="124"/>
      <c r="UDY890" s="124"/>
      <c r="UDZ890" s="124"/>
      <c r="UEA890" s="124"/>
      <c r="UEB890" s="124"/>
      <c r="UEC890" s="124"/>
      <c r="UED890" s="124"/>
      <c r="UEE890" s="124"/>
      <c r="UEF890" s="124"/>
      <c r="UEG890" s="124"/>
      <c r="UEH890" s="124"/>
      <c r="UEI890" s="124"/>
      <c r="UEJ890" s="124"/>
      <c r="UEK890" s="124"/>
      <c r="UEL890" s="124"/>
      <c r="UEM890" s="124"/>
      <c r="UEN890" s="124"/>
      <c r="UEO890" s="124"/>
      <c r="UEP890" s="124"/>
      <c r="UEQ890" s="124"/>
      <c r="UER890" s="124"/>
      <c r="UES890" s="124"/>
      <c r="UET890" s="124"/>
      <c r="UEU890" s="124"/>
      <c r="UEV890" s="124"/>
      <c r="UEW890" s="124"/>
      <c r="UEX890" s="124"/>
      <c r="UEY890" s="124"/>
      <c r="UEZ890" s="124"/>
      <c r="UFA890" s="124"/>
      <c r="UFB890" s="124"/>
      <c r="UFC890" s="124"/>
      <c r="UFD890" s="124"/>
      <c r="UFE890" s="124"/>
      <c r="UFF890" s="124"/>
      <c r="UFG890" s="124"/>
      <c r="UFH890" s="124"/>
      <c r="UFI890" s="124"/>
      <c r="UFJ890" s="124"/>
      <c r="UFK890" s="124"/>
      <c r="UFL890" s="124"/>
      <c r="UFM890" s="124"/>
      <c r="UFN890" s="124"/>
      <c r="UFO890" s="124"/>
      <c r="UFP890" s="124"/>
      <c r="UFQ890" s="124"/>
      <c r="UFR890" s="124"/>
      <c r="UFS890" s="124"/>
      <c r="UFT890" s="124"/>
      <c r="UFU890" s="124"/>
      <c r="UFV890" s="124"/>
      <c r="UFW890" s="124"/>
      <c r="UFX890" s="124"/>
      <c r="UFY890" s="124"/>
      <c r="UFZ890" s="124"/>
      <c r="UGA890" s="124"/>
      <c r="UGB890" s="124"/>
      <c r="UGC890" s="124"/>
      <c r="UGD890" s="124"/>
      <c r="UGE890" s="124"/>
      <c r="UGF890" s="124"/>
      <c r="UGG890" s="124"/>
      <c r="UGH890" s="124"/>
      <c r="UGI890" s="124"/>
      <c r="UGJ890" s="124"/>
      <c r="UGK890" s="124"/>
      <c r="UGL890" s="124"/>
      <c r="UGM890" s="124"/>
      <c r="UGN890" s="124"/>
      <c r="UGO890" s="124"/>
      <c r="UGP890" s="124"/>
      <c r="UGQ890" s="124"/>
      <c r="UGR890" s="124"/>
      <c r="UGS890" s="124"/>
      <c r="UGT890" s="124"/>
      <c r="UGU890" s="124"/>
      <c r="UGV890" s="124"/>
      <c r="UGW890" s="124"/>
      <c r="UGX890" s="124"/>
      <c r="UGY890" s="124"/>
      <c r="UGZ890" s="124"/>
      <c r="UHA890" s="124"/>
      <c r="UHB890" s="124"/>
      <c r="UHC890" s="124"/>
      <c r="UHD890" s="124"/>
      <c r="UHE890" s="124"/>
      <c r="UHF890" s="124"/>
      <c r="UHG890" s="124"/>
      <c r="UHH890" s="124"/>
      <c r="UHI890" s="124"/>
      <c r="UHJ890" s="124"/>
      <c r="UHK890" s="124"/>
      <c r="UHL890" s="124"/>
      <c r="UHM890" s="124"/>
      <c r="UHN890" s="124"/>
      <c r="UHO890" s="124"/>
      <c r="UHP890" s="124"/>
      <c r="UHQ890" s="124"/>
      <c r="UHR890" s="124"/>
      <c r="UHS890" s="124"/>
      <c r="UHT890" s="124"/>
      <c r="UHU890" s="124"/>
      <c r="UHV890" s="124"/>
      <c r="UHW890" s="124"/>
      <c r="UHX890" s="124"/>
      <c r="UHY890" s="124"/>
      <c r="UHZ890" s="124"/>
      <c r="UIA890" s="124"/>
      <c r="UIB890" s="124"/>
      <c r="UIC890" s="124"/>
      <c r="UID890" s="124"/>
      <c r="UIE890" s="124"/>
      <c r="UIF890" s="124"/>
      <c r="UIG890" s="124"/>
      <c r="UIH890" s="124"/>
      <c r="UII890" s="124"/>
      <c r="UIJ890" s="124"/>
      <c r="UIK890" s="124"/>
      <c r="UIL890" s="124"/>
      <c r="UIM890" s="124"/>
      <c r="UIN890" s="124"/>
      <c r="UIO890" s="124"/>
      <c r="UIP890" s="124"/>
      <c r="UIQ890" s="124"/>
      <c r="UIR890" s="124"/>
      <c r="UIS890" s="124"/>
      <c r="UIT890" s="124"/>
      <c r="UIU890" s="124"/>
      <c r="UIV890" s="124"/>
      <c r="UIW890" s="124"/>
      <c r="UIX890" s="124"/>
      <c r="UIY890" s="124"/>
      <c r="UIZ890" s="124"/>
      <c r="UJA890" s="124"/>
      <c r="UJB890" s="124"/>
      <c r="UJC890" s="124"/>
      <c r="UJD890" s="124"/>
      <c r="UJE890" s="124"/>
      <c r="UJF890" s="124"/>
      <c r="UJG890" s="124"/>
      <c r="UJH890" s="124"/>
      <c r="UJI890" s="124"/>
      <c r="UJJ890" s="124"/>
      <c r="UJK890" s="124"/>
      <c r="UJL890" s="124"/>
      <c r="UJM890" s="124"/>
      <c r="UJN890" s="124"/>
      <c r="UJO890" s="124"/>
      <c r="UJP890" s="124"/>
      <c r="UJQ890" s="124"/>
      <c r="UJR890" s="124"/>
      <c r="UJS890" s="124"/>
      <c r="UJT890" s="124"/>
      <c r="UJU890" s="124"/>
      <c r="UJV890" s="124"/>
      <c r="UJW890" s="124"/>
      <c r="UJX890" s="124"/>
      <c r="UJY890" s="124"/>
      <c r="UJZ890" s="124"/>
      <c r="UKA890" s="124"/>
      <c r="UKB890" s="124"/>
      <c r="UKC890" s="124"/>
      <c r="UKD890" s="124"/>
      <c r="UKE890" s="124"/>
      <c r="UKF890" s="124"/>
      <c r="UKG890" s="124"/>
      <c r="UKH890" s="124"/>
      <c r="UKI890" s="124"/>
      <c r="UKJ890" s="124"/>
      <c r="UKK890" s="124"/>
      <c r="UKL890" s="124"/>
      <c r="UKM890" s="124"/>
      <c r="UKN890" s="124"/>
      <c r="UKO890" s="124"/>
      <c r="UKP890" s="124"/>
      <c r="UKQ890" s="124"/>
      <c r="UKR890" s="124"/>
      <c r="UKS890" s="124"/>
      <c r="UKT890" s="124"/>
      <c r="UKU890" s="124"/>
      <c r="UKV890" s="124"/>
      <c r="UKW890" s="124"/>
      <c r="UKX890" s="124"/>
      <c r="UKY890" s="124"/>
      <c r="UKZ890" s="124"/>
      <c r="ULA890" s="124"/>
      <c r="ULB890" s="124"/>
      <c r="ULC890" s="124"/>
      <c r="ULD890" s="124"/>
      <c r="ULE890" s="124"/>
      <c r="ULF890" s="124"/>
      <c r="ULG890" s="124"/>
      <c r="ULH890" s="124"/>
      <c r="ULI890" s="124"/>
      <c r="ULJ890" s="124"/>
      <c r="ULK890" s="124"/>
      <c r="ULL890" s="124"/>
      <c r="ULM890" s="124"/>
      <c r="ULN890" s="124"/>
      <c r="ULO890" s="124"/>
      <c r="ULP890" s="124"/>
      <c r="ULQ890" s="124"/>
      <c r="ULR890" s="124"/>
      <c r="ULS890" s="124"/>
      <c r="ULT890" s="124"/>
      <c r="ULU890" s="124"/>
      <c r="ULV890" s="124"/>
      <c r="ULW890" s="124"/>
      <c r="ULX890" s="124"/>
      <c r="ULY890" s="124"/>
      <c r="ULZ890" s="124"/>
      <c r="UMA890" s="124"/>
      <c r="UMB890" s="124"/>
      <c r="UMC890" s="124"/>
      <c r="UMD890" s="124"/>
      <c r="UME890" s="124"/>
      <c r="UMF890" s="124"/>
      <c r="UMG890" s="124"/>
      <c r="UMH890" s="124"/>
      <c r="UMI890" s="124"/>
      <c r="UMJ890" s="124"/>
      <c r="UMK890" s="124"/>
      <c r="UML890" s="124"/>
      <c r="UMM890" s="124"/>
      <c r="UMN890" s="124"/>
      <c r="UMO890" s="124"/>
      <c r="UMP890" s="124"/>
      <c r="UMQ890" s="124"/>
      <c r="UMR890" s="124"/>
      <c r="UMS890" s="124"/>
      <c r="UMT890" s="124"/>
      <c r="UMU890" s="124"/>
      <c r="UMV890" s="124"/>
      <c r="UMW890" s="124"/>
      <c r="UMX890" s="124"/>
      <c r="UMY890" s="124"/>
      <c r="UMZ890" s="124"/>
      <c r="UNA890" s="124"/>
      <c r="UNB890" s="124"/>
      <c r="UNC890" s="124"/>
      <c r="UND890" s="124"/>
      <c r="UNE890" s="124"/>
      <c r="UNF890" s="124"/>
      <c r="UNG890" s="124"/>
      <c r="UNH890" s="124"/>
      <c r="UNI890" s="124"/>
      <c r="UNJ890" s="124"/>
      <c r="UNK890" s="124"/>
      <c r="UNL890" s="124"/>
      <c r="UNM890" s="124"/>
      <c r="UNN890" s="124"/>
      <c r="UNO890" s="124"/>
      <c r="UNP890" s="124"/>
      <c r="UNQ890" s="124"/>
      <c r="UNR890" s="124"/>
      <c r="UNS890" s="124"/>
      <c r="UNT890" s="124"/>
      <c r="UNU890" s="124"/>
      <c r="UNV890" s="124"/>
      <c r="UNW890" s="124"/>
      <c r="UNX890" s="124"/>
      <c r="UNY890" s="124"/>
      <c r="UNZ890" s="124"/>
      <c r="UOA890" s="124"/>
      <c r="UOB890" s="124"/>
      <c r="UOC890" s="124"/>
      <c r="UOD890" s="124"/>
      <c r="UOE890" s="124"/>
      <c r="UOF890" s="124"/>
      <c r="UOG890" s="124"/>
      <c r="UOH890" s="124"/>
      <c r="UOI890" s="124"/>
      <c r="UOJ890" s="124"/>
      <c r="UOK890" s="124"/>
      <c r="UOL890" s="124"/>
      <c r="UOM890" s="124"/>
      <c r="UON890" s="124"/>
      <c r="UOO890" s="124"/>
      <c r="UOP890" s="124"/>
      <c r="UOQ890" s="124"/>
      <c r="UOR890" s="124"/>
      <c r="UOS890" s="124"/>
      <c r="UOT890" s="124"/>
      <c r="UOU890" s="124"/>
      <c r="UOV890" s="124"/>
      <c r="UOW890" s="124"/>
      <c r="UOX890" s="124"/>
      <c r="UOY890" s="124"/>
      <c r="UOZ890" s="124"/>
      <c r="UPA890" s="124"/>
      <c r="UPB890" s="124"/>
      <c r="UPC890" s="124"/>
      <c r="UPD890" s="124"/>
      <c r="UPE890" s="124"/>
      <c r="UPF890" s="124"/>
      <c r="UPG890" s="124"/>
      <c r="UPH890" s="124"/>
      <c r="UPI890" s="124"/>
      <c r="UPJ890" s="124"/>
      <c r="UPK890" s="124"/>
      <c r="UPL890" s="124"/>
      <c r="UPM890" s="124"/>
      <c r="UPN890" s="124"/>
      <c r="UPO890" s="124"/>
      <c r="UPP890" s="124"/>
      <c r="UPQ890" s="124"/>
      <c r="UPR890" s="124"/>
      <c r="UPS890" s="124"/>
      <c r="UPT890" s="124"/>
      <c r="UPU890" s="124"/>
      <c r="UPV890" s="124"/>
      <c r="UPW890" s="124"/>
      <c r="UPX890" s="124"/>
      <c r="UPY890" s="124"/>
      <c r="UPZ890" s="124"/>
      <c r="UQA890" s="124"/>
      <c r="UQB890" s="124"/>
      <c r="UQC890" s="124"/>
      <c r="UQD890" s="124"/>
      <c r="UQE890" s="124"/>
      <c r="UQF890" s="124"/>
      <c r="UQG890" s="124"/>
      <c r="UQH890" s="124"/>
      <c r="UQI890" s="124"/>
      <c r="UQJ890" s="124"/>
      <c r="UQK890" s="124"/>
      <c r="UQL890" s="124"/>
      <c r="UQM890" s="124"/>
      <c r="UQN890" s="124"/>
      <c r="UQO890" s="124"/>
      <c r="UQP890" s="124"/>
      <c r="UQQ890" s="124"/>
      <c r="UQR890" s="124"/>
      <c r="UQS890" s="124"/>
      <c r="UQT890" s="124"/>
      <c r="UQU890" s="124"/>
      <c r="UQV890" s="124"/>
      <c r="UQW890" s="124"/>
      <c r="UQX890" s="124"/>
      <c r="UQY890" s="124"/>
      <c r="UQZ890" s="124"/>
      <c r="URA890" s="124"/>
      <c r="URB890" s="124"/>
      <c r="URC890" s="124"/>
      <c r="URD890" s="124"/>
      <c r="URE890" s="124"/>
      <c r="URF890" s="124"/>
      <c r="URG890" s="124"/>
      <c r="URH890" s="124"/>
      <c r="URI890" s="124"/>
      <c r="URJ890" s="124"/>
      <c r="URK890" s="124"/>
      <c r="URL890" s="124"/>
      <c r="URM890" s="124"/>
      <c r="URN890" s="124"/>
      <c r="URO890" s="124"/>
      <c r="URP890" s="124"/>
      <c r="URQ890" s="124"/>
      <c r="URR890" s="124"/>
      <c r="URS890" s="124"/>
      <c r="URT890" s="124"/>
      <c r="URU890" s="124"/>
      <c r="URV890" s="124"/>
      <c r="URW890" s="124"/>
      <c r="URX890" s="124"/>
      <c r="URY890" s="124"/>
      <c r="URZ890" s="124"/>
      <c r="USA890" s="124"/>
      <c r="USB890" s="124"/>
      <c r="USC890" s="124"/>
      <c r="USD890" s="124"/>
      <c r="USE890" s="124"/>
      <c r="USF890" s="124"/>
      <c r="USG890" s="124"/>
      <c r="USH890" s="124"/>
      <c r="USI890" s="124"/>
      <c r="USJ890" s="124"/>
      <c r="USK890" s="124"/>
      <c r="USL890" s="124"/>
      <c r="USM890" s="124"/>
      <c r="USN890" s="124"/>
      <c r="USO890" s="124"/>
      <c r="USP890" s="124"/>
      <c r="USQ890" s="124"/>
      <c r="USR890" s="124"/>
      <c r="USS890" s="124"/>
      <c r="UST890" s="124"/>
      <c r="USU890" s="124"/>
      <c r="USV890" s="124"/>
      <c r="USW890" s="124"/>
      <c r="USX890" s="124"/>
      <c r="USY890" s="124"/>
      <c r="USZ890" s="124"/>
      <c r="UTA890" s="124"/>
      <c r="UTB890" s="124"/>
      <c r="UTC890" s="124"/>
      <c r="UTD890" s="124"/>
      <c r="UTE890" s="124"/>
      <c r="UTF890" s="124"/>
      <c r="UTG890" s="124"/>
      <c r="UTH890" s="124"/>
      <c r="UTI890" s="124"/>
      <c r="UTJ890" s="124"/>
      <c r="UTK890" s="124"/>
      <c r="UTL890" s="124"/>
      <c r="UTM890" s="124"/>
      <c r="UTN890" s="124"/>
      <c r="UTO890" s="124"/>
      <c r="UTP890" s="124"/>
      <c r="UTQ890" s="124"/>
      <c r="UTR890" s="124"/>
      <c r="UTS890" s="124"/>
      <c r="UTT890" s="124"/>
      <c r="UTU890" s="124"/>
      <c r="UTV890" s="124"/>
      <c r="UTW890" s="124"/>
      <c r="UTX890" s="124"/>
      <c r="UTY890" s="124"/>
      <c r="UTZ890" s="124"/>
      <c r="UUA890" s="124"/>
      <c r="UUB890" s="124"/>
      <c r="UUC890" s="124"/>
      <c r="UUD890" s="124"/>
      <c r="UUE890" s="124"/>
      <c r="UUF890" s="124"/>
      <c r="UUG890" s="124"/>
      <c r="UUH890" s="124"/>
      <c r="UUI890" s="124"/>
      <c r="UUJ890" s="124"/>
      <c r="UUK890" s="124"/>
      <c r="UUL890" s="124"/>
      <c r="UUM890" s="124"/>
      <c r="UUN890" s="124"/>
      <c r="UUO890" s="124"/>
      <c r="UUP890" s="124"/>
      <c r="UUQ890" s="124"/>
      <c r="UUR890" s="124"/>
      <c r="UUS890" s="124"/>
      <c r="UUT890" s="124"/>
      <c r="UUU890" s="124"/>
      <c r="UUV890" s="124"/>
      <c r="UUW890" s="124"/>
      <c r="UUX890" s="124"/>
      <c r="UUY890" s="124"/>
      <c r="UUZ890" s="124"/>
      <c r="UVA890" s="124"/>
      <c r="UVB890" s="124"/>
      <c r="UVC890" s="124"/>
      <c r="UVD890" s="124"/>
      <c r="UVE890" s="124"/>
      <c r="UVF890" s="124"/>
      <c r="UVG890" s="124"/>
      <c r="UVH890" s="124"/>
      <c r="UVI890" s="124"/>
      <c r="UVJ890" s="124"/>
      <c r="UVK890" s="124"/>
      <c r="UVL890" s="124"/>
      <c r="UVM890" s="124"/>
      <c r="UVN890" s="124"/>
      <c r="UVO890" s="124"/>
      <c r="UVP890" s="124"/>
      <c r="UVQ890" s="124"/>
      <c r="UVR890" s="124"/>
      <c r="UVS890" s="124"/>
      <c r="UVT890" s="124"/>
      <c r="UVU890" s="124"/>
      <c r="UVV890" s="124"/>
      <c r="UVW890" s="124"/>
      <c r="UVX890" s="124"/>
      <c r="UVY890" s="124"/>
      <c r="UVZ890" s="124"/>
      <c r="UWA890" s="124"/>
      <c r="UWB890" s="124"/>
      <c r="UWC890" s="124"/>
      <c r="UWD890" s="124"/>
      <c r="UWE890" s="124"/>
      <c r="UWF890" s="124"/>
      <c r="UWG890" s="124"/>
      <c r="UWH890" s="124"/>
      <c r="UWI890" s="124"/>
      <c r="UWJ890" s="124"/>
      <c r="UWK890" s="124"/>
      <c r="UWL890" s="124"/>
      <c r="UWM890" s="124"/>
      <c r="UWN890" s="124"/>
      <c r="UWO890" s="124"/>
      <c r="UWP890" s="124"/>
      <c r="UWQ890" s="124"/>
      <c r="UWR890" s="124"/>
      <c r="UWS890" s="124"/>
      <c r="UWT890" s="124"/>
      <c r="UWU890" s="124"/>
      <c r="UWV890" s="124"/>
      <c r="UWW890" s="124"/>
      <c r="UWX890" s="124"/>
      <c r="UWY890" s="124"/>
      <c r="UWZ890" s="124"/>
      <c r="UXA890" s="124"/>
      <c r="UXB890" s="124"/>
      <c r="UXC890" s="124"/>
      <c r="UXD890" s="124"/>
      <c r="UXE890" s="124"/>
      <c r="UXF890" s="124"/>
      <c r="UXG890" s="124"/>
      <c r="UXH890" s="124"/>
      <c r="UXI890" s="124"/>
      <c r="UXJ890" s="124"/>
      <c r="UXK890" s="124"/>
      <c r="UXL890" s="124"/>
      <c r="UXM890" s="124"/>
      <c r="UXN890" s="124"/>
      <c r="UXO890" s="124"/>
      <c r="UXP890" s="124"/>
      <c r="UXQ890" s="124"/>
      <c r="UXR890" s="124"/>
      <c r="UXS890" s="124"/>
      <c r="UXT890" s="124"/>
      <c r="UXU890" s="124"/>
      <c r="UXV890" s="124"/>
      <c r="UXW890" s="124"/>
      <c r="UXX890" s="124"/>
      <c r="UXY890" s="124"/>
      <c r="UXZ890" s="124"/>
      <c r="UYA890" s="124"/>
      <c r="UYB890" s="124"/>
      <c r="UYC890" s="124"/>
      <c r="UYD890" s="124"/>
      <c r="UYE890" s="124"/>
      <c r="UYF890" s="124"/>
      <c r="UYG890" s="124"/>
      <c r="UYH890" s="124"/>
      <c r="UYI890" s="124"/>
      <c r="UYJ890" s="124"/>
      <c r="UYK890" s="124"/>
      <c r="UYL890" s="124"/>
      <c r="UYM890" s="124"/>
      <c r="UYN890" s="124"/>
      <c r="UYO890" s="124"/>
      <c r="UYP890" s="124"/>
      <c r="UYQ890" s="124"/>
      <c r="UYR890" s="124"/>
      <c r="UYS890" s="124"/>
      <c r="UYT890" s="124"/>
      <c r="UYU890" s="124"/>
      <c r="UYV890" s="124"/>
      <c r="UYW890" s="124"/>
      <c r="UYX890" s="124"/>
      <c r="UYY890" s="124"/>
      <c r="UYZ890" s="124"/>
      <c r="UZA890" s="124"/>
      <c r="UZB890" s="124"/>
      <c r="UZC890" s="124"/>
      <c r="UZD890" s="124"/>
      <c r="UZE890" s="124"/>
      <c r="UZF890" s="124"/>
      <c r="UZG890" s="124"/>
      <c r="UZH890" s="124"/>
      <c r="UZI890" s="124"/>
      <c r="UZJ890" s="124"/>
      <c r="UZK890" s="124"/>
      <c r="UZL890" s="124"/>
      <c r="UZM890" s="124"/>
      <c r="UZN890" s="124"/>
      <c r="UZO890" s="124"/>
      <c r="UZP890" s="124"/>
      <c r="UZQ890" s="124"/>
      <c r="UZR890" s="124"/>
      <c r="UZS890" s="124"/>
      <c r="UZT890" s="124"/>
      <c r="UZU890" s="124"/>
      <c r="UZV890" s="124"/>
      <c r="UZW890" s="124"/>
      <c r="UZX890" s="124"/>
      <c r="UZY890" s="124"/>
      <c r="UZZ890" s="124"/>
      <c r="VAA890" s="124"/>
      <c r="VAB890" s="124"/>
      <c r="VAC890" s="124"/>
      <c r="VAD890" s="124"/>
      <c r="VAE890" s="124"/>
      <c r="VAF890" s="124"/>
      <c r="VAG890" s="124"/>
      <c r="VAH890" s="124"/>
      <c r="VAI890" s="124"/>
      <c r="VAJ890" s="124"/>
      <c r="VAK890" s="124"/>
      <c r="VAL890" s="124"/>
      <c r="VAM890" s="124"/>
      <c r="VAN890" s="124"/>
      <c r="VAO890" s="124"/>
      <c r="VAP890" s="124"/>
      <c r="VAQ890" s="124"/>
      <c r="VAR890" s="124"/>
      <c r="VAS890" s="124"/>
      <c r="VAT890" s="124"/>
      <c r="VAU890" s="124"/>
      <c r="VAV890" s="124"/>
      <c r="VAW890" s="124"/>
      <c r="VAX890" s="124"/>
      <c r="VAY890" s="124"/>
      <c r="VAZ890" s="124"/>
      <c r="VBA890" s="124"/>
      <c r="VBB890" s="124"/>
      <c r="VBC890" s="124"/>
      <c r="VBD890" s="124"/>
      <c r="VBE890" s="124"/>
      <c r="VBF890" s="124"/>
      <c r="VBG890" s="124"/>
      <c r="VBH890" s="124"/>
      <c r="VBI890" s="124"/>
      <c r="VBJ890" s="124"/>
      <c r="VBK890" s="124"/>
      <c r="VBL890" s="124"/>
      <c r="VBM890" s="124"/>
      <c r="VBN890" s="124"/>
      <c r="VBO890" s="124"/>
      <c r="VBP890" s="124"/>
      <c r="VBQ890" s="124"/>
      <c r="VBR890" s="124"/>
      <c r="VBS890" s="124"/>
      <c r="VBT890" s="124"/>
      <c r="VBU890" s="124"/>
      <c r="VBV890" s="124"/>
      <c r="VBW890" s="124"/>
      <c r="VBX890" s="124"/>
      <c r="VBY890" s="124"/>
      <c r="VBZ890" s="124"/>
      <c r="VCA890" s="124"/>
      <c r="VCB890" s="124"/>
      <c r="VCC890" s="124"/>
      <c r="VCD890" s="124"/>
      <c r="VCE890" s="124"/>
      <c r="VCF890" s="124"/>
      <c r="VCG890" s="124"/>
      <c r="VCH890" s="124"/>
      <c r="VCI890" s="124"/>
      <c r="VCJ890" s="124"/>
      <c r="VCK890" s="124"/>
      <c r="VCL890" s="124"/>
      <c r="VCM890" s="124"/>
      <c r="VCN890" s="124"/>
      <c r="VCO890" s="124"/>
      <c r="VCP890" s="124"/>
      <c r="VCQ890" s="124"/>
      <c r="VCR890" s="124"/>
      <c r="VCS890" s="124"/>
      <c r="VCT890" s="124"/>
      <c r="VCU890" s="124"/>
      <c r="VCV890" s="124"/>
      <c r="VCW890" s="124"/>
      <c r="VCX890" s="124"/>
      <c r="VCY890" s="124"/>
      <c r="VCZ890" s="124"/>
      <c r="VDA890" s="124"/>
      <c r="VDB890" s="124"/>
      <c r="VDC890" s="124"/>
      <c r="VDD890" s="124"/>
      <c r="VDE890" s="124"/>
      <c r="VDF890" s="124"/>
      <c r="VDG890" s="124"/>
      <c r="VDH890" s="124"/>
      <c r="VDI890" s="124"/>
      <c r="VDJ890" s="124"/>
      <c r="VDK890" s="124"/>
      <c r="VDL890" s="124"/>
      <c r="VDM890" s="124"/>
      <c r="VDN890" s="124"/>
      <c r="VDO890" s="124"/>
      <c r="VDP890" s="124"/>
      <c r="VDQ890" s="124"/>
      <c r="VDR890" s="124"/>
      <c r="VDS890" s="124"/>
      <c r="VDT890" s="124"/>
      <c r="VDU890" s="124"/>
      <c r="VDV890" s="124"/>
      <c r="VDW890" s="124"/>
      <c r="VDX890" s="124"/>
      <c r="VDY890" s="124"/>
      <c r="VDZ890" s="124"/>
      <c r="VEA890" s="124"/>
      <c r="VEB890" s="124"/>
      <c r="VEC890" s="124"/>
      <c r="VED890" s="124"/>
      <c r="VEE890" s="124"/>
      <c r="VEF890" s="124"/>
      <c r="VEG890" s="124"/>
      <c r="VEH890" s="124"/>
      <c r="VEI890" s="124"/>
      <c r="VEJ890" s="124"/>
      <c r="VEK890" s="124"/>
      <c r="VEL890" s="124"/>
      <c r="VEM890" s="124"/>
      <c r="VEN890" s="124"/>
      <c r="VEO890" s="124"/>
      <c r="VEP890" s="124"/>
      <c r="VEQ890" s="124"/>
      <c r="VER890" s="124"/>
      <c r="VES890" s="124"/>
      <c r="VET890" s="124"/>
      <c r="VEU890" s="124"/>
      <c r="VEV890" s="124"/>
      <c r="VEW890" s="124"/>
      <c r="VEX890" s="124"/>
      <c r="VEY890" s="124"/>
      <c r="VEZ890" s="124"/>
      <c r="VFA890" s="124"/>
      <c r="VFB890" s="124"/>
      <c r="VFC890" s="124"/>
      <c r="VFD890" s="124"/>
      <c r="VFE890" s="124"/>
      <c r="VFF890" s="124"/>
      <c r="VFG890" s="124"/>
      <c r="VFH890" s="124"/>
      <c r="VFI890" s="124"/>
      <c r="VFJ890" s="124"/>
      <c r="VFK890" s="124"/>
      <c r="VFL890" s="124"/>
      <c r="VFM890" s="124"/>
      <c r="VFN890" s="124"/>
      <c r="VFO890" s="124"/>
      <c r="VFP890" s="124"/>
      <c r="VFQ890" s="124"/>
      <c r="VFR890" s="124"/>
      <c r="VFS890" s="124"/>
      <c r="VFT890" s="124"/>
      <c r="VFU890" s="124"/>
      <c r="VFV890" s="124"/>
      <c r="VFW890" s="124"/>
      <c r="VFX890" s="124"/>
      <c r="VFY890" s="124"/>
      <c r="VFZ890" s="124"/>
      <c r="VGA890" s="124"/>
      <c r="VGB890" s="124"/>
      <c r="VGC890" s="124"/>
      <c r="VGD890" s="124"/>
      <c r="VGE890" s="124"/>
      <c r="VGF890" s="124"/>
      <c r="VGG890" s="124"/>
      <c r="VGH890" s="124"/>
      <c r="VGI890" s="124"/>
      <c r="VGJ890" s="124"/>
      <c r="VGK890" s="124"/>
      <c r="VGL890" s="124"/>
      <c r="VGM890" s="124"/>
      <c r="VGN890" s="124"/>
      <c r="VGO890" s="124"/>
      <c r="VGP890" s="124"/>
      <c r="VGQ890" s="124"/>
      <c r="VGR890" s="124"/>
      <c r="VGS890" s="124"/>
      <c r="VGT890" s="124"/>
      <c r="VGU890" s="124"/>
      <c r="VGV890" s="124"/>
      <c r="VGW890" s="124"/>
      <c r="VGX890" s="124"/>
      <c r="VGY890" s="124"/>
      <c r="VGZ890" s="124"/>
      <c r="VHA890" s="124"/>
      <c r="VHB890" s="124"/>
      <c r="VHC890" s="124"/>
      <c r="VHD890" s="124"/>
      <c r="VHE890" s="124"/>
      <c r="VHF890" s="124"/>
      <c r="VHG890" s="124"/>
      <c r="VHH890" s="124"/>
      <c r="VHI890" s="124"/>
      <c r="VHJ890" s="124"/>
      <c r="VHK890" s="124"/>
      <c r="VHL890" s="124"/>
      <c r="VHM890" s="124"/>
      <c r="VHN890" s="124"/>
      <c r="VHO890" s="124"/>
      <c r="VHP890" s="124"/>
      <c r="VHQ890" s="124"/>
      <c r="VHR890" s="124"/>
      <c r="VHS890" s="124"/>
      <c r="VHT890" s="124"/>
      <c r="VHU890" s="124"/>
      <c r="VHV890" s="124"/>
      <c r="VHW890" s="124"/>
      <c r="VHX890" s="124"/>
      <c r="VHY890" s="124"/>
      <c r="VHZ890" s="124"/>
      <c r="VIA890" s="124"/>
      <c r="VIB890" s="124"/>
      <c r="VIC890" s="124"/>
      <c r="VID890" s="124"/>
      <c r="VIE890" s="124"/>
      <c r="VIF890" s="124"/>
      <c r="VIG890" s="124"/>
      <c r="VIH890" s="124"/>
      <c r="VII890" s="124"/>
      <c r="VIJ890" s="124"/>
      <c r="VIK890" s="124"/>
      <c r="VIL890" s="124"/>
      <c r="VIM890" s="124"/>
      <c r="VIN890" s="124"/>
      <c r="VIO890" s="124"/>
      <c r="VIP890" s="124"/>
      <c r="VIQ890" s="124"/>
      <c r="VIR890" s="124"/>
      <c r="VIS890" s="124"/>
      <c r="VIT890" s="124"/>
      <c r="VIU890" s="124"/>
      <c r="VIV890" s="124"/>
      <c r="VIW890" s="124"/>
      <c r="VIX890" s="124"/>
      <c r="VIY890" s="124"/>
      <c r="VIZ890" s="124"/>
      <c r="VJA890" s="124"/>
      <c r="VJB890" s="124"/>
      <c r="VJC890" s="124"/>
      <c r="VJD890" s="124"/>
      <c r="VJE890" s="124"/>
      <c r="VJF890" s="124"/>
      <c r="VJG890" s="124"/>
      <c r="VJH890" s="124"/>
      <c r="VJI890" s="124"/>
      <c r="VJJ890" s="124"/>
      <c r="VJK890" s="124"/>
      <c r="VJL890" s="124"/>
      <c r="VJM890" s="124"/>
      <c r="VJN890" s="124"/>
      <c r="VJO890" s="124"/>
      <c r="VJP890" s="124"/>
      <c r="VJQ890" s="124"/>
      <c r="VJR890" s="124"/>
      <c r="VJS890" s="124"/>
      <c r="VJT890" s="124"/>
      <c r="VJU890" s="124"/>
      <c r="VJV890" s="124"/>
      <c r="VJW890" s="124"/>
      <c r="VJX890" s="124"/>
      <c r="VJY890" s="124"/>
      <c r="VJZ890" s="124"/>
      <c r="VKA890" s="124"/>
      <c r="VKB890" s="124"/>
      <c r="VKC890" s="124"/>
      <c r="VKD890" s="124"/>
      <c r="VKE890" s="124"/>
      <c r="VKF890" s="124"/>
      <c r="VKG890" s="124"/>
      <c r="VKH890" s="124"/>
      <c r="VKI890" s="124"/>
      <c r="VKJ890" s="124"/>
      <c r="VKK890" s="124"/>
      <c r="VKL890" s="124"/>
      <c r="VKM890" s="124"/>
      <c r="VKN890" s="124"/>
      <c r="VKO890" s="124"/>
      <c r="VKP890" s="124"/>
      <c r="VKQ890" s="124"/>
      <c r="VKR890" s="124"/>
      <c r="VKS890" s="124"/>
      <c r="VKT890" s="124"/>
      <c r="VKU890" s="124"/>
      <c r="VKV890" s="124"/>
      <c r="VKW890" s="124"/>
      <c r="VKX890" s="124"/>
      <c r="VKY890" s="124"/>
      <c r="VKZ890" s="124"/>
      <c r="VLA890" s="124"/>
      <c r="VLB890" s="124"/>
      <c r="VLC890" s="124"/>
      <c r="VLD890" s="124"/>
      <c r="VLE890" s="124"/>
      <c r="VLF890" s="124"/>
      <c r="VLG890" s="124"/>
      <c r="VLH890" s="124"/>
      <c r="VLI890" s="124"/>
      <c r="VLJ890" s="124"/>
      <c r="VLK890" s="124"/>
      <c r="VLL890" s="124"/>
      <c r="VLM890" s="124"/>
      <c r="VLN890" s="124"/>
      <c r="VLO890" s="124"/>
      <c r="VLP890" s="124"/>
      <c r="VLQ890" s="124"/>
      <c r="VLR890" s="124"/>
      <c r="VLS890" s="124"/>
      <c r="VLT890" s="124"/>
      <c r="VLU890" s="124"/>
      <c r="VLV890" s="124"/>
      <c r="VLW890" s="124"/>
      <c r="VLX890" s="124"/>
      <c r="VLY890" s="124"/>
      <c r="VLZ890" s="124"/>
      <c r="VMA890" s="124"/>
      <c r="VMB890" s="124"/>
      <c r="VMC890" s="124"/>
      <c r="VMD890" s="124"/>
      <c r="VME890" s="124"/>
      <c r="VMF890" s="124"/>
      <c r="VMG890" s="124"/>
      <c r="VMH890" s="124"/>
      <c r="VMI890" s="124"/>
      <c r="VMJ890" s="124"/>
      <c r="VMK890" s="124"/>
      <c r="VML890" s="124"/>
      <c r="VMM890" s="124"/>
      <c r="VMN890" s="124"/>
      <c r="VMO890" s="124"/>
      <c r="VMP890" s="124"/>
      <c r="VMQ890" s="124"/>
      <c r="VMR890" s="124"/>
      <c r="VMS890" s="124"/>
      <c r="VMT890" s="124"/>
      <c r="VMU890" s="124"/>
      <c r="VMV890" s="124"/>
      <c r="VMW890" s="124"/>
      <c r="VMX890" s="124"/>
      <c r="VMY890" s="124"/>
      <c r="VMZ890" s="124"/>
      <c r="VNA890" s="124"/>
      <c r="VNB890" s="124"/>
      <c r="VNC890" s="124"/>
      <c r="VND890" s="124"/>
      <c r="VNE890" s="124"/>
      <c r="VNF890" s="124"/>
      <c r="VNG890" s="124"/>
      <c r="VNH890" s="124"/>
      <c r="VNI890" s="124"/>
      <c r="VNJ890" s="124"/>
      <c r="VNK890" s="124"/>
      <c r="VNL890" s="124"/>
      <c r="VNM890" s="124"/>
      <c r="VNN890" s="124"/>
      <c r="VNO890" s="124"/>
      <c r="VNP890" s="124"/>
      <c r="VNQ890" s="124"/>
      <c r="VNR890" s="124"/>
      <c r="VNS890" s="124"/>
      <c r="VNT890" s="124"/>
      <c r="VNU890" s="124"/>
      <c r="VNV890" s="124"/>
      <c r="VNW890" s="124"/>
      <c r="VNX890" s="124"/>
      <c r="VNY890" s="124"/>
      <c r="VNZ890" s="124"/>
      <c r="VOA890" s="124"/>
      <c r="VOB890" s="124"/>
      <c r="VOC890" s="124"/>
      <c r="VOD890" s="124"/>
      <c r="VOE890" s="124"/>
      <c r="VOF890" s="124"/>
      <c r="VOG890" s="124"/>
      <c r="VOH890" s="124"/>
      <c r="VOI890" s="124"/>
      <c r="VOJ890" s="124"/>
      <c r="VOK890" s="124"/>
      <c r="VOL890" s="124"/>
      <c r="VOM890" s="124"/>
      <c r="VON890" s="124"/>
      <c r="VOO890" s="124"/>
      <c r="VOP890" s="124"/>
      <c r="VOQ890" s="124"/>
      <c r="VOR890" s="124"/>
      <c r="VOS890" s="124"/>
      <c r="VOT890" s="124"/>
      <c r="VOU890" s="124"/>
      <c r="VOV890" s="124"/>
      <c r="VOW890" s="124"/>
      <c r="VOX890" s="124"/>
      <c r="VOY890" s="124"/>
      <c r="VOZ890" s="124"/>
      <c r="VPA890" s="124"/>
      <c r="VPB890" s="124"/>
      <c r="VPC890" s="124"/>
      <c r="VPD890" s="124"/>
      <c r="VPE890" s="124"/>
      <c r="VPF890" s="124"/>
      <c r="VPG890" s="124"/>
      <c r="VPH890" s="124"/>
      <c r="VPI890" s="124"/>
      <c r="VPJ890" s="124"/>
      <c r="VPK890" s="124"/>
      <c r="VPL890" s="124"/>
      <c r="VPM890" s="124"/>
      <c r="VPN890" s="124"/>
      <c r="VPO890" s="124"/>
      <c r="VPP890" s="124"/>
      <c r="VPQ890" s="124"/>
      <c r="VPR890" s="124"/>
      <c r="VPS890" s="124"/>
      <c r="VPT890" s="124"/>
      <c r="VPU890" s="124"/>
      <c r="VPV890" s="124"/>
      <c r="VPW890" s="124"/>
      <c r="VPX890" s="124"/>
      <c r="VPY890" s="124"/>
      <c r="VPZ890" s="124"/>
      <c r="VQA890" s="124"/>
      <c r="VQB890" s="124"/>
      <c r="VQC890" s="124"/>
      <c r="VQD890" s="124"/>
      <c r="VQE890" s="124"/>
      <c r="VQF890" s="124"/>
      <c r="VQG890" s="124"/>
      <c r="VQH890" s="124"/>
      <c r="VQI890" s="124"/>
      <c r="VQJ890" s="124"/>
      <c r="VQK890" s="124"/>
      <c r="VQL890" s="124"/>
      <c r="VQM890" s="124"/>
      <c r="VQN890" s="124"/>
      <c r="VQO890" s="124"/>
      <c r="VQP890" s="124"/>
      <c r="VQQ890" s="124"/>
      <c r="VQR890" s="124"/>
      <c r="VQS890" s="124"/>
      <c r="VQT890" s="124"/>
      <c r="VQU890" s="124"/>
      <c r="VQV890" s="124"/>
      <c r="VQW890" s="124"/>
      <c r="VQX890" s="124"/>
      <c r="VQY890" s="124"/>
      <c r="VQZ890" s="124"/>
      <c r="VRA890" s="124"/>
      <c r="VRB890" s="124"/>
      <c r="VRC890" s="124"/>
      <c r="VRD890" s="124"/>
      <c r="VRE890" s="124"/>
      <c r="VRF890" s="124"/>
      <c r="VRG890" s="124"/>
      <c r="VRH890" s="124"/>
      <c r="VRI890" s="124"/>
      <c r="VRJ890" s="124"/>
      <c r="VRK890" s="124"/>
      <c r="VRL890" s="124"/>
      <c r="VRM890" s="124"/>
      <c r="VRN890" s="124"/>
      <c r="VRO890" s="124"/>
      <c r="VRP890" s="124"/>
      <c r="VRQ890" s="124"/>
      <c r="VRR890" s="124"/>
      <c r="VRS890" s="124"/>
      <c r="VRT890" s="124"/>
      <c r="VRU890" s="124"/>
      <c r="VRV890" s="124"/>
      <c r="VRW890" s="124"/>
      <c r="VRX890" s="124"/>
      <c r="VRY890" s="124"/>
      <c r="VRZ890" s="124"/>
      <c r="VSA890" s="124"/>
      <c r="VSB890" s="124"/>
      <c r="VSC890" s="124"/>
      <c r="VSD890" s="124"/>
      <c r="VSE890" s="124"/>
      <c r="VSF890" s="124"/>
      <c r="VSG890" s="124"/>
      <c r="VSH890" s="124"/>
      <c r="VSI890" s="124"/>
      <c r="VSJ890" s="124"/>
      <c r="VSK890" s="124"/>
      <c r="VSL890" s="124"/>
      <c r="VSM890" s="124"/>
      <c r="VSN890" s="124"/>
      <c r="VSO890" s="124"/>
      <c r="VSP890" s="124"/>
      <c r="VSQ890" s="124"/>
      <c r="VSR890" s="124"/>
      <c r="VSS890" s="124"/>
      <c r="VST890" s="124"/>
      <c r="VSU890" s="124"/>
      <c r="VSV890" s="124"/>
      <c r="VSW890" s="124"/>
      <c r="VSX890" s="124"/>
      <c r="VSY890" s="124"/>
      <c r="VSZ890" s="124"/>
      <c r="VTA890" s="124"/>
      <c r="VTB890" s="124"/>
      <c r="VTC890" s="124"/>
      <c r="VTD890" s="124"/>
      <c r="VTE890" s="124"/>
      <c r="VTF890" s="124"/>
      <c r="VTG890" s="124"/>
      <c r="VTH890" s="124"/>
      <c r="VTI890" s="124"/>
      <c r="VTJ890" s="124"/>
      <c r="VTK890" s="124"/>
      <c r="VTL890" s="124"/>
      <c r="VTM890" s="124"/>
      <c r="VTN890" s="124"/>
      <c r="VTO890" s="124"/>
      <c r="VTP890" s="124"/>
      <c r="VTQ890" s="124"/>
      <c r="VTR890" s="124"/>
      <c r="VTS890" s="124"/>
      <c r="VTT890" s="124"/>
      <c r="VTU890" s="124"/>
      <c r="VTV890" s="124"/>
      <c r="VTW890" s="124"/>
      <c r="VTX890" s="124"/>
      <c r="VTY890" s="124"/>
      <c r="VTZ890" s="124"/>
      <c r="VUA890" s="124"/>
      <c r="VUB890" s="124"/>
      <c r="VUC890" s="124"/>
      <c r="VUD890" s="124"/>
      <c r="VUE890" s="124"/>
      <c r="VUF890" s="124"/>
      <c r="VUG890" s="124"/>
      <c r="VUH890" s="124"/>
      <c r="VUI890" s="124"/>
      <c r="VUJ890" s="124"/>
      <c r="VUK890" s="124"/>
      <c r="VUL890" s="124"/>
      <c r="VUM890" s="124"/>
      <c r="VUN890" s="124"/>
      <c r="VUO890" s="124"/>
      <c r="VUP890" s="124"/>
      <c r="VUQ890" s="124"/>
      <c r="VUR890" s="124"/>
      <c r="VUS890" s="124"/>
      <c r="VUT890" s="124"/>
      <c r="VUU890" s="124"/>
      <c r="VUV890" s="124"/>
      <c r="VUW890" s="124"/>
      <c r="VUX890" s="124"/>
      <c r="VUY890" s="124"/>
      <c r="VUZ890" s="124"/>
      <c r="VVA890" s="124"/>
      <c r="VVB890" s="124"/>
      <c r="VVC890" s="124"/>
      <c r="VVD890" s="124"/>
      <c r="VVE890" s="124"/>
      <c r="VVF890" s="124"/>
      <c r="VVG890" s="124"/>
      <c r="VVH890" s="124"/>
      <c r="VVI890" s="124"/>
      <c r="VVJ890" s="124"/>
      <c r="VVK890" s="124"/>
      <c r="VVL890" s="124"/>
      <c r="VVM890" s="124"/>
      <c r="VVN890" s="124"/>
      <c r="VVO890" s="124"/>
      <c r="VVP890" s="124"/>
      <c r="VVQ890" s="124"/>
      <c r="VVR890" s="124"/>
      <c r="VVS890" s="124"/>
      <c r="VVT890" s="124"/>
      <c r="VVU890" s="124"/>
      <c r="VVV890" s="124"/>
      <c r="VVW890" s="124"/>
      <c r="VVX890" s="124"/>
      <c r="VVY890" s="124"/>
      <c r="VVZ890" s="124"/>
      <c r="VWA890" s="124"/>
      <c r="VWB890" s="124"/>
      <c r="VWC890" s="124"/>
      <c r="VWD890" s="124"/>
      <c r="VWE890" s="124"/>
      <c r="VWF890" s="124"/>
      <c r="VWG890" s="124"/>
      <c r="VWH890" s="124"/>
      <c r="VWI890" s="124"/>
      <c r="VWJ890" s="124"/>
      <c r="VWK890" s="124"/>
      <c r="VWL890" s="124"/>
      <c r="VWM890" s="124"/>
      <c r="VWN890" s="124"/>
      <c r="VWO890" s="124"/>
      <c r="VWP890" s="124"/>
      <c r="VWQ890" s="124"/>
      <c r="VWR890" s="124"/>
      <c r="VWS890" s="124"/>
      <c r="VWT890" s="124"/>
      <c r="VWU890" s="124"/>
      <c r="VWV890" s="124"/>
      <c r="VWW890" s="124"/>
      <c r="VWX890" s="124"/>
      <c r="VWY890" s="124"/>
      <c r="VWZ890" s="124"/>
      <c r="VXA890" s="124"/>
      <c r="VXB890" s="124"/>
      <c r="VXC890" s="124"/>
      <c r="VXD890" s="124"/>
      <c r="VXE890" s="124"/>
      <c r="VXF890" s="124"/>
      <c r="VXG890" s="124"/>
      <c r="VXH890" s="124"/>
      <c r="VXI890" s="124"/>
      <c r="VXJ890" s="124"/>
      <c r="VXK890" s="124"/>
      <c r="VXL890" s="124"/>
      <c r="VXM890" s="124"/>
      <c r="VXN890" s="124"/>
      <c r="VXO890" s="124"/>
      <c r="VXP890" s="124"/>
      <c r="VXQ890" s="124"/>
      <c r="VXR890" s="124"/>
      <c r="VXS890" s="124"/>
      <c r="VXT890" s="124"/>
      <c r="VXU890" s="124"/>
      <c r="VXV890" s="124"/>
      <c r="VXW890" s="124"/>
      <c r="VXX890" s="124"/>
      <c r="VXY890" s="124"/>
      <c r="VXZ890" s="124"/>
      <c r="VYA890" s="124"/>
      <c r="VYB890" s="124"/>
      <c r="VYC890" s="124"/>
      <c r="VYD890" s="124"/>
      <c r="VYE890" s="124"/>
      <c r="VYF890" s="124"/>
      <c r="VYG890" s="124"/>
      <c r="VYH890" s="124"/>
      <c r="VYI890" s="124"/>
      <c r="VYJ890" s="124"/>
      <c r="VYK890" s="124"/>
      <c r="VYL890" s="124"/>
      <c r="VYM890" s="124"/>
      <c r="VYN890" s="124"/>
      <c r="VYO890" s="124"/>
      <c r="VYP890" s="124"/>
      <c r="VYQ890" s="124"/>
      <c r="VYR890" s="124"/>
      <c r="VYS890" s="124"/>
      <c r="VYT890" s="124"/>
      <c r="VYU890" s="124"/>
      <c r="VYV890" s="124"/>
      <c r="VYW890" s="124"/>
      <c r="VYX890" s="124"/>
      <c r="VYY890" s="124"/>
      <c r="VYZ890" s="124"/>
      <c r="VZA890" s="124"/>
      <c r="VZB890" s="124"/>
      <c r="VZC890" s="124"/>
      <c r="VZD890" s="124"/>
      <c r="VZE890" s="124"/>
      <c r="VZF890" s="124"/>
      <c r="VZG890" s="124"/>
      <c r="VZH890" s="124"/>
      <c r="VZI890" s="124"/>
      <c r="VZJ890" s="124"/>
      <c r="VZK890" s="124"/>
      <c r="VZL890" s="124"/>
      <c r="VZM890" s="124"/>
      <c r="VZN890" s="124"/>
      <c r="VZO890" s="124"/>
      <c r="VZP890" s="124"/>
      <c r="VZQ890" s="124"/>
      <c r="VZR890" s="124"/>
      <c r="VZS890" s="124"/>
      <c r="VZT890" s="124"/>
      <c r="VZU890" s="124"/>
      <c r="VZV890" s="124"/>
      <c r="VZW890" s="124"/>
      <c r="VZX890" s="124"/>
      <c r="VZY890" s="124"/>
      <c r="VZZ890" s="124"/>
      <c r="WAA890" s="124"/>
      <c r="WAB890" s="124"/>
      <c r="WAC890" s="124"/>
      <c r="WAD890" s="124"/>
      <c r="WAE890" s="124"/>
      <c r="WAF890" s="124"/>
      <c r="WAG890" s="124"/>
      <c r="WAH890" s="124"/>
      <c r="WAI890" s="124"/>
      <c r="WAJ890" s="124"/>
      <c r="WAK890" s="124"/>
      <c r="WAL890" s="124"/>
      <c r="WAM890" s="124"/>
      <c r="WAN890" s="124"/>
      <c r="WAO890" s="124"/>
      <c r="WAP890" s="124"/>
      <c r="WAQ890" s="124"/>
      <c r="WAR890" s="124"/>
      <c r="WAS890" s="124"/>
      <c r="WAT890" s="124"/>
      <c r="WAU890" s="124"/>
      <c r="WAV890" s="124"/>
      <c r="WAW890" s="124"/>
      <c r="WAX890" s="124"/>
      <c r="WAY890" s="124"/>
      <c r="WAZ890" s="124"/>
      <c r="WBA890" s="124"/>
      <c r="WBB890" s="124"/>
      <c r="WBC890" s="124"/>
      <c r="WBD890" s="124"/>
      <c r="WBE890" s="124"/>
      <c r="WBF890" s="124"/>
      <c r="WBG890" s="124"/>
      <c r="WBH890" s="124"/>
      <c r="WBI890" s="124"/>
      <c r="WBJ890" s="124"/>
      <c r="WBK890" s="124"/>
      <c r="WBL890" s="124"/>
      <c r="WBM890" s="124"/>
      <c r="WBN890" s="124"/>
      <c r="WBO890" s="124"/>
      <c r="WBP890" s="124"/>
      <c r="WBQ890" s="124"/>
      <c r="WBR890" s="124"/>
      <c r="WBS890" s="124"/>
      <c r="WBT890" s="124"/>
      <c r="WBU890" s="124"/>
      <c r="WBV890" s="124"/>
      <c r="WBW890" s="124"/>
      <c r="WBX890" s="124"/>
      <c r="WBY890" s="124"/>
      <c r="WBZ890" s="124"/>
      <c r="WCA890" s="124"/>
      <c r="WCB890" s="124"/>
      <c r="WCC890" s="124"/>
      <c r="WCD890" s="124"/>
      <c r="WCE890" s="124"/>
      <c r="WCF890" s="124"/>
      <c r="WCG890" s="124"/>
      <c r="WCH890" s="124"/>
      <c r="WCI890" s="124"/>
      <c r="WCJ890" s="124"/>
      <c r="WCK890" s="124"/>
      <c r="WCL890" s="124"/>
      <c r="WCM890" s="124"/>
      <c r="WCN890" s="124"/>
      <c r="WCO890" s="124"/>
      <c r="WCP890" s="124"/>
      <c r="WCQ890" s="124"/>
      <c r="WCR890" s="124"/>
      <c r="WCS890" s="124"/>
      <c r="WCT890" s="124"/>
      <c r="WCU890" s="124"/>
      <c r="WCV890" s="124"/>
      <c r="WCW890" s="124"/>
      <c r="WCX890" s="124"/>
      <c r="WCY890" s="124"/>
      <c r="WCZ890" s="124"/>
      <c r="WDA890" s="124"/>
      <c r="WDB890" s="124"/>
      <c r="WDC890" s="124"/>
      <c r="WDD890" s="124"/>
      <c r="WDE890" s="124"/>
      <c r="WDF890" s="124"/>
      <c r="WDG890" s="124"/>
      <c r="WDH890" s="124"/>
      <c r="WDI890" s="124"/>
      <c r="WDJ890" s="124"/>
      <c r="WDK890" s="124"/>
      <c r="WDL890" s="124"/>
      <c r="WDM890" s="124"/>
      <c r="WDN890" s="124"/>
      <c r="WDO890" s="124"/>
      <c r="WDP890" s="124"/>
      <c r="WDQ890" s="124"/>
      <c r="WDR890" s="124"/>
      <c r="WDS890" s="124"/>
      <c r="WDT890" s="124"/>
      <c r="WDU890" s="124"/>
      <c r="WDV890" s="124"/>
      <c r="WDW890" s="124"/>
      <c r="WDX890" s="124"/>
      <c r="WDY890" s="124"/>
      <c r="WDZ890" s="124"/>
      <c r="WEA890" s="124"/>
      <c r="WEB890" s="124"/>
      <c r="WEC890" s="124"/>
      <c r="WED890" s="124"/>
      <c r="WEE890" s="124"/>
      <c r="WEF890" s="124"/>
      <c r="WEG890" s="124"/>
      <c r="WEH890" s="124"/>
      <c r="WEI890" s="124"/>
      <c r="WEJ890" s="124"/>
      <c r="WEK890" s="124"/>
      <c r="WEL890" s="124"/>
      <c r="WEM890" s="124"/>
      <c r="WEN890" s="124"/>
      <c r="WEO890" s="124"/>
      <c r="WEP890" s="124"/>
      <c r="WEQ890" s="124"/>
      <c r="WER890" s="124"/>
      <c r="WES890" s="124"/>
      <c r="WET890" s="124"/>
      <c r="WEU890" s="124"/>
      <c r="WEV890" s="124"/>
      <c r="WEW890" s="124"/>
      <c r="WEX890" s="124"/>
      <c r="WEY890" s="124"/>
      <c r="WEZ890" s="124"/>
      <c r="WFA890" s="124"/>
      <c r="WFB890" s="124"/>
      <c r="WFC890" s="124"/>
      <c r="WFD890" s="124"/>
      <c r="WFE890" s="124"/>
      <c r="WFF890" s="124"/>
      <c r="WFG890" s="124"/>
      <c r="WFH890" s="124"/>
      <c r="WFI890" s="124"/>
      <c r="WFJ890" s="124"/>
      <c r="WFK890" s="124"/>
      <c r="WFL890" s="124"/>
      <c r="WFM890" s="124"/>
      <c r="WFN890" s="124"/>
      <c r="WFO890" s="124"/>
      <c r="WFP890" s="124"/>
      <c r="WFQ890" s="124"/>
      <c r="WFR890" s="124"/>
      <c r="WFS890" s="124"/>
      <c r="WFT890" s="124"/>
      <c r="WFU890" s="124"/>
      <c r="WFV890" s="124"/>
      <c r="WFW890" s="124"/>
      <c r="WFX890" s="124"/>
      <c r="WFY890" s="124"/>
      <c r="WFZ890" s="124"/>
      <c r="WGA890" s="124"/>
      <c r="WGB890" s="124"/>
      <c r="WGC890" s="124"/>
      <c r="WGD890" s="124"/>
      <c r="WGE890" s="124"/>
      <c r="WGF890" s="124"/>
      <c r="WGG890" s="124"/>
      <c r="WGH890" s="124"/>
      <c r="WGI890" s="124"/>
      <c r="WGJ890" s="124"/>
      <c r="WGK890" s="124"/>
      <c r="WGL890" s="124"/>
      <c r="WGM890" s="124"/>
      <c r="WGN890" s="124"/>
      <c r="WGO890" s="124"/>
      <c r="WGP890" s="124"/>
      <c r="WGQ890" s="124"/>
      <c r="WGR890" s="124"/>
      <c r="WGS890" s="124"/>
      <c r="WGT890" s="124"/>
      <c r="WGU890" s="124"/>
      <c r="WGV890" s="124"/>
      <c r="WGW890" s="124"/>
      <c r="WGX890" s="124"/>
      <c r="WGY890" s="124"/>
      <c r="WGZ890" s="124"/>
      <c r="WHA890" s="124"/>
      <c r="WHB890" s="124"/>
      <c r="WHC890" s="124"/>
      <c r="WHD890" s="124"/>
      <c r="WHE890" s="124"/>
      <c r="WHF890" s="124"/>
      <c r="WHG890" s="124"/>
      <c r="WHH890" s="124"/>
      <c r="WHI890" s="124"/>
      <c r="WHJ890" s="124"/>
      <c r="WHK890" s="124"/>
      <c r="WHL890" s="124"/>
      <c r="WHM890" s="124"/>
      <c r="WHN890" s="124"/>
      <c r="WHO890" s="124"/>
      <c r="WHP890" s="124"/>
      <c r="WHQ890" s="124"/>
      <c r="WHR890" s="124"/>
      <c r="WHS890" s="124"/>
      <c r="WHT890" s="124"/>
      <c r="WHU890" s="124"/>
      <c r="WHV890" s="124"/>
      <c r="WHW890" s="124"/>
      <c r="WHX890" s="124"/>
      <c r="WHY890" s="124"/>
      <c r="WHZ890" s="124"/>
      <c r="WIA890" s="124"/>
      <c r="WIB890" s="124"/>
      <c r="WIC890" s="124"/>
      <c r="WID890" s="124"/>
      <c r="WIE890" s="124"/>
      <c r="WIF890" s="124"/>
      <c r="WIG890" s="124"/>
      <c r="WIH890" s="124"/>
      <c r="WII890" s="124"/>
      <c r="WIJ890" s="124"/>
      <c r="WIK890" s="124"/>
      <c r="WIL890" s="124"/>
      <c r="WIM890" s="124"/>
      <c r="WIN890" s="124"/>
      <c r="WIO890" s="124"/>
      <c r="WIP890" s="124"/>
      <c r="WIQ890" s="124"/>
      <c r="WIR890" s="124"/>
      <c r="WIS890" s="124"/>
      <c r="WIT890" s="124"/>
      <c r="WIU890" s="124"/>
      <c r="WIV890" s="124"/>
      <c r="WIW890" s="124"/>
      <c r="WIX890" s="124"/>
      <c r="WIY890" s="124"/>
      <c r="WIZ890" s="124"/>
      <c r="WJA890" s="124"/>
      <c r="WJB890" s="124"/>
      <c r="WJC890" s="124"/>
      <c r="WJD890" s="124"/>
      <c r="WJE890" s="124"/>
      <c r="WJF890" s="124"/>
      <c r="WJG890" s="124"/>
      <c r="WJH890" s="124"/>
      <c r="WJI890" s="124"/>
      <c r="WJJ890" s="124"/>
      <c r="WJK890" s="124"/>
      <c r="WJL890" s="124"/>
      <c r="WJM890" s="124"/>
      <c r="WJN890" s="124"/>
      <c r="WJO890" s="124"/>
      <c r="WJP890" s="124"/>
      <c r="WJQ890" s="124"/>
      <c r="WJR890" s="124"/>
      <c r="WJS890" s="124"/>
      <c r="WJT890" s="124"/>
      <c r="WJU890" s="124"/>
      <c r="WJV890" s="124"/>
      <c r="WJW890" s="124"/>
      <c r="WJX890" s="124"/>
      <c r="WJY890" s="124"/>
      <c r="WJZ890" s="124"/>
      <c r="WKA890" s="124"/>
      <c r="WKB890" s="124"/>
      <c r="WKC890" s="124"/>
      <c r="WKD890" s="124"/>
      <c r="WKE890" s="124"/>
      <c r="WKF890" s="124"/>
      <c r="WKG890" s="124"/>
      <c r="WKH890" s="124"/>
      <c r="WKI890" s="124"/>
      <c r="WKJ890" s="124"/>
      <c r="WKK890" s="124"/>
      <c r="WKL890" s="124"/>
      <c r="WKM890" s="124"/>
      <c r="WKN890" s="124"/>
      <c r="WKO890" s="124"/>
      <c r="WKP890" s="124"/>
      <c r="WKQ890" s="124"/>
      <c r="WKR890" s="124"/>
      <c r="WKS890" s="124"/>
      <c r="WKT890" s="124"/>
      <c r="WKU890" s="124"/>
      <c r="WKV890" s="124"/>
      <c r="WKW890" s="124"/>
      <c r="WKX890" s="124"/>
      <c r="WKY890" s="124"/>
      <c r="WKZ890" s="124"/>
      <c r="WLA890" s="124"/>
      <c r="WLB890" s="124"/>
      <c r="WLC890" s="124"/>
      <c r="WLD890" s="124"/>
      <c r="WLE890" s="124"/>
      <c r="WLF890" s="124"/>
      <c r="WLG890" s="124"/>
      <c r="WLH890" s="124"/>
      <c r="WLI890" s="124"/>
      <c r="WLJ890" s="124"/>
      <c r="WLK890" s="124"/>
      <c r="WLL890" s="124"/>
      <c r="WLM890" s="124"/>
      <c r="WLN890" s="124"/>
      <c r="WLO890" s="124"/>
      <c r="WLP890" s="124"/>
      <c r="WLQ890" s="124"/>
      <c r="WLR890" s="124"/>
      <c r="WLS890" s="124"/>
      <c r="WLT890" s="124"/>
      <c r="WLU890" s="124"/>
      <c r="WLV890" s="124"/>
      <c r="WLW890" s="124"/>
      <c r="WLX890" s="124"/>
      <c r="WLY890" s="124"/>
      <c r="WLZ890" s="124"/>
      <c r="WMA890" s="124"/>
      <c r="WMB890" s="124"/>
      <c r="WMC890" s="124"/>
      <c r="WMD890" s="124"/>
      <c r="WME890" s="124"/>
      <c r="WMF890" s="124"/>
      <c r="WMG890" s="124"/>
      <c r="WMH890" s="124"/>
      <c r="WMI890" s="124"/>
      <c r="WMJ890" s="124"/>
      <c r="WMK890" s="124"/>
      <c r="WML890" s="124"/>
      <c r="WMM890" s="124"/>
      <c r="WMN890" s="124"/>
      <c r="WMO890" s="124"/>
      <c r="WMP890" s="124"/>
      <c r="WMQ890" s="124"/>
      <c r="WMR890" s="124"/>
      <c r="WMS890" s="124"/>
      <c r="WMT890" s="124"/>
      <c r="WMU890" s="124"/>
      <c r="WMV890" s="124"/>
      <c r="WMW890" s="124"/>
      <c r="WMX890" s="124"/>
      <c r="WMY890" s="124"/>
      <c r="WMZ890" s="124"/>
      <c r="WNA890" s="124"/>
      <c r="WNB890" s="124"/>
      <c r="WNC890" s="124"/>
      <c r="WND890" s="124"/>
      <c r="WNE890" s="124"/>
      <c r="WNF890" s="124"/>
      <c r="WNG890" s="124"/>
      <c r="WNH890" s="124"/>
      <c r="WNI890" s="124"/>
      <c r="WNJ890" s="124"/>
      <c r="WNK890" s="124"/>
      <c r="WNL890" s="124"/>
      <c r="WNM890" s="124"/>
      <c r="WNN890" s="124"/>
      <c r="WNO890" s="124"/>
      <c r="WNP890" s="124"/>
      <c r="WNQ890" s="124"/>
      <c r="WNR890" s="124"/>
      <c r="WNS890" s="124"/>
      <c r="WNT890" s="124"/>
      <c r="WNU890" s="124"/>
      <c r="WNV890" s="124"/>
      <c r="WNW890" s="124"/>
      <c r="WNX890" s="124"/>
      <c r="WNY890" s="124"/>
      <c r="WNZ890" s="124"/>
      <c r="WOA890" s="124"/>
      <c r="WOB890" s="124"/>
      <c r="WOC890" s="124"/>
      <c r="WOD890" s="124"/>
      <c r="WOE890" s="124"/>
      <c r="WOF890" s="124"/>
      <c r="WOG890" s="124"/>
      <c r="WOH890" s="124"/>
      <c r="WOI890" s="124"/>
      <c r="WOJ890" s="124"/>
      <c r="WOK890" s="124"/>
      <c r="WOL890" s="124"/>
      <c r="WOM890" s="124"/>
      <c r="WON890" s="124"/>
      <c r="WOO890" s="124"/>
      <c r="WOP890" s="124"/>
      <c r="WOQ890" s="124"/>
      <c r="WOR890" s="124"/>
      <c r="WOS890" s="124"/>
      <c r="WOT890" s="124"/>
      <c r="WOU890" s="124"/>
      <c r="WOV890" s="124"/>
      <c r="WOW890" s="124"/>
      <c r="WOX890" s="124"/>
      <c r="WOY890" s="124"/>
      <c r="WOZ890" s="124"/>
      <c r="WPA890" s="124"/>
      <c r="WPB890" s="124"/>
      <c r="WPC890" s="124"/>
      <c r="WPD890" s="124"/>
      <c r="WPE890" s="124"/>
      <c r="WPF890" s="124"/>
      <c r="WPG890" s="124"/>
      <c r="WPH890" s="124"/>
      <c r="WPI890" s="124"/>
      <c r="WPJ890" s="124"/>
      <c r="WPK890" s="124"/>
      <c r="WPL890" s="124"/>
      <c r="WPM890" s="124"/>
      <c r="WPN890" s="124"/>
      <c r="WPO890" s="124"/>
      <c r="WPP890" s="124"/>
      <c r="WPQ890" s="124"/>
      <c r="WPR890" s="124"/>
      <c r="WPS890" s="124"/>
      <c r="WPT890" s="124"/>
      <c r="WPU890" s="124"/>
      <c r="WPV890" s="124"/>
      <c r="WPW890" s="124"/>
      <c r="WPX890" s="124"/>
      <c r="WPY890" s="124"/>
      <c r="WPZ890" s="124"/>
      <c r="WQA890" s="124"/>
      <c r="WQB890" s="124"/>
      <c r="WQC890" s="124"/>
      <c r="WQD890" s="124"/>
      <c r="WQE890" s="124"/>
      <c r="WQF890" s="124"/>
      <c r="WQG890" s="124"/>
      <c r="WQH890" s="124"/>
      <c r="WQI890" s="124"/>
      <c r="WQJ890" s="124"/>
      <c r="WQK890" s="124"/>
      <c r="WQL890" s="124"/>
      <c r="WQM890" s="124"/>
      <c r="WQN890" s="124"/>
      <c r="WQO890" s="124"/>
      <c r="WQP890" s="124"/>
      <c r="WQQ890" s="124"/>
      <c r="WQR890" s="124"/>
      <c r="WQS890" s="124"/>
      <c r="WQT890" s="124"/>
      <c r="WQU890" s="124"/>
      <c r="WQV890" s="124"/>
      <c r="WQW890" s="124"/>
      <c r="WQX890" s="124"/>
      <c r="WQY890" s="124"/>
      <c r="WQZ890" s="124"/>
      <c r="WRA890" s="124"/>
      <c r="WRB890" s="124"/>
      <c r="WRC890" s="124"/>
      <c r="WRD890" s="124"/>
      <c r="WRE890" s="124"/>
      <c r="WRF890" s="124"/>
      <c r="WRG890" s="124"/>
      <c r="WRH890" s="124"/>
      <c r="WRI890" s="124"/>
      <c r="WRJ890" s="124"/>
      <c r="WRK890" s="124"/>
      <c r="WRL890" s="124"/>
      <c r="WRM890" s="124"/>
      <c r="WRN890" s="124"/>
      <c r="WRO890" s="124"/>
      <c r="WRP890" s="124"/>
      <c r="WRQ890" s="124"/>
      <c r="WRR890" s="124"/>
      <c r="WRS890" s="124"/>
      <c r="WRT890" s="124"/>
      <c r="WRU890" s="124"/>
      <c r="WRV890" s="124"/>
      <c r="WRW890" s="124"/>
      <c r="WRX890" s="124"/>
      <c r="WRY890" s="124"/>
      <c r="WRZ890" s="124"/>
      <c r="WSA890" s="124"/>
      <c r="WSB890" s="124"/>
      <c r="WSC890" s="124"/>
      <c r="WSD890" s="124"/>
      <c r="WSE890" s="124"/>
      <c r="WSF890" s="124"/>
      <c r="WSG890" s="124"/>
      <c r="WSH890" s="124"/>
      <c r="WSI890" s="124"/>
      <c r="WSJ890" s="124"/>
      <c r="WSK890" s="124"/>
      <c r="WSL890" s="124"/>
      <c r="WSM890" s="124"/>
      <c r="WSN890" s="124"/>
      <c r="WSO890" s="124"/>
      <c r="WSP890" s="124"/>
      <c r="WSQ890" s="124"/>
      <c r="WSR890" s="124"/>
      <c r="WSS890" s="124"/>
      <c r="WST890" s="124"/>
      <c r="WSU890" s="124"/>
      <c r="WSV890" s="124"/>
      <c r="WSW890" s="124"/>
      <c r="WSX890" s="124"/>
      <c r="WSY890" s="124"/>
      <c r="WSZ890" s="124"/>
      <c r="WTA890" s="124"/>
      <c r="WTB890" s="124"/>
      <c r="WTC890" s="124"/>
      <c r="WTD890" s="124"/>
      <c r="WTE890" s="124"/>
      <c r="WTF890" s="124"/>
      <c r="WTG890" s="124"/>
      <c r="WTH890" s="124"/>
      <c r="WTI890" s="124"/>
      <c r="WTJ890" s="124"/>
      <c r="WTK890" s="124"/>
      <c r="WTL890" s="124"/>
      <c r="WTM890" s="124"/>
      <c r="WTN890" s="124"/>
      <c r="WTO890" s="124"/>
      <c r="WTP890" s="124"/>
      <c r="WTQ890" s="124"/>
      <c r="WTR890" s="124"/>
      <c r="WTS890" s="124"/>
      <c r="WTT890" s="124"/>
      <c r="WTU890" s="124"/>
      <c r="WTV890" s="124"/>
      <c r="WTW890" s="124"/>
      <c r="WTX890" s="124"/>
      <c r="WTY890" s="124"/>
      <c r="WTZ890" s="124"/>
      <c r="WUA890" s="124"/>
      <c r="WUB890" s="124"/>
      <c r="WUC890" s="124"/>
      <c r="WUD890" s="124"/>
      <c r="WUE890" s="124"/>
      <c r="WUF890" s="124"/>
      <c r="WUG890" s="124"/>
      <c r="WUH890" s="124"/>
      <c r="WUI890" s="124"/>
      <c r="WUJ890" s="124"/>
      <c r="WUK890" s="124"/>
      <c r="WUL890" s="124"/>
      <c r="WUM890" s="124"/>
      <c r="WUN890" s="124"/>
      <c r="WUO890" s="124"/>
      <c r="WUP890" s="124"/>
      <c r="WUQ890" s="124"/>
      <c r="WUR890" s="124"/>
      <c r="WUS890" s="124"/>
      <c r="WUT890" s="124"/>
      <c r="WUU890" s="124"/>
      <c r="WUV890" s="124"/>
      <c r="WUW890" s="124"/>
      <c r="WUX890" s="124"/>
      <c r="WUY890" s="124"/>
      <c r="WUZ890" s="124"/>
      <c r="WVA890" s="124"/>
      <c r="WVB890" s="124"/>
      <c r="WVC890" s="124"/>
      <c r="WVD890" s="124"/>
      <c r="WVE890" s="124"/>
      <c r="WVF890" s="124"/>
      <c r="WVG890" s="124"/>
      <c r="WVH890" s="124"/>
      <c r="WVI890" s="124"/>
      <c r="WVJ890" s="124"/>
      <c r="WVK890" s="124"/>
      <c r="WVL890" s="124"/>
      <c r="WVM890" s="124"/>
      <c r="WVN890" s="124"/>
      <c r="WVO890" s="124"/>
      <c r="WVP890" s="124"/>
      <c r="WVQ890" s="124"/>
      <c r="WVR890" s="124"/>
      <c r="WVS890" s="124"/>
      <c r="WVT890" s="124"/>
      <c r="WVU890" s="124"/>
      <c r="WVV890" s="124"/>
      <c r="WVW890" s="124"/>
      <c r="WVX890" s="124"/>
      <c r="WVY890" s="124"/>
      <c r="WVZ890" s="124"/>
      <c r="WWA890" s="124"/>
      <c r="WWB890" s="124"/>
      <c r="WWC890" s="124"/>
      <c r="WWD890" s="124"/>
      <c r="WWE890" s="124"/>
      <c r="WWF890" s="124"/>
      <c r="WWG890" s="124"/>
      <c r="WWH890" s="124"/>
      <c r="WWI890" s="124"/>
      <c r="WWJ890" s="124"/>
      <c r="WWK890" s="124"/>
      <c r="WWL890" s="124"/>
      <c r="WWM890" s="124"/>
      <c r="WWN890" s="124"/>
      <c r="WWO890" s="124"/>
      <c r="WWP890" s="124"/>
      <c r="WWQ890" s="124"/>
      <c r="WWR890" s="124"/>
      <c r="WWS890" s="124"/>
      <c r="WWT890" s="124"/>
      <c r="WWU890" s="124"/>
      <c r="WWV890" s="124"/>
      <c r="WWW890" s="124"/>
      <c r="WWX890" s="124"/>
      <c r="WWY890" s="124"/>
      <c r="WWZ890" s="124"/>
      <c r="WXA890" s="124"/>
      <c r="WXB890" s="124"/>
      <c r="WXC890" s="124"/>
      <c r="WXD890" s="124"/>
      <c r="WXE890" s="124"/>
      <c r="WXF890" s="124"/>
      <c r="WXG890" s="124"/>
      <c r="WXH890" s="124"/>
      <c r="WXI890" s="124"/>
      <c r="WXJ890" s="124"/>
      <c r="WXK890" s="124"/>
      <c r="WXL890" s="124"/>
      <c r="WXM890" s="124"/>
      <c r="WXN890" s="124"/>
      <c r="WXO890" s="124"/>
      <c r="WXP890" s="124"/>
      <c r="WXQ890" s="124"/>
      <c r="WXR890" s="124"/>
      <c r="WXS890" s="124"/>
      <c r="WXT890" s="124"/>
      <c r="WXU890" s="124"/>
      <c r="WXV890" s="124"/>
      <c r="WXW890" s="124"/>
      <c r="WXX890" s="124"/>
      <c r="WXY890" s="124"/>
      <c r="WXZ890" s="124"/>
      <c r="WYA890" s="124"/>
      <c r="WYB890" s="124"/>
      <c r="WYC890" s="124"/>
      <c r="WYD890" s="124"/>
      <c r="WYE890" s="124"/>
      <c r="WYF890" s="124"/>
      <c r="WYG890" s="124"/>
      <c r="WYH890" s="124"/>
      <c r="WYI890" s="124"/>
      <c r="WYJ890" s="124"/>
      <c r="WYK890" s="124"/>
      <c r="WYL890" s="124"/>
      <c r="WYM890" s="124"/>
      <c r="WYN890" s="124"/>
      <c r="WYO890" s="124"/>
      <c r="WYP890" s="124"/>
      <c r="WYQ890" s="124"/>
      <c r="WYR890" s="124"/>
      <c r="WYS890" s="124"/>
      <c r="WYT890" s="124"/>
      <c r="WYU890" s="124"/>
      <c r="WYV890" s="124"/>
      <c r="WYW890" s="124"/>
      <c r="WYX890" s="124"/>
      <c r="WYY890" s="124"/>
      <c r="WYZ890" s="124"/>
      <c r="WZA890" s="124"/>
      <c r="WZB890" s="124"/>
      <c r="WZC890" s="124"/>
      <c r="WZD890" s="124"/>
      <c r="WZE890" s="124"/>
      <c r="WZF890" s="124"/>
      <c r="WZG890" s="124"/>
      <c r="WZH890" s="124"/>
      <c r="WZI890" s="124"/>
      <c r="WZJ890" s="124"/>
      <c r="WZK890" s="124"/>
      <c r="WZL890" s="124"/>
      <c r="WZM890" s="124"/>
      <c r="WZN890" s="124"/>
      <c r="WZO890" s="124"/>
      <c r="WZP890" s="124"/>
      <c r="WZQ890" s="124"/>
      <c r="WZR890" s="124"/>
      <c r="WZS890" s="124"/>
      <c r="WZT890" s="124"/>
      <c r="WZU890" s="124"/>
      <c r="WZV890" s="124"/>
      <c r="WZW890" s="124"/>
      <c r="WZX890" s="124"/>
      <c r="WZY890" s="124"/>
      <c r="WZZ890" s="124"/>
      <c r="XAA890" s="124"/>
      <c r="XAB890" s="124"/>
      <c r="XAC890" s="124"/>
      <c r="XAD890" s="124"/>
      <c r="XAE890" s="124"/>
      <c r="XAF890" s="124"/>
      <c r="XAG890" s="124"/>
      <c r="XAH890" s="124"/>
      <c r="XAI890" s="124"/>
      <c r="XAJ890" s="124"/>
      <c r="XAK890" s="124"/>
      <c r="XAL890" s="124"/>
      <c r="XAM890" s="124"/>
      <c r="XAN890" s="124"/>
      <c r="XAO890" s="124"/>
      <c r="XAP890" s="124"/>
      <c r="XAQ890" s="124"/>
      <c r="XAR890" s="124"/>
      <c r="XAS890" s="124"/>
      <c r="XAT890" s="124"/>
      <c r="XAU890" s="124"/>
      <c r="XAV890" s="124"/>
      <c r="XAW890" s="124"/>
      <c r="XAX890" s="124"/>
      <c r="XAY890" s="124"/>
      <c r="XAZ890" s="124"/>
      <c r="XBA890" s="124"/>
      <c r="XBB890" s="124"/>
      <c r="XBC890" s="124"/>
      <c r="XBD890" s="124"/>
      <c r="XBE890" s="124"/>
      <c r="XBF890" s="124"/>
      <c r="XBG890" s="124"/>
      <c r="XBH890" s="124"/>
      <c r="XBI890" s="124"/>
      <c r="XBJ890" s="124"/>
      <c r="XBK890" s="124"/>
      <c r="XBL890" s="124"/>
      <c r="XBM890" s="124"/>
      <c r="XBN890" s="124"/>
      <c r="XBO890" s="124"/>
      <c r="XBP890" s="124"/>
      <c r="XBQ890" s="124"/>
      <c r="XBR890" s="124"/>
      <c r="XBS890" s="124"/>
      <c r="XBT890" s="124"/>
      <c r="XBU890" s="124"/>
      <c r="XBV890" s="124"/>
      <c r="XBW890" s="124"/>
      <c r="XBX890" s="124"/>
      <c r="XBY890" s="124"/>
      <c r="XBZ890" s="124"/>
      <c r="XCA890" s="124"/>
      <c r="XCB890" s="124"/>
      <c r="XCC890" s="124"/>
      <c r="XCD890" s="124"/>
      <c r="XCE890" s="124"/>
      <c r="XCF890" s="124"/>
      <c r="XCG890" s="124"/>
      <c r="XCH890" s="124"/>
      <c r="XCI890" s="124"/>
      <c r="XCJ890" s="124"/>
      <c r="XCK890" s="124"/>
      <c r="XCL890" s="124"/>
      <c r="XCM890" s="124"/>
      <c r="XCN890" s="124"/>
      <c r="XCO890" s="124"/>
      <c r="XCP890" s="124"/>
      <c r="XCQ890" s="124"/>
      <c r="XCR890" s="124"/>
      <c r="XCS890" s="124"/>
      <c r="XCT890" s="124"/>
      <c r="XCU890" s="124"/>
      <c r="XCV890" s="124"/>
      <c r="XCW890" s="124"/>
      <c r="XCX890" s="124"/>
      <c r="XCY890" s="124"/>
      <c r="XCZ890" s="124"/>
      <c r="XDA890" s="124"/>
      <c r="XDB890" s="124"/>
      <c r="XDC890" s="124"/>
      <c r="XDD890" s="124"/>
      <c r="XDE890" s="124"/>
      <c r="XDF890" s="124"/>
      <c r="XDG890" s="124"/>
      <c r="XDH890" s="124"/>
      <c r="XDI890" s="124"/>
      <c r="XDJ890" s="124"/>
      <c r="XDK890" s="124"/>
      <c r="XDL890" s="124"/>
      <c r="XDM890" s="124"/>
      <c r="XDN890" s="124"/>
      <c r="XDO890" s="124"/>
      <c r="XDP890" s="124"/>
      <c r="XDQ890" s="124"/>
      <c r="XDR890" s="124"/>
      <c r="XDS890" s="124"/>
      <c r="XDT890" s="124"/>
      <c r="XDU890" s="124"/>
      <c r="XDV890" s="124"/>
      <c r="XDW890" s="124"/>
      <c r="XDX890" s="124"/>
      <c r="XDY890" s="124"/>
      <c r="XDZ890" s="124"/>
      <c r="XEA890" s="124"/>
      <c r="XEB890" s="124"/>
      <c r="XEC890" s="124"/>
      <c r="XED890" s="124"/>
      <c r="XEE890" s="124"/>
      <c r="XEF890" s="124"/>
      <c r="XEG890" s="124"/>
      <c r="XEH890" s="124"/>
      <c r="XEI890" s="124"/>
      <c r="XEJ890" s="124"/>
      <c r="XEK890" s="124"/>
      <c r="XEL890" s="124"/>
      <c r="XEM890" s="124"/>
      <c r="XEN890" s="124"/>
      <c r="XEO890" s="124"/>
      <c r="XEP890" s="124"/>
      <c r="XEQ890" s="124"/>
      <c r="XER890" s="124"/>
      <c r="XES890" s="124"/>
      <c r="XET890" s="124"/>
      <c r="XEU890" s="124"/>
      <c r="XEV890" s="124"/>
      <c r="XEW890" s="124"/>
      <c r="XEX890" s="124"/>
      <c r="XEY890" s="124"/>
      <c r="XEZ890" s="124"/>
      <c r="XFA890" s="124"/>
      <c r="XFB890" s="124"/>
      <c r="XFC890" s="124"/>
    </row>
    <row r="892" spans="1:16383">
      <c r="B892">
        <v>1</v>
      </c>
      <c r="D892" s="128">
        <f t="shared" ref="D892:D955" si="21">F18*INDEX($E$807:$CG$887,E18-1945,G18-1945)</f>
        <v>65971.540357294682</v>
      </c>
      <c r="E892" s="127">
        <f t="shared" ref="E892:E955" si="22">G18</f>
        <v>2020</v>
      </c>
      <c r="F892" s="126">
        <f>_xlfn.XLOOKUP(D18,'3. Input (des)investeringen '!$B$11:$B$89,'3. Input (des)investeringen '!$E$11:$E$89)</f>
        <v>1</v>
      </c>
    </row>
    <row r="893" spans="1:16383">
      <c r="B893">
        <v>2</v>
      </c>
      <c r="D893" s="128">
        <f t="shared" si="21"/>
        <v>10418.237040788192</v>
      </c>
      <c r="E893" s="127">
        <f t="shared" si="22"/>
        <v>2020</v>
      </c>
      <c r="F893" s="126">
        <f>_xlfn.XLOOKUP(D19,'3. Input (des)investeringen '!$B$11:$B$89,'3. Input (des)investeringen '!$E$11:$E$89)</f>
        <v>1</v>
      </c>
    </row>
    <row r="894" spans="1:16383">
      <c r="B894">
        <v>3</v>
      </c>
      <c r="D894" s="128">
        <f t="shared" si="21"/>
        <v>854933.1294840395</v>
      </c>
      <c r="E894" s="127">
        <f t="shared" si="22"/>
        <v>2020</v>
      </c>
      <c r="F894" s="126">
        <f>_xlfn.XLOOKUP(D20,'3. Input (des)investeringen '!$B$11:$B$89,'3. Input (des)investeringen '!$E$11:$E$89)</f>
        <v>1</v>
      </c>
    </row>
    <row r="895" spans="1:16383">
      <c r="B895">
        <v>4</v>
      </c>
      <c r="D895" s="128">
        <f t="shared" si="21"/>
        <v>11347.896858824235</v>
      </c>
      <c r="E895" s="127">
        <f t="shared" si="22"/>
        <v>2020</v>
      </c>
      <c r="F895" s="126">
        <f>_xlfn.XLOOKUP(D21,'3. Input (des)investeringen '!$B$11:$B$89,'3. Input (des)investeringen '!$E$11:$E$89)</f>
        <v>1</v>
      </c>
    </row>
    <row r="896" spans="1:16383">
      <c r="B896">
        <v>5</v>
      </c>
      <c r="D896" s="128">
        <f t="shared" si="21"/>
        <v>3517510.3440651735</v>
      </c>
      <c r="E896" s="127">
        <f t="shared" si="22"/>
        <v>2020</v>
      </c>
      <c r="F896" s="126">
        <f>_xlfn.XLOOKUP(D22,'3. Input (des)investeringen '!$B$11:$B$89,'3. Input (des)investeringen '!$E$11:$E$89)</f>
        <v>1</v>
      </c>
    </row>
    <row r="897" spans="2:6">
      <c r="B897">
        <v>6</v>
      </c>
      <c r="D897" s="128">
        <f t="shared" si="21"/>
        <v>36014.029146678571</v>
      </c>
      <c r="E897" s="127">
        <f t="shared" si="22"/>
        <v>2020</v>
      </c>
      <c r="F897" s="126">
        <f>_xlfn.XLOOKUP(D23,'3. Input (des)investeringen '!$B$11:$B$89,'3. Input (des)investeringen '!$E$11:$E$89)</f>
        <v>1</v>
      </c>
    </row>
    <row r="898" spans="2:6">
      <c r="B898">
        <v>7</v>
      </c>
      <c r="D898" s="128">
        <f t="shared" si="21"/>
        <v>2030273.1982919059</v>
      </c>
      <c r="E898" s="127">
        <f t="shared" si="22"/>
        <v>2020</v>
      </c>
      <c r="F898" s="126">
        <f>_xlfn.XLOOKUP(D24,'3. Input (des)investeringen '!$B$11:$B$89,'3. Input (des)investeringen '!$E$11:$E$89)</f>
        <v>1</v>
      </c>
    </row>
    <row r="899" spans="2:6">
      <c r="B899">
        <v>8</v>
      </c>
      <c r="D899" s="128">
        <f t="shared" si="21"/>
        <v>2626856.2307547103</v>
      </c>
      <c r="E899" s="127">
        <f t="shared" si="22"/>
        <v>2020</v>
      </c>
      <c r="F899" s="126">
        <f>_xlfn.XLOOKUP(D25,'3. Input (des)investeringen '!$B$11:$B$89,'3. Input (des)investeringen '!$E$11:$E$89)</f>
        <v>1</v>
      </c>
    </row>
    <row r="900" spans="2:6">
      <c r="B900">
        <v>9</v>
      </c>
      <c r="D900" s="128">
        <f t="shared" si="21"/>
        <v>2999487.0331639843</v>
      </c>
      <c r="E900" s="127">
        <f t="shared" si="22"/>
        <v>2020</v>
      </c>
      <c r="F900" s="126">
        <f>_xlfn.XLOOKUP(D26,'3. Input (des)investeringen '!$B$11:$B$89,'3. Input (des)investeringen '!$E$11:$E$89)</f>
        <v>1</v>
      </c>
    </row>
    <row r="901" spans="2:6">
      <c r="B901">
        <v>10</v>
      </c>
      <c r="D901" s="128">
        <f t="shared" si="21"/>
        <v>1330117.5926660511</v>
      </c>
      <c r="E901" s="127">
        <f t="shared" si="22"/>
        <v>2020</v>
      </c>
      <c r="F901" s="126">
        <f>_xlfn.XLOOKUP(D27,'3. Input (des)investeringen '!$B$11:$B$89,'3. Input (des)investeringen '!$E$11:$E$89)</f>
        <v>1</v>
      </c>
    </row>
    <row r="902" spans="2:6">
      <c r="B902">
        <v>11</v>
      </c>
      <c r="D902" s="128">
        <f t="shared" si="21"/>
        <v>831794.93402741617</v>
      </c>
      <c r="E902" s="127">
        <f t="shared" si="22"/>
        <v>2020</v>
      </c>
      <c r="F902" s="126">
        <f>_xlfn.XLOOKUP(D28,'3. Input (des)investeringen '!$B$11:$B$89,'3. Input (des)investeringen '!$E$11:$E$89)</f>
        <v>1</v>
      </c>
    </row>
    <row r="903" spans="2:6">
      <c r="B903">
        <v>12</v>
      </c>
      <c r="D903" s="128">
        <f t="shared" si="21"/>
        <v>922617.58994232956</v>
      </c>
      <c r="E903" s="127">
        <f t="shared" si="22"/>
        <v>2020</v>
      </c>
      <c r="F903" s="126">
        <f>_xlfn.XLOOKUP(D29,'3. Input (des)investeringen '!$B$11:$B$89,'3. Input (des)investeringen '!$E$11:$E$89)</f>
        <v>1</v>
      </c>
    </row>
    <row r="904" spans="2:6">
      <c r="B904">
        <v>13</v>
      </c>
      <c r="D904" s="128">
        <f t="shared" si="21"/>
        <v>760674.32352435426</v>
      </c>
      <c r="E904" s="127">
        <f t="shared" si="22"/>
        <v>2020</v>
      </c>
      <c r="F904" s="126">
        <f>_xlfn.XLOOKUP(D30,'3. Input (des)investeringen '!$B$11:$B$89,'3. Input (des)investeringen '!$E$11:$E$89)</f>
        <v>1</v>
      </c>
    </row>
    <row r="905" spans="2:6">
      <c r="B905">
        <v>14</v>
      </c>
      <c r="D905" s="128">
        <f t="shared" si="21"/>
        <v>1809144.9262669957</v>
      </c>
      <c r="E905" s="127">
        <f t="shared" si="22"/>
        <v>2020</v>
      </c>
      <c r="F905" s="126">
        <f>_xlfn.XLOOKUP(D31,'3. Input (des)investeringen '!$B$11:$B$89,'3. Input (des)investeringen '!$E$11:$E$89)</f>
        <v>1</v>
      </c>
    </row>
    <row r="906" spans="2:6">
      <c r="B906">
        <v>15</v>
      </c>
      <c r="D906" s="128">
        <f t="shared" si="21"/>
        <v>810767.9596087964</v>
      </c>
      <c r="E906" s="127">
        <f t="shared" si="22"/>
        <v>2020</v>
      </c>
      <c r="F906" s="126">
        <f>_xlfn.XLOOKUP(D32,'3. Input (des)investeringen '!$B$11:$B$89,'3. Input (des)investeringen '!$E$11:$E$89)</f>
        <v>1</v>
      </c>
    </row>
    <row r="907" spans="2:6">
      <c r="B907">
        <v>16</v>
      </c>
      <c r="D907" s="128">
        <f t="shared" si="21"/>
        <v>171552.72165034333</v>
      </c>
      <c r="E907" s="127">
        <f t="shared" si="22"/>
        <v>2020</v>
      </c>
      <c r="F907" s="126">
        <f>_xlfn.XLOOKUP(D33,'3. Input (des)investeringen '!$B$11:$B$89,'3. Input (des)investeringen '!$E$11:$E$89)</f>
        <v>1</v>
      </c>
    </row>
    <row r="908" spans="2:6">
      <c r="B908">
        <v>17</v>
      </c>
      <c r="D908" s="128">
        <f t="shared" si="21"/>
        <v>91246.024644601261</v>
      </c>
      <c r="E908" s="127">
        <f t="shared" si="22"/>
        <v>2020</v>
      </c>
      <c r="F908" s="126">
        <f>_xlfn.XLOOKUP(D34,'3. Input (des)investeringen '!$B$11:$B$89,'3. Input (des)investeringen '!$E$11:$E$89)</f>
        <v>1</v>
      </c>
    </row>
    <row r="909" spans="2:6">
      <c r="B909">
        <v>18</v>
      </c>
      <c r="D909" s="128">
        <f t="shared" si="21"/>
        <v>340746.27672134229</v>
      </c>
      <c r="E909" s="127">
        <f t="shared" si="22"/>
        <v>2020</v>
      </c>
      <c r="F909" s="126">
        <f>_xlfn.XLOOKUP(D35,'3. Input (des)investeringen '!$B$11:$B$89,'3. Input (des)investeringen '!$E$11:$E$89)</f>
        <v>1</v>
      </c>
    </row>
    <row r="910" spans="2:6">
      <c r="B910">
        <v>19</v>
      </c>
      <c r="D910" s="128">
        <f t="shared" si="21"/>
        <v>114290.70854834077</v>
      </c>
      <c r="E910" s="127">
        <f t="shared" si="22"/>
        <v>2020</v>
      </c>
      <c r="F910" s="126">
        <f>_xlfn.XLOOKUP(D36,'3. Input (des)investeringen '!$B$11:$B$89,'3. Input (des)investeringen '!$E$11:$E$89)</f>
        <v>1</v>
      </c>
    </row>
    <row r="911" spans="2:6">
      <c r="B911">
        <v>20</v>
      </c>
      <c r="D911" s="128">
        <f t="shared" si="21"/>
        <v>257687.63762762956</v>
      </c>
      <c r="E911" s="127">
        <f t="shared" si="22"/>
        <v>2020</v>
      </c>
      <c r="F911" s="126">
        <f>_xlfn.XLOOKUP(D37,'3. Input (des)investeringen '!$B$11:$B$89,'3. Input (des)investeringen '!$E$11:$E$89)</f>
        <v>1</v>
      </c>
    </row>
    <row r="912" spans="2:6">
      <c r="B912">
        <v>21</v>
      </c>
      <c r="D912" s="128">
        <f t="shared" si="21"/>
        <v>3164.8772080974418</v>
      </c>
      <c r="E912" s="127">
        <f t="shared" si="22"/>
        <v>2020</v>
      </c>
      <c r="F912" s="126">
        <f>_xlfn.XLOOKUP(D38,'3. Input (des)investeringen '!$B$11:$B$89,'3. Input (des)investeringen '!$E$11:$E$89)</f>
        <v>1</v>
      </c>
    </row>
    <row r="913" spans="2:6">
      <c r="B913">
        <v>22</v>
      </c>
      <c r="D913" s="128">
        <f t="shared" si="21"/>
        <v>68190.529569318343</v>
      </c>
      <c r="E913" s="127">
        <f t="shared" si="22"/>
        <v>2020</v>
      </c>
      <c r="F913" s="126">
        <f>_xlfn.XLOOKUP(D39,'3. Input (des)investeringen '!$B$11:$B$89,'3. Input (des)investeringen '!$E$11:$E$89)</f>
        <v>1</v>
      </c>
    </row>
    <row r="914" spans="2:6">
      <c r="B914">
        <v>23</v>
      </c>
      <c r="D914" s="128">
        <f t="shared" si="21"/>
        <v>9161.1991360213215</v>
      </c>
      <c r="E914" s="127">
        <f t="shared" si="22"/>
        <v>2020</v>
      </c>
      <c r="F914" s="126">
        <f>_xlfn.XLOOKUP(D40,'3. Input (des)investeringen '!$B$11:$B$89,'3. Input (des)investeringen '!$E$11:$E$89)</f>
        <v>1</v>
      </c>
    </row>
    <row r="915" spans="2:6">
      <c r="B915">
        <v>24</v>
      </c>
      <c r="D915" s="128">
        <f t="shared" si="21"/>
        <v>46805.036504867581</v>
      </c>
      <c r="E915" s="127">
        <f t="shared" si="22"/>
        <v>2020</v>
      </c>
      <c r="F915" s="126">
        <f>_xlfn.XLOOKUP(D41,'3. Input (des)investeringen '!$B$11:$B$89,'3. Input (des)investeringen '!$E$11:$E$89)</f>
        <v>1</v>
      </c>
    </row>
    <row r="916" spans="2:6">
      <c r="B916">
        <v>25</v>
      </c>
      <c r="D916" s="128">
        <f t="shared" si="21"/>
        <v>40084.467968826939</v>
      </c>
      <c r="E916" s="127">
        <f t="shared" si="22"/>
        <v>2020</v>
      </c>
      <c r="F916" s="126">
        <f>_xlfn.XLOOKUP(D42,'3. Input (des)investeringen '!$B$11:$B$89,'3. Input (des)investeringen '!$E$11:$E$89)</f>
        <v>1</v>
      </c>
    </row>
    <row r="917" spans="2:6">
      <c r="B917">
        <v>26</v>
      </c>
      <c r="D917" s="128">
        <f t="shared" si="21"/>
        <v>93182.452122152143</v>
      </c>
      <c r="E917" s="127">
        <f t="shared" si="22"/>
        <v>2020</v>
      </c>
      <c r="F917" s="126">
        <f>_xlfn.XLOOKUP(D43,'3. Input (des)investeringen '!$B$11:$B$89,'3. Input (des)investeringen '!$E$11:$E$89)</f>
        <v>1</v>
      </c>
    </row>
    <row r="918" spans="2:6">
      <c r="B918">
        <v>27</v>
      </c>
      <c r="D918" s="128">
        <f t="shared" si="21"/>
        <v>268344.63701932121</v>
      </c>
      <c r="E918" s="127">
        <f t="shared" si="22"/>
        <v>2020</v>
      </c>
      <c r="F918" s="126">
        <f>_xlfn.XLOOKUP(D44,'3. Input (des)investeringen '!$B$11:$B$89,'3. Input (des)investeringen '!$E$11:$E$89)</f>
        <v>1</v>
      </c>
    </row>
    <row r="919" spans="2:6">
      <c r="B919">
        <v>28</v>
      </c>
      <c r="D919" s="128">
        <f t="shared" si="21"/>
        <v>106238.45888432344</v>
      </c>
      <c r="E919" s="127">
        <f t="shared" si="22"/>
        <v>2020</v>
      </c>
      <c r="F919" s="126">
        <f>_xlfn.XLOOKUP(D45,'3. Input (des)investeringen '!$B$11:$B$89,'3. Input (des)investeringen '!$E$11:$E$89)</f>
        <v>1</v>
      </c>
    </row>
    <row r="920" spans="2:6">
      <c r="B920">
        <v>29</v>
      </c>
      <c r="D920" s="128">
        <f t="shared" si="21"/>
        <v>133036.96947395953</v>
      </c>
      <c r="E920" s="127">
        <f t="shared" si="22"/>
        <v>2020</v>
      </c>
      <c r="F920" s="126">
        <f>_xlfn.XLOOKUP(D46,'3. Input (des)investeringen '!$B$11:$B$89,'3. Input (des)investeringen '!$E$11:$E$89)</f>
        <v>1</v>
      </c>
    </row>
    <row r="921" spans="2:6">
      <c r="B921">
        <v>30</v>
      </c>
      <c r="D921" s="128">
        <f t="shared" si="21"/>
        <v>154343.3001910657</v>
      </c>
      <c r="E921" s="127">
        <f t="shared" si="22"/>
        <v>2020</v>
      </c>
      <c r="F921" s="126">
        <f>_xlfn.XLOOKUP(D47,'3. Input (des)investeringen '!$B$11:$B$89,'3. Input (des)investeringen '!$E$11:$E$89)</f>
        <v>1</v>
      </c>
    </row>
    <row r="922" spans="2:6">
      <c r="B922">
        <v>31</v>
      </c>
      <c r="D922" s="128">
        <f t="shared" si="21"/>
        <v>34143.730074277388</v>
      </c>
      <c r="E922" s="127">
        <f t="shared" si="22"/>
        <v>2020</v>
      </c>
      <c r="F922" s="126">
        <f>_xlfn.XLOOKUP(D48,'3. Input (des)investeringen '!$B$11:$B$89,'3. Input (des)investeringen '!$E$11:$E$89)</f>
        <v>1</v>
      </c>
    </row>
    <row r="923" spans="2:6">
      <c r="B923">
        <v>32</v>
      </c>
      <c r="D923" s="128">
        <f t="shared" si="21"/>
        <v>3511.4554836606476</v>
      </c>
      <c r="E923" s="127">
        <f t="shared" si="22"/>
        <v>2020</v>
      </c>
      <c r="F923" s="126">
        <f>_xlfn.XLOOKUP(D49,'3. Input (des)investeringen '!$B$11:$B$89,'3. Input (des)investeringen '!$E$11:$E$89)</f>
        <v>1</v>
      </c>
    </row>
    <row r="924" spans="2:6">
      <c r="B924">
        <v>33</v>
      </c>
      <c r="D924" s="128">
        <f t="shared" si="21"/>
        <v>7181.457765698261</v>
      </c>
      <c r="E924" s="127">
        <f t="shared" si="22"/>
        <v>2020</v>
      </c>
      <c r="F924" s="126">
        <f>_xlfn.XLOOKUP(D50,'3. Input (des)investeringen '!$B$11:$B$89,'3. Input (des)investeringen '!$E$11:$E$89)</f>
        <v>1</v>
      </c>
    </row>
    <row r="925" spans="2:6">
      <c r="B925">
        <v>34</v>
      </c>
      <c r="D925" s="128">
        <f t="shared" si="21"/>
        <v>884026.28992311645</v>
      </c>
      <c r="E925" s="127">
        <f t="shared" si="22"/>
        <v>2020</v>
      </c>
      <c r="F925" s="126">
        <f>_xlfn.XLOOKUP(D51,'3. Input (des)investeringen '!$B$11:$B$89,'3. Input (des)investeringen '!$E$11:$E$89)</f>
        <v>1</v>
      </c>
    </row>
    <row r="926" spans="2:6">
      <c r="B926">
        <v>35</v>
      </c>
      <c r="D926" s="128">
        <f t="shared" si="21"/>
        <v>1116.3576548659616</v>
      </c>
      <c r="E926" s="127">
        <f t="shared" si="22"/>
        <v>2020</v>
      </c>
      <c r="F926" s="126">
        <f>_xlfn.XLOOKUP(D52,'3. Input (des)investeringen '!$B$11:$B$89,'3. Input (des)investeringen '!$E$11:$E$89)</f>
        <v>0</v>
      </c>
    </row>
    <row r="927" spans="2:6">
      <c r="B927">
        <v>36</v>
      </c>
      <c r="D927" s="128">
        <f t="shared" si="21"/>
        <v>88537.809838823887</v>
      </c>
      <c r="E927" s="127">
        <f t="shared" si="22"/>
        <v>2020</v>
      </c>
      <c r="F927" s="126">
        <f>_xlfn.XLOOKUP(D53,'3. Input (des)investeringen '!$B$11:$B$89,'3. Input (des)investeringen '!$E$11:$E$89)</f>
        <v>0</v>
      </c>
    </row>
    <row r="928" spans="2:6">
      <c r="B928">
        <v>37</v>
      </c>
      <c r="D928" s="128">
        <f t="shared" si="21"/>
        <v>98402.82977106719</v>
      </c>
      <c r="E928" s="127">
        <f t="shared" si="22"/>
        <v>2020</v>
      </c>
      <c r="F928" s="126">
        <f>_xlfn.XLOOKUP(D54,'3. Input (des)investeringen '!$B$11:$B$89,'3. Input (des)investeringen '!$E$11:$E$89)</f>
        <v>0</v>
      </c>
    </row>
    <row r="929" spans="2:6">
      <c r="B929">
        <v>38</v>
      </c>
      <c r="D929" s="128">
        <f t="shared" si="21"/>
        <v>178982.44585064959</v>
      </c>
      <c r="E929" s="127">
        <f t="shared" si="22"/>
        <v>2020</v>
      </c>
      <c r="F929" s="126">
        <f>_xlfn.XLOOKUP(D55,'3. Input (des)investeringen '!$B$11:$B$89,'3. Input (des)investeringen '!$E$11:$E$89)</f>
        <v>0</v>
      </c>
    </row>
    <row r="930" spans="2:6">
      <c r="B930">
        <v>39</v>
      </c>
      <c r="D930" s="128">
        <f t="shared" si="21"/>
        <v>50003.305627282651</v>
      </c>
      <c r="E930" s="127">
        <f t="shared" si="22"/>
        <v>2020</v>
      </c>
      <c r="F930" s="126">
        <f>_xlfn.XLOOKUP(D56,'3. Input (des)investeringen '!$B$11:$B$89,'3. Input (des)investeringen '!$E$11:$E$89)</f>
        <v>0</v>
      </c>
    </row>
    <row r="931" spans="2:6">
      <c r="B931">
        <v>40</v>
      </c>
      <c r="D931" s="128">
        <f t="shared" si="21"/>
        <v>45774.93431054215</v>
      </c>
      <c r="E931" s="127">
        <f t="shared" si="22"/>
        <v>2020</v>
      </c>
      <c r="F931" s="126">
        <f>_xlfn.XLOOKUP(D57,'3. Input (des)investeringen '!$B$11:$B$89,'3. Input (des)investeringen '!$E$11:$E$89)</f>
        <v>0</v>
      </c>
    </row>
    <row r="932" spans="2:6">
      <c r="B932">
        <v>41</v>
      </c>
      <c r="D932" s="128">
        <f t="shared" si="21"/>
        <v>118717.77880424444</v>
      </c>
      <c r="E932" s="127">
        <f t="shared" si="22"/>
        <v>2020</v>
      </c>
      <c r="F932" s="126">
        <f>_xlfn.XLOOKUP(D58,'3. Input (des)investeringen '!$B$11:$B$89,'3. Input (des)investeringen '!$E$11:$E$89)</f>
        <v>0</v>
      </c>
    </row>
    <row r="933" spans="2:6">
      <c r="B933">
        <v>42</v>
      </c>
      <c r="D933" s="128">
        <f t="shared" si="21"/>
        <v>1020378.4183405952</v>
      </c>
      <c r="E933" s="127">
        <f t="shared" si="22"/>
        <v>2020</v>
      </c>
      <c r="F933" s="126">
        <f>_xlfn.XLOOKUP(D59,'3. Input (des)investeringen '!$B$11:$B$89,'3. Input (des)investeringen '!$E$11:$E$89)</f>
        <v>0</v>
      </c>
    </row>
    <row r="934" spans="2:6">
      <c r="B934">
        <v>43</v>
      </c>
      <c r="D934" s="128">
        <f t="shared" si="21"/>
        <v>1695531.0999208845</v>
      </c>
      <c r="E934" s="127">
        <f t="shared" si="22"/>
        <v>2020</v>
      </c>
      <c r="F934" s="126">
        <f>_xlfn.XLOOKUP(D60,'3. Input (des)investeringen '!$B$11:$B$89,'3. Input (des)investeringen '!$E$11:$E$89)</f>
        <v>0</v>
      </c>
    </row>
    <row r="935" spans="2:6">
      <c r="B935">
        <v>44</v>
      </c>
      <c r="D935" s="128">
        <f t="shared" si="21"/>
        <v>2217785.5845449823</v>
      </c>
      <c r="E935" s="127">
        <f t="shared" si="22"/>
        <v>2020</v>
      </c>
      <c r="F935" s="126">
        <f>_xlfn.XLOOKUP(D61,'3. Input (des)investeringen '!$B$11:$B$89,'3. Input (des)investeringen '!$E$11:$E$89)</f>
        <v>0</v>
      </c>
    </row>
    <row r="936" spans="2:6">
      <c r="B936">
        <v>45</v>
      </c>
      <c r="D936" s="128">
        <f t="shared" si="21"/>
        <v>1848040.6593128797</v>
      </c>
      <c r="E936" s="127">
        <f t="shared" si="22"/>
        <v>2020</v>
      </c>
      <c r="F936" s="126">
        <f>_xlfn.XLOOKUP(D62,'3. Input (des)investeringen '!$B$11:$B$89,'3. Input (des)investeringen '!$E$11:$E$89)</f>
        <v>0</v>
      </c>
    </row>
    <row r="937" spans="2:6">
      <c r="B937">
        <v>46</v>
      </c>
      <c r="D937" s="128">
        <f t="shared" si="21"/>
        <v>104452.05756534761</v>
      </c>
      <c r="E937" s="127">
        <f t="shared" si="22"/>
        <v>2020</v>
      </c>
      <c r="F937" s="126">
        <f>_xlfn.XLOOKUP(D63,'3. Input (des)investeringen '!$B$11:$B$89,'3. Input (des)investeringen '!$E$11:$E$89)</f>
        <v>0</v>
      </c>
    </row>
    <row r="938" spans="2:6">
      <c r="B938">
        <v>47</v>
      </c>
      <c r="D938" s="128">
        <f t="shared" si="21"/>
        <v>838717.57884401153</v>
      </c>
      <c r="E938" s="127">
        <f t="shared" si="22"/>
        <v>2020</v>
      </c>
      <c r="F938" s="126">
        <f>_xlfn.XLOOKUP(D64,'3. Input (des)investeringen '!$B$11:$B$89,'3. Input (des)investeringen '!$E$11:$E$89)</f>
        <v>0</v>
      </c>
    </row>
    <row r="939" spans="2:6">
      <c r="B939">
        <v>48</v>
      </c>
      <c r="D939" s="128">
        <f t="shared" si="21"/>
        <v>946547.48386907566</v>
      </c>
      <c r="E939" s="127">
        <f t="shared" si="22"/>
        <v>2020</v>
      </c>
      <c r="F939" s="126">
        <f>_xlfn.XLOOKUP(D65,'3. Input (des)investeringen '!$B$11:$B$89,'3. Input (des)investeringen '!$E$11:$E$89)</f>
        <v>0</v>
      </c>
    </row>
    <row r="940" spans="2:6">
      <c r="B940">
        <v>49</v>
      </c>
      <c r="D940" s="128">
        <f t="shared" si="21"/>
        <v>644836.48467939708</v>
      </c>
      <c r="E940" s="127">
        <f t="shared" si="22"/>
        <v>2020</v>
      </c>
      <c r="F940" s="126">
        <f>_xlfn.XLOOKUP(D66,'3. Input (des)investeringen '!$B$11:$B$89,'3. Input (des)investeringen '!$E$11:$E$89)</f>
        <v>0</v>
      </c>
    </row>
    <row r="941" spans="2:6">
      <c r="B941">
        <v>50</v>
      </c>
      <c r="D941" s="128">
        <f t="shared" si="21"/>
        <v>103187.86270413175</v>
      </c>
      <c r="E941" s="127">
        <f t="shared" si="22"/>
        <v>2020</v>
      </c>
      <c r="F941" s="126">
        <f>_xlfn.XLOOKUP(D67,'3. Input (des)investeringen '!$B$11:$B$89,'3. Input (des)investeringen '!$E$11:$E$89)</f>
        <v>0</v>
      </c>
    </row>
    <row r="942" spans="2:6">
      <c r="B942">
        <v>51</v>
      </c>
      <c r="D942" s="128">
        <f t="shared" si="21"/>
        <v>102765.71921635757</v>
      </c>
      <c r="E942" s="127">
        <f t="shared" si="22"/>
        <v>2020</v>
      </c>
      <c r="F942" s="126">
        <f>_xlfn.XLOOKUP(D68,'3. Input (des)investeringen '!$B$11:$B$89,'3. Input (des)investeringen '!$E$11:$E$89)</f>
        <v>0</v>
      </c>
    </row>
    <row r="943" spans="2:6">
      <c r="B943">
        <v>52</v>
      </c>
      <c r="D943" s="128">
        <f t="shared" si="21"/>
        <v>222798.30724413577</v>
      </c>
      <c r="E943" s="127">
        <f t="shared" si="22"/>
        <v>2020</v>
      </c>
      <c r="F943" s="126">
        <f>_xlfn.XLOOKUP(D69,'3. Input (des)investeringen '!$B$11:$B$89,'3. Input (des)investeringen '!$E$11:$E$89)</f>
        <v>0</v>
      </c>
    </row>
    <row r="944" spans="2:6">
      <c r="B944">
        <v>53</v>
      </c>
      <c r="D944" s="128">
        <f t="shared" si="21"/>
        <v>298662.93665395869</v>
      </c>
      <c r="E944" s="127">
        <f t="shared" si="22"/>
        <v>2020</v>
      </c>
      <c r="F944" s="126">
        <f>_xlfn.XLOOKUP(D70,'3. Input (des)investeringen '!$B$11:$B$89,'3. Input (des)investeringen '!$E$11:$E$89)</f>
        <v>0</v>
      </c>
    </row>
    <row r="945" spans="2:6">
      <c r="B945">
        <v>54</v>
      </c>
      <c r="D945" s="128">
        <f t="shared" si="21"/>
        <v>262349.11477001454</v>
      </c>
      <c r="E945" s="127">
        <f t="shared" si="22"/>
        <v>2020</v>
      </c>
      <c r="F945" s="126">
        <f>_xlfn.XLOOKUP(D71,'3. Input (des)investeringen '!$B$11:$B$89,'3. Input (des)investeringen '!$E$11:$E$89)</f>
        <v>0</v>
      </c>
    </row>
    <row r="946" spans="2:6">
      <c r="B946">
        <v>55</v>
      </c>
      <c r="D946" s="128">
        <f t="shared" si="21"/>
        <v>189333.02773128528</v>
      </c>
      <c r="E946" s="127">
        <f t="shared" si="22"/>
        <v>2020</v>
      </c>
      <c r="F946" s="126">
        <f>_xlfn.XLOOKUP(D72,'3. Input (des)investeringen '!$B$11:$B$89,'3. Input (des)investeringen '!$E$11:$E$89)</f>
        <v>0</v>
      </c>
    </row>
    <row r="947" spans="2:6">
      <c r="B947">
        <v>56</v>
      </c>
      <c r="D947" s="128">
        <f t="shared" si="21"/>
        <v>61490.61044017315</v>
      </c>
      <c r="E947" s="127">
        <f t="shared" si="22"/>
        <v>2020</v>
      </c>
      <c r="F947" s="126">
        <f>_xlfn.XLOOKUP(D73,'3. Input (des)investeringen '!$B$11:$B$89,'3. Input (des)investeringen '!$E$11:$E$89)</f>
        <v>0</v>
      </c>
    </row>
    <row r="948" spans="2:6">
      <c r="B948">
        <v>57</v>
      </c>
      <c r="D948" s="128">
        <f t="shared" si="21"/>
        <v>75038.027032218612</v>
      </c>
      <c r="E948" s="127">
        <f t="shared" si="22"/>
        <v>2020</v>
      </c>
      <c r="F948" s="126">
        <f>_xlfn.XLOOKUP(D74,'3. Input (des)investeringen '!$B$11:$B$89,'3. Input (des)investeringen '!$E$11:$E$89)</f>
        <v>0</v>
      </c>
    </row>
    <row r="949" spans="2:6">
      <c r="B949">
        <v>58</v>
      </c>
      <c r="D949" s="128">
        <f t="shared" si="21"/>
        <v>15568.327853298582</v>
      </c>
      <c r="E949" s="127">
        <f t="shared" si="22"/>
        <v>2020</v>
      </c>
      <c r="F949" s="126">
        <f>_xlfn.XLOOKUP(D75,'3. Input (des)investeringen '!$B$11:$B$89,'3. Input (des)investeringen '!$E$11:$E$89)</f>
        <v>0</v>
      </c>
    </row>
    <row r="950" spans="2:6">
      <c r="B950">
        <v>59</v>
      </c>
      <c r="D950" s="128">
        <f t="shared" si="21"/>
        <v>139159.19469639403</v>
      </c>
      <c r="E950" s="127">
        <f t="shared" si="22"/>
        <v>2020</v>
      </c>
      <c r="F950" s="126">
        <f>_xlfn.XLOOKUP(D76,'3. Input (des)investeringen '!$B$11:$B$89,'3. Input (des)investeringen '!$E$11:$E$89)</f>
        <v>0</v>
      </c>
    </row>
    <row r="951" spans="2:6">
      <c r="B951">
        <v>60</v>
      </c>
      <c r="D951" s="128">
        <f t="shared" si="21"/>
        <v>195602.61673343295</v>
      </c>
      <c r="E951" s="127">
        <f t="shared" si="22"/>
        <v>2020</v>
      </c>
      <c r="F951" s="126">
        <f>_xlfn.XLOOKUP(D77,'3. Input (des)investeringen '!$B$11:$B$89,'3. Input (des)investeringen '!$E$11:$E$89)</f>
        <v>0</v>
      </c>
    </row>
    <row r="952" spans="2:6">
      <c r="B952">
        <v>61</v>
      </c>
      <c r="D952" s="128">
        <f t="shared" si="21"/>
        <v>68987.421631756384</v>
      </c>
      <c r="E952" s="127">
        <f t="shared" si="22"/>
        <v>2020</v>
      </c>
      <c r="F952" s="126">
        <f>_xlfn.XLOOKUP(D78,'3. Input (des)investeringen '!$B$11:$B$89,'3. Input (des)investeringen '!$E$11:$E$89)</f>
        <v>0</v>
      </c>
    </row>
    <row r="953" spans="2:6">
      <c r="B953">
        <v>62</v>
      </c>
      <c r="D953" s="128">
        <f t="shared" si="21"/>
        <v>14017.585527295665</v>
      </c>
      <c r="E953" s="127">
        <f t="shared" si="22"/>
        <v>2020</v>
      </c>
      <c r="F953" s="126">
        <f>_xlfn.XLOOKUP(D79,'3. Input (des)investeringen '!$B$11:$B$89,'3. Input (des)investeringen '!$E$11:$E$89)</f>
        <v>0</v>
      </c>
    </row>
    <row r="954" spans="2:6">
      <c r="B954">
        <v>63</v>
      </c>
      <c r="D954" s="128">
        <f t="shared" si="21"/>
        <v>13850.760694758967</v>
      </c>
      <c r="E954" s="127">
        <f t="shared" si="22"/>
        <v>2020</v>
      </c>
      <c r="F954" s="126">
        <f>_xlfn.XLOOKUP(D80,'3. Input (des)investeringen '!$B$11:$B$89,'3. Input (des)investeringen '!$E$11:$E$89)</f>
        <v>0</v>
      </c>
    </row>
    <row r="955" spans="2:6">
      <c r="B955">
        <v>64</v>
      </c>
      <c r="D955" s="128">
        <f t="shared" si="21"/>
        <v>84133.673674020334</v>
      </c>
      <c r="E955" s="127">
        <f t="shared" si="22"/>
        <v>2020</v>
      </c>
      <c r="F955" s="126">
        <f>_xlfn.XLOOKUP(D81,'3. Input (des)investeringen '!$B$11:$B$89,'3. Input (des)investeringen '!$E$11:$E$89)</f>
        <v>0</v>
      </c>
    </row>
    <row r="956" spans="2:6">
      <c r="B956">
        <v>65</v>
      </c>
      <c r="D956" s="128">
        <f t="shared" ref="D956:D1019" si="23">F82*INDEX($E$807:$CG$887,E82-1945,G82-1945)</f>
        <v>35929.792062961962</v>
      </c>
      <c r="E956" s="127">
        <f t="shared" ref="E956:E1019" si="24">G82</f>
        <v>2020</v>
      </c>
      <c r="F956" s="126">
        <f>_xlfn.XLOOKUP(D82,'3. Input (des)investeringen '!$B$11:$B$89,'3. Input (des)investeringen '!$E$11:$E$89)</f>
        <v>0</v>
      </c>
    </row>
    <row r="957" spans="2:6">
      <c r="B957">
        <v>66</v>
      </c>
      <c r="D957" s="128">
        <f t="shared" si="23"/>
        <v>194556.62172449686</v>
      </c>
      <c r="E957" s="127">
        <f t="shared" si="24"/>
        <v>2020</v>
      </c>
      <c r="F957" s="126">
        <f>_xlfn.XLOOKUP(D83,'3. Input (des)investeringen '!$B$11:$B$89,'3. Input (des)investeringen '!$E$11:$E$89)</f>
        <v>0</v>
      </c>
    </row>
    <row r="958" spans="2:6">
      <c r="B958">
        <v>67</v>
      </c>
      <c r="D958" s="128">
        <f t="shared" si="23"/>
        <v>62778.725667823048</v>
      </c>
      <c r="E958" s="127">
        <f t="shared" si="24"/>
        <v>2020</v>
      </c>
      <c r="F958" s="126">
        <f>_xlfn.XLOOKUP(D84,'3. Input (des)investeringen '!$B$11:$B$89,'3. Input (des)investeringen '!$E$11:$E$89)</f>
        <v>0</v>
      </c>
    </row>
    <row r="959" spans="2:6">
      <c r="B959">
        <v>68</v>
      </c>
      <c r="D959" s="128">
        <f t="shared" si="23"/>
        <v>19044.179567605603</v>
      </c>
      <c r="E959" s="127">
        <f t="shared" si="24"/>
        <v>2020</v>
      </c>
      <c r="F959" s="126">
        <f>_xlfn.XLOOKUP(D85,'3. Input (des)investeringen '!$B$11:$B$89,'3. Input (des)investeringen '!$E$11:$E$89)</f>
        <v>0</v>
      </c>
    </row>
    <row r="960" spans="2:6">
      <c r="B960">
        <v>69</v>
      </c>
      <c r="D960" s="128">
        <f t="shared" si="23"/>
        <v>16243.59232368206</v>
      </c>
      <c r="E960" s="127">
        <f t="shared" si="24"/>
        <v>2020</v>
      </c>
      <c r="F960" s="126">
        <f>_xlfn.XLOOKUP(D86,'3. Input (des)investeringen '!$B$11:$B$89,'3. Input (des)investeringen '!$E$11:$E$89)</f>
        <v>0</v>
      </c>
    </row>
    <row r="961" spans="2:6">
      <c r="B961">
        <v>70</v>
      </c>
      <c r="D961" s="128">
        <f t="shared" si="23"/>
        <v>420548.3780368499</v>
      </c>
      <c r="E961" s="127">
        <f t="shared" si="24"/>
        <v>2020</v>
      </c>
      <c r="F961" s="126">
        <f>_xlfn.XLOOKUP(D87,'3. Input (des)investeringen '!$B$11:$B$89,'3. Input (des)investeringen '!$E$11:$E$89)</f>
        <v>0</v>
      </c>
    </row>
    <row r="962" spans="2:6">
      <c r="B962">
        <v>71</v>
      </c>
      <c r="D962" s="128">
        <f t="shared" si="23"/>
        <v>678889.94025137217</v>
      </c>
      <c r="E962" s="127">
        <f t="shared" si="24"/>
        <v>2020</v>
      </c>
      <c r="F962" s="126">
        <f>_xlfn.XLOOKUP(D88,'3. Input (des)investeringen '!$B$11:$B$89,'3. Input (des)investeringen '!$E$11:$E$89)</f>
        <v>0</v>
      </c>
    </row>
    <row r="963" spans="2:6">
      <c r="B963">
        <v>72</v>
      </c>
      <c r="D963" s="128">
        <f t="shared" si="23"/>
        <v>839133.50408215157</v>
      </c>
      <c r="E963" s="127">
        <f t="shared" si="24"/>
        <v>2020</v>
      </c>
      <c r="F963" s="126">
        <f>_xlfn.XLOOKUP(D89,'3. Input (des)investeringen '!$B$11:$B$89,'3. Input (des)investeringen '!$E$11:$E$89)</f>
        <v>0</v>
      </c>
    </row>
    <row r="964" spans="2:6">
      <c r="B964">
        <v>73</v>
      </c>
      <c r="D964" s="128">
        <f t="shared" si="23"/>
        <v>466144.55323262321</v>
      </c>
      <c r="E964" s="127">
        <f t="shared" si="24"/>
        <v>2020</v>
      </c>
      <c r="F964" s="126">
        <f>_xlfn.XLOOKUP(D90,'3. Input (des)investeringen '!$B$11:$B$89,'3. Input (des)investeringen '!$E$11:$E$89)</f>
        <v>0</v>
      </c>
    </row>
    <row r="965" spans="2:6">
      <c r="B965">
        <v>74</v>
      </c>
      <c r="D965" s="128">
        <f t="shared" si="23"/>
        <v>52695.014543283847</v>
      </c>
      <c r="E965" s="127">
        <f t="shared" si="24"/>
        <v>2020</v>
      </c>
      <c r="F965" s="126">
        <f>_xlfn.XLOOKUP(D91,'3. Input (des)investeringen '!$B$11:$B$89,'3. Input (des)investeringen '!$E$11:$E$89)</f>
        <v>0</v>
      </c>
    </row>
    <row r="966" spans="2:6">
      <c r="B966">
        <v>75</v>
      </c>
      <c r="D966" s="128">
        <f t="shared" si="23"/>
        <v>236374.02269672992</v>
      </c>
      <c r="E966" s="127">
        <f t="shared" si="24"/>
        <v>2020</v>
      </c>
      <c r="F966" s="126">
        <f>_xlfn.XLOOKUP(D92,'3. Input (des)investeringen '!$B$11:$B$89,'3. Input (des)investeringen '!$E$11:$E$89)</f>
        <v>0</v>
      </c>
    </row>
    <row r="967" spans="2:6">
      <c r="B967">
        <v>76</v>
      </c>
      <c r="D967" s="128">
        <f t="shared" si="23"/>
        <v>285825.23173650069</v>
      </c>
      <c r="E967" s="127">
        <f t="shared" si="24"/>
        <v>2020</v>
      </c>
      <c r="F967" s="126">
        <f>_xlfn.XLOOKUP(D93,'3. Input (des)investeringen '!$B$11:$B$89,'3. Input (des)investeringen '!$E$11:$E$89)</f>
        <v>0</v>
      </c>
    </row>
    <row r="968" spans="2:6">
      <c r="B968">
        <v>77</v>
      </c>
      <c r="D968" s="128">
        <f t="shared" si="23"/>
        <v>176761.46807564</v>
      </c>
      <c r="E968" s="127">
        <f t="shared" si="24"/>
        <v>2020</v>
      </c>
      <c r="F968" s="126">
        <f>_xlfn.XLOOKUP(D94,'3. Input (des)investeringen '!$B$11:$B$89,'3. Input (des)investeringen '!$E$11:$E$89)</f>
        <v>0</v>
      </c>
    </row>
    <row r="969" spans="2:6">
      <c r="B969">
        <v>78</v>
      </c>
      <c r="D969" s="128">
        <f t="shared" si="23"/>
        <v>43746.070987545623</v>
      </c>
      <c r="E969" s="127">
        <f t="shared" si="24"/>
        <v>2020</v>
      </c>
      <c r="F969" s="126">
        <f>_xlfn.XLOOKUP(D95,'3. Input (des)investeringen '!$B$11:$B$89,'3. Input (des)investeringen '!$E$11:$E$89)</f>
        <v>0</v>
      </c>
    </row>
    <row r="970" spans="2:6">
      <c r="B970">
        <v>79</v>
      </c>
      <c r="D970" s="128">
        <f t="shared" si="23"/>
        <v>7279.2095916837961</v>
      </c>
      <c r="E970" s="127">
        <f t="shared" si="24"/>
        <v>2020</v>
      </c>
      <c r="F970" s="126">
        <f>_xlfn.XLOOKUP(D96,'3. Input (des)investeringen '!$B$11:$B$89,'3. Input (des)investeringen '!$E$11:$E$89)</f>
        <v>1</v>
      </c>
    </row>
    <row r="971" spans="2:6">
      <c r="B971">
        <v>80</v>
      </c>
      <c r="D971" s="128">
        <f t="shared" si="23"/>
        <v>556191.94794048101</v>
      </c>
      <c r="E971" s="127">
        <f t="shared" si="24"/>
        <v>2020</v>
      </c>
      <c r="F971" s="126">
        <f>_xlfn.XLOOKUP(D97,'3. Input (des)investeringen '!$B$11:$B$89,'3. Input (des)investeringen '!$E$11:$E$89)</f>
        <v>1</v>
      </c>
    </row>
    <row r="972" spans="2:6">
      <c r="B972">
        <v>81</v>
      </c>
      <c r="D972" s="128">
        <f t="shared" si="23"/>
        <v>400794.95961332711</v>
      </c>
      <c r="E972" s="127">
        <f t="shared" si="24"/>
        <v>2020</v>
      </c>
      <c r="F972" s="126">
        <f>_xlfn.XLOOKUP(D98,'3. Input (des)investeringen '!$B$11:$B$89,'3. Input (des)investeringen '!$E$11:$E$89)</f>
        <v>1</v>
      </c>
    </row>
    <row r="973" spans="2:6">
      <c r="B973">
        <v>82</v>
      </c>
      <c r="D973" s="128">
        <f t="shared" si="23"/>
        <v>134478.71159135591</v>
      </c>
      <c r="E973" s="127">
        <f t="shared" si="24"/>
        <v>2020</v>
      </c>
      <c r="F973" s="126">
        <f>_xlfn.XLOOKUP(D99,'3. Input (des)investeringen '!$B$11:$B$89,'3. Input (des)investeringen '!$E$11:$E$89)</f>
        <v>1</v>
      </c>
    </row>
    <row r="974" spans="2:6">
      <c r="B974">
        <v>83</v>
      </c>
      <c r="D974" s="128">
        <f t="shared" si="23"/>
        <v>3474396.3025643122</v>
      </c>
      <c r="E974" s="127">
        <f t="shared" si="24"/>
        <v>2020</v>
      </c>
      <c r="F974" s="126">
        <f>_xlfn.XLOOKUP(D100,'3. Input (des)investeringen '!$B$11:$B$89,'3. Input (des)investeringen '!$E$11:$E$89)</f>
        <v>1</v>
      </c>
    </row>
    <row r="975" spans="2:6">
      <c r="B975">
        <v>84</v>
      </c>
      <c r="D975" s="128">
        <f t="shared" si="23"/>
        <v>194769.36815296905</v>
      </c>
      <c r="E975" s="127">
        <f t="shared" si="24"/>
        <v>2020</v>
      </c>
      <c r="F975" s="126">
        <f>_xlfn.XLOOKUP(D101,'3. Input (des)investeringen '!$B$11:$B$89,'3. Input (des)investeringen '!$E$11:$E$89)</f>
        <v>1</v>
      </c>
    </row>
    <row r="976" spans="2:6">
      <c r="B976">
        <v>85</v>
      </c>
      <c r="D976" s="128">
        <f t="shared" si="23"/>
        <v>621379.6226425051</v>
      </c>
      <c r="E976" s="127">
        <f t="shared" si="24"/>
        <v>2020</v>
      </c>
      <c r="F976" s="126">
        <f>_xlfn.XLOOKUP(D102,'3. Input (des)investeringen '!$B$11:$B$89,'3. Input (des)investeringen '!$E$11:$E$89)</f>
        <v>1</v>
      </c>
    </row>
    <row r="977" spans="2:6">
      <c r="B977">
        <v>86</v>
      </c>
      <c r="D977" s="128">
        <f t="shared" si="23"/>
        <v>1917866.939989456</v>
      </c>
      <c r="E977" s="127">
        <f t="shared" si="24"/>
        <v>2020</v>
      </c>
      <c r="F977" s="126">
        <f>_xlfn.XLOOKUP(D103,'3. Input (des)investeringen '!$B$11:$B$89,'3. Input (des)investeringen '!$E$11:$E$89)</f>
        <v>1</v>
      </c>
    </row>
    <row r="978" spans="2:6">
      <c r="B978">
        <v>87</v>
      </c>
      <c r="D978" s="128">
        <f t="shared" si="23"/>
        <v>95593.658163605258</v>
      </c>
      <c r="E978" s="127">
        <f t="shared" si="24"/>
        <v>2020</v>
      </c>
      <c r="F978" s="126">
        <f>_xlfn.XLOOKUP(D104,'3. Input (des)investeringen '!$B$11:$B$89,'3. Input (des)investeringen '!$E$11:$E$89)</f>
        <v>1</v>
      </c>
    </row>
    <row r="979" spans="2:6">
      <c r="B979">
        <v>88</v>
      </c>
      <c r="D979" s="128">
        <f t="shared" si="23"/>
        <v>177648.51548607223</v>
      </c>
      <c r="E979" s="127">
        <f t="shared" si="24"/>
        <v>2020</v>
      </c>
      <c r="F979" s="126">
        <f>_xlfn.XLOOKUP(D105,'3. Input (des)investeringen '!$B$11:$B$89,'3. Input (des)investeringen '!$E$11:$E$89)</f>
        <v>1</v>
      </c>
    </row>
    <row r="980" spans="2:6">
      <c r="B980">
        <v>89</v>
      </c>
      <c r="D980" s="128">
        <f t="shared" si="23"/>
        <v>640974.00509533472</v>
      </c>
      <c r="E980" s="127">
        <f t="shared" si="24"/>
        <v>2020</v>
      </c>
      <c r="F980" s="126">
        <f>_xlfn.XLOOKUP(D106,'3. Input (des)investeringen '!$B$11:$B$89,'3. Input (des)investeringen '!$E$11:$E$89)</f>
        <v>1</v>
      </c>
    </row>
    <row r="981" spans="2:6">
      <c r="B981">
        <v>90</v>
      </c>
      <c r="D981" s="128">
        <f t="shared" si="23"/>
        <v>574221.57553211425</v>
      </c>
      <c r="E981" s="127">
        <f t="shared" si="24"/>
        <v>2020</v>
      </c>
      <c r="F981" s="126">
        <f>_xlfn.XLOOKUP(D107,'3. Input (des)investeringen '!$B$11:$B$89,'3. Input (des)investeringen '!$E$11:$E$89)</f>
        <v>1</v>
      </c>
    </row>
    <row r="982" spans="2:6">
      <c r="B982">
        <v>91</v>
      </c>
      <c r="D982" s="128">
        <f t="shared" si="23"/>
        <v>101299.14611083685</v>
      </c>
      <c r="E982" s="127">
        <f t="shared" si="24"/>
        <v>2020</v>
      </c>
      <c r="F982" s="126">
        <f>_xlfn.XLOOKUP(D108,'3. Input (des)investeringen '!$B$11:$B$89,'3. Input (des)investeringen '!$E$11:$E$89)</f>
        <v>1</v>
      </c>
    </row>
    <row r="983" spans="2:6">
      <c r="B983">
        <v>92</v>
      </c>
      <c r="D983" s="128">
        <f t="shared" si="23"/>
        <v>193795.32414373165</v>
      </c>
      <c r="E983" s="127">
        <f t="shared" si="24"/>
        <v>2020</v>
      </c>
      <c r="F983" s="126">
        <f>_xlfn.XLOOKUP(D109,'3. Input (des)investeringen '!$B$11:$B$89,'3. Input (des)investeringen '!$E$11:$E$89)</f>
        <v>0</v>
      </c>
    </row>
    <row r="984" spans="2:6">
      <c r="B984">
        <v>93</v>
      </c>
      <c r="D984" s="128">
        <f t="shared" si="23"/>
        <v>417533.58819327998</v>
      </c>
      <c r="E984" s="127">
        <f t="shared" si="24"/>
        <v>2020</v>
      </c>
      <c r="F984" s="126">
        <f>_xlfn.XLOOKUP(D110,'3. Input (des)investeringen '!$B$11:$B$89,'3. Input (des)investeringen '!$E$11:$E$89)</f>
        <v>0</v>
      </c>
    </row>
    <row r="985" spans="2:6">
      <c r="B985">
        <v>94</v>
      </c>
      <c r="D985" s="128">
        <f t="shared" si="23"/>
        <v>3823402.407878554</v>
      </c>
      <c r="E985" s="127">
        <f t="shared" si="24"/>
        <v>2020</v>
      </c>
      <c r="F985" s="126">
        <f>_xlfn.XLOOKUP(D111,'3. Input (des)investeringen '!$B$11:$B$89,'3. Input (des)investeringen '!$E$11:$E$89)</f>
        <v>0</v>
      </c>
    </row>
    <row r="986" spans="2:6">
      <c r="B986">
        <v>95</v>
      </c>
      <c r="D986" s="128">
        <f t="shared" si="23"/>
        <v>7488.7980339025535</v>
      </c>
      <c r="E986" s="127">
        <f t="shared" si="24"/>
        <v>2020</v>
      </c>
      <c r="F986" s="126">
        <f>_xlfn.XLOOKUP(D112,'3. Input (des)investeringen '!$B$11:$B$89,'3. Input (des)investeringen '!$E$11:$E$89)</f>
        <v>0</v>
      </c>
    </row>
    <row r="987" spans="2:6">
      <c r="B987">
        <v>96</v>
      </c>
      <c r="D987" s="128">
        <f t="shared" si="23"/>
        <v>742382.84893713472</v>
      </c>
      <c r="E987" s="127">
        <f t="shared" si="24"/>
        <v>2020</v>
      </c>
      <c r="F987" s="126">
        <f>_xlfn.XLOOKUP(D113,'3. Input (des)investeringen '!$B$11:$B$89,'3. Input (des)investeringen '!$E$11:$E$89)</f>
        <v>1</v>
      </c>
    </row>
    <row r="988" spans="2:6">
      <c r="B988">
        <v>97</v>
      </c>
      <c r="D988" s="128">
        <f t="shared" si="23"/>
        <v>497559.24646460399</v>
      </c>
      <c r="E988" s="127">
        <f t="shared" si="24"/>
        <v>2020</v>
      </c>
      <c r="F988" s="126">
        <f>_xlfn.XLOOKUP(D114,'3. Input (des)investeringen '!$B$11:$B$89,'3. Input (des)investeringen '!$E$11:$E$89)</f>
        <v>1</v>
      </c>
    </row>
    <row r="989" spans="2:6">
      <c r="B989">
        <v>98</v>
      </c>
      <c r="D989" s="128">
        <f t="shared" si="23"/>
        <v>847051.65790449153</v>
      </c>
      <c r="E989" s="127">
        <f t="shared" si="24"/>
        <v>2020</v>
      </c>
      <c r="F989" s="126">
        <f>_xlfn.XLOOKUP(D115,'3. Input (des)investeringen '!$B$11:$B$89,'3. Input (des)investeringen '!$E$11:$E$89)</f>
        <v>1</v>
      </c>
    </row>
    <row r="990" spans="2:6">
      <c r="B990">
        <v>99</v>
      </c>
      <c r="D990" s="128">
        <f t="shared" si="23"/>
        <v>8144.057006494264</v>
      </c>
      <c r="E990" s="127">
        <f t="shared" si="24"/>
        <v>2020</v>
      </c>
      <c r="F990" s="126">
        <f>_xlfn.XLOOKUP(D116,'3. Input (des)investeringen '!$B$11:$B$89,'3. Input (des)investeringen '!$E$11:$E$89)</f>
        <v>1</v>
      </c>
    </row>
    <row r="991" spans="2:6">
      <c r="B991">
        <v>100</v>
      </c>
      <c r="D991" s="128">
        <f t="shared" si="23"/>
        <v>491817.1821266273</v>
      </c>
      <c r="E991" s="127">
        <f t="shared" si="24"/>
        <v>2020</v>
      </c>
      <c r="F991" s="126">
        <f>_xlfn.XLOOKUP(D117,'3. Input (des)investeringen '!$B$11:$B$89,'3. Input (des)investeringen '!$E$11:$E$89)</f>
        <v>1</v>
      </c>
    </row>
    <row r="992" spans="2:6">
      <c r="B992">
        <v>101</v>
      </c>
      <c r="D992" s="128">
        <f t="shared" si="23"/>
        <v>29842.132392463594</v>
      </c>
      <c r="E992" s="127">
        <f t="shared" si="24"/>
        <v>2020</v>
      </c>
      <c r="F992" s="126">
        <f>_xlfn.XLOOKUP(D118,'3. Input (des)investeringen '!$B$11:$B$89,'3. Input (des)investeringen '!$E$11:$E$89)</f>
        <v>1</v>
      </c>
    </row>
    <row r="993" spans="2:6">
      <c r="B993">
        <v>102</v>
      </c>
      <c r="D993" s="128">
        <f t="shared" si="23"/>
        <v>296132.66621760983</v>
      </c>
      <c r="E993" s="127">
        <f t="shared" si="24"/>
        <v>2020</v>
      </c>
      <c r="F993" s="126">
        <f>_xlfn.XLOOKUP(D119,'3. Input (des)investeringen '!$B$11:$B$89,'3. Input (des)investeringen '!$E$11:$E$89)</f>
        <v>1</v>
      </c>
    </row>
    <row r="994" spans="2:6">
      <c r="B994">
        <v>103</v>
      </c>
      <c r="D994" s="128">
        <f t="shared" si="23"/>
        <v>30464.280867373902</v>
      </c>
      <c r="E994" s="127">
        <f t="shared" si="24"/>
        <v>2020</v>
      </c>
      <c r="F994" s="126">
        <f>_xlfn.XLOOKUP(D120,'3. Input (des)investeringen '!$B$11:$B$89,'3. Input (des)investeringen '!$E$11:$E$89)</f>
        <v>1</v>
      </c>
    </row>
    <row r="995" spans="2:6">
      <c r="B995">
        <v>104</v>
      </c>
      <c r="D995" s="128">
        <f t="shared" si="23"/>
        <v>466951.00937448401</v>
      </c>
      <c r="E995" s="127">
        <f t="shared" si="24"/>
        <v>2020</v>
      </c>
      <c r="F995" s="126">
        <f>_xlfn.XLOOKUP(D121,'3. Input (des)investeringen '!$B$11:$B$89,'3. Input (des)investeringen '!$E$11:$E$89)</f>
        <v>1</v>
      </c>
    </row>
    <row r="996" spans="2:6">
      <c r="B996">
        <v>105</v>
      </c>
      <c r="D996" s="128">
        <f t="shared" si="23"/>
        <v>29207.343065497258</v>
      </c>
      <c r="E996" s="127">
        <f t="shared" si="24"/>
        <v>2020</v>
      </c>
      <c r="F996" s="126">
        <f>_xlfn.XLOOKUP(D122,'3. Input (des)investeringen '!$B$11:$B$89,'3. Input (des)investeringen '!$E$11:$E$89)</f>
        <v>1</v>
      </c>
    </row>
    <row r="997" spans="2:6">
      <c r="B997">
        <v>106</v>
      </c>
      <c r="D997" s="128">
        <f t="shared" si="23"/>
        <v>85681.109144716596</v>
      </c>
      <c r="E997" s="127">
        <f t="shared" si="24"/>
        <v>2020</v>
      </c>
      <c r="F997" s="126">
        <f>_xlfn.XLOOKUP(D123,'3. Input (des)investeringen '!$B$11:$B$89,'3. Input (des)investeringen '!$E$11:$E$89)</f>
        <v>1</v>
      </c>
    </row>
    <row r="998" spans="2:6">
      <c r="B998">
        <v>107</v>
      </c>
      <c r="D998" s="128">
        <f t="shared" si="23"/>
        <v>12094.992137610618</v>
      </c>
      <c r="E998" s="127">
        <f t="shared" si="24"/>
        <v>2020</v>
      </c>
      <c r="F998" s="126">
        <f>_xlfn.XLOOKUP(D124,'3. Input (des)investeringen '!$B$11:$B$89,'3. Input (des)investeringen '!$E$11:$E$89)</f>
        <v>1</v>
      </c>
    </row>
    <row r="999" spans="2:6">
      <c r="B999">
        <v>108</v>
      </c>
      <c r="D999" s="128">
        <f t="shared" si="23"/>
        <v>241190.94996912093</v>
      </c>
      <c r="E999" s="127">
        <f t="shared" si="24"/>
        <v>2020</v>
      </c>
      <c r="F999" s="126">
        <f>_xlfn.XLOOKUP(D125,'3. Input (des)investeringen '!$B$11:$B$89,'3. Input (des)investeringen '!$E$11:$E$89)</f>
        <v>1</v>
      </c>
    </row>
    <row r="1000" spans="2:6">
      <c r="B1000">
        <v>109</v>
      </c>
      <c r="D1000" s="128">
        <f t="shared" si="23"/>
        <v>103365.52678590667</v>
      </c>
      <c r="E1000" s="127">
        <f t="shared" si="24"/>
        <v>2020</v>
      </c>
      <c r="F1000" s="126">
        <f>_xlfn.XLOOKUP(D126,'3. Input (des)investeringen '!$B$11:$B$89,'3. Input (des)investeringen '!$E$11:$E$89)</f>
        <v>0</v>
      </c>
    </row>
    <row r="1001" spans="2:6">
      <c r="B1001">
        <v>110</v>
      </c>
      <c r="D1001" s="128">
        <f t="shared" si="23"/>
        <v>2605.9297428298378</v>
      </c>
      <c r="E1001" s="127">
        <f t="shared" si="24"/>
        <v>2020</v>
      </c>
      <c r="F1001" s="126">
        <f>_xlfn.XLOOKUP(D127,'3. Input (des)investeringen '!$B$11:$B$89,'3. Input (des)investeringen '!$E$11:$E$89)</f>
        <v>1</v>
      </c>
    </row>
    <row r="1002" spans="2:6">
      <c r="B1002">
        <v>111</v>
      </c>
      <c r="D1002" s="128">
        <f t="shared" si="23"/>
        <v>699507.92606819642</v>
      </c>
      <c r="E1002" s="127">
        <f t="shared" si="24"/>
        <v>2020</v>
      </c>
      <c r="F1002" s="126">
        <f>_xlfn.XLOOKUP(D128,'3. Input (des)investeringen '!$B$11:$B$89,'3. Input (des)investeringen '!$E$11:$E$89)</f>
        <v>1</v>
      </c>
    </row>
    <row r="1003" spans="2:6">
      <c r="B1003">
        <v>112</v>
      </c>
      <c r="D1003" s="128">
        <f t="shared" si="23"/>
        <v>758579.68905049388</v>
      </c>
      <c r="E1003" s="127">
        <f t="shared" si="24"/>
        <v>2020</v>
      </c>
      <c r="F1003" s="126">
        <f>_xlfn.XLOOKUP(D129,'3. Input (des)investeringen '!$B$11:$B$89,'3. Input (des)investeringen '!$E$11:$E$89)</f>
        <v>1</v>
      </c>
    </row>
    <row r="1004" spans="2:6">
      <c r="B1004">
        <v>113</v>
      </c>
      <c r="D1004" s="128">
        <f t="shared" si="23"/>
        <v>58484.431866942861</v>
      </c>
      <c r="E1004" s="127">
        <f t="shared" si="24"/>
        <v>2020</v>
      </c>
      <c r="F1004" s="126">
        <f>_xlfn.XLOOKUP(D130,'3. Input (des)investeringen '!$B$11:$B$89,'3. Input (des)investeringen '!$E$11:$E$89)</f>
        <v>1</v>
      </c>
    </row>
    <row r="1005" spans="2:6">
      <c r="B1005">
        <v>114</v>
      </c>
      <c r="D1005" s="128">
        <f t="shared" si="23"/>
        <v>12654.139058755578</v>
      </c>
      <c r="E1005" s="127">
        <f t="shared" si="24"/>
        <v>2020</v>
      </c>
      <c r="F1005" s="126">
        <f>_xlfn.XLOOKUP(D131,'3. Input (des)investeringen '!$B$11:$B$89,'3. Input (des)investeringen '!$E$11:$E$89)</f>
        <v>1</v>
      </c>
    </row>
    <row r="1006" spans="2:6">
      <c r="B1006">
        <v>115</v>
      </c>
      <c r="D1006" s="128">
        <f t="shared" si="23"/>
        <v>903016.7979884313</v>
      </c>
      <c r="E1006" s="127">
        <f t="shared" si="24"/>
        <v>2020</v>
      </c>
      <c r="F1006" s="126">
        <f>_xlfn.XLOOKUP(D132,'3. Input (des)investeringen '!$B$11:$B$89,'3. Input (des)investeringen '!$E$11:$E$89)</f>
        <v>1</v>
      </c>
    </row>
    <row r="1007" spans="2:6">
      <c r="B1007">
        <v>116</v>
      </c>
      <c r="D1007" s="128">
        <f t="shared" si="23"/>
        <v>821582.77845572378</v>
      </c>
      <c r="E1007" s="127">
        <f t="shared" si="24"/>
        <v>2020</v>
      </c>
      <c r="F1007" s="126">
        <f>_xlfn.XLOOKUP(D133,'3. Input (des)investeringen '!$B$11:$B$89,'3. Input (des)investeringen '!$E$11:$E$89)</f>
        <v>1</v>
      </c>
    </row>
    <row r="1008" spans="2:6">
      <c r="B1008">
        <v>117</v>
      </c>
      <c r="D1008" s="128">
        <f t="shared" si="23"/>
        <v>5515976.1618402852</v>
      </c>
      <c r="E1008" s="127">
        <f t="shared" si="24"/>
        <v>2020</v>
      </c>
      <c r="F1008" s="126">
        <f>_xlfn.XLOOKUP(D134,'3. Input (des)investeringen '!$B$11:$B$89,'3. Input (des)investeringen '!$E$11:$E$89)</f>
        <v>0</v>
      </c>
    </row>
    <row r="1009" spans="2:6">
      <c r="B1009">
        <v>118</v>
      </c>
      <c r="D1009" s="128">
        <f t="shared" si="23"/>
        <v>382268.73025159683</v>
      </c>
      <c r="E1009" s="127">
        <f t="shared" si="24"/>
        <v>2020</v>
      </c>
      <c r="F1009" s="126">
        <f>_xlfn.XLOOKUP(D135,'3. Input (des)investeringen '!$B$11:$B$89,'3. Input (des)investeringen '!$E$11:$E$89)</f>
        <v>1</v>
      </c>
    </row>
    <row r="1010" spans="2:6">
      <c r="B1010">
        <v>119</v>
      </c>
      <c r="D1010" s="128">
        <f t="shared" si="23"/>
        <v>2577767.7699642316</v>
      </c>
      <c r="E1010" s="127">
        <f t="shared" si="24"/>
        <v>2020</v>
      </c>
      <c r="F1010" s="126">
        <f>_xlfn.XLOOKUP(D136,'3. Input (des)investeringen '!$B$11:$B$89,'3. Input (des)investeringen '!$E$11:$E$89)</f>
        <v>0</v>
      </c>
    </row>
    <row r="1011" spans="2:6">
      <c r="B1011">
        <v>120</v>
      </c>
      <c r="D1011" s="128">
        <f t="shared" si="23"/>
        <v>1082540.7671306636</v>
      </c>
      <c r="E1011" s="127">
        <f t="shared" si="24"/>
        <v>2021</v>
      </c>
      <c r="F1011" s="126">
        <f>_xlfn.XLOOKUP(D137,'3. Input (des)investeringen '!$B$11:$B$89,'3. Input (des)investeringen '!$E$11:$E$89)</f>
        <v>1</v>
      </c>
    </row>
    <row r="1012" spans="2:6">
      <c r="B1012">
        <v>121</v>
      </c>
      <c r="D1012" s="128">
        <f t="shared" si="23"/>
        <v>511401.65758878307</v>
      </c>
      <c r="E1012" s="127">
        <f t="shared" si="24"/>
        <v>2021</v>
      </c>
      <c r="F1012" s="126">
        <f>_xlfn.XLOOKUP(D138,'3. Input (des)investeringen '!$B$11:$B$89,'3. Input (des)investeringen '!$E$11:$E$89)</f>
        <v>1</v>
      </c>
    </row>
    <row r="1013" spans="2:6">
      <c r="B1013">
        <v>122</v>
      </c>
      <c r="D1013" s="128">
        <f t="shared" si="23"/>
        <v>292220.68125933275</v>
      </c>
      <c r="E1013" s="127">
        <f t="shared" si="24"/>
        <v>2021</v>
      </c>
      <c r="F1013" s="126">
        <f>_xlfn.XLOOKUP(D139,'3. Input (des)investeringen '!$B$11:$B$89,'3. Input (des)investeringen '!$E$11:$E$89)</f>
        <v>1</v>
      </c>
    </row>
    <row r="1014" spans="2:6">
      <c r="B1014">
        <v>123</v>
      </c>
      <c r="D1014" s="128">
        <f t="shared" si="23"/>
        <v>163737.84090666575</v>
      </c>
      <c r="E1014" s="127">
        <f t="shared" si="24"/>
        <v>2021</v>
      </c>
      <c r="F1014" s="126">
        <f>_xlfn.XLOOKUP(D140,'3. Input (des)investeringen '!$B$11:$B$89,'3. Input (des)investeringen '!$E$11:$E$89)</f>
        <v>1</v>
      </c>
    </row>
    <row r="1015" spans="2:6">
      <c r="B1015">
        <v>124</v>
      </c>
      <c r="D1015" s="128">
        <f t="shared" si="23"/>
        <v>668403.90783952852</v>
      </c>
      <c r="E1015" s="127">
        <f t="shared" si="24"/>
        <v>2021</v>
      </c>
      <c r="F1015" s="126">
        <f>_xlfn.XLOOKUP(D141,'3. Input (des)investeringen '!$B$11:$B$89,'3. Input (des)investeringen '!$E$11:$E$89)</f>
        <v>1</v>
      </c>
    </row>
    <row r="1016" spans="2:6">
      <c r="B1016">
        <v>125</v>
      </c>
      <c r="D1016" s="128">
        <f t="shared" si="23"/>
        <v>1100763.5582718961</v>
      </c>
      <c r="E1016" s="127">
        <f t="shared" si="24"/>
        <v>2021</v>
      </c>
      <c r="F1016" s="126">
        <f>_xlfn.XLOOKUP(D142,'3. Input (des)investeringen '!$B$11:$B$89,'3. Input (des)investeringen '!$E$11:$E$89)</f>
        <v>1</v>
      </c>
    </row>
    <row r="1017" spans="2:6">
      <c r="B1017">
        <v>126</v>
      </c>
      <c r="D1017" s="128">
        <f t="shared" si="23"/>
        <v>550425.76082445181</v>
      </c>
      <c r="E1017" s="127">
        <f t="shared" si="24"/>
        <v>2021</v>
      </c>
      <c r="F1017" s="126">
        <f>_xlfn.XLOOKUP(D143,'3. Input (des)investeringen '!$B$11:$B$89,'3. Input (des)investeringen '!$E$11:$E$89)</f>
        <v>1</v>
      </c>
    </row>
    <row r="1018" spans="2:6">
      <c r="B1018">
        <v>127</v>
      </c>
      <c r="D1018" s="128">
        <f t="shared" si="23"/>
        <v>493535.1567090468</v>
      </c>
      <c r="E1018" s="127">
        <f t="shared" si="24"/>
        <v>2021</v>
      </c>
      <c r="F1018" s="126">
        <f>_xlfn.XLOOKUP(D144,'3. Input (des)investeringen '!$B$11:$B$89,'3. Input (des)investeringen '!$E$11:$E$89)</f>
        <v>1</v>
      </c>
    </row>
    <row r="1019" spans="2:6">
      <c r="B1019">
        <v>128</v>
      </c>
      <c r="D1019" s="128">
        <f t="shared" si="23"/>
        <v>1141043.6057034757</v>
      </c>
      <c r="E1019" s="127">
        <f t="shared" si="24"/>
        <v>2021</v>
      </c>
      <c r="F1019" s="126">
        <f>_xlfn.XLOOKUP(D145,'3. Input (des)investeringen '!$B$11:$B$89,'3. Input (des)investeringen '!$E$11:$E$89)</f>
        <v>1</v>
      </c>
    </row>
    <row r="1020" spans="2:6">
      <c r="B1020">
        <v>129</v>
      </c>
      <c r="D1020" s="128">
        <f t="shared" ref="D1020:D1083" si="25">F146*INDEX($E$807:$CG$887,E146-1945,G146-1945)</f>
        <v>1340871.0177292731</v>
      </c>
      <c r="E1020" s="127">
        <f t="shared" ref="E1020:E1083" si="26">G146</f>
        <v>2021</v>
      </c>
      <c r="F1020" s="126">
        <f>_xlfn.XLOOKUP(D146,'3. Input (des)investeringen '!$B$11:$B$89,'3. Input (des)investeringen '!$E$11:$E$89)</f>
        <v>1</v>
      </c>
    </row>
    <row r="1021" spans="2:6">
      <c r="B1021">
        <v>130</v>
      </c>
      <c r="D1021" s="128">
        <f t="shared" si="25"/>
        <v>503640.04308366589</v>
      </c>
      <c r="E1021" s="127">
        <f t="shared" si="26"/>
        <v>2021</v>
      </c>
      <c r="F1021" s="126">
        <f>_xlfn.XLOOKUP(D147,'3. Input (des)investeringen '!$B$11:$B$89,'3. Input (des)investeringen '!$E$11:$E$89)</f>
        <v>1</v>
      </c>
    </row>
    <row r="1022" spans="2:6">
      <c r="B1022">
        <v>131</v>
      </c>
      <c r="D1022" s="128">
        <f t="shared" si="25"/>
        <v>294963.8965371729</v>
      </c>
      <c r="E1022" s="127">
        <f t="shared" si="26"/>
        <v>2021</v>
      </c>
      <c r="F1022" s="126">
        <f>_xlfn.XLOOKUP(D148,'3. Input (des)investeringen '!$B$11:$B$89,'3. Input (des)investeringen '!$E$11:$E$89)</f>
        <v>1</v>
      </c>
    </row>
    <row r="1023" spans="2:6">
      <c r="B1023">
        <v>132</v>
      </c>
      <c r="D1023" s="128">
        <f t="shared" si="25"/>
        <v>66815.699025118025</v>
      </c>
      <c r="E1023" s="127">
        <f t="shared" si="26"/>
        <v>2021</v>
      </c>
      <c r="F1023" s="126">
        <f>_xlfn.XLOOKUP(D149,'3. Input (des)investeringen '!$B$11:$B$89,'3. Input (des)investeringen '!$E$11:$E$89)</f>
        <v>1</v>
      </c>
    </row>
    <row r="1024" spans="2:6">
      <c r="B1024">
        <v>133</v>
      </c>
      <c r="D1024" s="128">
        <f t="shared" si="25"/>
        <v>109772.84528112932</v>
      </c>
      <c r="E1024" s="127">
        <f t="shared" si="26"/>
        <v>2021</v>
      </c>
      <c r="F1024" s="126">
        <f>_xlfn.XLOOKUP(D150,'3. Input (des)investeringen '!$B$11:$B$89,'3. Input (des)investeringen '!$E$11:$E$89)</f>
        <v>1</v>
      </c>
    </row>
    <row r="1025" spans="2:6">
      <c r="B1025">
        <v>134</v>
      </c>
      <c r="D1025" s="128">
        <f t="shared" si="25"/>
        <v>71760.577142878115</v>
      </c>
      <c r="E1025" s="127">
        <f t="shared" si="26"/>
        <v>2021</v>
      </c>
      <c r="F1025" s="126">
        <f>_xlfn.XLOOKUP(D151,'3. Input (des)investeringen '!$B$11:$B$89,'3. Input (des)investeringen '!$E$11:$E$89)</f>
        <v>1</v>
      </c>
    </row>
    <row r="1026" spans="2:6">
      <c r="B1026">
        <v>135</v>
      </c>
      <c r="D1026" s="128">
        <f t="shared" si="25"/>
        <v>98357.91620714216</v>
      </c>
      <c r="E1026" s="127">
        <f t="shared" si="26"/>
        <v>2021</v>
      </c>
      <c r="F1026" s="126">
        <f>_xlfn.XLOOKUP(D152,'3. Input (des)investeringen '!$B$11:$B$89,'3. Input (des)investeringen '!$E$11:$E$89)</f>
        <v>1</v>
      </c>
    </row>
    <row r="1027" spans="2:6">
      <c r="B1027">
        <v>136</v>
      </c>
      <c r="D1027" s="128">
        <f t="shared" si="25"/>
        <v>38685.240317018492</v>
      </c>
      <c r="E1027" s="127">
        <f t="shared" si="26"/>
        <v>2021</v>
      </c>
      <c r="F1027" s="126">
        <f>_xlfn.XLOOKUP(D153,'3. Input (des)investeringen '!$B$11:$B$89,'3. Input (des)investeringen '!$E$11:$E$89)</f>
        <v>1</v>
      </c>
    </row>
    <row r="1028" spans="2:6">
      <c r="B1028">
        <v>137</v>
      </c>
      <c r="D1028" s="128">
        <f t="shared" si="25"/>
        <v>43273.531147319729</v>
      </c>
      <c r="E1028" s="127">
        <f t="shared" si="26"/>
        <v>2021</v>
      </c>
      <c r="F1028" s="126">
        <f>_xlfn.XLOOKUP(D154,'3. Input (des)investeringen '!$B$11:$B$89,'3. Input (des)investeringen '!$E$11:$E$89)</f>
        <v>1</v>
      </c>
    </row>
    <row r="1029" spans="2:6">
      <c r="B1029">
        <v>138</v>
      </c>
      <c r="D1029" s="128">
        <f t="shared" si="25"/>
        <v>197935.88660477666</v>
      </c>
      <c r="E1029" s="127">
        <f t="shared" si="26"/>
        <v>2021</v>
      </c>
      <c r="F1029" s="126">
        <f>_xlfn.XLOOKUP(D155,'3. Input (des)investeringen '!$B$11:$B$89,'3. Input (des)investeringen '!$E$11:$E$89)</f>
        <v>1</v>
      </c>
    </row>
    <row r="1030" spans="2:6">
      <c r="B1030">
        <v>139</v>
      </c>
      <c r="D1030" s="128">
        <f t="shared" si="25"/>
        <v>3536.1721082700515</v>
      </c>
      <c r="E1030" s="127">
        <f t="shared" si="26"/>
        <v>2021</v>
      </c>
      <c r="F1030" s="126">
        <f>_xlfn.XLOOKUP(D156,'3. Input (des)investeringen '!$B$11:$B$89,'3. Input (des)investeringen '!$E$11:$E$89)</f>
        <v>1</v>
      </c>
    </row>
    <row r="1031" spans="2:6">
      <c r="B1031">
        <v>140</v>
      </c>
      <c r="D1031" s="128">
        <f t="shared" si="25"/>
        <v>149008.91551010619</v>
      </c>
      <c r="E1031" s="127">
        <f t="shared" si="26"/>
        <v>2021</v>
      </c>
      <c r="F1031" s="126">
        <f>_xlfn.XLOOKUP(D157,'3. Input (des)investeringen '!$B$11:$B$89,'3. Input (des)investeringen '!$E$11:$E$89)</f>
        <v>1</v>
      </c>
    </row>
    <row r="1032" spans="2:6">
      <c r="B1032">
        <v>141</v>
      </c>
      <c r="D1032" s="128">
        <f t="shared" si="25"/>
        <v>320750.25625020906</v>
      </c>
      <c r="E1032" s="127">
        <f t="shared" si="26"/>
        <v>2021</v>
      </c>
      <c r="F1032" s="126">
        <f>_xlfn.XLOOKUP(D158,'3. Input (des)investeringen '!$B$11:$B$89,'3. Input (des)investeringen '!$E$11:$E$89)</f>
        <v>1</v>
      </c>
    </row>
    <row r="1033" spans="2:6">
      <c r="B1033">
        <v>142</v>
      </c>
      <c r="D1033" s="128">
        <f t="shared" si="25"/>
        <v>75796.301285625028</v>
      </c>
      <c r="E1033" s="127">
        <f t="shared" si="26"/>
        <v>2021</v>
      </c>
      <c r="F1033" s="126">
        <f>_xlfn.XLOOKUP(D159,'3. Input (des)investeringen '!$B$11:$B$89,'3. Input (des)investeringen '!$E$11:$E$89)</f>
        <v>1</v>
      </c>
    </row>
    <row r="1034" spans="2:6">
      <c r="B1034">
        <v>143</v>
      </c>
      <c r="D1034" s="128">
        <f t="shared" si="25"/>
        <v>447507.68906529818</v>
      </c>
      <c r="E1034" s="127">
        <f t="shared" si="26"/>
        <v>2021</v>
      </c>
      <c r="F1034" s="126">
        <f>_xlfn.XLOOKUP(D160,'3. Input (des)investeringen '!$B$11:$B$89,'3. Input (des)investeringen '!$E$11:$E$89)</f>
        <v>1</v>
      </c>
    </row>
    <row r="1035" spans="2:6">
      <c r="B1035">
        <v>144</v>
      </c>
      <c r="D1035" s="128">
        <f t="shared" si="25"/>
        <v>585.89540720010632</v>
      </c>
      <c r="E1035" s="127">
        <f t="shared" si="26"/>
        <v>2021</v>
      </c>
      <c r="F1035" s="126">
        <f>_xlfn.XLOOKUP(D161,'3. Input (des)investeringen '!$B$11:$B$89,'3. Input (des)investeringen '!$E$11:$E$89)</f>
        <v>1</v>
      </c>
    </row>
    <row r="1036" spans="2:6">
      <c r="B1036">
        <v>145</v>
      </c>
      <c r="D1036" s="128">
        <f t="shared" si="25"/>
        <v>1076368.1896706892</v>
      </c>
      <c r="E1036" s="127">
        <f t="shared" si="26"/>
        <v>2021</v>
      </c>
      <c r="F1036" s="126">
        <f>_xlfn.XLOOKUP(D162,'3. Input (des)investeringen '!$B$11:$B$89,'3. Input (des)investeringen '!$E$11:$E$89)</f>
        <v>1</v>
      </c>
    </row>
    <row r="1037" spans="2:6">
      <c r="B1037">
        <v>146</v>
      </c>
      <c r="D1037" s="128">
        <f t="shared" si="25"/>
        <v>12458.301884420251</v>
      </c>
      <c r="E1037" s="127">
        <f t="shared" si="26"/>
        <v>2021</v>
      </c>
      <c r="F1037" s="126">
        <f>_xlfn.XLOOKUP(D163,'3. Input (des)investeringen '!$B$11:$B$89,'3. Input (des)investeringen '!$E$11:$E$89)</f>
        <v>1</v>
      </c>
    </row>
    <row r="1038" spans="2:6">
      <c r="B1038">
        <v>147</v>
      </c>
      <c r="D1038" s="128">
        <f t="shared" si="25"/>
        <v>236253.64868884979</v>
      </c>
      <c r="E1038" s="127">
        <f t="shared" si="26"/>
        <v>2021</v>
      </c>
      <c r="F1038" s="126">
        <f>_xlfn.XLOOKUP(D164,'3. Input (des)investeringen '!$B$11:$B$89,'3. Input (des)investeringen '!$E$11:$E$89)</f>
        <v>0</v>
      </c>
    </row>
    <row r="1039" spans="2:6">
      <c r="B1039">
        <v>148</v>
      </c>
      <c r="D1039" s="128">
        <f t="shared" si="25"/>
        <v>1167992.7901493718</v>
      </c>
      <c r="E1039" s="127">
        <f t="shared" si="26"/>
        <v>2021</v>
      </c>
      <c r="F1039" s="126">
        <f>_xlfn.XLOOKUP(D165,'3. Input (des)investeringen '!$B$11:$B$89,'3. Input (des)investeringen '!$E$11:$E$89)</f>
        <v>0</v>
      </c>
    </row>
    <row r="1040" spans="2:6">
      <c r="B1040">
        <v>149</v>
      </c>
      <c r="D1040" s="128">
        <f t="shared" si="25"/>
        <v>1278744.1282753907</v>
      </c>
      <c r="E1040" s="127">
        <f t="shared" si="26"/>
        <v>2021</v>
      </c>
      <c r="F1040" s="126">
        <f>_xlfn.XLOOKUP(D166,'3. Input (des)investeringen '!$B$11:$B$89,'3. Input (des)investeringen '!$E$11:$E$89)</f>
        <v>0</v>
      </c>
    </row>
    <row r="1041" spans="2:6">
      <c r="B1041">
        <v>150</v>
      </c>
      <c r="D1041" s="128">
        <f t="shared" si="25"/>
        <v>770495.64099103538</v>
      </c>
      <c r="E1041" s="127">
        <f t="shared" si="26"/>
        <v>2021</v>
      </c>
      <c r="F1041" s="126">
        <f>_xlfn.XLOOKUP(D167,'3. Input (des)investeringen '!$B$11:$B$89,'3. Input (des)investeringen '!$E$11:$E$89)</f>
        <v>0</v>
      </c>
    </row>
    <row r="1042" spans="2:6">
      <c r="B1042">
        <v>151</v>
      </c>
      <c r="D1042" s="128">
        <f t="shared" si="25"/>
        <v>1359018.3003866887</v>
      </c>
      <c r="E1042" s="127">
        <f t="shared" si="26"/>
        <v>2021</v>
      </c>
      <c r="F1042" s="126">
        <f>_xlfn.XLOOKUP(D168,'3. Input (des)investeringen '!$B$11:$B$89,'3. Input (des)investeringen '!$E$11:$E$89)</f>
        <v>0</v>
      </c>
    </row>
    <row r="1043" spans="2:6">
      <c r="B1043">
        <v>152</v>
      </c>
      <c r="D1043" s="128">
        <f t="shared" si="25"/>
        <v>563287.27093052329</v>
      </c>
      <c r="E1043" s="127">
        <f t="shared" si="26"/>
        <v>2021</v>
      </c>
      <c r="F1043" s="126">
        <f>_xlfn.XLOOKUP(D169,'3. Input (des)investeringen '!$B$11:$B$89,'3. Input (des)investeringen '!$E$11:$E$89)</f>
        <v>0</v>
      </c>
    </row>
    <row r="1044" spans="2:6">
      <c r="B1044">
        <v>153</v>
      </c>
      <c r="D1044" s="128">
        <f t="shared" si="25"/>
        <v>758025.33866394043</v>
      </c>
      <c r="E1044" s="127">
        <f t="shared" si="26"/>
        <v>2021</v>
      </c>
      <c r="F1044" s="126">
        <f>_xlfn.XLOOKUP(D170,'3. Input (des)investeringen '!$B$11:$B$89,'3. Input (des)investeringen '!$E$11:$E$89)</f>
        <v>0</v>
      </c>
    </row>
    <row r="1045" spans="2:6">
      <c r="B1045">
        <v>154</v>
      </c>
      <c r="D1045" s="128">
        <f t="shared" si="25"/>
        <v>1072746.2175645537</v>
      </c>
      <c r="E1045" s="127">
        <f t="shared" si="26"/>
        <v>2021</v>
      </c>
      <c r="F1045" s="126">
        <f>_xlfn.XLOOKUP(D171,'3. Input (des)investeringen '!$B$11:$B$89,'3. Input (des)investeringen '!$E$11:$E$89)</f>
        <v>0</v>
      </c>
    </row>
    <row r="1046" spans="2:6">
      <c r="B1046">
        <v>155</v>
      </c>
      <c r="D1046" s="128">
        <f t="shared" si="25"/>
        <v>69883.751406690964</v>
      </c>
      <c r="E1046" s="127">
        <f t="shared" si="26"/>
        <v>2021</v>
      </c>
      <c r="F1046" s="126">
        <f>_xlfn.XLOOKUP(D172,'3. Input (des)investeringen '!$B$11:$B$89,'3. Input (des)investeringen '!$E$11:$E$89)</f>
        <v>0</v>
      </c>
    </row>
    <row r="1047" spans="2:6">
      <c r="B1047">
        <v>156</v>
      </c>
      <c r="D1047" s="128">
        <f t="shared" si="25"/>
        <v>74510.976145309935</v>
      </c>
      <c r="E1047" s="127">
        <f t="shared" si="26"/>
        <v>2021</v>
      </c>
      <c r="F1047" s="126">
        <f>_xlfn.XLOOKUP(D173,'3. Input (des)investeringen '!$B$11:$B$89,'3. Input (des)investeringen '!$E$11:$E$89)</f>
        <v>0</v>
      </c>
    </row>
    <row r="1048" spans="2:6">
      <c r="B1048">
        <v>157</v>
      </c>
      <c r="D1048" s="128">
        <f t="shared" si="25"/>
        <v>474585.39415796031</v>
      </c>
      <c r="E1048" s="127">
        <f t="shared" si="26"/>
        <v>2021</v>
      </c>
      <c r="F1048" s="126">
        <f>_xlfn.XLOOKUP(D174,'3. Input (des)investeringen '!$B$11:$B$89,'3. Input (des)investeringen '!$E$11:$E$89)</f>
        <v>0</v>
      </c>
    </row>
    <row r="1049" spans="2:6">
      <c r="B1049">
        <v>158</v>
      </c>
      <c r="D1049" s="128">
        <f t="shared" si="25"/>
        <v>300052.12258130778</v>
      </c>
      <c r="E1049" s="127">
        <f t="shared" si="26"/>
        <v>2021</v>
      </c>
      <c r="F1049" s="126">
        <f>_xlfn.XLOOKUP(D175,'3. Input (des)investeringen '!$B$11:$B$89,'3. Input (des)investeringen '!$E$11:$E$89)</f>
        <v>0</v>
      </c>
    </row>
    <row r="1050" spans="2:6">
      <c r="B1050">
        <v>159</v>
      </c>
      <c r="D1050" s="128">
        <f t="shared" si="25"/>
        <v>174219.76869315104</v>
      </c>
      <c r="E1050" s="127">
        <f t="shared" si="26"/>
        <v>2021</v>
      </c>
      <c r="F1050" s="126">
        <f>_xlfn.XLOOKUP(D176,'3. Input (des)investeringen '!$B$11:$B$89,'3. Input (des)investeringen '!$E$11:$E$89)</f>
        <v>0</v>
      </c>
    </row>
    <row r="1051" spans="2:6">
      <c r="B1051">
        <v>160</v>
      </c>
      <c r="D1051" s="128">
        <f t="shared" si="25"/>
        <v>44878.31143522395</v>
      </c>
      <c r="E1051" s="127">
        <f t="shared" si="26"/>
        <v>2021</v>
      </c>
      <c r="F1051" s="126">
        <f>_xlfn.XLOOKUP(D177,'3. Input (des)investeringen '!$B$11:$B$89,'3. Input (des)investeringen '!$E$11:$E$89)</f>
        <v>0</v>
      </c>
    </row>
    <row r="1052" spans="2:6">
      <c r="B1052">
        <v>161</v>
      </c>
      <c r="D1052" s="128">
        <f t="shared" si="25"/>
        <v>99537.263491634294</v>
      </c>
      <c r="E1052" s="127">
        <f t="shared" si="26"/>
        <v>2021</v>
      </c>
      <c r="F1052" s="126">
        <f>_xlfn.XLOOKUP(D178,'3. Input (des)investeringen '!$B$11:$B$89,'3. Input (des)investeringen '!$E$11:$E$89)</f>
        <v>0</v>
      </c>
    </row>
    <row r="1053" spans="2:6">
      <c r="B1053">
        <v>162</v>
      </c>
      <c r="D1053" s="128">
        <f t="shared" si="25"/>
        <v>211807.13784127281</v>
      </c>
      <c r="E1053" s="127">
        <f t="shared" si="26"/>
        <v>2021</v>
      </c>
      <c r="F1053" s="126">
        <f>_xlfn.XLOOKUP(D179,'3. Input (des)investeringen '!$B$11:$B$89,'3. Input (des)investeringen '!$E$11:$E$89)</f>
        <v>0</v>
      </c>
    </row>
    <row r="1054" spans="2:6">
      <c r="B1054">
        <v>163</v>
      </c>
      <c r="D1054" s="128">
        <f t="shared" si="25"/>
        <v>25424.944825862574</v>
      </c>
      <c r="E1054" s="127">
        <f t="shared" si="26"/>
        <v>2021</v>
      </c>
      <c r="F1054" s="126">
        <f>_xlfn.XLOOKUP(D180,'3. Input (des)investeringen '!$B$11:$B$89,'3. Input (des)investeringen '!$E$11:$E$89)</f>
        <v>0</v>
      </c>
    </row>
    <row r="1055" spans="2:6">
      <c r="B1055">
        <v>164</v>
      </c>
      <c r="D1055" s="128">
        <f t="shared" si="25"/>
        <v>15024.675380202731</v>
      </c>
      <c r="E1055" s="127">
        <f t="shared" si="26"/>
        <v>2021</v>
      </c>
      <c r="F1055" s="126">
        <f>_xlfn.XLOOKUP(D181,'3. Input (des)investeringen '!$B$11:$B$89,'3. Input (des)investeringen '!$E$11:$E$89)</f>
        <v>0</v>
      </c>
    </row>
    <row r="1056" spans="2:6">
      <c r="B1056">
        <v>165</v>
      </c>
      <c r="D1056" s="128">
        <f t="shared" si="25"/>
        <v>1553156.491253328</v>
      </c>
      <c r="E1056" s="127">
        <f t="shared" si="26"/>
        <v>2021</v>
      </c>
      <c r="F1056" s="126">
        <f>_xlfn.XLOOKUP(D182,'3. Input (des)investeringen '!$B$11:$B$89,'3. Input (des)investeringen '!$E$11:$E$89)</f>
        <v>0</v>
      </c>
    </row>
    <row r="1057" spans="2:6">
      <c r="B1057">
        <v>166</v>
      </c>
      <c r="D1057" s="128">
        <f t="shared" si="25"/>
        <v>10601.673798685901</v>
      </c>
      <c r="E1057" s="127">
        <f t="shared" si="26"/>
        <v>2021</v>
      </c>
      <c r="F1057" s="126">
        <f>_xlfn.XLOOKUP(D183,'3. Input (des)investeringen '!$B$11:$B$89,'3. Input (des)investeringen '!$E$11:$E$89)</f>
        <v>0</v>
      </c>
    </row>
    <row r="1058" spans="2:6">
      <c r="B1058">
        <v>167</v>
      </c>
      <c r="D1058" s="128">
        <f t="shared" si="25"/>
        <v>13806.096316082207</v>
      </c>
      <c r="E1058" s="127">
        <f t="shared" si="26"/>
        <v>2021</v>
      </c>
      <c r="F1058" s="126">
        <f>_xlfn.XLOOKUP(D184,'3. Input (des)investeringen '!$B$11:$B$89,'3. Input (des)investeringen '!$E$11:$E$89)</f>
        <v>0</v>
      </c>
    </row>
    <row r="1059" spans="2:6">
      <c r="B1059">
        <v>168</v>
      </c>
      <c r="D1059" s="128">
        <f t="shared" si="25"/>
        <v>10690.975721830873</v>
      </c>
      <c r="E1059" s="127">
        <f t="shared" si="26"/>
        <v>2021</v>
      </c>
      <c r="F1059" s="126">
        <f>_xlfn.XLOOKUP(D185,'3. Input (des)investeringen '!$B$11:$B$89,'3. Input (des)investeringen '!$E$11:$E$89)</f>
        <v>0</v>
      </c>
    </row>
    <row r="1060" spans="2:6">
      <c r="B1060">
        <v>169</v>
      </c>
      <c r="D1060" s="128">
        <f t="shared" si="25"/>
        <v>15986.781599403323</v>
      </c>
      <c r="E1060" s="127">
        <f t="shared" si="26"/>
        <v>2021</v>
      </c>
      <c r="F1060" s="126">
        <f>_xlfn.XLOOKUP(D186,'3. Input (des)investeringen '!$B$11:$B$89,'3. Input (des)investeringen '!$E$11:$E$89)</f>
        <v>0</v>
      </c>
    </row>
    <row r="1061" spans="2:6">
      <c r="B1061">
        <v>170</v>
      </c>
      <c r="D1061" s="128">
        <f t="shared" si="25"/>
        <v>7180.1720234295535</v>
      </c>
      <c r="E1061" s="127">
        <f t="shared" si="26"/>
        <v>2021</v>
      </c>
      <c r="F1061" s="126">
        <f>_xlfn.XLOOKUP(D187,'3. Input (des)investeringen '!$B$11:$B$89,'3. Input (des)investeringen '!$E$11:$E$89)</f>
        <v>0</v>
      </c>
    </row>
    <row r="1062" spans="2:6">
      <c r="B1062">
        <v>171</v>
      </c>
      <c r="D1062" s="128">
        <f t="shared" si="25"/>
        <v>68385.256874844577</v>
      </c>
      <c r="E1062" s="127">
        <f t="shared" si="26"/>
        <v>2021</v>
      </c>
      <c r="F1062" s="126">
        <f>_xlfn.XLOOKUP(D188,'3. Input (des)investeringen '!$B$11:$B$89,'3. Input (des)investeringen '!$E$11:$E$89)</f>
        <v>0</v>
      </c>
    </row>
    <row r="1063" spans="2:6">
      <c r="B1063">
        <v>172</v>
      </c>
      <c r="D1063" s="128">
        <f t="shared" si="25"/>
        <v>57231.902287510849</v>
      </c>
      <c r="E1063" s="127">
        <f t="shared" si="26"/>
        <v>2021</v>
      </c>
      <c r="F1063" s="126">
        <f>_xlfn.XLOOKUP(D189,'3. Input (des)investeringen '!$B$11:$B$89,'3. Input (des)investeringen '!$E$11:$E$89)</f>
        <v>0</v>
      </c>
    </row>
    <row r="1064" spans="2:6">
      <c r="B1064">
        <v>173</v>
      </c>
      <c r="D1064" s="128">
        <f t="shared" si="25"/>
        <v>139666.15519997373</v>
      </c>
      <c r="E1064" s="127">
        <f t="shared" si="26"/>
        <v>2021</v>
      </c>
      <c r="F1064" s="126">
        <f>_xlfn.XLOOKUP(D190,'3. Input (des)investeringen '!$B$11:$B$89,'3. Input (des)investeringen '!$E$11:$E$89)</f>
        <v>0</v>
      </c>
    </row>
    <row r="1065" spans="2:6">
      <c r="B1065">
        <v>174</v>
      </c>
      <c r="D1065" s="128">
        <f t="shared" si="25"/>
        <v>261877.80964518842</v>
      </c>
      <c r="E1065" s="127">
        <f t="shared" si="26"/>
        <v>2021</v>
      </c>
      <c r="F1065" s="126">
        <f>_xlfn.XLOOKUP(D191,'3. Input (des)investeringen '!$B$11:$B$89,'3. Input (des)investeringen '!$E$11:$E$89)</f>
        <v>0</v>
      </c>
    </row>
    <row r="1066" spans="2:6">
      <c r="B1066">
        <v>175</v>
      </c>
      <c r="D1066" s="128">
        <f t="shared" si="25"/>
        <v>384106.38797041745</v>
      </c>
      <c r="E1066" s="127">
        <f t="shared" si="26"/>
        <v>2021</v>
      </c>
      <c r="F1066" s="126">
        <f>_xlfn.XLOOKUP(D192,'3. Input (des)investeringen '!$B$11:$B$89,'3. Input (des)investeringen '!$E$11:$E$89)</f>
        <v>0</v>
      </c>
    </row>
    <row r="1067" spans="2:6">
      <c r="B1067">
        <v>176</v>
      </c>
      <c r="D1067" s="128">
        <f t="shared" si="25"/>
        <v>349737.18217299768</v>
      </c>
      <c r="E1067" s="127">
        <f t="shared" si="26"/>
        <v>2021</v>
      </c>
      <c r="F1067" s="126">
        <f>_xlfn.XLOOKUP(D193,'3. Input (des)investeringen '!$B$11:$B$89,'3. Input (des)investeringen '!$E$11:$E$89)</f>
        <v>0</v>
      </c>
    </row>
    <row r="1068" spans="2:6">
      <c r="B1068">
        <v>177</v>
      </c>
      <c r="D1068" s="128">
        <f t="shared" si="25"/>
        <v>43685.695437945156</v>
      </c>
      <c r="E1068" s="127">
        <f t="shared" si="26"/>
        <v>2021</v>
      </c>
      <c r="F1068" s="126">
        <f>_xlfn.XLOOKUP(D194,'3. Input (des)investeringen '!$B$11:$B$89,'3. Input (des)investeringen '!$E$11:$E$89)</f>
        <v>0</v>
      </c>
    </row>
    <row r="1069" spans="2:6">
      <c r="B1069">
        <v>178</v>
      </c>
      <c r="D1069" s="128">
        <f t="shared" si="25"/>
        <v>26142.883444457802</v>
      </c>
      <c r="E1069" s="127">
        <f t="shared" si="26"/>
        <v>2021</v>
      </c>
      <c r="F1069" s="126">
        <f>_xlfn.XLOOKUP(D195,'3. Input (des)investeringen '!$B$11:$B$89,'3. Input (des)investeringen '!$E$11:$E$89)</f>
        <v>0</v>
      </c>
    </row>
    <row r="1070" spans="2:6">
      <c r="B1070">
        <v>179</v>
      </c>
      <c r="D1070" s="128">
        <f t="shared" si="25"/>
        <v>91685.903273300093</v>
      </c>
      <c r="E1070" s="127">
        <f t="shared" si="26"/>
        <v>2021</v>
      </c>
      <c r="F1070" s="126">
        <f>_xlfn.XLOOKUP(D196,'3. Input (des)investeringen '!$B$11:$B$89,'3. Input (des)investeringen '!$E$11:$E$89)</f>
        <v>0</v>
      </c>
    </row>
    <row r="1071" spans="2:6">
      <c r="B1071">
        <v>180</v>
      </c>
      <c r="D1071" s="128">
        <f t="shared" si="25"/>
        <v>406564.28543185152</v>
      </c>
      <c r="E1071" s="127">
        <f t="shared" si="26"/>
        <v>2021</v>
      </c>
      <c r="F1071" s="126">
        <f>_xlfn.XLOOKUP(D197,'3. Input (des)investeringen '!$B$11:$B$89,'3. Input (des)investeringen '!$E$11:$E$89)</f>
        <v>0</v>
      </c>
    </row>
    <row r="1072" spans="2:6">
      <c r="B1072">
        <v>181</v>
      </c>
      <c r="D1072" s="128">
        <f t="shared" si="25"/>
        <v>4343.1703706661292</v>
      </c>
      <c r="E1072" s="127">
        <f t="shared" si="26"/>
        <v>2021</v>
      </c>
      <c r="F1072" s="126">
        <f>_xlfn.XLOOKUP(D198,'3. Input (des)investeringen '!$B$11:$B$89,'3. Input (des)investeringen '!$E$11:$E$89)</f>
        <v>0</v>
      </c>
    </row>
    <row r="1073" spans="2:6">
      <c r="B1073">
        <v>182</v>
      </c>
      <c r="D1073" s="128">
        <f t="shared" si="25"/>
        <v>417969.94669647992</v>
      </c>
      <c r="E1073" s="127">
        <f t="shared" si="26"/>
        <v>2021</v>
      </c>
      <c r="F1073" s="126">
        <f>_xlfn.XLOOKUP(D199,'3. Input (des)investeringen '!$B$11:$B$89,'3. Input (des)investeringen '!$E$11:$E$89)</f>
        <v>0</v>
      </c>
    </row>
    <row r="1074" spans="2:6">
      <c r="B1074">
        <v>183</v>
      </c>
      <c r="D1074" s="128">
        <f t="shared" si="25"/>
        <v>565140.25960966269</v>
      </c>
      <c r="E1074" s="127">
        <f t="shared" si="26"/>
        <v>2021</v>
      </c>
      <c r="F1074" s="126">
        <f>_xlfn.XLOOKUP(D200,'3. Input (des)investeringen '!$B$11:$B$89,'3. Input (des)investeringen '!$E$11:$E$89)</f>
        <v>0</v>
      </c>
    </row>
    <row r="1075" spans="2:6">
      <c r="B1075">
        <v>184</v>
      </c>
      <c r="D1075" s="128">
        <f t="shared" si="25"/>
        <v>146891.26988423668</v>
      </c>
      <c r="E1075" s="127">
        <f t="shared" si="26"/>
        <v>2021</v>
      </c>
      <c r="F1075" s="126">
        <f>_xlfn.XLOOKUP(D201,'3. Input (des)investeringen '!$B$11:$B$89,'3. Input (des)investeringen '!$E$11:$E$89)</f>
        <v>0</v>
      </c>
    </row>
    <row r="1076" spans="2:6">
      <c r="B1076">
        <v>185</v>
      </c>
      <c r="D1076" s="128">
        <f t="shared" si="25"/>
        <v>17125.53813751788</v>
      </c>
      <c r="E1076" s="127">
        <f t="shared" si="26"/>
        <v>2021</v>
      </c>
      <c r="F1076" s="126">
        <f>_xlfn.XLOOKUP(D202,'3. Input (des)investeringen '!$B$11:$B$89,'3. Input (des)investeringen '!$E$11:$E$89)</f>
        <v>0</v>
      </c>
    </row>
    <row r="1077" spans="2:6">
      <c r="B1077">
        <v>186</v>
      </c>
      <c r="D1077" s="128">
        <f t="shared" si="25"/>
        <v>34968.302630908467</v>
      </c>
      <c r="E1077" s="127">
        <f t="shared" si="26"/>
        <v>2021</v>
      </c>
      <c r="F1077" s="126">
        <f>_xlfn.XLOOKUP(D203,'3. Input (des)investeringen '!$B$11:$B$89,'3. Input (des)investeringen '!$E$11:$E$89)</f>
        <v>0</v>
      </c>
    </row>
    <row r="1078" spans="2:6">
      <c r="B1078">
        <v>187</v>
      </c>
      <c r="D1078" s="128">
        <f t="shared" si="25"/>
        <v>568322.42919150752</v>
      </c>
      <c r="E1078" s="127">
        <f t="shared" si="26"/>
        <v>2021</v>
      </c>
      <c r="F1078" s="126">
        <f>_xlfn.XLOOKUP(D204,'3. Input (des)investeringen '!$B$11:$B$89,'3. Input (des)investeringen '!$E$11:$E$89)</f>
        <v>0</v>
      </c>
    </row>
    <row r="1079" spans="2:6">
      <c r="B1079">
        <v>188</v>
      </c>
      <c r="D1079" s="128">
        <f t="shared" si="25"/>
        <v>39042.787781114006</v>
      </c>
      <c r="E1079" s="127">
        <f t="shared" si="26"/>
        <v>2021</v>
      </c>
      <c r="F1079" s="126">
        <f>_xlfn.XLOOKUP(D205,'3. Input (des)investeringen '!$B$11:$B$89,'3. Input (des)investeringen '!$E$11:$E$89)</f>
        <v>0</v>
      </c>
    </row>
    <row r="1080" spans="2:6">
      <c r="B1080">
        <v>189</v>
      </c>
      <c r="D1080" s="128">
        <f t="shared" si="25"/>
        <v>123253.28439898259</v>
      </c>
      <c r="E1080" s="127">
        <f t="shared" si="26"/>
        <v>2021</v>
      </c>
      <c r="F1080" s="126">
        <f>_xlfn.XLOOKUP(D206,'3. Input (des)investeringen '!$B$11:$B$89,'3. Input (des)investeringen '!$E$11:$E$89)</f>
        <v>0</v>
      </c>
    </row>
    <row r="1081" spans="2:6">
      <c r="B1081">
        <v>190</v>
      </c>
      <c r="D1081" s="128">
        <f t="shared" si="25"/>
        <v>55481.291015903735</v>
      </c>
      <c r="E1081" s="127">
        <f t="shared" si="26"/>
        <v>2021</v>
      </c>
      <c r="F1081" s="126">
        <f>_xlfn.XLOOKUP(D207,'3. Input (des)investeringen '!$B$11:$B$89,'3. Input (des)investeringen '!$E$11:$E$89)</f>
        <v>0</v>
      </c>
    </row>
    <row r="1082" spans="2:6">
      <c r="B1082">
        <v>191</v>
      </c>
      <c r="D1082" s="128">
        <f t="shared" si="25"/>
        <v>10091.637804543583</v>
      </c>
      <c r="E1082" s="127">
        <f t="shared" si="26"/>
        <v>2021</v>
      </c>
      <c r="F1082" s="126">
        <f>_xlfn.XLOOKUP(D208,'3. Input (des)investeringen '!$B$11:$B$89,'3. Input (des)investeringen '!$E$11:$E$89)</f>
        <v>0</v>
      </c>
    </row>
    <row r="1083" spans="2:6">
      <c r="B1083">
        <v>192</v>
      </c>
      <c r="D1083" s="128">
        <f t="shared" si="25"/>
        <v>270121.01778384193</v>
      </c>
      <c r="E1083" s="127">
        <f t="shared" si="26"/>
        <v>2021</v>
      </c>
      <c r="F1083" s="126">
        <f>_xlfn.XLOOKUP(D209,'3. Input (des)investeringen '!$B$11:$B$89,'3. Input (des)investeringen '!$E$11:$E$89)</f>
        <v>0</v>
      </c>
    </row>
    <row r="1084" spans="2:6">
      <c r="B1084">
        <v>193</v>
      </c>
      <c r="D1084" s="128">
        <f t="shared" ref="D1084:D1147" si="27">F210*INDEX($E$807:$CG$887,E210-1945,G210-1945)</f>
        <v>35012.560970798419</v>
      </c>
      <c r="E1084" s="127">
        <f t="shared" ref="E1084:E1147" si="28">G210</f>
        <v>2021</v>
      </c>
      <c r="F1084" s="126">
        <f>_xlfn.XLOOKUP(D210,'3. Input (des)investeringen '!$B$11:$B$89,'3. Input (des)investeringen '!$E$11:$E$89)</f>
        <v>0</v>
      </c>
    </row>
    <row r="1085" spans="2:6">
      <c r="B1085">
        <v>194</v>
      </c>
      <c r="D1085" s="128">
        <f t="shared" si="27"/>
        <v>62541.855255277696</v>
      </c>
      <c r="E1085" s="127">
        <f t="shared" si="28"/>
        <v>2021</v>
      </c>
      <c r="F1085" s="126">
        <f>_xlfn.XLOOKUP(D211,'3. Input (des)investeringen '!$B$11:$B$89,'3. Input (des)investeringen '!$E$11:$E$89)</f>
        <v>0</v>
      </c>
    </row>
    <row r="1086" spans="2:6">
      <c r="B1086">
        <v>195</v>
      </c>
      <c r="D1086" s="128">
        <f t="shared" si="27"/>
        <v>33394.539172533448</v>
      </c>
      <c r="E1086" s="127">
        <f t="shared" si="28"/>
        <v>2021</v>
      </c>
      <c r="F1086" s="126">
        <f>_xlfn.XLOOKUP(D212,'3. Input (des)investeringen '!$B$11:$B$89,'3. Input (des)investeringen '!$E$11:$E$89)</f>
        <v>0</v>
      </c>
    </row>
    <row r="1087" spans="2:6">
      <c r="B1087">
        <v>196</v>
      </c>
      <c r="D1087" s="128">
        <f t="shared" si="27"/>
        <v>90699.603627050601</v>
      </c>
      <c r="E1087" s="127">
        <f t="shared" si="28"/>
        <v>2021</v>
      </c>
      <c r="F1087" s="126">
        <f>_xlfn.XLOOKUP(D213,'3. Input (des)investeringen '!$B$11:$B$89,'3. Input (des)investeringen '!$E$11:$E$89)</f>
        <v>0</v>
      </c>
    </row>
    <row r="1088" spans="2:6">
      <c r="B1088">
        <v>197</v>
      </c>
      <c r="D1088" s="128">
        <f t="shared" si="27"/>
        <v>52450.485618818253</v>
      </c>
      <c r="E1088" s="127">
        <f t="shared" si="28"/>
        <v>2021</v>
      </c>
      <c r="F1088" s="126">
        <f>_xlfn.XLOOKUP(D214,'3. Input (des)investeringen '!$B$11:$B$89,'3. Input (des)investeringen '!$E$11:$E$89)</f>
        <v>0</v>
      </c>
    </row>
    <row r="1089" spans="2:6">
      <c r="B1089">
        <v>198</v>
      </c>
      <c r="D1089" s="128">
        <f t="shared" si="27"/>
        <v>97120.363411276601</v>
      </c>
      <c r="E1089" s="127">
        <f t="shared" si="28"/>
        <v>2021</v>
      </c>
      <c r="F1089" s="126">
        <f>_xlfn.XLOOKUP(D215,'3. Input (des)investeringen '!$B$11:$B$89,'3. Input (des)investeringen '!$E$11:$E$89)</f>
        <v>0</v>
      </c>
    </row>
    <row r="1090" spans="2:6">
      <c r="B1090">
        <v>199</v>
      </c>
      <c r="D1090" s="128">
        <f t="shared" si="27"/>
        <v>35812.951397548226</v>
      </c>
      <c r="E1090" s="127">
        <f t="shared" si="28"/>
        <v>2021</v>
      </c>
      <c r="F1090" s="126">
        <f>_xlfn.XLOOKUP(D216,'3. Input (des)investeringen '!$B$11:$B$89,'3. Input (des)investeringen '!$E$11:$E$89)</f>
        <v>1</v>
      </c>
    </row>
    <row r="1091" spans="2:6">
      <c r="B1091">
        <v>200</v>
      </c>
      <c r="D1091" s="128">
        <f t="shared" si="27"/>
        <v>7395.676945150738</v>
      </c>
      <c r="E1091" s="127">
        <f t="shared" si="28"/>
        <v>2021</v>
      </c>
      <c r="F1091" s="126">
        <f>_xlfn.XLOOKUP(D217,'3. Input (des)investeringen '!$B$11:$B$89,'3. Input (des)investeringen '!$E$11:$E$89)</f>
        <v>1</v>
      </c>
    </row>
    <row r="1092" spans="2:6">
      <c r="B1092">
        <v>201</v>
      </c>
      <c r="D1092" s="128">
        <f t="shared" si="27"/>
        <v>9234.2532207256827</v>
      </c>
      <c r="E1092" s="127">
        <f t="shared" si="28"/>
        <v>2021</v>
      </c>
      <c r="F1092" s="126">
        <f>_xlfn.XLOOKUP(D218,'3. Input (des)investeringen '!$B$11:$B$89,'3. Input (des)investeringen '!$E$11:$E$89)</f>
        <v>1</v>
      </c>
    </row>
    <row r="1093" spans="2:6">
      <c r="B1093">
        <v>202</v>
      </c>
      <c r="D1093" s="128">
        <f t="shared" si="27"/>
        <v>38374.048222204416</v>
      </c>
      <c r="E1093" s="127">
        <f t="shared" si="28"/>
        <v>2021</v>
      </c>
      <c r="F1093" s="126">
        <f>_xlfn.XLOOKUP(D219,'3. Input (des)investeringen '!$B$11:$B$89,'3. Input (des)investeringen '!$E$11:$E$89)</f>
        <v>1</v>
      </c>
    </row>
    <row r="1094" spans="2:6">
      <c r="B1094">
        <v>203</v>
      </c>
      <c r="D1094" s="128">
        <f t="shared" si="27"/>
        <v>54618.312856535376</v>
      </c>
      <c r="E1094" s="127">
        <f t="shared" si="28"/>
        <v>2021</v>
      </c>
      <c r="F1094" s="126">
        <f>_xlfn.XLOOKUP(D220,'3. Input (des)investeringen '!$B$11:$B$89,'3. Input (des)investeringen '!$E$11:$E$89)</f>
        <v>1</v>
      </c>
    </row>
    <row r="1095" spans="2:6">
      <c r="B1095">
        <v>204</v>
      </c>
      <c r="D1095" s="128">
        <f t="shared" si="27"/>
        <v>32933.043087597522</v>
      </c>
      <c r="E1095" s="127">
        <f t="shared" si="28"/>
        <v>2021</v>
      </c>
      <c r="F1095" s="126">
        <f>_xlfn.XLOOKUP(D221,'3. Input (des)investeringen '!$B$11:$B$89,'3. Input (des)investeringen '!$E$11:$E$89)</f>
        <v>1</v>
      </c>
    </row>
    <row r="1096" spans="2:6">
      <c r="B1096">
        <v>205</v>
      </c>
      <c r="D1096" s="128">
        <f t="shared" si="27"/>
        <v>15991.4120397446</v>
      </c>
      <c r="E1096" s="127">
        <f t="shared" si="28"/>
        <v>2021</v>
      </c>
      <c r="F1096" s="126">
        <f>_xlfn.XLOOKUP(D222,'3. Input (des)investeringen '!$B$11:$B$89,'3. Input (des)investeringen '!$E$11:$E$89)</f>
        <v>1</v>
      </c>
    </row>
    <row r="1097" spans="2:6">
      <c r="B1097">
        <v>206</v>
      </c>
      <c r="D1097" s="128">
        <f t="shared" si="27"/>
        <v>385081.50137901091</v>
      </c>
      <c r="E1097" s="127">
        <f t="shared" si="28"/>
        <v>2021</v>
      </c>
      <c r="F1097" s="126">
        <f>_xlfn.XLOOKUP(D223,'3. Input (des)investeringen '!$B$11:$B$89,'3. Input (des)investeringen '!$E$11:$E$89)</f>
        <v>1</v>
      </c>
    </row>
    <row r="1098" spans="2:6">
      <c r="B1098">
        <v>207</v>
      </c>
      <c r="D1098" s="128">
        <f t="shared" si="27"/>
        <v>240431.96093370012</v>
      </c>
      <c r="E1098" s="127">
        <f t="shared" si="28"/>
        <v>2021</v>
      </c>
      <c r="F1098" s="126">
        <f>_xlfn.XLOOKUP(D224,'3. Input (des)investeringen '!$B$11:$B$89,'3. Input (des)investeringen '!$E$11:$E$89)</f>
        <v>1</v>
      </c>
    </row>
    <row r="1099" spans="2:6">
      <c r="B1099">
        <v>208</v>
      </c>
      <c r="D1099" s="128">
        <f t="shared" si="27"/>
        <v>1009696.3117501126</v>
      </c>
      <c r="E1099" s="127">
        <f t="shared" si="28"/>
        <v>2021</v>
      </c>
      <c r="F1099" s="126">
        <f>_xlfn.XLOOKUP(D225,'3. Input (des)investeringen '!$B$11:$B$89,'3. Input (des)investeringen '!$E$11:$E$89)</f>
        <v>1</v>
      </c>
    </row>
    <row r="1100" spans="2:6">
      <c r="B1100">
        <v>209</v>
      </c>
      <c r="D1100" s="128">
        <f t="shared" si="27"/>
        <v>150181.49791814786</v>
      </c>
      <c r="E1100" s="127">
        <f t="shared" si="28"/>
        <v>2021</v>
      </c>
      <c r="F1100" s="126">
        <f>_xlfn.XLOOKUP(D226,'3. Input (des)investeringen '!$B$11:$B$89,'3. Input (des)investeringen '!$E$11:$E$89)</f>
        <v>1</v>
      </c>
    </row>
    <row r="1101" spans="2:6">
      <c r="B1101">
        <v>210</v>
      </c>
      <c r="D1101" s="128">
        <f t="shared" si="27"/>
        <v>142565.19188129232</v>
      </c>
      <c r="E1101" s="127">
        <f t="shared" si="28"/>
        <v>2021</v>
      </c>
      <c r="F1101" s="126">
        <f>_xlfn.XLOOKUP(D227,'3. Input (des)investeringen '!$B$11:$B$89,'3. Input (des)investeringen '!$E$11:$E$89)</f>
        <v>1</v>
      </c>
    </row>
    <row r="1102" spans="2:6">
      <c r="B1102">
        <v>211</v>
      </c>
      <c r="D1102" s="128">
        <f t="shared" si="27"/>
        <v>165452.03127582563</v>
      </c>
      <c r="E1102" s="127">
        <f t="shared" si="28"/>
        <v>2021</v>
      </c>
      <c r="F1102" s="126">
        <f>_xlfn.XLOOKUP(D228,'3. Input (des)investeringen '!$B$11:$B$89,'3. Input (des)investeringen '!$E$11:$E$89)</f>
        <v>1</v>
      </c>
    </row>
    <row r="1103" spans="2:6">
      <c r="B1103">
        <v>212</v>
      </c>
      <c r="D1103" s="128">
        <f t="shared" si="27"/>
        <v>58464.304990344099</v>
      </c>
      <c r="E1103" s="127">
        <f t="shared" si="28"/>
        <v>2021</v>
      </c>
      <c r="F1103" s="126">
        <f>_xlfn.XLOOKUP(D229,'3. Input (des)investeringen '!$B$11:$B$89,'3. Input (des)investeringen '!$E$11:$E$89)</f>
        <v>1</v>
      </c>
    </row>
    <row r="1104" spans="2:6">
      <c r="B1104">
        <v>213</v>
      </c>
      <c r="D1104" s="128">
        <f t="shared" si="27"/>
        <v>280032.44418820832</v>
      </c>
      <c r="E1104" s="127">
        <f t="shared" si="28"/>
        <v>2021</v>
      </c>
      <c r="F1104" s="126">
        <f>_xlfn.XLOOKUP(D230,'3. Input (des)investeringen '!$B$11:$B$89,'3. Input (des)investeringen '!$E$11:$E$89)</f>
        <v>1</v>
      </c>
    </row>
    <row r="1105" spans="2:6">
      <c r="B1105">
        <v>214</v>
      </c>
      <c r="D1105" s="128">
        <f t="shared" si="27"/>
        <v>148341.65621620402</v>
      </c>
      <c r="E1105" s="127">
        <f t="shared" si="28"/>
        <v>2021</v>
      </c>
      <c r="F1105" s="126">
        <f>_xlfn.XLOOKUP(D231,'3. Input (des)investeringen '!$B$11:$B$89,'3. Input (des)investeringen '!$E$11:$E$89)</f>
        <v>1</v>
      </c>
    </row>
    <row r="1106" spans="2:6">
      <c r="B1106">
        <v>215</v>
      </c>
      <c r="D1106" s="128">
        <f t="shared" si="27"/>
        <v>44049.749833951413</v>
      </c>
      <c r="E1106" s="127">
        <f t="shared" si="28"/>
        <v>2021</v>
      </c>
      <c r="F1106" s="126">
        <f>_xlfn.XLOOKUP(D232,'3. Input (des)investeringen '!$B$11:$B$89,'3. Input (des)investeringen '!$E$11:$E$89)</f>
        <v>1</v>
      </c>
    </row>
    <row r="1107" spans="2:6">
      <c r="B1107">
        <v>216</v>
      </c>
      <c r="D1107" s="128">
        <f t="shared" si="27"/>
        <v>20139.757063131787</v>
      </c>
      <c r="E1107" s="127">
        <f t="shared" si="28"/>
        <v>2021</v>
      </c>
      <c r="F1107" s="126">
        <f>_xlfn.XLOOKUP(D233,'3. Input (des)investeringen '!$B$11:$B$89,'3. Input (des)investeringen '!$E$11:$E$89)</f>
        <v>1</v>
      </c>
    </row>
    <row r="1108" spans="2:6">
      <c r="B1108">
        <v>217</v>
      </c>
      <c r="D1108" s="128">
        <f t="shared" si="27"/>
        <v>189844.78929481862</v>
      </c>
      <c r="E1108" s="127">
        <f t="shared" si="28"/>
        <v>2021</v>
      </c>
      <c r="F1108" s="126">
        <f>_xlfn.XLOOKUP(D234,'3. Input (des)investeringen '!$B$11:$B$89,'3. Input (des)investeringen '!$E$11:$E$89)</f>
        <v>1</v>
      </c>
    </row>
    <row r="1109" spans="2:6">
      <c r="B1109">
        <v>218</v>
      </c>
      <c r="D1109" s="128">
        <f t="shared" si="27"/>
        <v>104010926.97902162</v>
      </c>
      <c r="E1109" s="127">
        <f t="shared" si="28"/>
        <v>2021</v>
      </c>
      <c r="F1109" s="126">
        <f>_xlfn.XLOOKUP(D235,'3. Input (des)investeringen '!$B$11:$B$89,'3. Input (des)investeringen '!$E$11:$E$89)</f>
        <v>0</v>
      </c>
    </row>
    <row r="1110" spans="2:6">
      <c r="B1110">
        <v>219</v>
      </c>
      <c r="D1110" s="128">
        <f t="shared" si="27"/>
        <v>116891.95984626604</v>
      </c>
      <c r="E1110" s="127">
        <f t="shared" si="28"/>
        <v>2021</v>
      </c>
      <c r="F1110" s="126">
        <f>_xlfn.XLOOKUP(D236,'3. Input (des)investeringen '!$B$11:$B$89,'3. Input (des)investeringen '!$E$11:$E$89)</f>
        <v>0</v>
      </c>
    </row>
    <row r="1111" spans="2:6">
      <c r="B1111">
        <v>220</v>
      </c>
      <c r="D1111" s="128">
        <f t="shared" si="27"/>
        <v>911799.99730978173</v>
      </c>
      <c r="E1111" s="127">
        <f t="shared" si="28"/>
        <v>2021</v>
      </c>
      <c r="F1111" s="126">
        <f>_xlfn.XLOOKUP(D237,'3. Input (des)investeringen '!$B$11:$B$89,'3. Input (des)investeringen '!$E$11:$E$89)</f>
        <v>0</v>
      </c>
    </row>
    <row r="1112" spans="2:6">
      <c r="B1112">
        <v>221</v>
      </c>
      <c r="D1112" s="128">
        <f t="shared" si="27"/>
        <v>170454.15687331129</v>
      </c>
      <c r="E1112" s="127">
        <f t="shared" si="28"/>
        <v>2021</v>
      </c>
      <c r="F1112" s="126">
        <f>_xlfn.XLOOKUP(D238,'3. Input (des)investeringen '!$B$11:$B$89,'3. Input (des)investeringen '!$E$11:$E$89)</f>
        <v>0</v>
      </c>
    </row>
    <row r="1113" spans="2:6">
      <c r="B1113">
        <v>222</v>
      </c>
      <c r="D1113" s="128">
        <f t="shared" si="27"/>
        <v>369982.18838464137</v>
      </c>
      <c r="E1113" s="127">
        <f t="shared" si="28"/>
        <v>2021</v>
      </c>
      <c r="F1113" s="126">
        <f>_xlfn.XLOOKUP(D239,'3. Input (des)investeringen '!$B$11:$B$89,'3. Input (des)investeringen '!$E$11:$E$89)</f>
        <v>0</v>
      </c>
    </row>
    <row r="1114" spans="2:6">
      <c r="B1114">
        <v>223</v>
      </c>
      <c r="D1114" s="128">
        <f t="shared" si="27"/>
        <v>522874.68696638738</v>
      </c>
      <c r="E1114" s="127">
        <f t="shared" si="28"/>
        <v>2021</v>
      </c>
      <c r="F1114" s="126">
        <f>_xlfn.XLOOKUP(D240,'3. Input (des)investeringen '!$B$11:$B$89,'3. Input (des)investeringen '!$E$11:$E$89)</f>
        <v>0</v>
      </c>
    </row>
    <row r="1115" spans="2:6">
      <c r="B1115">
        <v>224</v>
      </c>
      <c r="D1115" s="128">
        <f t="shared" si="27"/>
        <v>8992226.8388336189</v>
      </c>
      <c r="E1115" s="127">
        <f t="shared" si="28"/>
        <v>2021</v>
      </c>
      <c r="F1115" s="126">
        <f>_xlfn.XLOOKUP(D241,'3. Input (des)investeringen '!$B$11:$B$89,'3. Input (des)investeringen '!$E$11:$E$89)</f>
        <v>0</v>
      </c>
    </row>
    <row r="1116" spans="2:6">
      <c r="B1116">
        <v>225</v>
      </c>
      <c r="D1116" s="128">
        <f t="shared" si="27"/>
        <v>1248165.1609976974</v>
      </c>
      <c r="E1116" s="127">
        <f t="shared" si="28"/>
        <v>2021</v>
      </c>
      <c r="F1116" s="126">
        <f>_xlfn.XLOOKUP(D242,'3. Input (des)investeringen '!$B$11:$B$89,'3. Input (des)investeringen '!$E$11:$E$89)</f>
        <v>0</v>
      </c>
    </row>
    <row r="1117" spans="2:6">
      <c r="B1117">
        <v>226</v>
      </c>
      <c r="D1117" s="128">
        <f t="shared" si="27"/>
        <v>65321.486835707648</v>
      </c>
      <c r="E1117" s="127">
        <f t="shared" si="28"/>
        <v>2021</v>
      </c>
      <c r="F1117" s="126">
        <f>_xlfn.XLOOKUP(D243,'3. Input (des)investeringen '!$B$11:$B$89,'3. Input (des)investeringen '!$E$11:$E$89)</f>
        <v>0</v>
      </c>
    </row>
    <row r="1118" spans="2:6">
      <c r="B1118">
        <v>227</v>
      </c>
      <c r="D1118" s="128">
        <f t="shared" si="27"/>
        <v>4156569.4731986006</v>
      </c>
      <c r="E1118" s="127">
        <f t="shared" si="28"/>
        <v>2021</v>
      </c>
      <c r="F1118" s="126">
        <f>_xlfn.XLOOKUP(D244,'3. Input (des)investeringen '!$B$11:$B$89,'3. Input (des)investeringen '!$E$11:$E$89)</f>
        <v>0</v>
      </c>
    </row>
    <row r="1119" spans="2:6">
      <c r="B1119">
        <v>228</v>
      </c>
      <c r="D1119" s="128">
        <f t="shared" si="27"/>
        <v>4146788.7842293433</v>
      </c>
      <c r="E1119" s="127">
        <f t="shared" si="28"/>
        <v>2021</v>
      </c>
      <c r="F1119" s="126">
        <f>_xlfn.XLOOKUP(D245,'3. Input (des)investeringen '!$B$11:$B$89,'3. Input (des)investeringen '!$E$11:$E$89)</f>
        <v>0</v>
      </c>
    </row>
    <row r="1120" spans="2:6">
      <c r="B1120">
        <v>229</v>
      </c>
      <c r="D1120" s="128">
        <f t="shared" si="27"/>
        <v>-230531.07145305187</v>
      </c>
      <c r="E1120" s="127">
        <f t="shared" si="28"/>
        <v>2021</v>
      </c>
      <c r="F1120" s="126">
        <f>_xlfn.XLOOKUP(D246,'3. Input (des)investeringen '!$B$11:$B$89,'3. Input (des)investeringen '!$E$11:$E$89)</f>
        <v>0</v>
      </c>
    </row>
    <row r="1121" spans="2:6">
      <c r="B1121">
        <v>230</v>
      </c>
      <c r="D1121" s="128">
        <f t="shared" si="27"/>
        <v>1523751.932813362</v>
      </c>
      <c r="E1121" s="127">
        <f t="shared" si="28"/>
        <v>2021</v>
      </c>
      <c r="F1121" s="126">
        <f>_xlfn.XLOOKUP(D247,'3. Input (des)investeringen '!$B$11:$B$89,'3. Input (des)investeringen '!$E$11:$E$89)</f>
        <v>0</v>
      </c>
    </row>
    <row r="1122" spans="2:6">
      <c r="B1122">
        <v>231</v>
      </c>
      <c r="D1122" s="128">
        <f t="shared" si="27"/>
        <v>1297007.6448952188</v>
      </c>
      <c r="E1122" s="127">
        <f t="shared" si="28"/>
        <v>2021</v>
      </c>
      <c r="F1122" s="126">
        <f>_xlfn.XLOOKUP(D248,'3. Input (des)investeringen '!$B$11:$B$89,'3. Input (des)investeringen '!$E$11:$E$89)</f>
        <v>0</v>
      </c>
    </row>
    <row r="1123" spans="2:6">
      <c r="B1123">
        <v>232</v>
      </c>
      <c r="D1123" s="128">
        <f t="shared" si="27"/>
        <v>4783603.0620347345</v>
      </c>
      <c r="E1123" s="127">
        <f t="shared" si="28"/>
        <v>2021</v>
      </c>
      <c r="F1123" s="126">
        <f>_xlfn.XLOOKUP(D249,'3. Input (des)investeringen '!$B$11:$B$89,'3. Input (des)investeringen '!$E$11:$E$89)</f>
        <v>0</v>
      </c>
    </row>
    <row r="1124" spans="2:6">
      <c r="B1124">
        <v>233</v>
      </c>
      <c r="D1124" s="128">
        <f t="shared" si="27"/>
        <v>12349.860653952734</v>
      </c>
      <c r="E1124" s="127">
        <f t="shared" si="28"/>
        <v>2021</v>
      </c>
      <c r="F1124" s="126">
        <f>_xlfn.XLOOKUP(D250,'3. Input (des)investeringen '!$B$11:$B$89,'3. Input (des)investeringen '!$E$11:$E$89)</f>
        <v>0</v>
      </c>
    </row>
    <row r="1125" spans="2:6">
      <c r="B1125">
        <v>234</v>
      </c>
      <c r="D1125" s="128">
        <f t="shared" si="27"/>
        <v>114981.28949244491</v>
      </c>
      <c r="E1125" s="127">
        <f t="shared" si="28"/>
        <v>2021</v>
      </c>
      <c r="F1125" s="126">
        <f>_xlfn.XLOOKUP(D251,'3. Input (des)investeringen '!$B$11:$B$89,'3. Input (des)investeringen '!$E$11:$E$89)</f>
        <v>0</v>
      </c>
    </row>
    <row r="1126" spans="2:6">
      <c r="B1126">
        <v>235</v>
      </c>
      <c r="D1126" s="128">
        <f t="shared" si="27"/>
        <v>19331.1200477034</v>
      </c>
      <c r="E1126" s="127">
        <f t="shared" si="28"/>
        <v>2021</v>
      </c>
      <c r="F1126" s="126">
        <f>_xlfn.XLOOKUP(D252,'3. Input (des)investeringen '!$B$11:$B$89,'3. Input (des)investeringen '!$E$11:$E$89)</f>
        <v>0</v>
      </c>
    </row>
    <row r="1127" spans="2:6">
      <c r="B1127">
        <v>236</v>
      </c>
      <c r="D1127" s="128">
        <f t="shared" si="27"/>
        <v>20851.224859054288</v>
      </c>
      <c r="E1127" s="127">
        <f t="shared" si="28"/>
        <v>2021</v>
      </c>
      <c r="F1127" s="126">
        <f>_xlfn.XLOOKUP(D253,'3. Input (des)investeringen '!$B$11:$B$89,'3. Input (des)investeringen '!$E$11:$E$89)</f>
        <v>0</v>
      </c>
    </row>
    <row r="1128" spans="2:6">
      <c r="B1128">
        <v>237</v>
      </c>
      <c r="D1128" s="128">
        <f t="shared" si="27"/>
        <v>1765293.8649986126</v>
      </c>
      <c r="E1128" s="127">
        <f t="shared" si="28"/>
        <v>2021</v>
      </c>
      <c r="F1128" s="126">
        <f>_xlfn.XLOOKUP(D254,'3. Input (des)investeringen '!$B$11:$B$89,'3. Input (des)investeringen '!$E$11:$E$89)</f>
        <v>0</v>
      </c>
    </row>
    <row r="1129" spans="2:6">
      <c r="B1129">
        <v>238</v>
      </c>
      <c r="D1129" s="128">
        <f t="shared" si="27"/>
        <v>285321.61534912506</v>
      </c>
      <c r="E1129" s="127">
        <f t="shared" si="28"/>
        <v>2021</v>
      </c>
      <c r="F1129" s="126">
        <f>_xlfn.XLOOKUP(D255,'3. Input (des)investeringen '!$B$11:$B$89,'3. Input (des)investeringen '!$E$11:$E$89)</f>
        <v>0</v>
      </c>
    </row>
    <row r="1130" spans="2:6">
      <c r="B1130">
        <v>239</v>
      </c>
      <c r="D1130" s="128">
        <f t="shared" si="27"/>
        <v>149378.05172204439</v>
      </c>
      <c r="E1130" s="127">
        <f t="shared" si="28"/>
        <v>2021</v>
      </c>
      <c r="F1130" s="126">
        <f>_xlfn.XLOOKUP(D256,'3. Input (des)investeringen '!$B$11:$B$89,'3. Input (des)investeringen '!$E$11:$E$89)</f>
        <v>0</v>
      </c>
    </row>
    <row r="1131" spans="2:6">
      <c r="B1131">
        <v>240</v>
      </c>
      <c r="D1131" s="128">
        <f t="shared" si="27"/>
        <v>243984.22373602603</v>
      </c>
      <c r="E1131" s="127">
        <f t="shared" si="28"/>
        <v>2021</v>
      </c>
      <c r="F1131" s="126">
        <f>_xlfn.XLOOKUP(D257,'3. Input (des)investeringen '!$B$11:$B$89,'3. Input (des)investeringen '!$E$11:$E$89)</f>
        <v>0</v>
      </c>
    </row>
    <row r="1132" spans="2:6">
      <c r="B1132">
        <v>241</v>
      </c>
      <c r="D1132" s="128">
        <f t="shared" si="27"/>
        <v>104610.26629596196</v>
      </c>
      <c r="E1132" s="127">
        <f t="shared" si="28"/>
        <v>2021</v>
      </c>
      <c r="F1132" s="126">
        <f>_xlfn.XLOOKUP(D258,'3. Input (des)investeringen '!$B$11:$B$89,'3. Input (des)investeringen '!$E$11:$E$89)</f>
        <v>0</v>
      </c>
    </row>
    <row r="1133" spans="2:6">
      <c r="B1133">
        <v>242</v>
      </c>
      <c r="D1133" s="128">
        <f t="shared" si="27"/>
        <v>195391.21351023228</v>
      </c>
      <c r="E1133" s="127">
        <f t="shared" si="28"/>
        <v>2021</v>
      </c>
      <c r="F1133" s="126">
        <f>_xlfn.XLOOKUP(D259,'3. Input (des)investeringen '!$B$11:$B$89,'3. Input (des)investeringen '!$E$11:$E$89)</f>
        <v>0</v>
      </c>
    </row>
    <row r="1134" spans="2:6">
      <c r="B1134">
        <v>243</v>
      </c>
      <c r="D1134" s="128">
        <f t="shared" si="27"/>
        <v>163915.44571076255</v>
      </c>
      <c r="E1134" s="127">
        <f t="shared" si="28"/>
        <v>2021</v>
      </c>
      <c r="F1134" s="126">
        <f>_xlfn.XLOOKUP(D260,'3. Input (des)investeringen '!$B$11:$B$89,'3. Input (des)investeringen '!$E$11:$E$89)</f>
        <v>0</v>
      </c>
    </row>
    <row r="1135" spans="2:6">
      <c r="B1135">
        <v>244</v>
      </c>
      <c r="D1135" s="128">
        <f t="shared" si="27"/>
        <v>32969.87889546567</v>
      </c>
      <c r="E1135" s="127">
        <f t="shared" si="28"/>
        <v>2021</v>
      </c>
      <c r="F1135" s="126">
        <f>_xlfn.XLOOKUP(D261,'3. Input (des)investeringen '!$B$11:$B$89,'3. Input (des)investeringen '!$E$11:$E$89)</f>
        <v>0</v>
      </c>
    </row>
    <row r="1136" spans="2:6">
      <c r="B1136">
        <v>245</v>
      </c>
      <c r="D1136" s="128">
        <f t="shared" si="27"/>
        <v>480037.33780433988</v>
      </c>
      <c r="E1136" s="127">
        <f t="shared" si="28"/>
        <v>2021</v>
      </c>
      <c r="F1136" s="126">
        <f>_xlfn.XLOOKUP(D262,'3. Input (des)investeringen '!$B$11:$B$89,'3. Input (des)investeringen '!$E$11:$E$89)</f>
        <v>0</v>
      </c>
    </row>
    <row r="1137" spans="2:6">
      <c r="B1137">
        <v>246</v>
      </c>
      <c r="D1137" s="128">
        <f t="shared" si="27"/>
        <v>39584.037201071034</v>
      </c>
      <c r="E1137" s="127">
        <f t="shared" si="28"/>
        <v>2021</v>
      </c>
      <c r="F1137" s="126">
        <f>_xlfn.XLOOKUP(D263,'3. Input (des)investeringen '!$B$11:$B$89,'3. Input (des)investeringen '!$E$11:$E$89)</f>
        <v>0</v>
      </c>
    </row>
    <row r="1138" spans="2:6">
      <c r="B1138">
        <v>247</v>
      </c>
      <c r="D1138" s="128">
        <f t="shared" si="27"/>
        <v>130083.06844424587</v>
      </c>
      <c r="E1138" s="127">
        <f t="shared" si="28"/>
        <v>2021</v>
      </c>
      <c r="F1138" s="126">
        <f>_xlfn.XLOOKUP(D264,'3. Input (des)investeringen '!$B$11:$B$89,'3. Input (des)investeringen '!$E$11:$E$89)</f>
        <v>0</v>
      </c>
    </row>
    <row r="1139" spans="2:6">
      <c r="B1139">
        <v>248</v>
      </c>
      <c r="D1139" s="128">
        <f t="shared" si="27"/>
        <v>93719.44025903086</v>
      </c>
      <c r="E1139" s="127">
        <f t="shared" si="28"/>
        <v>2021</v>
      </c>
      <c r="F1139" s="126">
        <f>_xlfn.XLOOKUP(D265,'3. Input (des)investeringen '!$B$11:$B$89,'3. Input (des)investeringen '!$E$11:$E$89)</f>
        <v>0</v>
      </c>
    </row>
    <row r="1140" spans="2:6">
      <c r="B1140">
        <v>249</v>
      </c>
      <c r="D1140" s="128">
        <f t="shared" si="27"/>
        <v>935644.29138639243</v>
      </c>
      <c r="E1140" s="127">
        <f t="shared" si="28"/>
        <v>2021</v>
      </c>
      <c r="F1140" s="126">
        <f>_xlfn.XLOOKUP(D266,'3. Input (des)investeringen '!$B$11:$B$89,'3. Input (des)investeringen '!$E$11:$E$89)</f>
        <v>0</v>
      </c>
    </row>
    <row r="1141" spans="2:6">
      <c r="B1141">
        <v>250</v>
      </c>
      <c r="D1141" s="128">
        <f t="shared" si="27"/>
        <v>335934.63931652613</v>
      </c>
      <c r="E1141" s="127">
        <f t="shared" si="28"/>
        <v>2021</v>
      </c>
      <c r="F1141" s="126">
        <f>_xlfn.XLOOKUP(D267,'3. Input (des)investeringen '!$B$11:$B$89,'3. Input (des)investeringen '!$E$11:$E$89)</f>
        <v>0</v>
      </c>
    </row>
    <row r="1142" spans="2:6">
      <c r="B1142">
        <v>251</v>
      </c>
      <c r="D1142" s="128">
        <f t="shared" si="27"/>
        <v>490147.87998982042</v>
      </c>
      <c r="E1142" s="127">
        <f t="shared" si="28"/>
        <v>2021</v>
      </c>
      <c r="F1142" s="126">
        <f>_xlfn.XLOOKUP(D268,'3. Input (des)investeringen '!$B$11:$B$89,'3. Input (des)investeringen '!$E$11:$E$89)</f>
        <v>0</v>
      </c>
    </row>
    <row r="1143" spans="2:6">
      <c r="B1143">
        <v>252</v>
      </c>
      <c r="D1143" s="128">
        <f t="shared" si="27"/>
        <v>13148.18159183512</v>
      </c>
      <c r="E1143" s="127">
        <f t="shared" si="28"/>
        <v>2021</v>
      </c>
      <c r="F1143" s="126">
        <f>_xlfn.XLOOKUP(D269,'3. Input (des)investeringen '!$B$11:$B$89,'3. Input (des)investeringen '!$E$11:$E$89)</f>
        <v>1</v>
      </c>
    </row>
    <row r="1144" spans="2:6">
      <c r="B1144">
        <v>253</v>
      </c>
      <c r="D1144" s="128">
        <f t="shared" si="27"/>
        <v>2198.8097783725052</v>
      </c>
      <c r="E1144" s="127">
        <f t="shared" si="28"/>
        <v>2021</v>
      </c>
      <c r="F1144" s="126">
        <f>_xlfn.XLOOKUP(D270,'3. Input (des)investeringen '!$B$11:$B$89,'3. Input (des)investeringen '!$E$11:$E$89)</f>
        <v>1</v>
      </c>
    </row>
    <row r="1145" spans="2:6">
      <c r="B1145">
        <v>254</v>
      </c>
      <c r="D1145" s="128">
        <f t="shared" si="27"/>
        <v>969.85938554552843</v>
      </c>
      <c r="E1145" s="127">
        <f t="shared" si="28"/>
        <v>2021</v>
      </c>
      <c r="F1145" s="126">
        <f>_xlfn.XLOOKUP(D271,'3. Input (des)investeringen '!$B$11:$B$89,'3. Input (des)investeringen '!$E$11:$E$89)</f>
        <v>1</v>
      </c>
    </row>
    <row r="1146" spans="2:6">
      <c r="B1146">
        <v>255</v>
      </c>
      <c r="D1146" s="128">
        <f t="shared" si="27"/>
        <v>59918.898744918304</v>
      </c>
      <c r="E1146" s="127">
        <f t="shared" si="28"/>
        <v>2021</v>
      </c>
      <c r="F1146" s="126">
        <f>_xlfn.XLOOKUP(D272,'3. Input (des)investeringen '!$B$11:$B$89,'3. Input (des)investeringen '!$E$11:$E$89)</f>
        <v>1</v>
      </c>
    </row>
    <row r="1147" spans="2:6">
      <c r="B1147">
        <v>256</v>
      </c>
      <c r="D1147" s="128">
        <f t="shared" si="27"/>
        <v>2839.9947986221796</v>
      </c>
      <c r="E1147" s="127">
        <f t="shared" si="28"/>
        <v>2021</v>
      </c>
      <c r="F1147" s="126">
        <f>_xlfn.XLOOKUP(D273,'3. Input (des)investeringen '!$B$11:$B$89,'3. Input (des)investeringen '!$E$11:$E$89)</f>
        <v>1</v>
      </c>
    </row>
    <row r="1148" spans="2:6">
      <c r="B1148">
        <v>257</v>
      </c>
      <c r="D1148" s="128">
        <f t="shared" ref="D1148:D1211" si="29">F274*INDEX($E$807:$CG$887,E274-1945,G274-1945)</f>
        <v>637836.07775882166</v>
      </c>
      <c r="E1148" s="127">
        <f t="shared" ref="E1148:E1211" si="30">G274</f>
        <v>2021</v>
      </c>
      <c r="F1148" s="126">
        <f>_xlfn.XLOOKUP(D274,'3. Input (des)investeringen '!$B$11:$B$89,'3. Input (des)investeringen '!$E$11:$E$89)</f>
        <v>1</v>
      </c>
    </row>
    <row r="1149" spans="2:6">
      <c r="B1149">
        <v>258</v>
      </c>
      <c r="D1149" s="128">
        <f t="shared" si="29"/>
        <v>64198.222918813022</v>
      </c>
      <c r="E1149" s="127">
        <f t="shared" si="30"/>
        <v>2021</v>
      </c>
      <c r="F1149" s="126">
        <f>_xlfn.XLOOKUP(D275,'3. Input (des)investeringen '!$B$11:$B$89,'3. Input (des)investeringen '!$E$11:$E$89)</f>
        <v>1</v>
      </c>
    </row>
    <row r="1150" spans="2:6">
      <c r="B1150">
        <v>259</v>
      </c>
      <c r="D1150" s="128">
        <f t="shared" si="29"/>
        <v>13522.842733938553</v>
      </c>
      <c r="E1150" s="127">
        <f t="shared" si="30"/>
        <v>2021</v>
      </c>
      <c r="F1150" s="126">
        <f>_xlfn.XLOOKUP(D276,'3. Input (des)investeringen '!$B$11:$B$89,'3. Input (des)investeringen '!$E$11:$E$89)</f>
        <v>1</v>
      </c>
    </row>
    <row r="1151" spans="2:6">
      <c r="B1151">
        <v>260</v>
      </c>
      <c r="D1151" s="128">
        <f t="shared" si="29"/>
        <v>892.28276518311873</v>
      </c>
      <c r="E1151" s="127">
        <f t="shared" si="30"/>
        <v>2021</v>
      </c>
      <c r="F1151" s="126">
        <f>_xlfn.XLOOKUP(D277,'3. Input (des)investeringen '!$B$11:$B$89,'3. Input (des)investeringen '!$E$11:$E$89)</f>
        <v>1</v>
      </c>
    </row>
    <row r="1152" spans="2:6">
      <c r="B1152">
        <v>261</v>
      </c>
      <c r="D1152" s="128">
        <f t="shared" si="29"/>
        <v>14093.341376277704</v>
      </c>
      <c r="E1152" s="127">
        <f t="shared" si="30"/>
        <v>2021</v>
      </c>
      <c r="F1152" s="126">
        <f>_xlfn.XLOOKUP(D278,'3. Input (des)investeringen '!$B$11:$B$89,'3. Input (des)investeringen '!$E$11:$E$89)</f>
        <v>1</v>
      </c>
    </row>
    <row r="1153" spans="2:6">
      <c r="B1153">
        <v>262</v>
      </c>
      <c r="D1153" s="128">
        <f t="shared" si="29"/>
        <v>15593.002667778068</v>
      </c>
      <c r="E1153" s="127">
        <f t="shared" si="30"/>
        <v>2021</v>
      </c>
      <c r="F1153" s="126">
        <f>_xlfn.XLOOKUP(D279,'3. Input (des)investeringen '!$B$11:$B$89,'3. Input (des)investeringen '!$E$11:$E$89)</f>
        <v>1</v>
      </c>
    </row>
    <row r="1154" spans="2:6">
      <c r="B1154">
        <v>263</v>
      </c>
      <c r="D1154" s="128">
        <f t="shared" si="29"/>
        <v>2163.7971819391896</v>
      </c>
      <c r="E1154" s="127">
        <f t="shared" si="30"/>
        <v>2021</v>
      </c>
      <c r="F1154" s="126">
        <f>_xlfn.XLOOKUP(D280,'3. Input (des)investeringen '!$B$11:$B$89,'3. Input (des)investeringen '!$E$11:$E$89)</f>
        <v>1</v>
      </c>
    </row>
    <row r="1155" spans="2:6">
      <c r="B1155">
        <v>264</v>
      </c>
      <c r="D1155" s="128">
        <f t="shared" si="29"/>
        <v>70198.665179236268</v>
      </c>
      <c r="E1155" s="127">
        <f t="shared" si="30"/>
        <v>2021</v>
      </c>
      <c r="F1155" s="126">
        <f>_xlfn.XLOOKUP(D281,'3. Input (des)investeringen '!$B$11:$B$89,'3. Input (des)investeringen '!$E$11:$E$89)</f>
        <v>1</v>
      </c>
    </row>
    <row r="1156" spans="2:6">
      <c r="B1156">
        <v>265</v>
      </c>
      <c r="D1156" s="128">
        <f t="shared" si="29"/>
        <v>4210.7603497279788</v>
      </c>
      <c r="E1156" s="127">
        <f t="shared" si="30"/>
        <v>2021</v>
      </c>
      <c r="F1156" s="126">
        <f>_xlfn.XLOOKUP(D282,'3. Input (des)investeringen '!$B$11:$B$89,'3. Input (des)investeringen '!$E$11:$E$89)</f>
        <v>1</v>
      </c>
    </row>
    <row r="1157" spans="2:6">
      <c r="B1157">
        <v>266</v>
      </c>
      <c r="D1157" s="128">
        <f t="shared" si="29"/>
        <v>5034.7947985725787</v>
      </c>
      <c r="E1157" s="127">
        <f t="shared" si="30"/>
        <v>2021</v>
      </c>
      <c r="F1157" s="126">
        <f>_xlfn.XLOOKUP(D283,'3. Input (des)investeringen '!$B$11:$B$89,'3. Input (des)investeringen '!$E$11:$E$89)</f>
        <v>1</v>
      </c>
    </row>
    <row r="1158" spans="2:6">
      <c r="B1158">
        <v>267</v>
      </c>
      <c r="D1158" s="128">
        <f t="shared" si="29"/>
        <v>99834.624732352502</v>
      </c>
      <c r="E1158" s="127">
        <f t="shared" si="30"/>
        <v>2021</v>
      </c>
      <c r="F1158" s="126">
        <f>_xlfn.XLOOKUP(D284,'3. Input (des)investeringen '!$B$11:$B$89,'3. Input (des)investeringen '!$E$11:$E$89)</f>
        <v>1</v>
      </c>
    </row>
    <row r="1159" spans="2:6">
      <c r="B1159">
        <v>268</v>
      </c>
      <c r="D1159" s="128">
        <f t="shared" si="29"/>
        <v>6147.3001511106786</v>
      </c>
      <c r="E1159" s="127">
        <f t="shared" si="30"/>
        <v>2021</v>
      </c>
      <c r="F1159" s="126">
        <f>_xlfn.XLOOKUP(D285,'3. Input (des)investeringen '!$B$11:$B$89,'3. Input (des)investeringen '!$E$11:$E$89)</f>
        <v>1</v>
      </c>
    </row>
    <row r="1160" spans="2:6">
      <c r="B1160">
        <v>269</v>
      </c>
      <c r="D1160" s="128">
        <f t="shared" si="29"/>
        <v>10192.952624599267</v>
      </c>
      <c r="E1160" s="127">
        <f t="shared" si="30"/>
        <v>2021</v>
      </c>
      <c r="F1160" s="126">
        <f>_xlfn.XLOOKUP(D286,'3. Input (des)investeringen '!$B$11:$B$89,'3. Input (des)investeringen '!$E$11:$E$89)</f>
        <v>1</v>
      </c>
    </row>
    <row r="1161" spans="2:6">
      <c r="B1161">
        <v>270</v>
      </c>
      <c r="D1161" s="128">
        <f t="shared" si="29"/>
        <v>11818921.881351909</v>
      </c>
      <c r="E1161" s="127">
        <f t="shared" si="30"/>
        <v>2021</v>
      </c>
      <c r="F1161" s="126">
        <f>_xlfn.XLOOKUP(D287,'3. Input (des)investeringen '!$B$11:$B$89,'3. Input (des)investeringen '!$E$11:$E$89)</f>
        <v>1</v>
      </c>
    </row>
    <row r="1162" spans="2:6">
      <c r="B1162">
        <v>271</v>
      </c>
      <c r="D1162" s="128">
        <f t="shared" si="29"/>
        <v>11191.738605549699</v>
      </c>
      <c r="E1162" s="127">
        <f t="shared" si="30"/>
        <v>2021</v>
      </c>
      <c r="F1162" s="126">
        <f>_xlfn.XLOOKUP(D288,'3. Input (des)investeringen '!$B$11:$B$89,'3. Input (des)investeringen '!$E$11:$E$89)</f>
        <v>1</v>
      </c>
    </row>
    <row r="1163" spans="2:6">
      <c r="B1163">
        <v>272</v>
      </c>
      <c r="D1163" s="128">
        <f t="shared" si="29"/>
        <v>4358.6895977904169</v>
      </c>
      <c r="E1163" s="127">
        <f t="shared" si="30"/>
        <v>2021</v>
      </c>
      <c r="F1163" s="126">
        <f>_xlfn.XLOOKUP(D289,'3. Input (des)investeringen '!$B$11:$B$89,'3. Input (des)investeringen '!$E$11:$E$89)</f>
        <v>1</v>
      </c>
    </row>
    <row r="1164" spans="2:6">
      <c r="B1164">
        <v>273</v>
      </c>
      <c r="D1164" s="128">
        <f t="shared" si="29"/>
        <v>4298.2967550578487</v>
      </c>
      <c r="E1164" s="127">
        <f t="shared" si="30"/>
        <v>2021</v>
      </c>
      <c r="F1164" s="126">
        <f>_xlfn.XLOOKUP(D290,'3. Input (des)investeringen '!$B$11:$B$89,'3. Input (des)investeringen '!$E$11:$E$89)</f>
        <v>1</v>
      </c>
    </row>
    <row r="1165" spans="2:6">
      <c r="B1165">
        <v>274</v>
      </c>
      <c r="D1165" s="128">
        <f t="shared" si="29"/>
        <v>392969.28707945748</v>
      </c>
      <c r="E1165" s="127">
        <f t="shared" si="30"/>
        <v>2021</v>
      </c>
      <c r="F1165" s="126">
        <f>_xlfn.XLOOKUP(D291,'3. Input (des)investeringen '!$B$11:$B$89,'3. Input (des)investeringen '!$E$11:$E$89)</f>
        <v>1</v>
      </c>
    </row>
    <row r="1166" spans="2:6">
      <c r="B1166">
        <v>275</v>
      </c>
      <c r="D1166" s="128">
        <f t="shared" si="29"/>
        <v>30500.195074069827</v>
      </c>
      <c r="E1166" s="127">
        <f t="shared" si="30"/>
        <v>2021</v>
      </c>
      <c r="F1166" s="126">
        <f>_xlfn.XLOOKUP(D292,'3. Input (des)investeringen '!$B$11:$B$89,'3. Input (des)investeringen '!$E$11:$E$89)</f>
        <v>1</v>
      </c>
    </row>
    <row r="1167" spans="2:6">
      <c r="B1167">
        <v>276</v>
      </c>
      <c r="D1167" s="128">
        <f t="shared" si="29"/>
        <v>1634.829629192873</v>
      </c>
      <c r="E1167" s="127">
        <f t="shared" si="30"/>
        <v>2021</v>
      </c>
      <c r="F1167" s="126">
        <f>_xlfn.XLOOKUP(D293,'3. Input (des)investeringen '!$B$11:$B$89,'3. Input (des)investeringen '!$E$11:$E$89)</f>
        <v>1</v>
      </c>
    </row>
    <row r="1168" spans="2:6">
      <c r="B1168">
        <v>277</v>
      </c>
      <c r="D1168" s="128">
        <f t="shared" si="29"/>
        <v>3718.1735391030879</v>
      </c>
      <c r="E1168" s="127">
        <f t="shared" si="30"/>
        <v>2021</v>
      </c>
      <c r="F1168" s="126">
        <f>_xlfn.XLOOKUP(D294,'3. Input (des)investeringen '!$B$11:$B$89,'3. Input (des)investeringen '!$E$11:$E$89)</f>
        <v>1</v>
      </c>
    </row>
    <row r="1169" spans="2:6">
      <c r="B1169">
        <v>278</v>
      </c>
      <c r="D1169" s="128">
        <f t="shared" si="29"/>
        <v>3603.5041513126812</v>
      </c>
      <c r="E1169" s="127">
        <f t="shared" si="30"/>
        <v>2021</v>
      </c>
      <c r="F1169" s="126">
        <f>_xlfn.XLOOKUP(D295,'3. Input (des)investeringen '!$B$11:$B$89,'3. Input (des)investeringen '!$E$11:$E$89)</f>
        <v>1</v>
      </c>
    </row>
    <row r="1170" spans="2:6">
      <c r="B1170">
        <v>279</v>
      </c>
      <c r="D1170" s="128">
        <f t="shared" si="29"/>
        <v>41793.8888539033</v>
      </c>
      <c r="E1170" s="127">
        <f t="shared" si="30"/>
        <v>2021</v>
      </c>
      <c r="F1170" s="126">
        <f>_xlfn.XLOOKUP(D296,'3. Input (des)investeringen '!$B$11:$B$89,'3. Input (des)investeringen '!$E$11:$E$89)</f>
        <v>1</v>
      </c>
    </row>
    <row r="1171" spans="2:6">
      <c r="B1171">
        <v>280</v>
      </c>
      <c r="D1171" s="128">
        <f t="shared" si="29"/>
        <v>336.29464010461714</v>
      </c>
      <c r="E1171" s="127">
        <f t="shared" si="30"/>
        <v>2021</v>
      </c>
      <c r="F1171" s="126">
        <f>_xlfn.XLOOKUP(D297,'3. Input (des)investeringen '!$B$11:$B$89,'3. Input (des)investeringen '!$E$11:$E$89)</f>
        <v>1</v>
      </c>
    </row>
    <row r="1172" spans="2:6">
      <c r="B1172">
        <v>281</v>
      </c>
      <c r="D1172" s="128">
        <f t="shared" si="29"/>
        <v>4928.815060077477</v>
      </c>
      <c r="E1172" s="127">
        <f t="shared" si="30"/>
        <v>2021</v>
      </c>
      <c r="F1172" s="126">
        <f>_xlfn.XLOOKUP(D298,'3. Input (des)investeringen '!$B$11:$B$89,'3. Input (des)investeringen '!$E$11:$E$89)</f>
        <v>1</v>
      </c>
    </row>
    <row r="1173" spans="2:6">
      <c r="B1173">
        <v>282</v>
      </c>
      <c r="D1173" s="128">
        <f t="shared" si="29"/>
        <v>10568.050386272796</v>
      </c>
      <c r="E1173" s="127">
        <f t="shared" si="30"/>
        <v>2021</v>
      </c>
      <c r="F1173" s="126">
        <f>_xlfn.XLOOKUP(D299,'3. Input (des)investeringen '!$B$11:$B$89,'3. Input (des)investeringen '!$E$11:$E$89)</f>
        <v>1</v>
      </c>
    </row>
    <row r="1174" spans="2:6">
      <c r="B1174">
        <v>283</v>
      </c>
      <c r="D1174" s="128">
        <f t="shared" si="29"/>
        <v>42378.464875823673</v>
      </c>
      <c r="E1174" s="127">
        <f t="shared" si="30"/>
        <v>2021</v>
      </c>
      <c r="F1174" s="126">
        <f>_xlfn.XLOOKUP(D300,'3. Input (des)investeringen '!$B$11:$B$89,'3. Input (des)investeringen '!$E$11:$E$89)</f>
        <v>1</v>
      </c>
    </row>
    <row r="1175" spans="2:6">
      <c r="B1175">
        <v>284</v>
      </c>
      <c r="D1175" s="128">
        <f t="shared" si="29"/>
        <v>45895.075538151323</v>
      </c>
      <c r="E1175" s="127">
        <f t="shared" si="30"/>
        <v>2021</v>
      </c>
      <c r="F1175" s="126">
        <f>_xlfn.XLOOKUP(D301,'3. Input (des)investeringen '!$B$11:$B$89,'3. Input (des)investeringen '!$E$11:$E$89)</f>
        <v>1</v>
      </c>
    </row>
    <row r="1176" spans="2:6">
      <c r="B1176">
        <v>285</v>
      </c>
      <c r="D1176" s="128">
        <f t="shared" si="29"/>
        <v>1019.0795676930163</v>
      </c>
      <c r="E1176" s="127">
        <f t="shared" si="30"/>
        <v>2021</v>
      </c>
      <c r="F1176" s="126">
        <f>_xlfn.XLOOKUP(D302,'3. Input (des)investeringen '!$B$11:$B$89,'3. Input (des)investeringen '!$E$11:$E$89)</f>
        <v>1</v>
      </c>
    </row>
    <row r="1177" spans="2:6">
      <c r="B1177">
        <v>286</v>
      </c>
      <c r="D1177" s="128">
        <f t="shared" si="29"/>
        <v>2100.2142001328425</v>
      </c>
      <c r="E1177" s="127">
        <f t="shared" si="30"/>
        <v>2021</v>
      </c>
      <c r="F1177" s="126">
        <f>_xlfn.XLOOKUP(D303,'3. Input (des)investeringen '!$B$11:$B$89,'3. Input (des)investeringen '!$E$11:$E$89)</f>
        <v>1</v>
      </c>
    </row>
    <row r="1178" spans="2:6">
      <c r="B1178">
        <v>287</v>
      </c>
      <c r="D1178" s="128">
        <f t="shared" si="29"/>
        <v>366.99055079584537</v>
      </c>
      <c r="E1178" s="127">
        <f t="shared" si="30"/>
        <v>2021</v>
      </c>
      <c r="F1178" s="126">
        <f>_xlfn.XLOOKUP(D304,'3. Input (des)investeringen '!$B$11:$B$89,'3. Input (des)investeringen '!$E$11:$E$89)</f>
        <v>1</v>
      </c>
    </row>
    <row r="1179" spans="2:6">
      <c r="B1179">
        <v>288</v>
      </c>
      <c r="D1179" s="128">
        <f t="shared" si="29"/>
        <v>124607.29559635933</v>
      </c>
      <c r="E1179" s="127">
        <f t="shared" si="30"/>
        <v>2021</v>
      </c>
      <c r="F1179" s="126">
        <f>_xlfn.XLOOKUP(D305,'3. Input (des)investeringen '!$B$11:$B$89,'3. Input (des)investeringen '!$E$11:$E$89)</f>
        <v>1</v>
      </c>
    </row>
    <row r="1180" spans="2:6">
      <c r="B1180">
        <v>289</v>
      </c>
      <c r="D1180" s="128">
        <f t="shared" si="29"/>
        <v>11394.787114572611</v>
      </c>
      <c r="E1180" s="127">
        <f t="shared" si="30"/>
        <v>2021</v>
      </c>
      <c r="F1180" s="126">
        <f>_xlfn.XLOOKUP(D306,'3. Input (des)investeringen '!$B$11:$B$89,'3. Input (des)investeringen '!$E$11:$E$89)</f>
        <v>1</v>
      </c>
    </row>
    <row r="1181" spans="2:6">
      <c r="B1181">
        <v>290</v>
      </c>
      <c r="D1181" s="128">
        <f t="shared" si="29"/>
        <v>25202.921441979426</v>
      </c>
      <c r="E1181" s="127">
        <f t="shared" si="30"/>
        <v>2021</v>
      </c>
      <c r="F1181" s="126">
        <f>_xlfn.XLOOKUP(D307,'3. Input (des)investeringen '!$B$11:$B$89,'3. Input (des)investeringen '!$E$11:$E$89)</f>
        <v>1</v>
      </c>
    </row>
    <row r="1182" spans="2:6">
      <c r="B1182">
        <v>291</v>
      </c>
      <c r="D1182" s="128">
        <f t="shared" si="29"/>
        <v>1593.8026855964886</v>
      </c>
      <c r="E1182" s="127">
        <f t="shared" si="30"/>
        <v>2021</v>
      </c>
      <c r="F1182" s="126">
        <f>_xlfn.XLOOKUP(D308,'3. Input (des)investeringen '!$B$11:$B$89,'3. Input (des)investeringen '!$E$11:$E$89)</f>
        <v>1</v>
      </c>
    </row>
    <row r="1183" spans="2:6">
      <c r="B1183">
        <v>292</v>
      </c>
      <c r="D1183" s="128">
        <f t="shared" si="29"/>
        <v>5358.9077232865529</v>
      </c>
      <c r="E1183" s="127">
        <f t="shared" si="30"/>
        <v>2021</v>
      </c>
      <c r="F1183" s="126">
        <f>_xlfn.XLOOKUP(D309,'3. Input (des)investeringen '!$B$11:$B$89,'3. Input (des)investeringen '!$E$11:$E$89)</f>
        <v>1</v>
      </c>
    </row>
    <row r="1184" spans="2:6">
      <c r="B1184">
        <v>293</v>
      </c>
      <c r="D1184" s="128">
        <f t="shared" si="29"/>
        <v>42724.477449178637</v>
      </c>
      <c r="E1184" s="127">
        <f t="shared" si="30"/>
        <v>2021</v>
      </c>
      <c r="F1184" s="126">
        <f>_xlfn.XLOOKUP(D310,'3. Input (des)investeringen '!$B$11:$B$89,'3. Input (des)investeringen '!$E$11:$E$89)</f>
        <v>1</v>
      </c>
    </row>
    <row r="1185" spans="2:6">
      <c r="B1185">
        <v>294</v>
      </c>
      <c r="D1185" s="128">
        <f t="shared" si="29"/>
        <v>5769.3714682024574</v>
      </c>
      <c r="E1185" s="127">
        <f t="shared" si="30"/>
        <v>2021</v>
      </c>
      <c r="F1185" s="126">
        <f>_xlfn.XLOOKUP(D311,'3. Input (des)investeringen '!$B$11:$B$89,'3. Input (des)investeringen '!$E$11:$E$89)</f>
        <v>1</v>
      </c>
    </row>
    <row r="1186" spans="2:6">
      <c r="B1186">
        <v>295</v>
      </c>
      <c r="D1186" s="128">
        <f t="shared" si="29"/>
        <v>32593.798813292055</v>
      </c>
      <c r="E1186" s="127">
        <f t="shared" si="30"/>
        <v>2021</v>
      </c>
      <c r="F1186" s="126">
        <f>_xlfn.XLOOKUP(D312,'3. Input (des)investeringen '!$B$11:$B$89,'3. Input (des)investeringen '!$E$11:$E$89)</f>
        <v>1</v>
      </c>
    </row>
    <row r="1187" spans="2:6">
      <c r="B1187">
        <v>296</v>
      </c>
      <c r="D1187" s="128">
        <f t="shared" si="29"/>
        <v>147471.83523486831</v>
      </c>
      <c r="E1187" s="127">
        <f t="shared" si="30"/>
        <v>2021</v>
      </c>
      <c r="F1187" s="126">
        <f>_xlfn.XLOOKUP(D313,'3. Input (des)investeringen '!$B$11:$B$89,'3. Input (des)investeringen '!$E$11:$E$89)</f>
        <v>1</v>
      </c>
    </row>
    <row r="1188" spans="2:6">
      <c r="B1188">
        <v>297</v>
      </c>
      <c r="D1188" s="128">
        <f t="shared" si="29"/>
        <v>521013.98608091858</v>
      </c>
      <c r="E1188" s="127">
        <f t="shared" si="30"/>
        <v>2021</v>
      </c>
      <c r="F1188" s="126">
        <f>_xlfn.XLOOKUP(D314,'3. Input (des)investeringen '!$B$11:$B$89,'3. Input (des)investeringen '!$E$11:$E$89)</f>
        <v>1</v>
      </c>
    </row>
    <row r="1189" spans="2:6">
      <c r="B1189">
        <v>298</v>
      </c>
      <c r="D1189" s="128">
        <f t="shared" si="29"/>
        <v>47308.343375890465</v>
      </c>
      <c r="E1189" s="127">
        <f t="shared" si="30"/>
        <v>2021</v>
      </c>
      <c r="F1189" s="126">
        <f>_xlfn.XLOOKUP(D315,'3. Input (des)investeringen '!$B$11:$B$89,'3. Input (des)investeringen '!$E$11:$E$89)</f>
        <v>1</v>
      </c>
    </row>
    <row r="1190" spans="2:6">
      <c r="B1190">
        <v>299</v>
      </c>
      <c r="D1190" s="128">
        <f t="shared" si="29"/>
        <v>6986.0961518104068</v>
      </c>
      <c r="E1190" s="127">
        <f t="shared" si="30"/>
        <v>2021</v>
      </c>
      <c r="F1190" s="126">
        <f>_xlfn.XLOOKUP(D316,'3. Input (des)investeringen '!$B$11:$B$89,'3. Input (des)investeringen '!$E$11:$E$89)</f>
        <v>1</v>
      </c>
    </row>
    <row r="1191" spans="2:6">
      <c r="B1191">
        <v>300</v>
      </c>
      <c r="D1191" s="128">
        <f t="shared" si="29"/>
        <v>4256.1290103364654</v>
      </c>
      <c r="E1191" s="127">
        <f t="shared" si="30"/>
        <v>2021</v>
      </c>
      <c r="F1191" s="126">
        <f>_xlfn.XLOOKUP(D317,'3. Input (des)investeringen '!$B$11:$B$89,'3. Input (des)investeringen '!$E$11:$E$89)</f>
        <v>1</v>
      </c>
    </row>
    <row r="1192" spans="2:6">
      <c r="B1192">
        <v>301</v>
      </c>
      <c r="D1192" s="128">
        <f t="shared" si="29"/>
        <v>8389.0335760579055</v>
      </c>
      <c r="E1192" s="127">
        <f t="shared" si="30"/>
        <v>2021</v>
      </c>
      <c r="F1192" s="126">
        <f>_xlfn.XLOOKUP(D318,'3. Input (des)investeringen '!$B$11:$B$89,'3. Input (des)investeringen '!$E$11:$E$89)</f>
        <v>1</v>
      </c>
    </row>
    <row r="1193" spans="2:6">
      <c r="B1193">
        <v>302</v>
      </c>
      <c r="D1193" s="128">
        <f t="shared" si="29"/>
        <v>59207.289824187035</v>
      </c>
      <c r="E1193" s="127">
        <f t="shared" si="30"/>
        <v>2021</v>
      </c>
      <c r="F1193" s="126">
        <f>_xlfn.XLOOKUP(D319,'3. Input (des)investeringen '!$B$11:$B$89,'3. Input (des)investeringen '!$E$11:$E$89)</f>
        <v>1</v>
      </c>
    </row>
    <row r="1194" spans="2:6">
      <c r="B1194">
        <v>303</v>
      </c>
      <c r="D1194" s="128">
        <f t="shared" si="29"/>
        <v>144489.30413571815</v>
      </c>
      <c r="E1194" s="127">
        <f t="shared" si="30"/>
        <v>2021</v>
      </c>
      <c r="F1194" s="126">
        <f>_xlfn.XLOOKUP(D320,'3. Input (des)investeringen '!$B$11:$B$89,'3. Input (des)investeringen '!$E$11:$E$89)</f>
        <v>1</v>
      </c>
    </row>
    <row r="1195" spans="2:6">
      <c r="B1195">
        <v>304</v>
      </c>
      <c r="D1195" s="128">
        <f t="shared" si="29"/>
        <v>24627.505284401475</v>
      </c>
      <c r="E1195" s="127">
        <f t="shared" si="30"/>
        <v>2021</v>
      </c>
      <c r="F1195" s="126">
        <f>_xlfn.XLOOKUP(D321,'3. Input (des)investeringen '!$B$11:$B$89,'3. Input (des)investeringen '!$E$11:$E$89)</f>
        <v>1</v>
      </c>
    </row>
    <row r="1196" spans="2:6">
      <c r="B1196">
        <v>305</v>
      </c>
      <c r="D1196" s="128">
        <f t="shared" si="29"/>
        <v>129644.58151460749</v>
      </c>
      <c r="E1196" s="127">
        <f t="shared" si="30"/>
        <v>2021</v>
      </c>
      <c r="F1196" s="126">
        <f>_xlfn.XLOOKUP(D322,'3. Input (des)investeringen '!$B$11:$B$89,'3. Input (des)investeringen '!$E$11:$E$89)</f>
        <v>1</v>
      </c>
    </row>
    <row r="1197" spans="2:6">
      <c r="B1197">
        <v>306</v>
      </c>
      <c r="D1197" s="128">
        <f t="shared" si="29"/>
        <v>22146.107560498778</v>
      </c>
      <c r="E1197" s="127">
        <f t="shared" si="30"/>
        <v>2021</v>
      </c>
      <c r="F1197" s="126">
        <f>_xlfn.XLOOKUP(D323,'3. Input (des)investeringen '!$B$11:$B$89,'3. Input (des)investeringen '!$E$11:$E$89)</f>
        <v>1</v>
      </c>
    </row>
    <row r="1198" spans="2:6">
      <c r="B1198">
        <v>307</v>
      </c>
      <c r="D1198" s="128">
        <f t="shared" si="29"/>
        <v>4986.3759054118091</v>
      </c>
      <c r="E1198" s="127">
        <f t="shared" si="30"/>
        <v>2021</v>
      </c>
      <c r="F1198" s="126">
        <f>_xlfn.XLOOKUP(D324,'3. Input (des)investeringen '!$B$11:$B$89,'3. Input (des)investeringen '!$E$11:$E$89)</f>
        <v>1</v>
      </c>
    </row>
    <row r="1199" spans="2:6">
      <c r="B1199">
        <v>308</v>
      </c>
      <c r="D1199" s="128">
        <f t="shared" si="29"/>
        <v>49793.54833839096</v>
      </c>
      <c r="E1199" s="127">
        <f t="shared" si="30"/>
        <v>2021</v>
      </c>
      <c r="F1199" s="126">
        <f>_xlfn.XLOOKUP(D325,'3. Input (des)investeringen '!$B$11:$B$89,'3. Input (des)investeringen '!$E$11:$E$89)</f>
        <v>1</v>
      </c>
    </row>
    <row r="1200" spans="2:6">
      <c r="B1200">
        <v>309</v>
      </c>
      <c r="D1200" s="128">
        <f t="shared" si="29"/>
        <v>2281.2143132879228</v>
      </c>
      <c r="E1200" s="127">
        <f t="shared" si="30"/>
        <v>2021</v>
      </c>
      <c r="F1200" s="126">
        <f>_xlfn.XLOOKUP(D326,'3. Input (des)investeringen '!$B$11:$B$89,'3. Input (des)investeringen '!$E$11:$E$89)</f>
        <v>1</v>
      </c>
    </row>
    <row r="1201" spans="2:6">
      <c r="B1201">
        <v>310</v>
      </c>
      <c r="D1201" s="128">
        <f t="shared" si="29"/>
        <v>425378.17598325771</v>
      </c>
      <c r="E1201" s="127">
        <f t="shared" si="30"/>
        <v>2021</v>
      </c>
      <c r="F1201" s="126">
        <f>_xlfn.XLOOKUP(D327,'3. Input (des)investeringen '!$B$11:$B$89,'3. Input (des)investeringen '!$E$11:$E$89)</f>
        <v>1</v>
      </c>
    </row>
    <row r="1202" spans="2:6">
      <c r="B1202">
        <v>311</v>
      </c>
      <c r="D1202" s="128">
        <f t="shared" si="29"/>
        <v>7185524.2223373363</v>
      </c>
      <c r="E1202" s="127">
        <f t="shared" si="30"/>
        <v>2021</v>
      </c>
      <c r="F1202" s="126">
        <f>_xlfn.XLOOKUP(D328,'3. Input (des)investeringen '!$B$11:$B$89,'3. Input (des)investeringen '!$E$11:$E$89)</f>
        <v>1</v>
      </c>
    </row>
    <row r="1203" spans="2:6">
      <c r="B1203">
        <v>312</v>
      </c>
      <c r="D1203" s="128">
        <f t="shared" si="29"/>
        <v>732448.55317733798</v>
      </c>
      <c r="E1203" s="127">
        <f t="shared" si="30"/>
        <v>2021</v>
      </c>
      <c r="F1203" s="126">
        <f>_xlfn.XLOOKUP(D329,'3. Input (des)investeringen '!$B$11:$B$89,'3. Input (des)investeringen '!$E$11:$E$89)</f>
        <v>1</v>
      </c>
    </row>
    <row r="1204" spans="2:6">
      <c r="B1204">
        <v>313</v>
      </c>
      <c r="D1204" s="128">
        <f t="shared" si="29"/>
        <v>521090.13683721371</v>
      </c>
      <c r="E1204" s="127">
        <f t="shared" si="30"/>
        <v>2021</v>
      </c>
      <c r="F1204" s="126">
        <f>_xlfn.XLOOKUP(D330,'3. Input (des)investeringen '!$B$11:$B$89,'3. Input (des)investeringen '!$E$11:$E$89)</f>
        <v>1</v>
      </c>
    </row>
    <row r="1205" spans="2:6">
      <c r="B1205">
        <v>314</v>
      </c>
      <c r="D1205" s="128">
        <f t="shared" si="29"/>
        <v>928647.3485637689</v>
      </c>
      <c r="E1205" s="127">
        <f t="shared" si="30"/>
        <v>2021</v>
      </c>
      <c r="F1205" s="126">
        <f>_xlfn.XLOOKUP(D331,'3. Input (des)investeringen '!$B$11:$B$89,'3. Input (des)investeringen '!$E$11:$E$89)</f>
        <v>1</v>
      </c>
    </row>
    <row r="1206" spans="2:6">
      <c r="B1206">
        <v>315</v>
      </c>
      <c r="D1206" s="128">
        <f t="shared" si="29"/>
        <v>220417.58622530752</v>
      </c>
      <c r="E1206" s="127">
        <f t="shared" si="30"/>
        <v>2021</v>
      </c>
      <c r="F1206" s="126">
        <f>_xlfn.XLOOKUP(D332,'3. Input (des)investeringen '!$B$11:$B$89,'3. Input (des)investeringen '!$E$11:$E$89)</f>
        <v>1</v>
      </c>
    </row>
    <row r="1207" spans="2:6">
      <c r="B1207">
        <v>316</v>
      </c>
      <c r="D1207" s="128">
        <f t="shared" si="29"/>
        <v>1794467.5130827182</v>
      </c>
      <c r="E1207" s="127">
        <f t="shared" si="30"/>
        <v>2022</v>
      </c>
      <c r="F1207" s="126">
        <f>_xlfn.XLOOKUP(D333,'3. Input (des)investeringen '!$B$11:$B$89,'3. Input (des)investeringen '!$E$11:$E$89)</f>
        <v>1</v>
      </c>
    </row>
    <row r="1208" spans="2:6">
      <c r="B1208">
        <v>317</v>
      </c>
      <c r="D1208" s="128">
        <f t="shared" si="29"/>
        <v>788860.63503546279</v>
      </c>
      <c r="E1208" s="127">
        <f t="shared" si="30"/>
        <v>2022</v>
      </c>
      <c r="F1208" s="126">
        <f>_xlfn.XLOOKUP(D334,'3. Input (des)investeringen '!$B$11:$B$89,'3. Input (des)investeringen '!$E$11:$E$89)</f>
        <v>1</v>
      </c>
    </row>
    <row r="1209" spans="2:6">
      <c r="B1209">
        <v>318</v>
      </c>
      <c r="D1209" s="128">
        <f t="shared" si="29"/>
        <v>1273.3351239778597</v>
      </c>
      <c r="E1209" s="127">
        <f t="shared" si="30"/>
        <v>2022</v>
      </c>
      <c r="F1209" s="126">
        <f>_xlfn.XLOOKUP(D335,'3. Input (des)investeringen '!$B$11:$B$89,'3. Input (des)investeringen '!$E$11:$E$89)</f>
        <v>1</v>
      </c>
    </row>
    <row r="1210" spans="2:6">
      <c r="B1210">
        <v>319</v>
      </c>
      <c r="D1210" s="128">
        <f t="shared" si="29"/>
        <v>7.7062133580083972E-2</v>
      </c>
      <c r="E1210" s="127">
        <f t="shared" si="30"/>
        <v>2022</v>
      </c>
      <c r="F1210" s="126">
        <f>_xlfn.XLOOKUP(D336,'3. Input (des)investeringen '!$B$11:$B$89,'3. Input (des)investeringen '!$E$11:$E$89)</f>
        <v>1</v>
      </c>
    </row>
    <row r="1211" spans="2:6">
      <c r="B1211">
        <v>320</v>
      </c>
      <c r="D1211" s="128">
        <f t="shared" si="29"/>
        <v>210895.72784382594</v>
      </c>
      <c r="E1211" s="127">
        <f t="shared" si="30"/>
        <v>2022</v>
      </c>
      <c r="F1211" s="126">
        <f>_xlfn.XLOOKUP(D337,'3. Input (des)investeringen '!$B$11:$B$89,'3. Input (des)investeringen '!$E$11:$E$89)</f>
        <v>1</v>
      </c>
    </row>
    <row r="1212" spans="2:6">
      <c r="B1212">
        <v>321</v>
      </c>
      <c r="D1212" s="128">
        <f t="shared" ref="D1212:D1275" si="31">F338*INDEX($E$807:$CG$887,E338-1945,G338-1945)</f>
        <v>897712.16634437081</v>
      </c>
      <c r="E1212" s="127">
        <f t="shared" ref="E1212:E1275" si="32">G338</f>
        <v>2022</v>
      </c>
      <c r="F1212" s="126">
        <f>_xlfn.XLOOKUP(D338,'3. Input (des)investeringen '!$B$11:$B$89,'3. Input (des)investeringen '!$E$11:$E$89)</f>
        <v>1</v>
      </c>
    </row>
    <row r="1213" spans="2:6">
      <c r="B1213">
        <v>322</v>
      </c>
      <c r="D1213" s="128">
        <f t="shared" si="31"/>
        <v>1456756.073943085</v>
      </c>
      <c r="E1213" s="127">
        <f t="shared" si="32"/>
        <v>2022</v>
      </c>
      <c r="F1213" s="126">
        <f>_xlfn.XLOOKUP(D339,'3. Input (des)investeringen '!$B$11:$B$89,'3. Input (des)investeringen '!$E$11:$E$89)</f>
        <v>1</v>
      </c>
    </row>
    <row r="1214" spans="2:6">
      <c r="B1214">
        <v>323</v>
      </c>
      <c r="D1214" s="128">
        <f t="shared" si="31"/>
        <v>537510.92809868616</v>
      </c>
      <c r="E1214" s="127">
        <f t="shared" si="32"/>
        <v>2022</v>
      </c>
      <c r="F1214" s="126">
        <f>_xlfn.XLOOKUP(D340,'3. Input (des)investeringen '!$B$11:$B$89,'3. Input (des)investeringen '!$E$11:$E$89)</f>
        <v>1</v>
      </c>
    </row>
    <row r="1215" spans="2:6">
      <c r="B1215">
        <v>324</v>
      </c>
      <c r="D1215" s="128">
        <f t="shared" si="31"/>
        <v>274815.80469335237</v>
      </c>
      <c r="E1215" s="127">
        <f t="shared" si="32"/>
        <v>2022</v>
      </c>
      <c r="F1215" s="126">
        <f>_xlfn.XLOOKUP(D341,'3. Input (des)investeringen '!$B$11:$B$89,'3. Input (des)investeringen '!$E$11:$E$89)</f>
        <v>1</v>
      </c>
    </row>
    <row r="1216" spans="2:6">
      <c r="B1216">
        <v>325</v>
      </c>
      <c r="D1216" s="128">
        <f t="shared" si="31"/>
        <v>427908.4118906298</v>
      </c>
      <c r="E1216" s="127">
        <f t="shared" si="32"/>
        <v>2022</v>
      </c>
      <c r="F1216" s="126">
        <f>_xlfn.XLOOKUP(D342,'3. Input (des)investeringen '!$B$11:$B$89,'3. Input (des)investeringen '!$E$11:$E$89)</f>
        <v>1</v>
      </c>
    </row>
    <row r="1217" spans="2:6">
      <c r="B1217">
        <v>326</v>
      </c>
      <c r="D1217" s="128">
        <f t="shared" si="31"/>
        <v>549678.59229549393</v>
      </c>
      <c r="E1217" s="127">
        <f t="shared" si="32"/>
        <v>2022</v>
      </c>
      <c r="F1217" s="126">
        <f>_xlfn.XLOOKUP(D343,'3. Input (des)investeringen '!$B$11:$B$89,'3. Input (des)investeringen '!$E$11:$E$89)</f>
        <v>1</v>
      </c>
    </row>
    <row r="1218" spans="2:6">
      <c r="B1218">
        <v>327</v>
      </c>
      <c r="D1218" s="128">
        <f t="shared" si="31"/>
        <v>307195.76641828933</v>
      </c>
      <c r="E1218" s="127">
        <f t="shared" si="32"/>
        <v>2022</v>
      </c>
      <c r="F1218" s="126">
        <f>_xlfn.XLOOKUP(D344,'3. Input (des)investeringen '!$B$11:$B$89,'3. Input (des)investeringen '!$E$11:$E$89)</f>
        <v>1</v>
      </c>
    </row>
    <row r="1219" spans="2:6">
      <c r="B1219">
        <v>328</v>
      </c>
      <c r="D1219" s="128">
        <f t="shared" si="31"/>
        <v>863222.8872694883</v>
      </c>
      <c r="E1219" s="127">
        <f t="shared" si="32"/>
        <v>2022</v>
      </c>
      <c r="F1219" s="126">
        <f>_xlfn.XLOOKUP(D345,'3. Input (des)investeringen '!$B$11:$B$89,'3. Input (des)investeringen '!$E$11:$E$89)</f>
        <v>1</v>
      </c>
    </row>
    <row r="1220" spans="2:6">
      <c r="B1220">
        <v>329</v>
      </c>
      <c r="D1220" s="128">
        <f t="shared" si="31"/>
        <v>630047.23089903092</v>
      </c>
      <c r="E1220" s="127">
        <f t="shared" si="32"/>
        <v>2022</v>
      </c>
      <c r="F1220" s="126">
        <f>_xlfn.XLOOKUP(D346,'3. Input (des)investeringen '!$B$11:$B$89,'3. Input (des)investeringen '!$E$11:$E$89)</f>
        <v>1</v>
      </c>
    </row>
    <row r="1221" spans="2:6">
      <c r="B1221">
        <v>330</v>
      </c>
      <c r="D1221" s="128">
        <f t="shared" si="31"/>
        <v>213886.93735114989</v>
      </c>
      <c r="E1221" s="127">
        <f t="shared" si="32"/>
        <v>2022</v>
      </c>
      <c r="F1221" s="126">
        <f>_xlfn.XLOOKUP(D347,'3. Input (des)investeringen '!$B$11:$B$89,'3. Input (des)investeringen '!$E$11:$E$89)</f>
        <v>1</v>
      </c>
    </row>
    <row r="1222" spans="2:6">
      <c r="B1222">
        <v>331</v>
      </c>
      <c r="D1222" s="128">
        <f t="shared" si="31"/>
        <v>150944.69489504979</v>
      </c>
      <c r="E1222" s="127">
        <f t="shared" si="32"/>
        <v>2022</v>
      </c>
      <c r="F1222" s="126">
        <f>_xlfn.XLOOKUP(D348,'3. Input (des)investeringen '!$B$11:$B$89,'3. Input (des)investeringen '!$E$11:$E$89)</f>
        <v>1</v>
      </c>
    </row>
    <row r="1223" spans="2:6">
      <c r="B1223">
        <v>332</v>
      </c>
      <c r="D1223" s="128">
        <f t="shared" si="31"/>
        <v>308372.44933566521</v>
      </c>
      <c r="E1223" s="127">
        <f t="shared" si="32"/>
        <v>2022</v>
      </c>
      <c r="F1223" s="126">
        <f>_xlfn.XLOOKUP(D349,'3. Input (des)investeringen '!$B$11:$B$89,'3. Input (des)investeringen '!$E$11:$E$89)</f>
        <v>1</v>
      </c>
    </row>
    <row r="1224" spans="2:6">
      <c r="B1224">
        <v>333</v>
      </c>
      <c r="D1224" s="128">
        <f t="shared" si="31"/>
        <v>118209.50836304629</v>
      </c>
      <c r="E1224" s="127">
        <f t="shared" si="32"/>
        <v>2022</v>
      </c>
      <c r="F1224" s="126">
        <f>_xlfn.XLOOKUP(D350,'3. Input (des)investeringen '!$B$11:$B$89,'3. Input (des)investeringen '!$E$11:$E$89)</f>
        <v>1</v>
      </c>
    </row>
    <row r="1225" spans="2:6">
      <c r="B1225">
        <v>334</v>
      </c>
      <c r="D1225" s="128">
        <f t="shared" si="31"/>
        <v>308127.28612936393</v>
      </c>
      <c r="E1225" s="127">
        <f t="shared" si="32"/>
        <v>2022</v>
      </c>
      <c r="F1225" s="126">
        <f>_xlfn.XLOOKUP(D351,'3. Input (des)investeringen '!$B$11:$B$89,'3. Input (des)investeringen '!$E$11:$E$89)</f>
        <v>1</v>
      </c>
    </row>
    <row r="1226" spans="2:6">
      <c r="B1226">
        <v>335</v>
      </c>
      <c r="D1226" s="128">
        <f t="shared" si="31"/>
        <v>1026.437999083824</v>
      </c>
      <c r="E1226" s="127">
        <f t="shared" si="32"/>
        <v>2022</v>
      </c>
      <c r="F1226" s="126">
        <f>_xlfn.XLOOKUP(D352,'3. Input (des)investeringen '!$B$11:$B$89,'3. Input (des)investeringen '!$E$11:$E$89)</f>
        <v>1</v>
      </c>
    </row>
    <row r="1227" spans="2:6">
      <c r="B1227">
        <v>336</v>
      </c>
      <c r="D1227" s="128">
        <f t="shared" si="31"/>
        <v>106287.18474987785</v>
      </c>
      <c r="E1227" s="127">
        <f t="shared" si="32"/>
        <v>2022</v>
      </c>
      <c r="F1227" s="126">
        <f>_xlfn.XLOOKUP(D353,'3. Input (des)investeringen '!$B$11:$B$89,'3. Input (des)investeringen '!$E$11:$E$89)</f>
        <v>1</v>
      </c>
    </row>
    <row r="1228" spans="2:6">
      <c r="B1228">
        <v>337</v>
      </c>
      <c r="D1228" s="128">
        <f t="shared" si="31"/>
        <v>51523.01013098735</v>
      </c>
      <c r="E1228" s="127">
        <f t="shared" si="32"/>
        <v>2022</v>
      </c>
      <c r="F1228" s="126">
        <f>_xlfn.XLOOKUP(D354,'3. Input (des)investeringen '!$B$11:$B$89,'3. Input (des)investeringen '!$E$11:$E$89)</f>
        <v>1</v>
      </c>
    </row>
    <row r="1229" spans="2:6">
      <c r="B1229">
        <v>338</v>
      </c>
      <c r="D1229" s="128">
        <f t="shared" si="31"/>
        <v>185537.31457817764</v>
      </c>
      <c r="E1229" s="127">
        <f t="shared" si="32"/>
        <v>2022</v>
      </c>
      <c r="F1229" s="126">
        <f>_xlfn.XLOOKUP(D355,'3. Input (des)investeringen '!$B$11:$B$89,'3. Input (des)investeringen '!$E$11:$E$89)</f>
        <v>1</v>
      </c>
    </row>
    <row r="1230" spans="2:6">
      <c r="B1230">
        <v>339</v>
      </c>
      <c r="D1230" s="128">
        <f t="shared" si="31"/>
        <v>38260.827551339469</v>
      </c>
      <c r="E1230" s="127">
        <f t="shared" si="32"/>
        <v>2022</v>
      </c>
      <c r="F1230" s="126">
        <f>_xlfn.XLOOKUP(D356,'3. Input (des)investeringen '!$B$11:$B$89,'3. Input (des)investeringen '!$E$11:$E$89)</f>
        <v>1</v>
      </c>
    </row>
    <row r="1231" spans="2:6">
      <c r="B1231">
        <v>340</v>
      </c>
      <c r="D1231" s="128">
        <f t="shared" si="31"/>
        <v>7830.8705971603458</v>
      </c>
      <c r="E1231" s="127">
        <f t="shared" si="32"/>
        <v>2022</v>
      </c>
      <c r="F1231" s="126">
        <f>_xlfn.XLOOKUP(D357,'3. Input (des)investeringen '!$B$11:$B$89,'3. Input (des)investeringen '!$E$11:$E$89)</f>
        <v>1</v>
      </c>
    </row>
    <row r="1232" spans="2:6">
      <c r="B1232">
        <v>341</v>
      </c>
      <c r="D1232" s="128">
        <f t="shared" si="31"/>
        <v>9842.9371162809311</v>
      </c>
      <c r="E1232" s="127">
        <f t="shared" si="32"/>
        <v>2022</v>
      </c>
      <c r="F1232" s="126">
        <f>_xlfn.XLOOKUP(D358,'3. Input (des)investeringen '!$B$11:$B$89,'3. Input (des)investeringen '!$E$11:$E$89)</f>
        <v>1</v>
      </c>
    </row>
    <row r="1233" spans="2:6">
      <c r="B1233">
        <v>342</v>
      </c>
      <c r="D1233" s="128">
        <f t="shared" si="31"/>
        <v>6250.3975099607405</v>
      </c>
      <c r="E1233" s="127">
        <f t="shared" si="32"/>
        <v>2022</v>
      </c>
      <c r="F1233" s="126">
        <f>_xlfn.XLOOKUP(D359,'3. Input (des)investeringen '!$B$11:$B$89,'3. Input (des)investeringen '!$E$11:$E$89)</f>
        <v>1</v>
      </c>
    </row>
    <row r="1234" spans="2:6">
      <c r="B1234">
        <v>343</v>
      </c>
      <c r="D1234" s="128">
        <f t="shared" si="31"/>
        <v>148391.15704561133</v>
      </c>
      <c r="E1234" s="127">
        <f t="shared" si="32"/>
        <v>2022</v>
      </c>
      <c r="F1234" s="126">
        <f>_xlfn.XLOOKUP(D360,'3. Input (des)investeringen '!$B$11:$B$89,'3. Input (des)investeringen '!$E$11:$E$89)</f>
        <v>1</v>
      </c>
    </row>
    <row r="1235" spans="2:6">
      <c r="B1235">
        <v>344</v>
      </c>
      <c r="D1235" s="128">
        <f t="shared" si="31"/>
        <v>31594.263591809497</v>
      </c>
      <c r="E1235" s="127">
        <f t="shared" si="32"/>
        <v>2022</v>
      </c>
      <c r="F1235" s="126">
        <f>_xlfn.XLOOKUP(D361,'3. Input (des)investeringen '!$B$11:$B$89,'3. Input (des)investeringen '!$E$11:$E$89)</f>
        <v>1</v>
      </c>
    </row>
    <row r="1236" spans="2:6">
      <c r="B1236">
        <v>345</v>
      </c>
      <c r="D1236" s="128">
        <f t="shared" si="31"/>
        <v>466562.22269198875</v>
      </c>
      <c r="E1236" s="127">
        <f t="shared" si="32"/>
        <v>2022</v>
      </c>
      <c r="F1236" s="126">
        <f>_xlfn.XLOOKUP(D362,'3. Input (des)investeringen '!$B$11:$B$89,'3. Input (des)investeringen '!$E$11:$E$89)</f>
        <v>1</v>
      </c>
    </row>
    <row r="1237" spans="2:6">
      <c r="B1237">
        <v>346</v>
      </c>
      <c r="D1237" s="128">
        <f t="shared" si="31"/>
        <v>196256.8092562297</v>
      </c>
      <c r="E1237" s="127">
        <f t="shared" si="32"/>
        <v>2022</v>
      </c>
      <c r="F1237" s="126">
        <f>_xlfn.XLOOKUP(D363,'3. Input (des)investeringen '!$B$11:$B$89,'3. Input (des)investeringen '!$E$11:$E$89)</f>
        <v>1</v>
      </c>
    </row>
    <row r="1238" spans="2:6">
      <c r="B1238">
        <v>347</v>
      </c>
      <c r="D1238" s="128">
        <f t="shared" si="31"/>
        <v>70571.308074204644</v>
      </c>
      <c r="E1238" s="127">
        <f t="shared" si="32"/>
        <v>2022</v>
      </c>
      <c r="F1238" s="126">
        <f>_xlfn.XLOOKUP(D364,'3. Input (des)investeringen '!$B$11:$B$89,'3. Input (des)investeringen '!$E$11:$E$89)</f>
        <v>1</v>
      </c>
    </row>
    <row r="1239" spans="2:6">
      <c r="B1239">
        <v>348</v>
      </c>
      <c r="D1239" s="128">
        <f t="shared" si="31"/>
        <v>109759.1915322928</v>
      </c>
      <c r="E1239" s="127">
        <f t="shared" si="32"/>
        <v>2022</v>
      </c>
      <c r="F1239" s="126">
        <f>_xlfn.XLOOKUP(D365,'3. Input (des)investeringen '!$B$11:$B$89,'3. Input (des)investeringen '!$E$11:$E$89)</f>
        <v>1</v>
      </c>
    </row>
    <row r="1240" spans="2:6">
      <c r="B1240">
        <v>349</v>
      </c>
      <c r="D1240" s="128">
        <f t="shared" si="31"/>
        <v>192941.64705577045</v>
      </c>
      <c r="E1240" s="127">
        <f t="shared" si="32"/>
        <v>2022</v>
      </c>
      <c r="F1240" s="126">
        <f>_xlfn.XLOOKUP(D366,'3. Input (des)investeringen '!$B$11:$B$89,'3. Input (des)investeringen '!$E$11:$E$89)</f>
        <v>1</v>
      </c>
    </row>
    <row r="1241" spans="2:6">
      <c r="B1241">
        <v>350</v>
      </c>
      <c r="D1241" s="128">
        <f t="shared" si="31"/>
        <v>388863.18766669295</v>
      </c>
      <c r="E1241" s="127">
        <f t="shared" si="32"/>
        <v>2022</v>
      </c>
      <c r="F1241" s="126">
        <f>_xlfn.XLOOKUP(D367,'3. Input (des)investeringen '!$B$11:$B$89,'3. Input (des)investeringen '!$E$11:$E$89)</f>
        <v>0</v>
      </c>
    </row>
    <row r="1242" spans="2:6">
      <c r="B1242">
        <v>351</v>
      </c>
      <c r="D1242" s="128">
        <f t="shared" si="31"/>
        <v>1977539.2597640657</v>
      </c>
      <c r="E1242" s="127">
        <f t="shared" si="32"/>
        <v>2022</v>
      </c>
      <c r="F1242" s="126">
        <f>_xlfn.XLOOKUP(D368,'3. Input (des)investeringen '!$B$11:$B$89,'3. Input (des)investeringen '!$E$11:$E$89)</f>
        <v>0</v>
      </c>
    </row>
    <row r="1243" spans="2:6">
      <c r="B1243">
        <v>352</v>
      </c>
      <c r="D1243" s="128">
        <f t="shared" si="31"/>
        <v>643355.23241316131</v>
      </c>
      <c r="E1243" s="127">
        <f t="shared" si="32"/>
        <v>2022</v>
      </c>
      <c r="F1243" s="126">
        <f>_xlfn.XLOOKUP(D369,'3. Input (des)investeringen '!$B$11:$B$89,'3. Input (des)investeringen '!$E$11:$E$89)</f>
        <v>0</v>
      </c>
    </row>
    <row r="1244" spans="2:6">
      <c r="B1244">
        <v>353</v>
      </c>
      <c r="D1244" s="128">
        <f t="shared" si="31"/>
        <v>1160431.8736152633</v>
      </c>
      <c r="E1244" s="127">
        <f t="shared" si="32"/>
        <v>2022</v>
      </c>
      <c r="F1244" s="126">
        <f>_xlfn.XLOOKUP(D370,'3. Input (des)investeringen '!$B$11:$B$89,'3. Input (des)investeringen '!$E$11:$E$89)</f>
        <v>0</v>
      </c>
    </row>
    <row r="1245" spans="2:6">
      <c r="B1245">
        <v>354</v>
      </c>
      <c r="D1245" s="128">
        <f t="shared" si="31"/>
        <v>2103852.2340272423</v>
      </c>
      <c r="E1245" s="127">
        <f t="shared" si="32"/>
        <v>2022</v>
      </c>
      <c r="F1245" s="126">
        <f>_xlfn.XLOOKUP(D371,'3. Input (des)investeringen '!$B$11:$B$89,'3. Input (des)investeringen '!$E$11:$E$89)</f>
        <v>0</v>
      </c>
    </row>
    <row r="1246" spans="2:6">
      <c r="B1246">
        <v>355</v>
      </c>
      <c r="D1246" s="128">
        <f t="shared" si="31"/>
        <v>813729.55566402408</v>
      </c>
      <c r="E1246" s="127">
        <f t="shared" si="32"/>
        <v>2022</v>
      </c>
      <c r="F1246" s="126">
        <f>_xlfn.XLOOKUP(D372,'3. Input (des)investeringen '!$B$11:$B$89,'3. Input (des)investeringen '!$E$11:$E$89)</f>
        <v>0</v>
      </c>
    </row>
    <row r="1247" spans="2:6">
      <c r="B1247">
        <v>356</v>
      </c>
      <c r="D1247" s="128">
        <f t="shared" si="31"/>
        <v>1277165.2332752666</v>
      </c>
      <c r="E1247" s="127">
        <f t="shared" si="32"/>
        <v>2022</v>
      </c>
      <c r="F1247" s="126">
        <f>_xlfn.XLOOKUP(D373,'3. Input (des)investeringen '!$B$11:$B$89,'3. Input (des)investeringen '!$E$11:$E$89)</f>
        <v>0</v>
      </c>
    </row>
    <row r="1248" spans="2:6">
      <c r="B1248">
        <v>357</v>
      </c>
      <c r="D1248" s="128">
        <f t="shared" si="31"/>
        <v>519332.19948556297</v>
      </c>
      <c r="E1248" s="127">
        <f t="shared" si="32"/>
        <v>2022</v>
      </c>
      <c r="F1248" s="126">
        <f>_xlfn.XLOOKUP(D374,'3. Input (des)investeringen '!$B$11:$B$89,'3. Input (des)investeringen '!$E$11:$E$89)</f>
        <v>0</v>
      </c>
    </row>
    <row r="1249" spans="2:6">
      <c r="B1249">
        <v>358</v>
      </c>
      <c r="D1249" s="128">
        <f t="shared" si="31"/>
        <v>505021.85753779247</v>
      </c>
      <c r="E1249" s="127">
        <f t="shared" si="32"/>
        <v>2022</v>
      </c>
      <c r="F1249" s="126">
        <f>_xlfn.XLOOKUP(D375,'3. Input (des)investeringen '!$B$11:$B$89,'3. Input (des)investeringen '!$E$11:$E$89)</f>
        <v>0</v>
      </c>
    </row>
    <row r="1250" spans="2:6">
      <c r="B1250">
        <v>359</v>
      </c>
      <c r="D1250" s="128">
        <f t="shared" si="31"/>
        <v>362464.81670923793</v>
      </c>
      <c r="E1250" s="127">
        <f t="shared" si="32"/>
        <v>2022</v>
      </c>
      <c r="F1250" s="126">
        <f>_xlfn.XLOOKUP(D376,'3. Input (des)investeringen '!$B$11:$B$89,'3. Input (des)investeringen '!$E$11:$E$89)</f>
        <v>0</v>
      </c>
    </row>
    <row r="1251" spans="2:6">
      <c r="B1251">
        <v>360</v>
      </c>
      <c r="D1251" s="128">
        <f t="shared" si="31"/>
        <v>17338.166812593641</v>
      </c>
      <c r="E1251" s="127">
        <f t="shared" si="32"/>
        <v>2022</v>
      </c>
      <c r="F1251" s="126">
        <f>_xlfn.XLOOKUP(D377,'3. Input (des)investeringen '!$B$11:$B$89,'3. Input (des)investeringen '!$E$11:$E$89)</f>
        <v>0</v>
      </c>
    </row>
    <row r="1252" spans="2:6">
      <c r="B1252">
        <v>361</v>
      </c>
      <c r="D1252" s="128">
        <f t="shared" si="31"/>
        <v>70506.165110192131</v>
      </c>
      <c r="E1252" s="127">
        <f t="shared" si="32"/>
        <v>2022</v>
      </c>
      <c r="F1252" s="126">
        <f>_xlfn.XLOOKUP(D378,'3. Input (des)investeringen '!$B$11:$B$89,'3. Input (des)investeringen '!$E$11:$E$89)</f>
        <v>0</v>
      </c>
    </row>
    <row r="1253" spans="2:6">
      <c r="B1253">
        <v>362</v>
      </c>
      <c r="D1253" s="128">
        <f t="shared" si="31"/>
        <v>138478.44947640147</v>
      </c>
      <c r="E1253" s="127">
        <f t="shared" si="32"/>
        <v>2022</v>
      </c>
      <c r="F1253" s="126">
        <f>_xlfn.XLOOKUP(D379,'3. Input (des)investeringen '!$B$11:$B$89,'3. Input (des)investeringen '!$E$11:$E$89)</f>
        <v>0</v>
      </c>
    </row>
    <row r="1254" spans="2:6">
      <c r="B1254">
        <v>363</v>
      </c>
      <c r="D1254" s="128">
        <f t="shared" si="31"/>
        <v>15682.711488823004</v>
      </c>
      <c r="E1254" s="127">
        <f t="shared" si="32"/>
        <v>2022</v>
      </c>
      <c r="F1254" s="126">
        <f>_xlfn.XLOOKUP(D380,'3. Input (des)investeringen '!$B$11:$B$89,'3. Input (des)investeringen '!$E$11:$E$89)</f>
        <v>0</v>
      </c>
    </row>
    <row r="1255" spans="2:6">
      <c r="B1255">
        <v>364</v>
      </c>
      <c r="D1255" s="128">
        <f t="shared" si="31"/>
        <v>385836.14338180138</v>
      </c>
      <c r="E1255" s="127">
        <f t="shared" si="32"/>
        <v>2022</v>
      </c>
      <c r="F1255" s="126">
        <f>_xlfn.XLOOKUP(D381,'3. Input (des)investeringen '!$B$11:$B$89,'3. Input (des)investeringen '!$E$11:$E$89)</f>
        <v>0</v>
      </c>
    </row>
    <row r="1256" spans="2:6">
      <c r="B1256">
        <v>365</v>
      </c>
      <c r="D1256" s="128">
        <f t="shared" si="31"/>
        <v>77193.88157794677</v>
      </c>
      <c r="E1256" s="127">
        <f t="shared" si="32"/>
        <v>2022</v>
      </c>
      <c r="F1256" s="126">
        <f>_xlfn.XLOOKUP(D382,'3. Input (des)investeringen '!$B$11:$B$89,'3. Input (des)investeringen '!$E$11:$E$89)</f>
        <v>0</v>
      </c>
    </row>
    <row r="1257" spans="2:6">
      <c r="B1257">
        <v>366</v>
      </c>
      <c r="D1257" s="128">
        <f t="shared" si="31"/>
        <v>19862.696379872996</v>
      </c>
      <c r="E1257" s="127">
        <f t="shared" si="32"/>
        <v>2022</v>
      </c>
      <c r="F1257" s="126">
        <f>_xlfn.XLOOKUP(D383,'3. Input (des)investeringen '!$B$11:$B$89,'3. Input (des)investeringen '!$E$11:$E$89)</f>
        <v>0</v>
      </c>
    </row>
    <row r="1258" spans="2:6">
      <c r="B1258">
        <v>367</v>
      </c>
      <c r="D1258" s="128">
        <f t="shared" si="31"/>
        <v>10229.85170534904</v>
      </c>
      <c r="E1258" s="127">
        <f t="shared" si="32"/>
        <v>2022</v>
      </c>
      <c r="F1258" s="126">
        <f>_xlfn.XLOOKUP(D384,'3. Input (des)investeringen '!$B$11:$B$89,'3. Input (des)investeringen '!$E$11:$E$89)</f>
        <v>0</v>
      </c>
    </row>
    <row r="1259" spans="2:6">
      <c r="B1259">
        <v>368</v>
      </c>
      <c r="D1259" s="128">
        <f t="shared" si="31"/>
        <v>99628.511605417822</v>
      </c>
      <c r="E1259" s="127">
        <f t="shared" si="32"/>
        <v>2022</v>
      </c>
      <c r="F1259" s="126">
        <f>_xlfn.XLOOKUP(D385,'3. Input (des)investeringen '!$B$11:$B$89,'3. Input (des)investeringen '!$E$11:$E$89)</f>
        <v>0</v>
      </c>
    </row>
    <row r="1260" spans="2:6">
      <c r="B1260">
        <v>369</v>
      </c>
      <c r="D1260" s="128">
        <f t="shared" si="31"/>
        <v>309186.17603035166</v>
      </c>
      <c r="E1260" s="127">
        <f t="shared" si="32"/>
        <v>2022</v>
      </c>
      <c r="F1260" s="126">
        <f>_xlfn.XLOOKUP(D386,'3. Input (des)investeringen '!$B$11:$B$89,'3. Input (des)investeringen '!$E$11:$E$89)</f>
        <v>0</v>
      </c>
    </row>
    <row r="1261" spans="2:6">
      <c r="B1261">
        <v>370</v>
      </c>
      <c r="D1261" s="128">
        <f t="shared" si="31"/>
        <v>15157.227938060447</v>
      </c>
      <c r="E1261" s="127">
        <f t="shared" si="32"/>
        <v>2022</v>
      </c>
      <c r="F1261" s="126">
        <f>_xlfn.XLOOKUP(D387,'3. Input (des)investeringen '!$B$11:$B$89,'3. Input (des)investeringen '!$E$11:$E$89)</f>
        <v>0</v>
      </c>
    </row>
    <row r="1262" spans="2:6">
      <c r="B1262">
        <v>371</v>
      </c>
      <c r="D1262" s="128">
        <f t="shared" si="31"/>
        <v>39512.042797715359</v>
      </c>
      <c r="E1262" s="127">
        <f t="shared" si="32"/>
        <v>2022</v>
      </c>
      <c r="F1262" s="126">
        <f>_xlfn.XLOOKUP(D388,'3. Input (des)investeringen '!$B$11:$B$89,'3. Input (des)investeringen '!$E$11:$E$89)</f>
        <v>0</v>
      </c>
    </row>
    <row r="1263" spans="2:6">
      <c r="B1263">
        <v>372</v>
      </c>
      <c r="D1263" s="128">
        <f t="shared" si="31"/>
        <v>27643.942446618013</v>
      </c>
      <c r="E1263" s="127">
        <f t="shared" si="32"/>
        <v>2022</v>
      </c>
      <c r="F1263" s="126">
        <f>_xlfn.XLOOKUP(D389,'3. Input (des)investeringen '!$B$11:$B$89,'3. Input (des)investeringen '!$E$11:$E$89)</f>
        <v>0</v>
      </c>
    </row>
    <row r="1264" spans="2:6">
      <c r="B1264">
        <v>373</v>
      </c>
      <c r="D1264" s="128">
        <f t="shared" si="31"/>
        <v>87900.92410999391</v>
      </c>
      <c r="E1264" s="127">
        <f t="shared" si="32"/>
        <v>2022</v>
      </c>
      <c r="F1264" s="126">
        <f>_xlfn.XLOOKUP(D390,'3. Input (des)investeringen '!$B$11:$B$89,'3. Input (des)investeringen '!$E$11:$E$89)</f>
        <v>0</v>
      </c>
    </row>
    <row r="1265" spans="2:6">
      <c r="B1265">
        <v>374</v>
      </c>
      <c r="D1265" s="128">
        <f t="shared" si="31"/>
        <v>104111.78172504251</v>
      </c>
      <c r="E1265" s="127">
        <f t="shared" si="32"/>
        <v>2022</v>
      </c>
      <c r="F1265" s="126">
        <f>_xlfn.XLOOKUP(D391,'3. Input (des)investeringen '!$B$11:$B$89,'3. Input (des)investeringen '!$E$11:$E$89)</f>
        <v>0</v>
      </c>
    </row>
    <row r="1266" spans="2:6">
      <c r="B1266">
        <v>375</v>
      </c>
      <c r="D1266" s="128">
        <f t="shared" si="31"/>
        <v>27205.276684575805</v>
      </c>
      <c r="E1266" s="127">
        <f t="shared" si="32"/>
        <v>2022</v>
      </c>
      <c r="F1266" s="126">
        <f>_xlfn.XLOOKUP(D392,'3. Input (des)investeringen '!$B$11:$B$89,'3. Input (des)investeringen '!$E$11:$E$89)</f>
        <v>0</v>
      </c>
    </row>
    <row r="1267" spans="2:6">
      <c r="B1267">
        <v>376</v>
      </c>
      <c r="D1267" s="128">
        <f t="shared" si="31"/>
        <v>26002.568135894431</v>
      </c>
      <c r="E1267" s="127">
        <f t="shared" si="32"/>
        <v>2022</v>
      </c>
      <c r="F1267" s="126">
        <f>_xlfn.XLOOKUP(D393,'3. Input (des)investeringen '!$B$11:$B$89,'3. Input (des)investeringen '!$E$11:$E$89)</f>
        <v>0</v>
      </c>
    </row>
    <row r="1268" spans="2:6">
      <c r="B1268">
        <v>377</v>
      </c>
      <c r="D1268" s="128">
        <f t="shared" si="31"/>
        <v>16624.018660402588</v>
      </c>
      <c r="E1268" s="127">
        <f t="shared" si="32"/>
        <v>2022</v>
      </c>
      <c r="F1268" s="126">
        <f>_xlfn.XLOOKUP(D394,'3. Input (des)investeringen '!$B$11:$B$89,'3. Input (des)investeringen '!$E$11:$E$89)</f>
        <v>0</v>
      </c>
    </row>
    <row r="1269" spans="2:6">
      <c r="B1269">
        <v>378</v>
      </c>
      <c r="D1269" s="128">
        <f t="shared" si="31"/>
        <v>13413.383324644565</v>
      </c>
      <c r="E1269" s="127">
        <f t="shared" si="32"/>
        <v>2022</v>
      </c>
      <c r="F1269" s="126">
        <f>_xlfn.XLOOKUP(D395,'3. Input (des)investeringen '!$B$11:$B$89,'3. Input (des)investeringen '!$E$11:$E$89)</f>
        <v>0</v>
      </c>
    </row>
    <row r="1270" spans="2:6">
      <c r="B1270">
        <v>379</v>
      </c>
      <c r="D1270" s="128">
        <f t="shared" si="31"/>
        <v>50682.596958467213</v>
      </c>
      <c r="E1270" s="127">
        <f t="shared" si="32"/>
        <v>2022</v>
      </c>
      <c r="F1270" s="126">
        <f>_xlfn.XLOOKUP(D396,'3. Input (des)investeringen '!$B$11:$B$89,'3. Input (des)investeringen '!$E$11:$E$89)</f>
        <v>0</v>
      </c>
    </row>
    <row r="1271" spans="2:6">
      <c r="B1271">
        <v>380</v>
      </c>
      <c r="D1271" s="128">
        <f t="shared" si="31"/>
        <v>17898.901808781233</v>
      </c>
      <c r="E1271" s="127">
        <f t="shared" si="32"/>
        <v>2022</v>
      </c>
      <c r="F1271" s="126">
        <f>_xlfn.XLOOKUP(D397,'3. Input (des)investeringen '!$B$11:$B$89,'3. Input (des)investeringen '!$E$11:$E$89)</f>
        <v>0</v>
      </c>
    </row>
    <row r="1272" spans="2:6">
      <c r="B1272">
        <v>381</v>
      </c>
      <c r="D1272" s="128">
        <f t="shared" si="31"/>
        <v>403437.44663486362</v>
      </c>
      <c r="E1272" s="127">
        <f t="shared" si="32"/>
        <v>2022</v>
      </c>
      <c r="F1272" s="126">
        <f>_xlfn.XLOOKUP(D398,'3. Input (des)investeringen '!$B$11:$B$89,'3. Input (des)investeringen '!$E$11:$E$89)</f>
        <v>0</v>
      </c>
    </row>
    <row r="1273" spans="2:6">
      <c r="B1273">
        <v>382</v>
      </c>
      <c r="D1273" s="128">
        <f t="shared" si="31"/>
        <v>188217.0689445266</v>
      </c>
      <c r="E1273" s="127">
        <f t="shared" si="32"/>
        <v>2022</v>
      </c>
      <c r="F1273" s="126">
        <f>_xlfn.XLOOKUP(D399,'3. Input (des)investeringen '!$B$11:$B$89,'3. Input (des)investeringen '!$E$11:$E$89)</f>
        <v>0</v>
      </c>
    </row>
    <row r="1274" spans="2:6">
      <c r="B1274">
        <v>383</v>
      </c>
      <c r="D1274" s="128">
        <f t="shared" si="31"/>
        <v>48823.521113041956</v>
      </c>
      <c r="E1274" s="127">
        <f t="shared" si="32"/>
        <v>2022</v>
      </c>
      <c r="F1274" s="126">
        <f>_xlfn.XLOOKUP(D400,'3. Input (des)investeringen '!$B$11:$B$89,'3. Input (des)investeringen '!$E$11:$E$89)</f>
        <v>0</v>
      </c>
    </row>
    <row r="1275" spans="2:6">
      <c r="B1275">
        <v>384</v>
      </c>
      <c r="D1275" s="128">
        <f t="shared" si="31"/>
        <v>120450.03732565988</v>
      </c>
      <c r="E1275" s="127">
        <f t="shared" si="32"/>
        <v>2022</v>
      </c>
      <c r="F1275" s="126">
        <f>_xlfn.XLOOKUP(D401,'3. Input (des)investeringen '!$B$11:$B$89,'3. Input (des)investeringen '!$E$11:$E$89)</f>
        <v>0</v>
      </c>
    </row>
    <row r="1276" spans="2:6">
      <c r="B1276">
        <v>385</v>
      </c>
      <c r="D1276" s="128">
        <f t="shared" ref="D1276:D1339" si="33">F402*INDEX($E$807:$CG$887,E402-1945,G402-1945)</f>
        <v>416421.94666146499</v>
      </c>
      <c r="E1276" s="127">
        <f t="shared" ref="E1276:E1339" si="34">G402</f>
        <v>2022</v>
      </c>
      <c r="F1276" s="126">
        <f>_xlfn.XLOOKUP(D402,'3. Input (des)investeringen '!$B$11:$B$89,'3. Input (des)investeringen '!$E$11:$E$89)</f>
        <v>1</v>
      </c>
    </row>
    <row r="1277" spans="2:6">
      <c r="B1277">
        <v>386</v>
      </c>
      <c r="D1277" s="128">
        <f t="shared" si="33"/>
        <v>421406.95898024359</v>
      </c>
      <c r="E1277" s="127">
        <f t="shared" si="34"/>
        <v>2022</v>
      </c>
      <c r="F1277" s="126">
        <f>_xlfn.XLOOKUP(D403,'3. Input (des)investeringen '!$B$11:$B$89,'3. Input (des)investeringen '!$E$11:$E$89)</f>
        <v>1</v>
      </c>
    </row>
    <row r="1278" spans="2:6">
      <c r="B1278">
        <v>387</v>
      </c>
      <c r="D1278" s="128">
        <f t="shared" si="33"/>
        <v>692157.2316583636</v>
      </c>
      <c r="E1278" s="127">
        <f t="shared" si="34"/>
        <v>2022</v>
      </c>
      <c r="F1278" s="126">
        <f>_xlfn.XLOOKUP(D404,'3. Input (des)investeringen '!$B$11:$B$89,'3. Input (des)investeringen '!$E$11:$E$89)</f>
        <v>1</v>
      </c>
    </row>
    <row r="1279" spans="2:6">
      <c r="B1279">
        <v>388</v>
      </c>
      <c r="D1279" s="128">
        <f t="shared" si="33"/>
        <v>25209.605468598776</v>
      </c>
      <c r="E1279" s="127">
        <f t="shared" si="34"/>
        <v>2022</v>
      </c>
      <c r="F1279" s="126">
        <f>_xlfn.XLOOKUP(D405,'3. Input (des)investeringen '!$B$11:$B$89,'3. Input (des)investeringen '!$E$11:$E$89)</f>
        <v>1</v>
      </c>
    </row>
    <row r="1280" spans="2:6">
      <c r="B1280">
        <v>389</v>
      </c>
      <c r="D1280" s="128">
        <f t="shared" si="33"/>
        <v>140714.3745480834</v>
      </c>
      <c r="E1280" s="127">
        <f t="shared" si="34"/>
        <v>2022</v>
      </c>
      <c r="F1280" s="126">
        <f>_xlfn.XLOOKUP(D406,'3. Input (des)investeringen '!$B$11:$B$89,'3. Input (des)investeringen '!$E$11:$E$89)</f>
        <v>1</v>
      </c>
    </row>
    <row r="1281" spans="2:6">
      <c r="B1281">
        <v>390</v>
      </c>
      <c r="D1281" s="128">
        <f t="shared" si="33"/>
        <v>3286060.4941140958</v>
      </c>
      <c r="E1281" s="127">
        <f t="shared" si="34"/>
        <v>2022</v>
      </c>
      <c r="F1281" s="126">
        <f>_xlfn.XLOOKUP(D407,'3. Input (des)investeringen '!$B$11:$B$89,'3. Input (des)investeringen '!$E$11:$E$89)</f>
        <v>0</v>
      </c>
    </row>
    <row r="1282" spans="2:6">
      <c r="B1282">
        <v>391</v>
      </c>
      <c r="D1282" s="128">
        <f t="shared" si="33"/>
        <v>2889336.0511362744</v>
      </c>
      <c r="E1282" s="127">
        <f t="shared" si="34"/>
        <v>2022</v>
      </c>
      <c r="F1282" s="126">
        <f>_xlfn.XLOOKUP(D408,'3. Input (des)investeringen '!$B$11:$B$89,'3. Input (des)investeringen '!$E$11:$E$89)</f>
        <v>0</v>
      </c>
    </row>
    <row r="1283" spans="2:6">
      <c r="B1283">
        <v>392</v>
      </c>
      <c r="D1283" s="128">
        <f t="shared" si="33"/>
        <v>68228.736381040857</v>
      </c>
      <c r="E1283" s="127">
        <f t="shared" si="34"/>
        <v>2022</v>
      </c>
      <c r="F1283" s="126">
        <f>_xlfn.XLOOKUP(D409,'3. Input (des)investeringen '!$B$11:$B$89,'3. Input (des)investeringen '!$E$11:$E$89)</f>
        <v>0</v>
      </c>
    </row>
    <row r="1284" spans="2:6">
      <c r="B1284">
        <v>393</v>
      </c>
      <c r="D1284" s="128">
        <f t="shared" si="33"/>
        <v>10160.534376059844</v>
      </c>
      <c r="E1284" s="127">
        <f t="shared" si="34"/>
        <v>2022</v>
      </c>
      <c r="F1284" s="126">
        <f>_xlfn.XLOOKUP(D410,'3. Input (des)investeringen '!$B$11:$B$89,'3. Input (des)investeringen '!$E$11:$E$89)</f>
        <v>1</v>
      </c>
    </row>
    <row r="1285" spans="2:6">
      <c r="B1285">
        <v>394</v>
      </c>
      <c r="D1285" s="128">
        <f t="shared" si="33"/>
        <v>147761.88545380786</v>
      </c>
      <c r="E1285" s="127">
        <f t="shared" si="34"/>
        <v>2022</v>
      </c>
      <c r="F1285" s="126">
        <f>_xlfn.XLOOKUP(D411,'3. Input (des)investeringen '!$B$11:$B$89,'3. Input (des)investeringen '!$E$11:$E$89)</f>
        <v>1</v>
      </c>
    </row>
    <row r="1286" spans="2:6">
      <c r="B1286">
        <v>395</v>
      </c>
      <c r="D1286" s="128">
        <f t="shared" si="33"/>
        <v>45540.794182929996</v>
      </c>
      <c r="E1286" s="127">
        <f t="shared" si="34"/>
        <v>2022</v>
      </c>
      <c r="F1286" s="126">
        <f>_xlfn.XLOOKUP(D412,'3. Input (des)investeringen '!$B$11:$B$89,'3. Input (des)investeringen '!$E$11:$E$89)</f>
        <v>1</v>
      </c>
    </row>
    <row r="1287" spans="2:6">
      <c r="B1287">
        <v>396</v>
      </c>
      <c r="D1287" s="128">
        <f t="shared" si="33"/>
        <v>93894.172378139556</v>
      </c>
      <c r="E1287" s="127">
        <f t="shared" si="34"/>
        <v>2022</v>
      </c>
      <c r="F1287" s="126">
        <f>_xlfn.XLOOKUP(D413,'3. Input (des)investeringen '!$B$11:$B$89,'3. Input (des)investeringen '!$E$11:$E$89)</f>
        <v>1</v>
      </c>
    </row>
    <row r="1288" spans="2:6">
      <c r="B1288">
        <v>397</v>
      </c>
      <c r="D1288" s="128">
        <f t="shared" si="33"/>
        <v>177718.38388286164</v>
      </c>
      <c r="E1288" s="127">
        <f t="shared" si="34"/>
        <v>2022</v>
      </c>
      <c r="F1288" s="126">
        <f>_xlfn.XLOOKUP(D414,'3. Input (des)investeringen '!$B$11:$B$89,'3. Input (des)investeringen '!$E$11:$E$89)</f>
        <v>1</v>
      </c>
    </row>
    <row r="1289" spans="2:6">
      <c r="B1289">
        <v>398</v>
      </c>
      <c r="D1289" s="128">
        <f t="shared" si="33"/>
        <v>1294499.6997653714</v>
      </c>
      <c r="E1289" s="127">
        <f t="shared" si="34"/>
        <v>2022</v>
      </c>
      <c r="F1289" s="126">
        <f>_xlfn.XLOOKUP(D415,'3. Input (des)investeringen '!$B$11:$B$89,'3. Input (des)investeringen '!$E$11:$E$89)</f>
        <v>1</v>
      </c>
    </row>
    <row r="1290" spans="2:6">
      <c r="B1290">
        <v>399</v>
      </c>
      <c r="D1290" s="128">
        <f t="shared" si="33"/>
        <v>2808385.7094326685</v>
      </c>
      <c r="E1290" s="127">
        <f t="shared" si="34"/>
        <v>2022</v>
      </c>
      <c r="F1290" s="126">
        <f>_xlfn.XLOOKUP(D416,'3. Input (des)investeringen '!$B$11:$B$89,'3. Input (des)investeringen '!$E$11:$E$89)</f>
        <v>1</v>
      </c>
    </row>
    <row r="1291" spans="2:6">
      <c r="B1291">
        <v>400</v>
      </c>
      <c r="D1291" s="128">
        <f t="shared" si="33"/>
        <v>45194.667709534398</v>
      </c>
      <c r="E1291" s="127">
        <f t="shared" si="34"/>
        <v>2022</v>
      </c>
      <c r="F1291" s="126">
        <f>_xlfn.XLOOKUP(D417,'3. Input (des)investeringen '!$B$11:$B$89,'3. Input (des)investeringen '!$E$11:$E$89)</f>
        <v>1</v>
      </c>
    </row>
    <row r="1292" spans="2:6">
      <c r="B1292">
        <v>401</v>
      </c>
      <c r="D1292" s="128">
        <f t="shared" si="33"/>
        <v>352203.69724490831</v>
      </c>
      <c r="E1292" s="127">
        <f t="shared" si="34"/>
        <v>2022</v>
      </c>
      <c r="F1292" s="126">
        <f>_xlfn.XLOOKUP(D418,'3. Input (des)investeringen '!$B$11:$B$89,'3. Input (des)investeringen '!$E$11:$E$89)</f>
        <v>1</v>
      </c>
    </row>
    <row r="1293" spans="2:6">
      <c r="B1293">
        <v>402</v>
      </c>
      <c r="D1293" s="128">
        <f t="shared" si="33"/>
        <v>263048.27140793024</v>
      </c>
      <c r="E1293" s="127">
        <f t="shared" si="34"/>
        <v>2022</v>
      </c>
      <c r="F1293" s="126">
        <f>_xlfn.XLOOKUP(D419,'3. Input (des)investeringen '!$B$11:$B$89,'3. Input (des)investeringen '!$E$11:$E$89)</f>
        <v>1</v>
      </c>
    </row>
    <row r="1294" spans="2:6">
      <c r="B1294">
        <v>403</v>
      </c>
      <c r="D1294" s="128">
        <f t="shared" si="33"/>
        <v>458832.76437743992</v>
      </c>
      <c r="E1294" s="127">
        <f t="shared" si="34"/>
        <v>2022</v>
      </c>
      <c r="F1294" s="126">
        <f>_xlfn.XLOOKUP(D420,'3. Input (des)investeringen '!$B$11:$B$89,'3. Input (des)investeringen '!$E$11:$E$89)</f>
        <v>1</v>
      </c>
    </row>
    <row r="1295" spans="2:6">
      <c r="B1295">
        <v>404</v>
      </c>
      <c r="D1295" s="128">
        <f t="shared" si="33"/>
        <v>3568467.7964144056</v>
      </c>
      <c r="E1295" s="127">
        <f t="shared" si="34"/>
        <v>2022</v>
      </c>
      <c r="F1295" s="126">
        <f>_xlfn.XLOOKUP(D421,'3. Input (des)investeringen '!$B$11:$B$89,'3. Input (des)investeringen '!$E$11:$E$89)</f>
        <v>1</v>
      </c>
    </row>
    <row r="1296" spans="2:6">
      <c r="B1296">
        <v>405</v>
      </c>
      <c r="D1296" s="128">
        <f t="shared" si="33"/>
        <v>26233.757086429297</v>
      </c>
      <c r="E1296" s="127">
        <f t="shared" si="34"/>
        <v>2022</v>
      </c>
      <c r="F1296" s="126">
        <f>_xlfn.XLOOKUP(D422,'3. Input (des)investeringen '!$B$11:$B$89,'3. Input (des)investeringen '!$E$11:$E$89)</f>
        <v>1</v>
      </c>
    </row>
    <row r="1297" spans="2:9">
      <c r="B1297">
        <v>406</v>
      </c>
      <c r="D1297" s="128">
        <f t="shared" si="33"/>
        <v>452051.40390749951</v>
      </c>
      <c r="E1297" s="127">
        <f t="shared" si="34"/>
        <v>2022</v>
      </c>
      <c r="F1297" s="126">
        <f>_xlfn.XLOOKUP(D423,'3. Input (des)investeringen '!$B$11:$B$89,'3. Input (des)investeringen '!$E$11:$E$89)</f>
        <v>1</v>
      </c>
    </row>
    <row r="1298" spans="2:9">
      <c r="B1298">
        <v>407</v>
      </c>
      <c r="D1298" s="128">
        <f t="shared" si="33"/>
        <v>57956.278680094474</v>
      </c>
      <c r="E1298" s="127">
        <f t="shared" si="34"/>
        <v>2022</v>
      </c>
      <c r="F1298" s="126">
        <f>_xlfn.XLOOKUP(D424,'3. Input (des)investeringen '!$B$11:$B$89,'3. Input (des)investeringen '!$E$11:$E$89)</f>
        <v>1</v>
      </c>
    </row>
    <row r="1299" spans="2:9">
      <c r="B1299">
        <v>408</v>
      </c>
      <c r="D1299" s="128">
        <f t="shared" si="33"/>
        <v>285635.79568697215</v>
      </c>
      <c r="E1299" s="127">
        <f t="shared" si="34"/>
        <v>2023</v>
      </c>
      <c r="F1299" s="126">
        <f>_xlfn.XLOOKUP(D425,'3. Input (des)investeringen '!$B$11:$B$89,'3. Input (des)investeringen '!$E$11:$E$89)</f>
        <v>1</v>
      </c>
    </row>
    <row r="1300" spans="2:9">
      <c r="B1300">
        <v>409</v>
      </c>
      <c r="D1300" s="128">
        <f t="shared" si="33"/>
        <v>249266.83112068888</v>
      </c>
      <c r="E1300" s="127">
        <f t="shared" si="34"/>
        <v>2023</v>
      </c>
      <c r="F1300" s="126">
        <f>_xlfn.XLOOKUP(D426,'3. Input (des)investeringen '!$B$11:$B$89,'3. Input (des)investeringen '!$E$11:$E$89)</f>
        <v>1</v>
      </c>
    </row>
    <row r="1301" spans="2:9">
      <c r="B1301">
        <v>410</v>
      </c>
      <c r="D1301" s="128">
        <f t="shared" si="33"/>
        <v>347574.85703515873</v>
      </c>
      <c r="E1301" s="127">
        <f t="shared" si="34"/>
        <v>2023</v>
      </c>
      <c r="F1301" s="126">
        <f>_xlfn.XLOOKUP(D427,'3. Input (des)investeringen '!$B$11:$B$89,'3. Input (des)investeringen '!$E$11:$E$89)</f>
        <v>1</v>
      </c>
      <c r="I1301" s="323"/>
    </row>
    <row r="1302" spans="2:9">
      <c r="B1302">
        <v>411</v>
      </c>
      <c r="D1302" s="128">
        <f t="shared" si="33"/>
        <v>321100.81484869617</v>
      </c>
      <c r="E1302" s="127">
        <f t="shared" si="34"/>
        <v>2023</v>
      </c>
      <c r="F1302" s="126">
        <f>_xlfn.XLOOKUP(D428,'3. Input (des)investeringen '!$B$11:$B$89,'3. Input (des)investeringen '!$E$11:$E$89)</f>
        <v>1</v>
      </c>
    </row>
    <row r="1303" spans="2:9">
      <c r="B1303">
        <v>412</v>
      </c>
      <c r="D1303" s="128">
        <f t="shared" si="33"/>
        <v>861524.88487694261</v>
      </c>
      <c r="E1303" s="127">
        <f t="shared" si="34"/>
        <v>2023</v>
      </c>
      <c r="F1303" s="126">
        <f>_xlfn.XLOOKUP(D429,'3. Input (des)investeringen '!$B$11:$B$89,'3. Input (des)investeringen '!$E$11:$E$89)</f>
        <v>1</v>
      </c>
    </row>
    <row r="1304" spans="2:9">
      <c r="B1304">
        <v>413</v>
      </c>
      <c r="D1304" s="128">
        <f t="shared" si="33"/>
        <v>469490.76539010642</v>
      </c>
      <c r="E1304" s="127">
        <f t="shared" si="34"/>
        <v>2023</v>
      </c>
      <c r="F1304" s="126">
        <f>_xlfn.XLOOKUP(D430,'3. Input (des)investeringen '!$B$11:$B$89,'3. Input (des)investeringen '!$E$11:$E$89)</f>
        <v>1</v>
      </c>
    </row>
    <row r="1305" spans="2:9">
      <c r="B1305">
        <v>414</v>
      </c>
      <c r="D1305" s="128">
        <f t="shared" si="33"/>
        <v>483622.21037156548</v>
      </c>
      <c r="E1305" s="127">
        <f t="shared" si="34"/>
        <v>2023</v>
      </c>
      <c r="F1305" s="126">
        <f>_xlfn.XLOOKUP(D431,'3. Input (des)investeringen '!$B$11:$B$89,'3. Input (des)investeringen '!$E$11:$E$89)</f>
        <v>1</v>
      </c>
    </row>
    <row r="1306" spans="2:9">
      <c r="B1306">
        <v>415</v>
      </c>
      <c r="D1306" s="128">
        <f t="shared" si="33"/>
        <v>2866585.2646686863</v>
      </c>
      <c r="E1306" s="127">
        <f t="shared" si="34"/>
        <v>2023</v>
      </c>
      <c r="F1306" s="126">
        <f>_xlfn.XLOOKUP(D432,'3. Input (des)investeringen '!$B$11:$B$89,'3. Input (des)investeringen '!$E$11:$E$89)</f>
        <v>1</v>
      </c>
    </row>
    <row r="1307" spans="2:9">
      <c r="B1307">
        <v>416</v>
      </c>
      <c r="D1307" s="128">
        <f t="shared" si="33"/>
        <v>932820.72214634728</v>
      </c>
      <c r="E1307" s="127">
        <f t="shared" si="34"/>
        <v>2023</v>
      </c>
      <c r="F1307" s="126">
        <f>_xlfn.XLOOKUP(D433,'3. Input (des)investeringen '!$B$11:$B$89,'3. Input (des)investeringen '!$E$11:$E$89)</f>
        <v>1</v>
      </c>
    </row>
    <row r="1308" spans="2:9">
      <c r="B1308">
        <v>417</v>
      </c>
      <c r="D1308" s="128">
        <f t="shared" si="33"/>
        <v>1185977.7434346818</v>
      </c>
      <c r="E1308" s="127">
        <f t="shared" si="34"/>
        <v>2023</v>
      </c>
      <c r="F1308" s="126">
        <f>_xlfn.XLOOKUP(D434,'3. Input (des)investeringen '!$B$11:$B$89,'3. Input (des)investeringen '!$E$11:$E$89)</f>
        <v>1</v>
      </c>
    </row>
    <row r="1309" spans="2:9">
      <c r="B1309">
        <v>418</v>
      </c>
      <c r="D1309" s="128">
        <f t="shared" si="33"/>
        <v>509869.90481401538</v>
      </c>
      <c r="E1309" s="127">
        <f t="shared" si="34"/>
        <v>2023</v>
      </c>
      <c r="F1309" s="126">
        <f>_xlfn.XLOOKUP(D435,'3. Input (des)investeringen '!$B$11:$B$89,'3. Input (des)investeringen '!$E$11:$E$89)</f>
        <v>1</v>
      </c>
    </row>
    <row r="1310" spans="2:9">
      <c r="B1310">
        <v>419</v>
      </c>
      <c r="D1310" s="128">
        <f t="shared" si="33"/>
        <v>236808.48168715212</v>
      </c>
      <c r="E1310" s="127">
        <f t="shared" si="34"/>
        <v>2023</v>
      </c>
      <c r="F1310" s="126">
        <f>_xlfn.XLOOKUP(D436,'3. Input (des)investeringen '!$B$11:$B$89,'3. Input (des)investeringen '!$E$11:$E$89)</f>
        <v>1</v>
      </c>
    </row>
    <row r="1311" spans="2:9">
      <c r="B1311">
        <v>420</v>
      </c>
      <c r="D1311" s="128">
        <f t="shared" si="33"/>
        <v>157003.07208654779</v>
      </c>
      <c r="E1311" s="127">
        <f t="shared" si="34"/>
        <v>2023</v>
      </c>
      <c r="F1311" s="126">
        <f>_xlfn.XLOOKUP(D437,'3. Input (des)investeringen '!$B$11:$B$89,'3. Input (des)investeringen '!$E$11:$E$89)</f>
        <v>1</v>
      </c>
    </row>
    <row r="1312" spans="2:9">
      <c r="B1312">
        <v>421</v>
      </c>
      <c r="D1312" s="128">
        <f t="shared" si="33"/>
        <v>9486.0875217443881</v>
      </c>
      <c r="E1312" s="127">
        <f t="shared" si="34"/>
        <v>2023</v>
      </c>
      <c r="F1312" s="126">
        <f>_xlfn.XLOOKUP(D438,'3. Input (des)investeringen '!$B$11:$B$89,'3. Input (des)investeringen '!$E$11:$E$89)</f>
        <v>1</v>
      </c>
    </row>
    <row r="1313" spans="2:6">
      <c r="B1313">
        <v>422</v>
      </c>
      <c r="D1313" s="128">
        <f t="shared" si="33"/>
        <v>2884.0040012863105</v>
      </c>
      <c r="E1313" s="127">
        <f t="shared" si="34"/>
        <v>2023</v>
      </c>
      <c r="F1313" s="126">
        <f>_xlfn.XLOOKUP(D439,'3. Input (des)investeringen '!$B$11:$B$89,'3. Input (des)investeringen '!$E$11:$E$89)</f>
        <v>1</v>
      </c>
    </row>
    <row r="1314" spans="2:6">
      <c r="B1314">
        <v>423</v>
      </c>
      <c r="D1314" s="128">
        <f t="shared" si="33"/>
        <v>4183.7080719061742</v>
      </c>
      <c r="E1314" s="127">
        <f t="shared" si="34"/>
        <v>2023</v>
      </c>
      <c r="F1314" s="126">
        <f>_xlfn.XLOOKUP(D440,'3. Input (des)investeringen '!$B$11:$B$89,'3. Input (des)investeringen '!$E$11:$E$89)</f>
        <v>1</v>
      </c>
    </row>
    <row r="1315" spans="2:6">
      <c r="B1315">
        <v>424</v>
      </c>
      <c r="D1315" s="128">
        <f t="shared" si="33"/>
        <v>17193.152762402715</v>
      </c>
      <c r="E1315" s="127">
        <f t="shared" si="34"/>
        <v>2023</v>
      </c>
      <c r="F1315" s="126">
        <f>_xlfn.XLOOKUP(D441,'3. Input (des)investeringen '!$B$11:$B$89,'3. Input (des)investeringen '!$E$11:$E$89)</f>
        <v>1</v>
      </c>
    </row>
    <row r="1316" spans="2:6">
      <c r="B1316">
        <v>425</v>
      </c>
      <c r="D1316" s="128">
        <f t="shared" si="33"/>
        <v>310985.27946651384</v>
      </c>
      <c r="E1316" s="127">
        <f t="shared" si="34"/>
        <v>2023</v>
      </c>
      <c r="F1316" s="126">
        <f>_xlfn.XLOOKUP(D442,'3. Input (des)investeringen '!$B$11:$B$89,'3. Input (des)investeringen '!$E$11:$E$89)</f>
        <v>1</v>
      </c>
    </row>
    <row r="1317" spans="2:6">
      <c r="B1317">
        <v>426</v>
      </c>
      <c r="D1317" s="128">
        <f t="shared" si="33"/>
        <v>0</v>
      </c>
      <c r="E1317" s="127">
        <f t="shared" si="34"/>
        <v>2023</v>
      </c>
      <c r="F1317" s="126">
        <f>_xlfn.XLOOKUP(D443,'3. Input (des)investeringen '!$B$11:$B$89,'3. Input (des)investeringen '!$E$11:$E$89)</f>
        <v>1</v>
      </c>
    </row>
    <row r="1318" spans="2:6">
      <c r="B1318">
        <v>427</v>
      </c>
      <c r="D1318" s="128">
        <f t="shared" si="33"/>
        <v>56189.66023157903</v>
      </c>
      <c r="E1318" s="127">
        <f t="shared" si="34"/>
        <v>2023</v>
      </c>
      <c r="F1318" s="126">
        <f>_xlfn.XLOOKUP(D444,'3. Input (des)investeringen '!$B$11:$B$89,'3. Input (des)investeringen '!$E$11:$E$89)</f>
        <v>1</v>
      </c>
    </row>
    <row r="1319" spans="2:6">
      <c r="B1319">
        <v>428</v>
      </c>
      <c r="D1319" s="128">
        <f t="shared" si="33"/>
        <v>23066.943191521783</v>
      </c>
      <c r="E1319" s="127">
        <f t="shared" si="34"/>
        <v>2023</v>
      </c>
      <c r="F1319" s="126">
        <f>_xlfn.XLOOKUP(D445,'3. Input (des)investeringen '!$B$11:$B$89,'3. Input (des)investeringen '!$E$11:$E$89)</f>
        <v>1</v>
      </c>
    </row>
    <row r="1320" spans="2:6">
      <c r="B1320">
        <v>429</v>
      </c>
      <c r="D1320" s="128">
        <f t="shared" si="33"/>
        <v>61765.863576058793</v>
      </c>
      <c r="E1320" s="127">
        <f t="shared" si="34"/>
        <v>2023</v>
      </c>
      <c r="F1320" s="126">
        <f>_xlfn.XLOOKUP(D446,'3. Input (des)investeringen '!$B$11:$B$89,'3. Input (des)investeringen '!$E$11:$E$89)</f>
        <v>1</v>
      </c>
    </row>
    <row r="1321" spans="2:6">
      <c r="B1321">
        <v>430</v>
      </c>
      <c r="D1321" s="128">
        <f t="shared" si="33"/>
        <v>76760.168932161934</v>
      </c>
      <c r="E1321" s="127">
        <f t="shared" si="34"/>
        <v>2023</v>
      </c>
      <c r="F1321" s="126">
        <f>_xlfn.XLOOKUP(D447,'3. Input (des)investeringen '!$B$11:$B$89,'3. Input (des)investeringen '!$E$11:$E$89)</f>
        <v>1</v>
      </c>
    </row>
    <row r="1322" spans="2:6">
      <c r="B1322">
        <v>431</v>
      </c>
      <c r="D1322" s="128">
        <f t="shared" si="33"/>
        <v>13814.065455958173</v>
      </c>
      <c r="E1322" s="127">
        <f t="shared" si="34"/>
        <v>2023</v>
      </c>
      <c r="F1322" s="126">
        <f>_xlfn.XLOOKUP(D448,'3. Input (des)investeringen '!$B$11:$B$89,'3. Input (des)investeringen '!$E$11:$E$89)</f>
        <v>1</v>
      </c>
    </row>
    <row r="1323" spans="2:6">
      <c r="B1323">
        <v>432</v>
      </c>
      <c r="D1323" s="128">
        <f t="shared" si="33"/>
        <v>489924.0047235713</v>
      </c>
      <c r="E1323" s="127">
        <f t="shared" si="34"/>
        <v>2023</v>
      </c>
      <c r="F1323" s="126">
        <f>_xlfn.XLOOKUP(D449,'3. Input (des)investeringen '!$B$11:$B$89,'3. Input (des)investeringen '!$E$11:$E$89)</f>
        <v>1</v>
      </c>
    </row>
    <row r="1324" spans="2:6">
      <c r="B1324">
        <v>433</v>
      </c>
      <c r="D1324" s="128">
        <f t="shared" si="33"/>
        <v>22437.577813218642</v>
      </c>
      <c r="E1324" s="127">
        <f t="shared" si="34"/>
        <v>2023</v>
      </c>
      <c r="F1324" s="126">
        <f>_xlfn.XLOOKUP(D450,'3. Input (des)investeringen '!$B$11:$B$89,'3. Input (des)investeringen '!$E$11:$E$89)</f>
        <v>1</v>
      </c>
    </row>
    <row r="1325" spans="2:6">
      <c r="B1325">
        <v>434</v>
      </c>
      <c r="D1325" s="128">
        <f t="shared" si="33"/>
        <v>482022.08869529201</v>
      </c>
      <c r="E1325" s="127">
        <f t="shared" si="34"/>
        <v>2023</v>
      </c>
      <c r="F1325" s="126">
        <f>_xlfn.XLOOKUP(D451,'3. Input (des)investeringen '!$B$11:$B$89,'3. Input (des)investeringen '!$E$11:$E$89)</f>
        <v>1</v>
      </c>
    </row>
    <row r="1326" spans="2:6">
      <c r="B1326">
        <v>435</v>
      </c>
      <c r="D1326" s="128">
        <f t="shared" si="33"/>
        <v>109148.11117929975</v>
      </c>
      <c r="E1326" s="127">
        <f t="shared" si="34"/>
        <v>2023</v>
      </c>
      <c r="F1326" s="126">
        <f>_xlfn.XLOOKUP(D452,'3. Input (des)investeringen '!$B$11:$B$89,'3. Input (des)investeringen '!$E$11:$E$89)</f>
        <v>0</v>
      </c>
    </row>
    <row r="1327" spans="2:6">
      <c r="B1327">
        <v>436</v>
      </c>
      <c r="D1327" s="128">
        <f t="shared" si="33"/>
        <v>798682.37055175169</v>
      </c>
      <c r="E1327" s="127">
        <f t="shared" si="34"/>
        <v>2023</v>
      </c>
      <c r="F1327" s="126">
        <f>_xlfn.XLOOKUP(D453,'3. Input (des)investeringen '!$B$11:$B$89,'3. Input (des)investeringen '!$E$11:$E$89)</f>
        <v>0</v>
      </c>
    </row>
    <row r="1328" spans="2:6">
      <c r="B1328">
        <v>437</v>
      </c>
      <c r="D1328" s="128">
        <f t="shared" si="33"/>
        <v>1030761.6522493181</v>
      </c>
      <c r="E1328" s="127">
        <f t="shared" si="34"/>
        <v>2023</v>
      </c>
      <c r="F1328" s="126">
        <f>_xlfn.XLOOKUP(D454,'3. Input (des)investeringen '!$B$11:$B$89,'3. Input (des)investeringen '!$E$11:$E$89)</f>
        <v>0</v>
      </c>
    </row>
    <row r="1329" spans="2:6">
      <c r="B1329">
        <v>438</v>
      </c>
      <c r="D1329" s="128">
        <f t="shared" si="33"/>
        <v>173319.41485069564</v>
      </c>
      <c r="E1329" s="127">
        <f t="shared" si="34"/>
        <v>2023</v>
      </c>
      <c r="F1329" s="126">
        <f>_xlfn.XLOOKUP(D455,'3. Input (des)investeringen '!$B$11:$B$89,'3. Input (des)investeringen '!$E$11:$E$89)</f>
        <v>0</v>
      </c>
    </row>
    <row r="1330" spans="2:6">
      <c r="B1330">
        <v>439</v>
      </c>
      <c r="D1330" s="128">
        <f t="shared" si="33"/>
        <v>522403.79514717701</v>
      </c>
      <c r="E1330" s="127">
        <f t="shared" si="34"/>
        <v>2023</v>
      </c>
      <c r="F1330" s="126">
        <f>_xlfn.XLOOKUP(D456,'3. Input (des)investeringen '!$B$11:$B$89,'3. Input (des)investeringen '!$E$11:$E$89)</f>
        <v>0</v>
      </c>
    </row>
    <row r="1331" spans="2:6">
      <c r="B1331">
        <v>440</v>
      </c>
      <c r="D1331" s="128">
        <f t="shared" si="33"/>
        <v>393499.97479407035</v>
      </c>
      <c r="E1331" s="127">
        <f t="shared" si="34"/>
        <v>2023</v>
      </c>
      <c r="F1331" s="126">
        <f>_xlfn.XLOOKUP(D457,'3. Input (des)investeringen '!$B$11:$B$89,'3. Input (des)investeringen '!$E$11:$E$89)</f>
        <v>0</v>
      </c>
    </row>
    <row r="1332" spans="2:6">
      <c r="B1332">
        <v>441</v>
      </c>
      <c r="D1332" s="128">
        <f t="shared" si="33"/>
        <v>720079.2458849001</v>
      </c>
      <c r="E1332" s="127">
        <f t="shared" si="34"/>
        <v>2023</v>
      </c>
      <c r="F1332" s="126">
        <f>_xlfn.XLOOKUP(D458,'3. Input (des)investeringen '!$B$11:$B$89,'3. Input (des)investeringen '!$E$11:$E$89)</f>
        <v>0</v>
      </c>
    </row>
    <row r="1333" spans="2:6">
      <c r="B1333">
        <v>442</v>
      </c>
      <c r="D1333" s="128">
        <f t="shared" si="33"/>
        <v>324939.5513944648</v>
      </c>
      <c r="E1333" s="127">
        <f t="shared" si="34"/>
        <v>2023</v>
      </c>
      <c r="F1333" s="126">
        <f>_xlfn.XLOOKUP(D459,'3. Input (des)investeringen '!$B$11:$B$89,'3. Input (des)investeringen '!$E$11:$E$89)</f>
        <v>0</v>
      </c>
    </row>
    <row r="1334" spans="2:6">
      <c r="B1334">
        <v>443</v>
      </c>
      <c r="D1334" s="128">
        <f t="shared" si="33"/>
        <v>198849.71653117737</v>
      </c>
      <c r="E1334" s="127">
        <f t="shared" si="34"/>
        <v>2023</v>
      </c>
      <c r="F1334" s="126">
        <f>_xlfn.XLOOKUP(D460,'3. Input (des)investeringen '!$B$11:$B$89,'3. Input (des)investeringen '!$E$11:$E$89)</f>
        <v>0</v>
      </c>
    </row>
    <row r="1335" spans="2:6">
      <c r="B1335">
        <v>444</v>
      </c>
      <c r="D1335" s="128">
        <f t="shared" si="33"/>
        <v>164251.35459825987</v>
      </c>
      <c r="E1335" s="127">
        <f t="shared" si="34"/>
        <v>2023</v>
      </c>
      <c r="F1335" s="126">
        <f>_xlfn.XLOOKUP(D461,'3. Input (des)investeringen '!$B$11:$B$89,'3. Input (des)investeringen '!$E$11:$E$89)</f>
        <v>0</v>
      </c>
    </row>
    <row r="1336" spans="2:6">
      <c r="B1336">
        <v>445</v>
      </c>
      <c r="D1336" s="128">
        <f t="shared" si="33"/>
        <v>11733.192073654014</v>
      </c>
      <c r="E1336" s="127">
        <f t="shared" si="34"/>
        <v>2023</v>
      </c>
      <c r="F1336" s="126">
        <f>_xlfn.XLOOKUP(D462,'3. Input (des)investeringen '!$B$11:$B$89,'3. Input (des)investeringen '!$E$11:$E$89)</f>
        <v>0</v>
      </c>
    </row>
    <row r="1337" spans="2:6">
      <c r="B1337">
        <v>446</v>
      </c>
      <c r="D1337" s="128">
        <f t="shared" si="33"/>
        <v>125422.19335400098</v>
      </c>
      <c r="E1337" s="127">
        <f t="shared" si="34"/>
        <v>2023</v>
      </c>
      <c r="F1337" s="126">
        <f>_xlfn.XLOOKUP(D463,'3. Input (des)investeringen '!$B$11:$B$89,'3. Input (des)investeringen '!$E$11:$E$89)</f>
        <v>0</v>
      </c>
    </row>
    <row r="1338" spans="2:6">
      <c r="B1338">
        <v>447</v>
      </c>
      <c r="D1338" s="128">
        <f t="shared" si="33"/>
        <v>150583.87798958004</v>
      </c>
      <c r="E1338" s="127">
        <f t="shared" si="34"/>
        <v>2023</v>
      </c>
      <c r="F1338" s="126">
        <f>_xlfn.XLOOKUP(D464,'3. Input (des)investeringen '!$B$11:$B$89,'3. Input (des)investeringen '!$E$11:$E$89)</f>
        <v>0</v>
      </c>
    </row>
    <row r="1339" spans="2:6">
      <c r="B1339">
        <v>448</v>
      </c>
      <c r="D1339" s="128">
        <f t="shared" si="33"/>
        <v>187073.7124672959</v>
      </c>
      <c r="E1339" s="127">
        <f t="shared" si="34"/>
        <v>2023</v>
      </c>
      <c r="F1339" s="126">
        <f>_xlfn.XLOOKUP(D465,'3. Input (des)investeringen '!$B$11:$B$89,'3. Input (des)investeringen '!$E$11:$E$89)</f>
        <v>0</v>
      </c>
    </row>
    <row r="1340" spans="2:6">
      <c r="B1340">
        <v>449</v>
      </c>
      <c r="D1340" s="128">
        <f t="shared" ref="D1340:D1403" si="35">F466*INDEX($E$807:$CG$887,E466-1945,G466-1945)</f>
        <v>16141.872193424901</v>
      </c>
      <c r="E1340" s="127">
        <f t="shared" ref="E1340:E1403" si="36">G466</f>
        <v>2023</v>
      </c>
      <c r="F1340" s="126">
        <f>_xlfn.XLOOKUP(D466,'3. Input (des)investeringen '!$B$11:$B$89,'3. Input (des)investeringen '!$E$11:$E$89)</f>
        <v>0</v>
      </c>
    </row>
    <row r="1341" spans="2:6">
      <c r="B1341">
        <v>450</v>
      </c>
      <c r="D1341" s="128">
        <f t="shared" si="35"/>
        <v>6130.344945733591</v>
      </c>
      <c r="E1341" s="127">
        <f t="shared" si="36"/>
        <v>2023</v>
      </c>
      <c r="F1341" s="126">
        <f>_xlfn.XLOOKUP(D467,'3. Input (des)investeringen '!$B$11:$B$89,'3. Input (des)investeringen '!$E$11:$E$89)</f>
        <v>0</v>
      </c>
    </row>
    <row r="1342" spans="2:6">
      <c r="B1342">
        <v>451</v>
      </c>
      <c r="D1342" s="128">
        <f t="shared" si="35"/>
        <v>12506.026558124702</v>
      </c>
      <c r="E1342" s="127">
        <f t="shared" si="36"/>
        <v>2023</v>
      </c>
      <c r="F1342" s="126">
        <f>_xlfn.XLOOKUP(D468,'3. Input (des)investeringen '!$B$11:$B$89,'3. Input (des)investeringen '!$E$11:$E$89)</f>
        <v>0</v>
      </c>
    </row>
    <row r="1343" spans="2:6">
      <c r="B1343">
        <v>452</v>
      </c>
      <c r="D1343" s="128">
        <f t="shared" si="35"/>
        <v>378094.79162456573</v>
      </c>
      <c r="E1343" s="127">
        <f t="shared" si="36"/>
        <v>2023</v>
      </c>
      <c r="F1343" s="126">
        <f>_xlfn.XLOOKUP(D469,'3. Input (des)investeringen '!$B$11:$B$89,'3. Input (des)investeringen '!$E$11:$E$89)</f>
        <v>0</v>
      </c>
    </row>
    <row r="1344" spans="2:6">
      <c r="B1344">
        <v>453</v>
      </c>
      <c r="D1344" s="128">
        <f t="shared" si="35"/>
        <v>16053.69375893263</v>
      </c>
      <c r="E1344" s="127">
        <f t="shared" si="36"/>
        <v>2023</v>
      </c>
      <c r="F1344" s="126">
        <f>_xlfn.XLOOKUP(D470,'3. Input (des)investeringen '!$B$11:$B$89,'3. Input (des)investeringen '!$E$11:$E$89)</f>
        <v>0</v>
      </c>
    </row>
    <row r="1345" spans="2:6">
      <c r="B1345">
        <v>454</v>
      </c>
      <c r="D1345" s="128">
        <f t="shared" si="35"/>
        <v>16819.273813158587</v>
      </c>
      <c r="E1345" s="127">
        <f t="shared" si="36"/>
        <v>2023</v>
      </c>
      <c r="F1345" s="126">
        <f>_xlfn.XLOOKUP(D471,'3. Input (des)investeringen '!$B$11:$B$89,'3. Input (des)investeringen '!$E$11:$E$89)</f>
        <v>0</v>
      </c>
    </row>
    <row r="1346" spans="2:6">
      <c r="B1346">
        <v>455</v>
      </c>
      <c r="D1346" s="128">
        <f t="shared" si="35"/>
        <v>26274.547039751084</v>
      </c>
      <c r="E1346" s="127">
        <f t="shared" si="36"/>
        <v>2023</v>
      </c>
      <c r="F1346" s="126">
        <f>_xlfn.XLOOKUP(D472,'3. Input (des)investeringen '!$B$11:$B$89,'3. Input (des)investeringen '!$E$11:$E$89)</f>
        <v>0</v>
      </c>
    </row>
    <row r="1347" spans="2:6">
      <c r="B1347">
        <v>456</v>
      </c>
      <c r="D1347" s="128">
        <f t="shared" si="35"/>
        <v>34137.96127349008</v>
      </c>
      <c r="E1347" s="127">
        <f t="shared" si="36"/>
        <v>2023</v>
      </c>
      <c r="F1347" s="126">
        <f>_xlfn.XLOOKUP(D473,'3. Input (des)investeringen '!$B$11:$B$89,'3. Input (des)investeringen '!$E$11:$E$89)</f>
        <v>0</v>
      </c>
    </row>
    <row r="1348" spans="2:6">
      <c r="B1348">
        <v>457</v>
      </c>
      <c r="D1348" s="128">
        <f t="shared" si="35"/>
        <v>78535.654281385127</v>
      </c>
      <c r="E1348" s="127">
        <f t="shared" si="36"/>
        <v>2023</v>
      </c>
      <c r="F1348" s="126">
        <f>_xlfn.XLOOKUP(D474,'3. Input (des)investeringen '!$B$11:$B$89,'3. Input (des)investeringen '!$E$11:$E$89)</f>
        <v>0</v>
      </c>
    </row>
    <row r="1349" spans="2:6">
      <c r="B1349">
        <v>458</v>
      </c>
      <c r="D1349" s="128">
        <f t="shared" si="35"/>
        <v>34093.287733188481</v>
      </c>
      <c r="E1349" s="127">
        <f t="shared" si="36"/>
        <v>2023</v>
      </c>
      <c r="F1349" s="126">
        <f>_xlfn.XLOOKUP(D475,'3. Input (des)investeringen '!$B$11:$B$89,'3. Input (des)investeringen '!$E$11:$E$89)</f>
        <v>0</v>
      </c>
    </row>
    <row r="1350" spans="2:6">
      <c r="B1350">
        <v>459</v>
      </c>
      <c r="D1350" s="128">
        <f t="shared" si="35"/>
        <v>94879.334151807998</v>
      </c>
      <c r="E1350" s="127">
        <f t="shared" si="36"/>
        <v>2023</v>
      </c>
      <c r="F1350" s="126">
        <f>_xlfn.XLOOKUP(D476,'3. Input (des)investeringen '!$B$11:$B$89,'3. Input (des)investeringen '!$E$11:$E$89)</f>
        <v>0</v>
      </c>
    </row>
    <row r="1351" spans="2:6">
      <c r="B1351">
        <v>460</v>
      </c>
      <c r="D1351" s="128">
        <f t="shared" si="35"/>
        <v>7995.5990827184187</v>
      </c>
      <c r="E1351" s="127">
        <f t="shared" si="36"/>
        <v>2023</v>
      </c>
      <c r="F1351" s="126">
        <f>_xlfn.XLOOKUP(D477,'3. Input (des)investeringen '!$B$11:$B$89,'3. Input (des)investeringen '!$E$11:$E$89)</f>
        <v>1</v>
      </c>
    </row>
    <row r="1352" spans="2:6">
      <c r="B1352">
        <v>461</v>
      </c>
      <c r="D1352" s="128">
        <f t="shared" si="35"/>
        <v>202260.44489470436</v>
      </c>
      <c r="E1352" s="127">
        <f t="shared" si="36"/>
        <v>2023</v>
      </c>
      <c r="F1352" s="126">
        <f>_xlfn.XLOOKUP(D478,'3. Input (des)investeringen '!$B$11:$B$89,'3. Input (des)investeringen '!$E$11:$E$89)</f>
        <v>0</v>
      </c>
    </row>
    <row r="1353" spans="2:6">
      <c r="B1353">
        <v>462</v>
      </c>
      <c r="D1353" s="128">
        <f t="shared" si="35"/>
        <v>27363.85775491851</v>
      </c>
      <c r="E1353" s="127">
        <f t="shared" si="36"/>
        <v>2023</v>
      </c>
      <c r="F1353" s="126">
        <f>_xlfn.XLOOKUP(D479,'3. Input (des)investeringen '!$B$11:$B$89,'3. Input (des)investeringen '!$E$11:$E$89)</f>
        <v>0</v>
      </c>
    </row>
    <row r="1354" spans="2:6">
      <c r="B1354">
        <v>463</v>
      </c>
      <c r="D1354" s="128">
        <f t="shared" si="35"/>
        <v>2099990.2025125339</v>
      </c>
      <c r="E1354" s="127">
        <f t="shared" si="36"/>
        <v>2023</v>
      </c>
      <c r="F1354" s="126">
        <f>_xlfn.XLOOKUP(D480,'3. Input (des)investeringen '!$B$11:$B$89,'3. Input (des)investeringen '!$E$11:$E$89)</f>
        <v>1</v>
      </c>
    </row>
    <row r="1355" spans="2:6">
      <c r="B1355">
        <v>464</v>
      </c>
      <c r="D1355" s="128">
        <f t="shared" si="35"/>
        <v>88584.167202078708</v>
      </c>
      <c r="E1355" s="127">
        <f t="shared" si="36"/>
        <v>2023</v>
      </c>
      <c r="F1355" s="126">
        <f>_xlfn.XLOOKUP(D481,'3. Input (des)investeringen '!$B$11:$B$89,'3. Input (des)investeringen '!$E$11:$E$89)</f>
        <v>1</v>
      </c>
    </row>
    <row r="1356" spans="2:6">
      <c r="B1356">
        <v>465</v>
      </c>
      <c r="D1356" s="128">
        <f t="shared" si="35"/>
        <v>71192.88784331271</v>
      </c>
      <c r="E1356" s="127">
        <f t="shared" si="36"/>
        <v>2023</v>
      </c>
      <c r="F1356" s="126">
        <f>_xlfn.XLOOKUP(D482,'3. Input (des)investeringen '!$B$11:$B$89,'3. Input (des)investeringen '!$E$11:$E$89)</f>
        <v>1</v>
      </c>
    </row>
    <row r="1357" spans="2:6">
      <c r="B1357">
        <v>466</v>
      </c>
      <c r="D1357" s="128">
        <f t="shared" si="35"/>
        <v>59318.38290921889</v>
      </c>
      <c r="E1357" s="127">
        <f t="shared" si="36"/>
        <v>2023</v>
      </c>
      <c r="F1357" s="126">
        <f>_xlfn.XLOOKUP(D483,'3. Input (des)investeringen '!$B$11:$B$89,'3. Input (des)investeringen '!$E$11:$E$89)</f>
        <v>1</v>
      </c>
    </row>
    <row r="1358" spans="2:6">
      <c r="B1358">
        <v>467</v>
      </c>
      <c r="D1358" s="128">
        <f t="shared" si="35"/>
        <v>17242700.130181815</v>
      </c>
      <c r="E1358" s="127">
        <f t="shared" si="36"/>
        <v>2023</v>
      </c>
      <c r="F1358" s="126">
        <f>_xlfn.XLOOKUP(D484,'3. Input (des)investeringen '!$B$11:$B$89,'3. Input (des)investeringen '!$E$11:$E$89)</f>
        <v>1</v>
      </c>
    </row>
    <row r="1359" spans="2:6">
      <c r="B1359">
        <v>468</v>
      </c>
      <c r="D1359" s="128">
        <f t="shared" si="35"/>
        <v>1434168.6087925173</v>
      </c>
      <c r="E1359" s="127">
        <f t="shared" si="36"/>
        <v>2023</v>
      </c>
      <c r="F1359" s="126">
        <f>_xlfn.XLOOKUP(D485,'3. Input (des)investeringen '!$B$11:$B$89,'3. Input (des)investeringen '!$E$11:$E$89)</f>
        <v>1</v>
      </c>
    </row>
    <row r="1360" spans="2:6">
      <c r="B1360">
        <v>469</v>
      </c>
      <c r="D1360" s="128">
        <f t="shared" si="35"/>
        <v>3313494.6652734946</v>
      </c>
      <c r="E1360" s="127">
        <f t="shared" si="36"/>
        <v>2023</v>
      </c>
      <c r="F1360" s="126">
        <f>_xlfn.XLOOKUP(D486,'3. Input (des)investeringen '!$B$11:$B$89,'3. Input (des)investeringen '!$E$11:$E$89)</f>
        <v>1</v>
      </c>
    </row>
    <row r="1361" spans="2:6">
      <c r="B1361">
        <v>470</v>
      </c>
      <c r="D1361" s="128">
        <f t="shared" si="35"/>
        <v>1909058.9733587019</v>
      </c>
      <c r="E1361" s="127">
        <f t="shared" si="36"/>
        <v>2023</v>
      </c>
      <c r="F1361" s="126">
        <f>_xlfn.XLOOKUP(D487,'3. Input (des)investeringen '!$B$11:$B$89,'3. Input (des)investeringen '!$E$11:$E$89)</f>
        <v>1</v>
      </c>
    </row>
    <row r="1362" spans="2:6">
      <c r="B1362">
        <v>471</v>
      </c>
      <c r="D1362" s="128">
        <f t="shared" si="35"/>
        <v>36457.908194673997</v>
      </c>
      <c r="E1362" s="127">
        <f t="shared" si="36"/>
        <v>2023</v>
      </c>
      <c r="F1362" s="126">
        <f>_xlfn.XLOOKUP(D488,'3. Input (des)investeringen '!$B$11:$B$89,'3. Input (des)investeringen '!$E$11:$E$89)</f>
        <v>1</v>
      </c>
    </row>
    <row r="1363" spans="2:6">
      <c r="B1363">
        <v>472</v>
      </c>
      <c r="D1363" s="128">
        <f t="shared" si="35"/>
        <v>1335938.2338781792</v>
      </c>
      <c r="E1363" s="127">
        <f t="shared" si="36"/>
        <v>2023</v>
      </c>
      <c r="F1363" s="126">
        <f>_xlfn.XLOOKUP(D489,'3. Input (des)investeringen '!$B$11:$B$89,'3. Input (des)investeringen '!$E$11:$E$89)</f>
        <v>1</v>
      </c>
    </row>
    <row r="1364" spans="2:6">
      <c r="B1364">
        <v>473</v>
      </c>
      <c r="D1364" s="128">
        <f t="shared" si="35"/>
        <v>30104.760365369744</v>
      </c>
      <c r="E1364" s="127">
        <f t="shared" si="36"/>
        <v>2023</v>
      </c>
      <c r="F1364" s="126">
        <f>_xlfn.XLOOKUP(D490,'3. Input (des)investeringen '!$B$11:$B$89,'3. Input (des)investeringen '!$E$11:$E$89)</f>
        <v>1</v>
      </c>
    </row>
    <row r="1365" spans="2:6">
      <c r="B1365">
        <v>474</v>
      </c>
      <c r="D1365" s="128">
        <f t="shared" si="35"/>
        <v>353019.47498281603</v>
      </c>
      <c r="E1365" s="127">
        <f t="shared" si="36"/>
        <v>2023</v>
      </c>
      <c r="F1365" s="126">
        <f>_xlfn.XLOOKUP(D491,'3. Input (des)investeringen '!$B$11:$B$89,'3. Input (des)investeringen '!$E$11:$E$89)</f>
        <v>1</v>
      </c>
    </row>
    <row r="1366" spans="2:6">
      <c r="B1366">
        <v>475</v>
      </c>
      <c r="D1366" s="128">
        <f t="shared" si="35"/>
        <v>2622997.5830845321</v>
      </c>
      <c r="E1366" s="127">
        <f t="shared" si="36"/>
        <v>2023</v>
      </c>
      <c r="F1366" s="126">
        <f>_xlfn.XLOOKUP(D492,'3. Input (des)investeringen '!$B$11:$B$89,'3. Input (des)investeringen '!$E$11:$E$89)</f>
        <v>1</v>
      </c>
    </row>
    <row r="1367" spans="2:6">
      <c r="B1367">
        <v>476</v>
      </c>
      <c r="D1367" s="128">
        <f t="shared" si="35"/>
        <v>264545.47356776358</v>
      </c>
      <c r="E1367" s="127">
        <f t="shared" si="36"/>
        <v>2023</v>
      </c>
      <c r="F1367" s="126">
        <f>_xlfn.XLOOKUP(D493,'3. Input (des)investeringen '!$B$11:$B$89,'3. Input (des)investeringen '!$E$11:$E$89)</f>
        <v>1</v>
      </c>
    </row>
    <row r="1368" spans="2:6">
      <c r="B1368">
        <v>477</v>
      </c>
      <c r="D1368" s="128">
        <f t="shared" si="35"/>
        <v>59569.387064448449</v>
      </c>
      <c r="E1368" s="127">
        <f t="shared" si="36"/>
        <v>2023</v>
      </c>
      <c r="F1368" s="126">
        <f>_xlfn.XLOOKUP(D494,'3. Input (des)investeringen '!$B$11:$B$89,'3. Input (des)investeringen '!$E$11:$E$89)</f>
        <v>1</v>
      </c>
    </row>
    <row r="1369" spans="2:6">
      <c r="B1369">
        <v>478</v>
      </c>
      <c r="D1369" s="128">
        <f t="shared" si="35"/>
        <v>2874560.047436554</v>
      </c>
      <c r="E1369" s="127">
        <f t="shared" si="36"/>
        <v>2023</v>
      </c>
      <c r="F1369" s="126">
        <f>_xlfn.XLOOKUP(D495,'3. Input (des)investeringen '!$B$11:$B$89,'3. Input (des)investeringen '!$E$11:$E$89)</f>
        <v>1</v>
      </c>
    </row>
    <row r="1370" spans="2:6">
      <c r="B1370">
        <v>479</v>
      </c>
      <c r="D1370" s="128">
        <f t="shared" si="35"/>
        <v>49664.573050075967</v>
      </c>
      <c r="E1370" s="127">
        <f t="shared" si="36"/>
        <v>2023</v>
      </c>
      <c r="F1370" s="126">
        <f>_xlfn.XLOOKUP(D496,'3. Input (des)investeringen '!$B$11:$B$89,'3. Input (des)investeringen '!$E$11:$E$89)</f>
        <v>1</v>
      </c>
    </row>
    <row r="1371" spans="2:6">
      <c r="B1371">
        <v>480</v>
      </c>
      <c r="D1371" s="128">
        <f t="shared" si="35"/>
        <v>251474.2227041962</v>
      </c>
      <c r="E1371" s="127">
        <f t="shared" si="36"/>
        <v>2023</v>
      </c>
      <c r="F1371" s="126">
        <f>_xlfn.XLOOKUP(D497,'3. Input (des)investeringen '!$B$11:$B$89,'3. Input (des)investeringen '!$E$11:$E$89)</f>
        <v>1</v>
      </c>
    </row>
    <row r="1372" spans="2:6">
      <c r="B1372">
        <v>481</v>
      </c>
      <c r="D1372" s="128">
        <f t="shared" si="35"/>
        <v>62681.888254174031</v>
      </c>
      <c r="E1372" s="127">
        <f t="shared" si="36"/>
        <v>2023</v>
      </c>
      <c r="F1372" s="126">
        <f>_xlfn.XLOOKUP(D498,'3. Input (des)investeringen '!$B$11:$B$89,'3. Input (des)investeringen '!$E$11:$E$89)</f>
        <v>1</v>
      </c>
    </row>
    <row r="1373" spans="2:6">
      <c r="B1373">
        <v>482</v>
      </c>
      <c r="D1373" s="128">
        <f t="shared" si="35"/>
        <v>8998910.2149308864</v>
      </c>
      <c r="E1373" s="127">
        <f t="shared" si="36"/>
        <v>2023</v>
      </c>
      <c r="F1373" s="126">
        <f>_xlfn.XLOOKUP(D499,'3. Input (des)investeringen '!$B$11:$B$89,'3. Input (des)investeringen '!$E$11:$E$89)</f>
        <v>1</v>
      </c>
    </row>
    <row r="1374" spans="2:6">
      <c r="B1374">
        <v>483</v>
      </c>
      <c r="D1374" s="128">
        <f t="shared" si="35"/>
        <v>881158.02853810368</v>
      </c>
      <c r="E1374" s="127">
        <f t="shared" si="36"/>
        <v>2023</v>
      </c>
      <c r="F1374" s="126">
        <f>_xlfn.XLOOKUP(D500,'3. Input (des)investeringen '!$B$11:$B$89,'3. Input (des)investeringen '!$E$11:$E$89)</f>
        <v>1</v>
      </c>
    </row>
    <row r="1375" spans="2:6">
      <c r="B1375">
        <v>484</v>
      </c>
      <c r="D1375" s="128">
        <f t="shared" si="35"/>
        <v>480717.66049350589</v>
      </c>
      <c r="E1375" s="127">
        <f t="shared" si="36"/>
        <v>2023</v>
      </c>
      <c r="F1375" s="126">
        <f>_xlfn.XLOOKUP(D501,'3. Input (des)investeringen '!$B$11:$B$89,'3. Input (des)investeringen '!$E$11:$E$89)</f>
        <v>1</v>
      </c>
    </row>
    <row r="1376" spans="2:6">
      <c r="B1376">
        <v>485</v>
      </c>
      <c r="D1376" s="128">
        <f t="shared" si="35"/>
        <v>158468.43405476084</v>
      </c>
      <c r="E1376" s="127">
        <f t="shared" si="36"/>
        <v>2023</v>
      </c>
      <c r="F1376" s="126">
        <f>_xlfn.XLOOKUP(D502,'3. Input (des)investeringen '!$B$11:$B$89,'3. Input (des)investeringen '!$E$11:$E$89)</f>
        <v>1</v>
      </c>
    </row>
    <row r="1377" spans="2:6">
      <c r="B1377">
        <v>486</v>
      </c>
      <c r="D1377" s="128">
        <f t="shared" si="35"/>
        <v>2525665.1004047501</v>
      </c>
      <c r="E1377" s="127">
        <f t="shared" si="36"/>
        <v>2023</v>
      </c>
      <c r="F1377" s="126">
        <f>_xlfn.XLOOKUP(D503,'3. Input (des)investeringen '!$B$11:$B$89,'3. Input (des)investeringen '!$E$11:$E$89)</f>
        <v>0</v>
      </c>
    </row>
    <row r="1378" spans="2:6">
      <c r="B1378">
        <v>487</v>
      </c>
      <c r="D1378" s="128">
        <f t="shared" si="35"/>
        <v>16905407.599479198</v>
      </c>
      <c r="E1378" s="127">
        <f t="shared" si="36"/>
        <v>2023</v>
      </c>
      <c r="F1378" s="126">
        <f>_xlfn.XLOOKUP(D504,'3. Input (des)investeringen '!$B$11:$B$89,'3. Input (des)investeringen '!$E$11:$E$89)</f>
        <v>0</v>
      </c>
    </row>
    <row r="1379" spans="2:6">
      <c r="B1379">
        <v>488</v>
      </c>
      <c r="D1379" s="128">
        <f t="shared" si="35"/>
        <v>791759.55712817342</v>
      </c>
      <c r="E1379" s="127">
        <f t="shared" si="36"/>
        <v>2023</v>
      </c>
      <c r="F1379" s="126">
        <f>_xlfn.XLOOKUP(D505,'3. Input (des)investeringen '!$B$11:$B$89,'3. Input (des)investeringen '!$E$11:$E$89)</f>
        <v>0</v>
      </c>
    </row>
    <row r="1380" spans="2:6">
      <c r="B1380">
        <v>489</v>
      </c>
      <c r="D1380" s="128">
        <f t="shared" si="35"/>
        <v>61276.777943181114</v>
      </c>
      <c r="E1380" s="127">
        <f t="shared" si="36"/>
        <v>2023</v>
      </c>
      <c r="F1380" s="126">
        <f>_xlfn.XLOOKUP(D506,'3. Input (des)investeringen '!$B$11:$B$89,'3. Input (des)investeringen '!$E$11:$E$89)</f>
        <v>0</v>
      </c>
    </row>
    <row r="1381" spans="2:6">
      <c r="B1381">
        <v>490</v>
      </c>
      <c r="D1381" s="128">
        <f t="shared" si="35"/>
        <v>10738035.658221532</v>
      </c>
      <c r="E1381" s="127">
        <f t="shared" si="36"/>
        <v>2023</v>
      </c>
      <c r="F1381" s="126">
        <f>_xlfn.XLOOKUP(D507,'3. Input (des)investeringen '!$B$11:$B$89,'3. Input (des)investeringen '!$E$11:$E$89)</f>
        <v>0</v>
      </c>
    </row>
    <row r="1382" spans="2:6">
      <c r="B1382">
        <v>491</v>
      </c>
      <c r="D1382" s="128">
        <f t="shared" si="35"/>
        <v>4513096.8685017684</v>
      </c>
      <c r="E1382" s="127">
        <f t="shared" si="36"/>
        <v>2023</v>
      </c>
      <c r="F1382" s="126">
        <f>_xlfn.XLOOKUP(D508,'3. Input (des)investeringen '!$B$11:$B$89,'3. Input (des)investeringen '!$E$11:$E$89)</f>
        <v>0</v>
      </c>
    </row>
    <row r="1383" spans="2:6">
      <c r="B1383">
        <v>492</v>
      </c>
      <c r="D1383" s="128">
        <f t="shared" si="35"/>
        <v>20121.628884849415</v>
      </c>
      <c r="E1383" s="127">
        <f t="shared" si="36"/>
        <v>2023</v>
      </c>
      <c r="F1383" s="126">
        <f>_xlfn.XLOOKUP(D509,'3. Input (des)investeringen '!$B$11:$B$89,'3. Input (des)investeringen '!$E$11:$E$89)</f>
        <v>0</v>
      </c>
    </row>
    <row r="1384" spans="2:6">
      <c r="B1384">
        <v>493</v>
      </c>
      <c r="D1384" s="128">
        <f t="shared" si="35"/>
        <v>47146.071159517043</v>
      </c>
      <c r="E1384" s="127">
        <f t="shared" si="36"/>
        <v>2023</v>
      </c>
      <c r="F1384" s="126">
        <f>_xlfn.XLOOKUP(D510,'3. Input (des)investeringen '!$B$11:$B$89,'3. Input (des)investeringen '!$E$11:$E$89)</f>
        <v>0</v>
      </c>
    </row>
    <row r="1385" spans="2:6">
      <c r="B1385">
        <v>494</v>
      </c>
      <c r="D1385" s="128">
        <f t="shared" si="35"/>
        <v>426676.51950934849</v>
      </c>
      <c r="E1385" s="127">
        <f t="shared" si="36"/>
        <v>2023</v>
      </c>
      <c r="F1385" s="126">
        <f>_xlfn.XLOOKUP(D511,'3. Input (des)investeringen '!$B$11:$B$89,'3. Input (des)investeringen '!$E$11:$E$89)</f>
        <v>0</v>
      </c>
    </row>
    <row r="1386" spans="2:6">
      <c r="B1386">
        <v>495</v>
      </c>
      <c r="D1386" s="128">
        <f t="shared" si="35"/>
        <v>50955.736856891977</v>
      </c>
      <c r="E1386" s="127">
        <f t="shared" si="36"/>
        <v>2023</v>
      </c>
      <c r="F1386" s="126">
        <f>_xlfn.XLOOKUP(D512,'3. Input (des)investeringen '!$B$11:$B$89,'3. Input (des)investeringen '!$E$11:$E$89)</f>
        <v>0</v>
      </c>
    </row>
    <row r="1387" spans="2:6">
      <c r="B1387">
        <v>496</v>
      </c>
      <c r="D1387" s="128">
        <f t="shared" si="35"/>
        <v>64205.512183063081</v>
      </c>
      <c r="E1387" s="127">
        <f t="shared" si="36"/>
        <v>2023</v>
      </c>
      <c r="F1387" s="126">
        <f>_xlfn.XLOOKUP(D513,'3. Input (des)investeringen '!$B$11:$B$89,'3. Input (des)investeringen '!$E$11:$E$89)</f>
        <v>0</v>
      </c>
    </row>
    <row r="1388" spans="2:6">
      <c r="B1388">
        <v>497</v>
      </c>
      <c r="D1388" s="128">
        <f t="shared" si="35"/>
        <v>230655.94063060553</v>
      </c>
      <c r="E1388" s="127">
        <f t="shared" si="36"/>
        <v>2023</v>
      </c>
      <c r="F1388" s="126">
        <f>_xlfn.XLOOKUP(D514,'3. Input (des)investeringen '!$B$11:$B$89,'3. Input (des)investeringen '!$E$11:$E$89)</f>
        <v>0</v>
      </c>
    </row>
    <row r="1389" spans="2:6">
      <c r="B1389">
        <v>498</v>
      </c>
      <c r="D1389" s="128">
        <f t="shared" si="35"/>
        <v>574715.02689626382</v>
      </c>
      <c r="E1389" s="127">
        <f t="shared" si="36"/>
        <v>2023</v>
      </c>
      <c r="F1389" s="126">
        <f>_xlfn.XLOOKUP(D515,'3. Input (des)investeringen '!$B$11:$B$89,'3. Input (des)investeringen '!$E$11:$E$89)</f>
        <v>0</v>
      </c>
    </row>
    <row r="1390" spans="2:6">
      <c r="B1390">
        <v>499</v>
      </c>
      <c r="D1390" s="128">
        <f t="shared" si="35"/>
        <v>1469026.1382935997</v>
      </c>
      <c r="E1390" s="127">
        <f t="shared" si="36"/>
        <v>2023</v>
      </c>
      <c r="F1390" s="126">
        <f>_xlfn.XLOOKUP(D516,'3. Input (des)investeringen '!$B$11:$B$89,'3. Input (des)investeringen '!$E$11:$E$89)</f>
        <v>0</v>
      </c>
    </row>
    <row r="1391" spans="2:6">
      <c r="B1391">
        <v>500</v>
      </c>
      <c r="D1391" s="128">
        <f t="shared" si="35"/>
        <v>2050105.43100047</v>
      </c>
      <c r="E1391" s="127">
        <f t="shared" si="36"/>
        <v>2023</v>
      </c>
      <c r="F1391" s="126">
        <f>_xlfn.XLOOKUP(D517,'3. Input (des)investeringen '!$B$11:$B$89,'3. Input (des)investeringen '!$E$11:$E$89)</f>
        <v>0</v>
      </c>
    </row>
    <row r="1392" spans="2:6">
      <c r="B1392">
        <v>501</v>
      </c>
      <c r="D1392" s="128">
        <f t="shared" si="35"/>
        <v>129882.09166575248</v>
      </c>
      <c r="E1392" s="127">
        <f t="shared" si="36"/>
        <v>2023</v>
      </c>
      <c r="F1392" s="126">
        <f>_xlfn.XLOOKUP(D518,'3. Input (des)investeringen '!$B$11:$B$89,'3. Input (des)investeringen '!$E$11:$E$89)</f>
        <v>0</v>
      </c>
    </row>
    <row r="1393" spans="2:6">
      <c r="B1393">
        <v>502</v>
      </c>
      <c r="D1393" s="128">
        <f t="shared" si="35"/>
        <v>1235577.6025156102</v>
      </c>
      <c r="E1393" s="127">
        <f t="shared" si="36"/>
        <v>2023</v>
      </c>
      <c r="F1393" s="126">
        <f>_xlfn.XLOOKUP(D519,'3. Input (des)investeringen '!$B$11:$B$89,'3. Input (des)investeringen '!$E$11:$E$89)</f>
        <v>0</v>
      </c>
    </row>
    <row r="1394" spans="2:6">
      <c r="B1394">
        <v>503</v>
      </c>
      <c r="D1394" s="128">
        <f t="shared" si="35"/>
        <v>1703571.8543817492</v>
      </c>
      <c r="E1394" s="127">
        <f t="shared" si="36"/>
        <v>2023</v>
      </c>
      <c r="F1394" s="126">
        <f>_xlfn.XLOOKUP(D520,'3. Input (des)investeringen '!$B$11:$B$89,'3. Input (des)investeringen '!$E$11:$E$89)</f>
        <v>0</v>
      </c>
    </row>
    <row r="1395" spans="2:6">
      <c r="B1395">
        <v>504</v>
      </c>
      <c r="D1395" s="128">
        <f t="shared" si="35"/>
        <v>595505.82704552368</v>
      </c>
      <c r="E1395" s="127">
        <f t="shared" si="36"/>
        <v>2023</v>
      </c>
      <c r="F1395" s="126">
        <f>_xlfn.XLOOKUP(D521,'3. Input (des)investeringen '!$B$11:$B$89,'3. Input (des)investeringen '!$E$11:$E$89)</f>
        <v>0</v>
      </c>
    </row>
    <row r="1396" spans="2:6">
      <c r="B1396">
        <v>505</v>
      </c>
      <c r="D1396" s="128">
        <f t="shared" si="35"/>
        <v>776768.62070497498</v>
      </c>
      <c r="E1396" s="127">
        <f t="shared" si="36"/>
        <v>2023</v>
      </c>
      <c r="F1396" s="126">
        <f>_xlfn.XLOOKUP(D522,'3. Input (des)investeringen '!$B$11:$B$89,'3. Input (des)investeringen '!$E$11:$E$89)</f>
        <v>0</v>
      </c>
    </row>
    <row r="1397" spans="2:6">
      <c r="B1397">
        <v>506</v>
      </c>
      <c r="D1397" s="128">
        <f t="shared" si="35"/>
        <v>1876.9453947414813</v>
      </c>
      <c r="E1397" s="127">
        <f t="shared" si="36"/>
        <v>2023</v>
      </c>
      <c r="F1397" s="126">
        <f>_xlfn.XLOOKUP(D523,'3. Input (des)investeringen '!$B$11:$B$89,'3. Input (des)investeringen '!$E$11:$E$89)</f>
        <v>0</v>
      </c>
    </row>
    <row r="1398" spans="2:6">
      <c r="B1398">
        <v>507</v>
      </c>
      <c r="D1398" s="128">
        <f t="shared" si="35"/>
        <v>42851.542476290124</v>
      </c>
      <c r="E1398" s="127">
        <f t="shared" si="36"/>
        <v>2023</v>
      </c>
      <c r="F1398" s="126">
        <f>_xlfn.XLOOKUP(D524,'3. Input (des)investeringen '!$B$11:$B$89,'3. Input (des)investeringen '!$E$11:$E$89)</f>
        <v>0</v>
      </c>
    </row>
    <row r="1399" spans="2:6">
      <c r="B1399">
        <v>508</v>
      </c>
      <c r="D1399" s="128">
        <f t="shared" si="35"/>
        <v>22583.7690161561</v>
      </c>
      <c r="E1399" s="127">
        <f t="shared" si="36"/>
        <v>2023</v>
      </c>
      <c r="F1399" s="126">
        <f>_xlfn.XLOOKUP(D525,'3. Input (des)investeringen '!$B$11:$B$89,'3. Input (des)investeringen '!$E$11:$E$89)</f>
        <v>1</v>
      </c>
    </row>
    <row r="1400" spans="2:6">
      <c r="B1400">
        <v>509</v>
      </c>
      <c r="D1400" s="128">
        <f t="shared" si="35"/>
        <v>462227.19518013293</v>
      </c>
      <c r="E1400" s="127">
        <f t="shared" si="36"/>
        <v>2023</v>
      </c>
      <c r="F1400" s="126">
        <f>_xlfn.XLOOKUP(D526,'3. Input (des)investeringen '!$B$11:$B$89,'3. Input (des)investeringen '!$E$11:$E$89)</f>
        <v>1</v>
      </c>
    </row>
    <row r="1401" spans="2:6">
      <c r="B1401">
        <v>510</v>
      </c>
      <c r="D1401" s="128">
        <f t="shared" si="35"/>
        <v>46528.540913690129</v>
      </c>
      <c r="E1401" s="127">
        <f t="shared" si="36"/>
        <v>2023</v>
      </c>
      <c r="F1401" s="126">
        <f>_xlfn.XLOOKUP(D527,'3. Input (des)investeringen '!$B$11:$B$89,'3. Input (des)investeringen '!$E$11:$E$89)</f>
        <v>1</v>
      </c>
    </row>
    <row r="1402" spans="2:6">
      <c r="B1402">
        <v>511</v>
      </c>
      <c r="D1402" s="128">
        <f t="shared" si="35"/>
        <v>98655.140353137496</v>
      </c>
      <c r="E1402" s="127">
        <f t="shared" si="36"/>
        <v>2023</v>
      </c>
      <c r="F1402" s="126">
        <f>_xlfn.XLOOKUP(D528,'3. Input (des)investeringen '!$B$11:$B$89,'3. Input (des)investeringen '!$E$11:$E$89)</f>
        <v>1</v>
      </c>
    </row>
    <row r="1403" spans="2:6">
      <c r="B1403">
        <v>512</v>
      </c>
      <c r="D1403" s="128">
        <f t="shared" si="35"/>
        <v>50825.96589408478</v>
      </c>
      <c r="E1403" s="127">
        <f t="shared" si="36"/>
        <v>2023</v>
      </c>
      <c r="F1403" s="126">
        <f>_xlfn.XLOOKUP(D529,'3. Input (des)investeringen '!$B$11:$B$89,'3. Input (des)investeringen '!$E$11:$E$89)</f>
        <v>1</v>
      </c>
    </row>
    <row r="1404" spans="2:6">
      <c r="B1404">
        <v>513</v>
      </c>
      <c r="D1404" s="128">
        <f t="shared" ref="D1404:D1467" si="37">F530*INDEX($E$807:$CG$887,E530-1945,G530-1945)</f>
        <v>477279.97623645322</v>
      </c>
      <c r="E1404" s="127">
        <f t="shared" ref="E1404:E1467" si="38">G530</f>
        <v>2023</v>
      </c>
      <c r="F1404" s="126">
        <f>_xlfn.XLOOKUP(D530,'3. Input (des)investeringen '!$B$11:$B$89,'3. Input (des)investeringen '!$E$11:$E$89)</f>
        <v>1</v>
      </c>
    </row>
    <row r="1405" spans="2:6">
      <c r="B1405">
        <v>514</v>
      </c>
      <c r="D1405" s="128">
        <f t="shared" si="37"/>
        <v>116050.5147655762</v>
      </c>
      <c r="E1405" s="127">
        <f t="shared" si="38"/>
        <v>2023</v>
      </c>
      <c r="F1405" s="126">
        <f>_xlfn.XLOOKUP(D531,'3. Input (des)investeringen '!$B$11:$B$89,'3. Input (des)investeringen '!$E$11:$E$89)</f>
        <v>1</v>
      </c>
    </row>
    <row r="1406" spans="2:6">
      <c r="B1406">
        <v>515</v>
      </c>
      <c r="D1406" s="128">
        <f t="shared" si="37"/>
        <v>49918.596992368417</v>
      </c>
      <c r="E1406" s="127">
        <f t="shared" si="38"/>
        <v>2023</v>
      </c>
      <c r="F1406" s="126">
        <f>_xlfn.XLOOKUP(D532,'3. Input (des)investeringen '!$B$11:$B$89,'3. Input (des)investeringen '!$E$11:$E$89)</f>
        <v>1</v>
      </c>
    </row>
    <row r="1407" spans="2:6">
      <c r="B1407">
        <v>516</v>
      </c>
      <c r="D1407" s="128">
        <f t="shared" si="37"/>
        <v>50285.190780729419</v>
      </c>
      <c r="E1407" s="127">
        <f t="shared" si="38"/>
        <v>2023</v>
      </c>
      <c r="F1407" s="126">
        <f>_xlfn.XLOOKUP(D533,'3. Input (des)investeringen '!$B$11:$B$89,'3. Input (des)investeringen '!$E$11:$E$89)</f>
        <v>1</v>
      </c>
    </row>
    <row r="1408" spans="2:6">
      <c r="B1408">
        <v>517</v>
      </c>
      <c r="D1408" s="128">
        <f t="shared" si="37"/>
        <v>67645.586060743793</v>
      </c>
      <c r="E1408" s="127">
        <f t="shared" si="38"/>
        <v>2023</v>
      </c>
      <c r="F1408" s="126">
        <f>_xlfn.XLOOKUP(D534,'3. Input (des)investeringen '!$B$11:$B$89,'3. Input (des)investeringen '!$E$11:$E$89)</f>
        <v>1</v>
      </c>
    </row>
    <row r="1409" spans="1:6">
      <c r="B1409">
        <v>518</v>
      </c>
      <c r="D1409" s="128">
        <f t="shared" si="37"/>
        <v>46656.186949971663</v>
      </c>
      <c r="E1409" s="127">
        <f t="shared" si="38"/>
        <v>2023</v>
      </c>
      <c r="F1409" s="126">
        <f>_xlfn.XLOOKUP(D535,'3. Input (des)investeringen '!$B$11:$B$89,'3. Input (des)investeringen '!$E$11:$E$89)</f>
        <v>1</v>
      </c>
    </row>
    <row r="1410" spans="1:6">
      <c r="B1410">
        <v>519</v>
      </c>
      <c r="D1410" s="128">
        <f t="shared" si="37"/>
        <v>46412.506610726836</v>
      </c>
      <c r="E1410" s="127">
        <f t="shared" si="38"/>
        <v>2023</v>
      </c>
      <c r="F1410" s="126">
        <f>_xlfn.XLOOKUP(D536,'3. Input (des)investeringen '!$B$11:$B$89,'3. Input (des)investeringen '!$E$11:$E$89)</f>
        <v>1</v>
      </c>
    </row>
    <row r="1411" spans="1:6">
      <c r="B1411">
        <v>520</v>
      </c>
      <c r="D1411" s="128">
        <f t="shared" si="37"/>
        <v>45345.465415492457</v>
      </c>
      <c r="E1411" s="127">
        <f t="shared" si="38"/>
        <v>2023</v>
      </c>
      <c r="F1411" s="126">
        <f>_xlfn.XLOOKUP(D537,'3. Input (des)investeringen '!$B$11:$B$89,'3. Input (des)investeringen '!$E$11:$E$89)</f>
        <v>1</v>
      </c>
    </row>
    <row r="1412" spans="1:6">
      <c r="B1412">
        <v>521</v>
      </c>
      <c r="D1412" s="128">
        <f t="shared" si="37"/>
        <v>117969.99669176152</v>
      </c>
      <c r="E1412" s="127">
        <f t="shared" si="38"/>
        <v>2023</v>
      </c>
      <c r="F1412" s="126">
        <f>_xlfn.XLOOKUP(D538,'3. Input (des)investeringen '!$B$11:$B$89,'3. Input (des)investeringen '!$E$11:$E$89)</f>
        <v>1</v>
      </c>
    </row>
    <row r="1413" spans="1:6">
      <c r="B1413">
        <v>522</v>
      </c>
      <c r="D1413" s="128">
        <f t="shared" si="37"/>
        <v>414606.72511429584</v>
      </c>
      <c r="E1413" s="127">
        <f t="shared" si="38"/>
        <v>2023</v>
      </c>
      <c r="F1413" s="126">
        <f>_xlfn.XLOOKUP(D539,'3. Input (des)investeringen '!$B$11:$B$89,'3. Input (des)investeringen '!$E$11:$E$89)</f>
        <v>1</v>
      </c>
    </row>
    <row r="1414" spans="1:6">
      <c r="B1414">
        <v>523</v>
      </c>
      <c r="D1414" s="128">
        <f t="shared" si="37"/>
        <v>45563.426169294267</v>
      </c>
      <c r="E1414" s="127">
        <f t="shared" si="38"/>
        <v>2023</v>
      </c>
      <c r="F1414" s="126">
        <f>_xlfn.XLOOKUP(D540,'3. Input (des)investeringen '!$B$11:$B$89,'3. Input (des)investeringen '!$E$11:$E$89)</f>
        <v>1</v>
      </c>
    </row>
    <row r="1415" spans="1:6">
      <c r="B1415">
        <v>524</v>
      </c>
      <c r="D1415" s="128">
        <f t="shared" si="37"/>
        <v>377798.35934785003</v>
      </c>
      <c r="E1415" s="127">
        <f t="shared" si="38"/>
        <v>2023</v>
      </c>
      <c r="F1415" s="126">
        <f>_xlfn.XLOOKUP(D541,'3. Input (des)investeringen '!$B$11:$B$89,'3. Input (des)investeringen '!$E$11:$E$89)</f>
        <v>1</v>
      </c>
    </row>
    <row r="1416" spans="1:6">
      <c r="B1416">
        <v>525</v>
      </c>
      <c r="D1416" s="128">
        <f t="shared" si="37"/>
        <v>37420.593072654476</v>
      </c>
      <c r="E1416" s="127">
        <f t="shared" si="38"/>
        <v>2023</v>
      </c>
      <c r="F1416" s="126">
        <f>_xlfn.XLOOKUP(D542,'3. Input (des)investeringen '!$B$11:$B$89,'3. Input (des)investeringen '!$E$11:$E$89)</f>
        <v>1</v>
      </c>
    </row>
    <row r="1417" spans="1:6">
      <c r="B1417">
        <v>526</v>
      </c>
      <c r="D1417" s="128">
        <f t="shared" si="37"/>
        <v>84225.708870589981</v>
      </c>
      <c r="E1417" s="127">
        <f t="shared" si="38"/>
        <v>2023</v>
      </c>
      <c r="F1417" s="126">
        <f>_xlfn.XLOOKUP(D543,'3. Input (des)investeringen '!$B$11:$B$89,'3. Input (des)investeringen '!$E$11:$E$89)</f>
        <v>1</v>
      </c>
    </row>
    <row r="1418" spans="1:6">
      <c r="B1418">
        <v>527</v>
      </c>
      <c r="D1418" s="128">
        <f t="shared" si="37"/>
        <v>36582.979680944467</v>
      </c>
      <c r="E1418" s="127">
        <f t="shared" si="38"/>
        <v>2023</v>
      </c>
      <c r="F1418" s="126">
        <f>_xlfn.XLOOKUP(D544,'3. Input (des)investeringen '!$B$11:$B$89,'3. Input (des)investeringen '!$E$11:$E$89)</f>
        <v>1</v>
      </c>
    </row>
    <row r="1419" spans="1:6">
      <c r="B1419">
        <v>528</v>
      </c>
      <c r="D1419" s="128">
        <f t="shared" si="37"/>
        <v>51088.669943961613</v>
      </c>
      <c r="E1419" s="127">
        <f t="shared" si="38"/>
        <v>2023</v>
      </c>
      <c r="F1419" s="126">
        <f>_xlfn.XLOOKUP(D545,'3. Input (des)investeringen '!$B$11:$B$89,'3. Input (des)investeringen '!$E$11:$E$89)</f>
        <v>1</v>
      </c>
    </row>
    <row r="1420" spans="1:6">
      <c r="B1420">
        <v>529</v>
      </c>
      <c r="D1420" s="128">
        <f t="shared" si="37"/>
        <v>108379.16888467838</v>
      </c>
      <c r="E1420" s="127">
        <f t="shared" si="38"/>
        <v>2023</v>
      </c>
      <c r="F1420" s="126">
        <f>_xlfn.XLOOKUP(D546,'3. Input (des)investeringen '!$B$11:$B$89,'3. Input (des)investeringen '!$E$11:$E$89)</f>
        <v>1</v>
      </c>
    </row>
    <row r="1421" spans="1:6">
      <c r="B1421">
        <v>530</v>
      </c>
      <c r="D1421" s="128">
        <f t="shared" si="37"/>
        <v>5144.0217812537448</v>
      </c>
      <c r="E1421" s="127">
        <f t="shared" si="38"/>
        <v>2023</v>
      </c>
      <c r="F1421" s="126">
        <f>_xlfn.XLOOKUP(D547,'3. Input (des)investeringen '!$B$11:$B$89,'3. Input (des)investeringen '!$E$11:$E$89)</f>
        <v>1</v>
      </c>
    </row>
    <row r="1422" spans="1:6">
      <c r="B1422">
        <v>531</v>
      </c>
      <c r="D1422" s="128">
        <f t="shared" si="37"/>
        <v>6096028.9926220421</v>
      </c>
      <c r="E1422" s="127">
        <f t="shared" si="38"/>
        <v>2023</v>
      </c>
      <c r="F1422" s="126">
        <f>_xlfn.XLOOKUP(D548,'3. Input (des)investeringen '!$B$11:$B$89,'3. Input (des)investeringen '!$E$11:$E$89)</f>
        <v>0</v>
      </c>
    </row>
    <row r="1423" spans="1:6" s="121" customFormat="1">
      <c r="A1423"/>
      <c r="B1423">
        <v>532</v>
      </c>
      <c r="D1423" s="128">
        <f t="shared" si="37"/>
        <v>12856.158995848822</v>
      </c>
      <c r="E1423" s="127">
        <f t="shared" si="38"/>
        <v>2024</v>
      </c>
      <c r="F1423" s="126">
        <f>_xlfn.XLOOKUP(D549,'3. Input (des)investeringen '!$B$11:$B$89,'3. Input (des)investeringen '!$E$11:$E$89)</f>
        <v>1</v>
      </c>
    </row>
    <row r="1424" spans="1:6" s="121" customFormat="1">
      <c r="A1424"/>
      <c r="B1424">
        <v>533</v>
      </c>
      <c r="D1424" s="128">
        <f t="shared" si="37"/>
        <v>53719.699487000042</v>
      </c>
      <c r="E1424" s="127">
        <f t="shared" si="38"/>
        <v>2024</v>
      </c>
      <c r="F1424" s="126">
        <f>_xlfn.XLOOKUP(D550,'3. Input (des)investeringen '!$B$11:$B$89,'3. Input (des)investeringen '!$E$11:$E$89)</f>
        <v>1</v>
      </c>
    </row>
    <row r="1425" spans="1:6" s="121" customFormat="1">
      <c r="A1425"/>
      <c r="B1425">
        <v>534</v>
      </c>
      <c r="D1425" s="128">
        <f t="shared" si="37"/>
        <v>692826.56726373767</v>
      </c>
      <c r="E1425" s="127">
        <f t="shared" si="38"/>
        <v>2024</v>
      </c>
      <c r="F1425" s="126">
        <f>_xlfn.XLOOKUP(D551,'3. Input (des)investeringen '!$B$11:$B$89,'3. Input (des)investeringen '!$E$11:$E$89)</f>
        <v>1</v>
      </c>
    </row>
    <row r="1426" spans="1:6" s="121" customFormat="1">
      <c r="A1426"/>
      <c r="B1426">
        <v>535</v>
      </c>
      <c r="D1426" s="128">
        <f t="shared" si="37"/>
        <v>381656.1070322321</v>
      </c>
      <c r="E1426" s="127">
        <f t="shared" si="38"/>
        <v>2024</v>
      </c>
      <c r="F1426" s="126">
        <f>_xlfn.XLOOKUP(D552,'3. Input (des)investeringen '!$B$11:$B$89,'3. Input (des)investeringen '!$E$11:$E$89)</f>
        <v>1</v>
      </c>
    </row>
    <row r="1427" spans="1:6" s="121" customFormat="1">
      <c r="A1427"/>
      <c r="B1427">
        <v>536</v>
      </c>
      <c r="D1427" s="128">
        <f t="shared" si="37"/>
        <v>483480.40161451563</v>
      </c>
      <c r="E1427" s="127">
        <f t="shared" si="38"/>
        <v>2024</v>
      </c>
      <c r="F1427" s="126">
        <f>_xlfn.XLOOKUP(D553,'3. Input (des)investeringen '!$B$11:$B$89,'3. Input (des)investeringen '!$E$11:$E$89)</f>
        <v>1</v>
      </c>
    </row>
    <row r="1428" spans="1:6" s="121" customFormat="1">
      <c r="A1428"/>
      <c r="B1428">
        <v>537</v>
      </c>
      <c r="D1428" s="128">
        <f t="shared" si="37"/>
        <v>606092.37218695239</v>
      </c>
      <c r="E1428" s="127">
        <f t="shared" si="38"/>
        <v>2024</v>
      </c>
      <c r="F1428" s="126">
        <f>_xlfn.XLOOKUP(D554,'3. Input (des)investeringen '!$B$11:$B$89,'3. Input (des)investeringen '!$E$11:$E$89)</f>
        <v>1</v>
      </c>
    </row>
    <row r="1429" spans="1:6" s="121" customFormat="1">
      <c r="A1429"/>
      <c r="B1429">
        <v>538</v>
      </c>
      <c r="D1429" s="128">
        <f t="shared" si="37"/>
        <v>202216.59632509193</v>
      </c>
      <c r="E1429" s="127">
        <f t="shared" si="38"/>
        <v>2024</v>
      </c>
      <c r="F1429" s="126">
        <f>_xlfn.XLOOKUP(D555,'3. Input (des)investeringen '!$B$11:$B$89,'3. Input (des)investeringen '!$E$11:$E$89)</f>
        <v>1</v>
      </c>
    </row>
    <row r="1430" spans="1:6" s="121" customFormat="1">
      <c r="A1430"/>
      <c r="B1430">
        <v>539</v>
      </c>
      <c r="D1430" s="128">
        <f t="shared" si="37"/>
        <v>876764.9703866177</v>
      </c>
      <c r="E1430" s="127">
        <f t="shared" si="38"/>
        <v>2024</v>
      </c>
      <c r="F1430" s="126">
        <f>_xlfn.XLOOKUP(D556,'3. Input (des)investeringen '!$B$11:$B$89,'3. Input (des)investeringen '!$E$11:$E$89)</f>
        <v>1</v>
      </c>
    </row>
    <row r="1431" spans="1:6" s="121" customFormat="1">
      <c r="A1431"/>
      <c r="B1431">
        <v>540</v>
      </c>
      <c r="D1431" s="128">
        <f t="shared" si="37"/>
        <v>651799.85873923323</v>
      </c>
      <c r="E1431" s="127">
        <f t="shared" si="38"/>
        <v>2024</v>
      </c>
      <c r="F1431" s="126">
        <f>_xlfn.XLOOKUP(D557,'3. Input (des)investeringen '!$B$11:$B$89,'3. Input (des)investeringen '!$E$11:$E$89)</f>
        <v>1</v>
      </c>
    </row>
    <row r="1432" spans="1:6" s="121" customFormat="1">
      <c r="A1432"/>
      <c r="B1432">
        <v>541</v>
      </c>
      <c r="D1432" s="128">
        <f t="shared" si="37"/>
        <v>358129.25655325659</v>
      </c>
      <c r="E1432" s="127">
        <f t="shared" si="38"/>
        <v>2024</v>
      </c>
      <c r="F1432" s="126">
        <f>_xlfn.XLOOKUP(D558,'3. Input (des)investeringen '!$B$11:$B$89,'3. Input (des)investeringen '!$E$11:$E$89)</f>
        <v>1</v>
      </c>
    </row>
    <row r="1433" spans="1:6" s="121" customFormat="1">
      <c r="A1433"/>
      <c r="B1433">
        <v>542</v>
      </c>
      <c r="D1433" s="128">
        <f t="shared" si="37"/>
        <v>1595481.1571613175</v>
      </c>
      <c r="E1433" s="127">
        <f t="shared" si="38"/>
        <v>2024</v>
      </c>
      <c r="F1433" s="126">
        <f>_xlfn.XLOOKUP(D559,'3. Input (des)investeringen '!$B$11:$B$89,'3. Input (des)investeringen '!$E$11:$E$89)</f>
        <v>1</v>
      </c>
    </row>
    <row r="1434" spans="1:6" s="121" customFormat="1">
      <c r="A1434"/>
      <c r="B1434">
        <v>543</v>
      </c>
      <c r="D1434" s="128">
        <f t="shared" si="37"/>
        <v>370132.64975453209</v>
      </c>
      <c r="E1434" s="127">
        <f t="shared" si="38"/>
        <v>2024</v>
      </c>
      <c r="F1434" s="126">
        <f>_xlfn.XLOOKUP(D560,'3. Input (des)investeringen '!$B$11:$B$89,'3. Input (des)investeringen '!$E$11:$E$89)</f>
        <v>1</v>
      </c>
    </row>
    <row r="1435" spans="1:6" s="121" customFormat="1">
      <c r="A1435"/>
      <c r="B1435">
        <v>544</v>
      </c>
      <c r="D1435" s="128">
        <f t="shared" si="37"/>
        <v>495676.67432364437</v>
      </c>
      <c r="E1435" s="127">
        <f t="shared" si="38"/>
        <v>2024</v>
      </c>
      <c r="F1435" s="126">
        <f>_xlfn.XLOOKUP(D561,'3. Input (des)investeringen '!$B$11:$B$89,'3. Input (des)investeringen '!$E$11:$E$89)</f>
        <v>1</v>
      </c>
    </row>
    <row r="1436" spans="1:6" s="121" customFormat="1">
      <c r="A1436"/>
      <c r="B1436">
        <v>545</v>
      </c>
      <c r="D1436" s="128">
        <f t="shared" si="37"/>
        <v>178457.85529071515</v>
      </c>
      <c r="E1436" s="127">
        <f t="shared" si="38"/>
        <v>2024</v>
      </c>
      <c r="F1436" s="126">
        <f>_xlfn.XLOOKUP(D562,'3. Input (des)investeringen '!$B$11:$B$89,'3. Input (des)investeringen '!$E$11:$E$89)</f>
        <v>1</v>
      </c>
    </row>
    <row r="1437" spans="1:6" s="121" customFormat="1">
      <c r="A1437"/>
      <c r="B1437">
        <v>546</v>
      </c>
      <c r="D1437" s="128">
        <f t="shared" si="37"/>
        <v>162529.92285128887</v>
      </c>
      <c r="E1437" s="127">
        <f t="shared" si="38"/>
        <v>2024</v>
      </c>
      <c r="F1437" s="126">
        <f>_xlfn.XLOOKUP(D563,'3. Input (des)investeringen '!$B$11:$B$89,'3. Input (des)investeringen '!$E$11:$E$89)</f>
        <v>1</v>
      </c>
    </row>
    <row r="1438" spans="1:6" s="121" customFormat="1">
      <c r="A1438"/>
      <c r="B1438">
        <v>547</v>
      </c>
      <c r="D1438" s="128">
        <f t="shared" si="37"/>
        <v>847064.54583361407</v>
      </c>
      <c r="E1438" s="127">
        <f t="shared" si="38"/>
        <v>2024</v>
      </c>
      <c r="F1438" s="126">
        <f>_xlfn.XLOOKUP(D564,'3. Input (des)investeringen '!$B$11:$B$89,'3. Input (des)investeringen '!$E$11:$E$89)</f>
        <v>1</v>
      </c>
    </row>
    <row r="1439" spans="1:6" s="121" customFormat="1">
      <c r="A1439"/>
      <c r="B1439">
        <v>548</v>
      </c>
      <c r="D1439" s="128">
        <f t="shared" si="37"/>
        <v>66882.392285368856</v>
      </c>
      <c r="E1439" s="127">
        <f t="shared" si="38"/>
        <v>2024</v>
      </c>
      <c r="F1439" s="126">
        <f>_xlfn.XLOOKUP(D565,'3. Input (des)investeringen '!$B$11:$B$89,'3. Input (des)investeringen '!$E$11:$E$89)</f>
        <v>1</v>
      </c>
    </row>
    <row r="1440" spans="1:6" s="121" customFormat="1">
      <c r="A1440"/>
      <c r="B1440">
        <v>549</v>
      </c>
      <c r="D1440" s="128">
        <f t="shared" si="37"/>
        <v>3216.3673032260263</v>
      </c>
      <c r="E1440" s="127">
        <f t="shared" si="38"/>
        <v>2024</v>
      </c>
      <c r="F1440" s="126">
        <f>_xlfn.XLOOKUP(D566,'3. Input (des)investeringen '!$B$11:$B$89,'3. Input (des)investeringen '!$E$11:$E$89)</f>
        <v>1</v>
      </c>
    </row>
    <row r="1441" spans="1:6" s="121" customFormat="1">
      <c r="A1441"/>
      <c r="B1441">
        <v>550</v>
      </c>
      <c r="D1441" s="128">
        <f t="shared" si="37"/>
        <v>6284.3835623351079</v>
      </c>
      <c r="E1441" s="127">
        <f t="shared" si="38"/>
        <v>2024</v>
      </c>
      <c r="F1441" s="126">
        <f>_xlfn.XLOOKUP(D567,'3. Input (des)investeringen '!$B$11:$B$89,'3. Input (des)investeringen '!$E$11:$E$89)</f>
        <v>1</v>
      </c>
    </row>
    <row r="1442" spans="1:6" s="121" customFormat="1">
      <c r="A1442"/>
      <c r="B1442">
        <v>551</v>
      </c>
      <c r="D1442" s="128">
        <f t="shared" si="37"/>
        <v>32415.284102353224</v>
      </c>
      <c r="E1442" s="127">
        <f t="shared" si="38"/>
        <v>2024</v>
      </c>
      <c r="F1442" s="126">
        <f>_xlfn.XLOOKUP(D568,'3. Input (des)investeringen '!$B$11:$B$89,'3. Input (des)investeringen '!$E$11:$E$89)</f>
        <v>1</v>
      </c>
    </row>
    <row r="1443" spans="1:6" s="121" customFormat="1">
      <c r="A1443"/>
      <c r="B1443">
        <v>552</v>
      </c>
      <c r="D1443" s="128">
        <f t="shared" si="37"/>
        <v>23015.382994458367</v>
      </c>
      <c r="E1443" s="127">
        <f t="shared" si="38"/>
        <v>2024</v>
      </c>
      <c r="F1443" s="126">
        <f>_xlfn.XLOOKUP(D569,'3. Input (des)investeringen '!$B$11:$B$89,'3. Input (des)investeringen '!$E$11:$E$89)</f>
        <v>1</v>
      </c>
    </row>
    <row r="1444" spans="1:6" s="121" customFormat="1">
      <c r="A1444"/>
      <c r="B1444">
        <v>553</v>
      </c>
      <c r="D1444" s="128">
        <f t="shared" si="37"/>
        <v>263456.56406587327</v>
      </c>
      <c r="E1444" s="127">
        <f t="shared" si="38"/>
        <v>2024</v>
      </c>
      <c r="F1444" s="126">
        <f>_xlfn.XLOOKUP(D570,'3. Input (des)investeringen '!$B$11:$B$89,'3. Input (des)investeringen '!$E$11:$E$89)</f>
        <v>1</v>
      </c>
    </row>
    <row r="1445" spans="1:6" s="121" customFormat="1">
      <c r="A1445"/>
      <c r="B1445">
        <v>554</v>
      </c>
      <c r="D1445" s="128">
        <f t="shared" si="37"/>
        <v>119924.33919369486</v>
      </c>
      <c r="E1445" s="127">
        <f t="shared" si="38"/>
        <v>2024</v>
      </c>
      <c r="F1445" s="126">
        <f>_xlfn.XLOOKUP(D571,'3. Input (des)investeringen '!$B$11:$B$89,'3. Input (des)investeringen '!$E$11:$E$89)</f>
        <v>1</v>
      </c>
    </row>
    <row r="1446" spans="1:6" s="121" customFormat="1">
      <c r="A1446"/>
      <c r="B1446">
        <v>555</v>
      </c>
      <c r="D1446" s="128">
        <f t="shared" si="37"/>
        <v>13764.766335803799</v>
      </c>
      <c r="E1446" s="127">
        <f t="shared" si="38"/>
        <v>2024</v>
      </c>
      <c r="F1446" s="126">
        <f>_xlfn.XLOOKUP(D572,'3. Input (des)investeringen '!$B$11:$B$89,'3. Input (des)investeringen '!$E$11:$E$89)</f>
        <v>1</v>
      </c>
    </row>
    <row r="1447" spans="1:6" s="121" customFormat="1">
      <c r="A1447"/>
      <c r="B1447">
        <v>556</v>
      </c>
      <c r="D1447" s="128">
        <f t="shared" si="37"/>
        <v>118333.76583087603</v>
      </c>
      <c r="E1447" s="127">
        <f t="shared" si="38"/>
        <v>2024</v>
      </c>
      <c r="F1447" s="126">
        <f>_xlfn.XLOOKUP(D573,'3. Input (des)investeringen '!$B$11:$B$89,'3. Input (des)investeringen '!$E$11:$E$89)</f>
        <v>1</v>
      </c>
    </row>
    <row r="1448" spans="1:6" s="121" customFormat="1">
      <c r="A1448"/>
      <c r="B1448">
        <v>557</v>
      </c>
      <c r="D1448" s="128">
        <f t="shared" si="37"/>
        <v>8682.6254684833093</v>
      </c>
      <c r="E1448" s="127">
        <f t="shared" si="38"/>
        <v>2024</v>
      </c>
      <c r="F1448" s="126">
        <f>_xlfn.XLOOKUP(D574,'3. Input (des)investeringen '!$B$11:$B$89,'3. Input (des)investeringen '!$E$11:$E$89)</f>
        <v>1</v>
      </c>
    </row>
    <row r="1449" spans="1:6" s="121" customFormat="1">
      <c r="A1449"/>
      <c r="B1449">
        <v>558</v>
      </c>
      <c r="D1449" s="128">
        <f t="shared" si="37"/>
        <v>9836.0613679468897</v>
      </c>
      <c r="E1449" s="127">
        <f t="shared" si="38"/>
        <v>2024</v>
      </c>
      <c r="F1449" s="126">
        <f>_xlfn.XLOOKUP(D575,'3. Input (des)investeringen '!$B$11:$B$89,'3. Input (des)investeringen '!$E$11:$E$89)</f>
        <v>1</v>
      </c>
    </row>
    <row r="1450" spans="1:6" s="121" customFormat="1">
      <c r="A1450"/>
      <c r="B1450">
        <v>559</v>
      </c>
      <c r="D1450" s="128">
        <f t="shared" si="37"/>
        <v>555220.92492177081</v>
      </c>
      <c r="E1450" s="127">
        <f t="shared" si="38"/>
        <v>2024</v>
      </c>
      <c r="F1450" s="126">
        <f>_xlfn.XLOOKUP(D576,'3. Input (des)investeringen '!$B$11:$B$89,'3. Input (des)investeringen '!$E$11:$E$89)</f>
        <v>1</v>
      </c>
    </row>
    <row r="1451" spans="1:6" s="121" customFormat="1">
      <c r="A1451"/>
      <c r="B1451">
        <v>560</v>
      </c>
      <c r="D1451" s="128">
        <f t="shared" si="37"/>
        <v>728226.26839461981</v>
      </c>
      <c r="E1451" s="127">
        <f t="shared" si="38"/>
        <v>2024</v>
      </c>
      <c r="F1451" s="126">
        <f>_xlfn.XLOOKUP(D577,'3. Input (des)investeringen '!$B$11:$B$89,'3. Input (des)investeringen '!$E$11:$E$89)</f>
        <v>1</v>
      </c>
    </row>
    <row r="1452" spans="1:6" s="121" customFormat="1">
      <c r="A1452"/>
      <c r="B1452">
        <v>561</v>
      </c>
      <c r="D1452" s="128">
        <f t="shared" si="37"/>
        <v>4903.706090913427</v>
      </c>
      <c r="E1452" s="127">
        <f t="shared" si="38"/>
        <v>2024</v>
      </c>
      <c r="F1452" s="126">
        <f>_xlfn.XLOOKUP(D578,'3. Input (des)investeringen '!$B$11:$B$89,'3. Input (des)investeringen '!$E$11:$E$89)</f>
        <v>1</v>
      </c>
    </row>
    <row r="1453" spans="1:6" s="121" customFormat="1">
      <c r="A1453"/>
      <c r="B1453">
        <v>562</v>
      </c>
      <c r="D1453" s="128">
        <f t="shared" si="37"/>
        <v>539292.01560998033</v>
      </c>
      <c r="E1453" s="127">
        <f t="shared" si="38"/>
        <v>2024</v>
      </c>
      <c r="F1453" s="126">
        <f>_xlfn.XLOOKUP(D579,'3. Input (des)investeringen '!$B$11:$B$89,'3. Input (des)investeringen '!$E$11:$E$89)</f>
        <v>1</v>
      </c>
    </row>
    <row r="1454" spans="1:6" s="121" customFormat="1">
      <c r="A1454"/>
      <c r="B1454">
        <v>563</v>
      </c>
      <c r="D1454" s="128">
        <f t="shared" si="37"/>
        <v>472229.67684477632</v>
      </c>
      <c r="E1454" s="127">
        <f t="shared" si="38"/>
        <v>2024</v>
      </c>
      <c r="F1454" s="126">
        <f>_xlfn.XLOOKUP(D580,'3. Input (des)investeringen '!$B$11:$B$89,'3. Input (des)investeringen '!$E$11:$E$89)</f>
        <v>0</v>
      </c>
    </row>
    <row r="1455" spans="1:6" s="121" customFormat="1">
      <c r="A1455"/>
      <c r="B1455">
        <v>564</v>
      </c>
      <c r="D1455" s="128">
        <f t="shared" si="37"/>
        <v>1341668.5157588478</v>
      </c>
      <c r="E1455" s="127">
        <f t="shared" si="38"/>
        <v>2024</v>
      </c>
      <c r="F1455" s="126">
        <f>_xlfn.XLOOKUP(D581,'3. Input (des)investeringen '!$B$11:$B$89,'3. Input (des)investeringen '!$E$11:$E$89)</f>
        <v>0</v>
      </c>
    </row>
    <row r="1456" spans="1:6" s="121" customFormat="1">
      <c r="A1456"/>
      <c r="B1456">
        <v>565</v>
      </c>
      <c r="D1456" s="128">
        <f t="shared" si="37"/>
        <v>251186.46384481736</v>
      </c>
      <c r="E1456" s="127">
        <f t="shared" si="38"/>
        <v>2024</v>
      </c>
      <c r="F1456" s="126">
        <f>_xlfn.XLOOKUP(D582,'3. Input (des)investeringen '!$B$11:$B$89,'3. Input (des)investeringen '!$E$11:$E$89)</f>
        <v>0</v>
      </c>
    </row>
    <row r="1457" spans="1:6" s="121" customFormat="1">
      <c r="A1457"/>
      <c r="B1457">
        <v>566</v>
      </c>
      <c r="D1457" s="128">
        <f t="shared" si="37"/>
        <v>307857.56495191442</v>
      </c>
      <c r="E1457" s="127">
        <f t="shared" si="38"/>
        <v>2024</v>
      </c>
      <c r="F1457" s="126">
        <f>_xlfn.XLOOKUP(D583,'3. Input (des)investeringen '!$B$11:$B$89,'3. Input (des)investeringen '!$E$11:$E$89)</f>
        <v>0</v>
      </c>
    </row>
    <row r="1458" spans="1:6" s="121" customFormat="1">
      <c r="A1458"/>
      <c r="B1458">
        <v>567</v>
      </c>
      <c r="D1458" s="128">
        <f t="shared" si="37"/>
        <v>854488.73977776384</v>
      </c>
      <c r="E1458" s="127">
        <f t="shared" si="38"/>
        <v>2024</v>
      </c>
      <c r="F1458" s="126">
        <f>_xlfn.XLOOKUP(D584,'3. Input (des)investeringen '!$B$11:$B$89,'3. Input (des)investeringen '!$E$11:$E$89)</f>
        <v>0</v>
      </c>
    </row>
    <row r="1459" spans="1:6" s="121" customFormat="1">
      <c r="A1459"/>
      <c r="B1459">
        <v>568</v>
      </c>
      <c r="D1459" s="128">
        <f t="shared" si="37"/>
        <v>124040.61942271306</v>
      </c>
      <c r="E1459" s="127">
        <f t="shared" si="38"/>
        <v>2024</v>
      </c>
      <c r="F1459" s="126">
        <f>_xlfn.XLOOKUP(D585,'3. Input (des)investeringen '!$B$11:$B$89,'3. Input (des)investeringen '!$E$11:$E$89)</f>
        <v>0</v>
      </c>
    </row>
    <row r="1460" spans="1:6" s="121" customFormat="1">
      <c r="A1460"/>
      <c r="B1460">
        <v>569</v>
      </c>
      <c r="D1460" s="128">
        <f t="shared" si="37"/>
        <v>126363.3983644284</v>
      </c>
      <c r="E1460" s="127">
        <f t="shared" si="38"/>
        <v>2024</v>
      </c>
      <c r="F1460" s="126">
        <f>_xlfn.XLOOKUP(D586,'3. Input (des)investeringen '!$B$11:$B$89,'3. Input (des)investeringen '!$E$11:$E$89)</f>
        <v>0</v>
      </c>
    </row>
    <row r="1461" spans="1:6" s="121" customFormat="1">
      <c r="A1461"/>
      <c r="B1461">
        <v>570</v>
      </c>
      <c r="D1461" s="128">
        <f t="shared" si="37"/>
        <v>45614.245736906945</v>
      </c>
      <c r="E1461" s="127">
        <f t="shared" si="38"/>
        <v>2024</v>
      </c>
      <c r="F1461" s="126">
        <f>_xlfn.XLOOKUP(D587,'3. Input (des)investeringen '!$B$11:$B$89,'3. Input (des)investeringen '!$E$11:$E$89)</f>
        <v>0</v>
      </c>
    </row>
    <row r="1462" spans="1:6" s="121" customFormat="1">
      <c r="A1462"/>
      <c r="B1462">
        <v>571</v>
      </c>
      <c r="D1462" s="128">
        <f t="shared" si="37"/>
        <v>95042.794204831822</v>
      </c>
      <c r="E1462" s="127">
        <f t="shared" si="38"/>
        <v>2024</v>
      </c>
      <c r="F1462" s="126">
        <f>_xlfn.XLOOKUP(D588,'3. Input (des)investeringen '!$B$11:$B$89,'3. Input (des)investeringen '!$E$11:$E$89)</f>
        <v>0</v>
      </c>
    </row>
    <row r="1463" spans="1:6" s="121" customFormat="1">
      <c r="A1463"/>
      <c r="B1463">
        <v>572</v>
      </c>
      <c r="D1463" s="128">
        <f t="shared" si="37"/>
        <v>176193.62627460301</v>
      </c>
      <c r="E1463" s="127">
        <f t="shared" si="38"/>
        <v>2024</v>
      </c>
      <c r="F1463" s="126">
        <f>_xlfn.XLOOKUP(D589,'3. Input (des)investeringen '!$B$11:$B$89,'3. Input (des)investeringen '!$E$11:$E$89)</f>
        <v>0</v>
      </c>
    </row>
    <row r="1464" spans="1:6" s="121" customFormat="1">
      <c r="A1464"/>
      <c r="B1464">
        <v>573</v>
      </c>
      <c r="D1464" s="128">
        <f t="shared" si="37"/>
        <v>340269.45129559742</v>
      </c>
      <c r="E1464" s="127">
        <f t="shared" si="38"/>
        <v>2024</v>
      </c>
      <c r="F1464" s="126">
        <f>_xlfn.XLOOKUP(D590,'3. Input (des)investeringen '!$B$11:$B$89,'3. Input (des)investeringen '!$E$11:$E$89)</f>
        <v>0</v>
      </c>
    </row>
    <row r="1465" spans="1:6" s="121" customFormat="1">
      <c r="A1465"/>
      <c r="B1465">
        <v>574</v>
      </c>
      <c r="D1465" s="128">
        <f t="shared" si="37"/>
        <v>37018.006536978632</v>
      </c>
      <c r="E1465" s="127">
        <f t="shared" si="38"/>
        <v>2024</v>
      </c>
      <c r="F1465" s="126">
        <f>_xlfn.XLOOKUP(D591,'3. Input (des)investeringen '!$B$11:$B$89,'3. Input (des)investeringen '!$E$11:$E$89)</f>
        <v>0</v>
      </c>
    </row>
    <row r="1466" spans="1:6" s="121" customFormat="1">
      <c r="A1466"/>
      <c r="B1466">
        <v>575</v>
      </c>
      <c r="D1466" s="128">
        <f t="shared" si="37"/>
        <v>19437.393612553362</v>
      </c>
      <c r="E1466" s="127">
        <f t="shared" si="38"/>
        <v>2024</v>
      </c>
      <c r="F1466" s="126">
        <f>_xlfn.XLOOKUP(D592,'3. Input (des)investeringen '!$B$11:$B$89,'3. Input (des)investeringen '!$E$11:$E$89)</f>
        <v>0</v>
      </c>
    </row>
    <row r="1467" spans="1:6" s="121" customFormat="1">
      <c r="A1467"/>
      <c r="B1467">
        <v>576</v>
      </c>
      <c r="D1467" s="128">
        <f t="shared" si="37"/>
        <v>243100.25504462249</v>
      </c>
      <c r="E1467" s="127">
        <f t="shared" si="38"/>
        <v>2024</v>
      </c>
      <c r="F1467" s="126">
        <f>_xlfn.XLOOKUP(D593,'3. Input (des)investeringen '!$B$11:$B$89,'3. Input (des)investeringen '!$E$11:$E$89)</f>
        <v>0</v>
      </c>
    </row>
    <row r="1468" spans="1:6" s="121" customFormat="1">
      <c r="A1468"/>
      <c r="B1468">
        <v>577</v>
      </c>
      <c r="D1468" s="128">
        <f t="shared" ref="D1468:D1526" si="39">F594*INDEX($E$807:$CG$887,E594-1945,G594-1945)</f>
        <v>56187.916475241742</v>
      </c>
      <c r="E1468" s="127">
        <f t="shared" ref="E1468:E1531" si="40">G594</f>
        <v>2024</v>
      </c>
      <c r="F1468" s="126">
        <f>_xlfn.XLOOKUP(D594,'3. Input (des)investeringen '!$B$11:$B$89,'3. Input (des)investeringen '!$E$11:$E$89)</f>
        <v>0</v>
      </c>
    </row>
    <row r="1469" spans="1:6" s="121" customFormat="1">
      <c r="A1469"/>
      <c r="B1469">
        <v>578</v>
      </c>
      <c r="D1469" s="128">
        <f t="shared" si="39"/>
        <v>40646.939390168955</v>
      </c>
      <c r="E1469" s="127">
        <f t="shared" si="40"/>
        <v>2024</v>
      </c>
      <c r="F1469" s="126">
        <f>_xlfn.XLOOKUP(D595,'3. Input (des)investeringen '!$B$11:$B$89,'3. Input (des)investeringen '!$E$11:$E$89)</f>
        <v>0</v>
      </c>
    </row>
    <row r="1470" spans="1:6" s="121" customFormat="1">
      <c r="A1470"/>
      <c r="B1470">
        <v>579</v>
      </c>
      <c r="D1470" s="128">
        <f t="shared" si="39"/>
        <v>149339.64013513218</v>
      </c>
      <c r="E1470" s="127">
        <f t="shared" si="40"/>
        <v>2024</v>
      </c>
      <c r="F1470" s="126">
        <f>_xlfn.XLOOKUP(D596,'3. Input (des)investeringen '!$B$11:$B$89,'3. Input (des)investeringen '!$E$11:$E$89)</f>
        <v>0</v>
      </c>
    </row>
    <row r="1471" spans="1:6" s="121" customFormat="1">
      <c r="A1471"/>
      <c r="B1471">
        <v>580</v>
      </c>
      <c r="D1471" s="128">
        <f t="shared" si="39"/>
        <v>57528.032366164291</v>
      </c>
      <c r="E1471" s="127">
        <f t="shared" si="40"/>
        <v>2024</v>
      </c>
      <c r="F1471" s="126">
        <f>_xlfn.XLOOKUP(D597,'3. Input (des)investeringen '!$B$11:$B$89,'3. Input (des)investeringen '!$E$11:$E$89)</f>
        <v>0</v>
      </c>
    </row>
    <row r="1472" spans="1:6" s="121" customFormat="1">
      <c r="A1472"/>
      <c r="B1472">
        <v>581</v>
      </c>
      <c r="D1472" s="128">
        <f t="shared" si="39"/>
        <v>20207.212152952325</v>
      </c>
      <c r="E1472" s="127">
        <f t="shared" si="40"/>
        <v>2024</v>
      </c>
      <c r="F1472" s="126">
        <f>_xlfn.XLOOKUP(D598,'3. Input (des)investeringen '!$B$11:$B$89,'3. Input (des)investeringen '!$E$11:$E$89)</f>
        <v>0</v>
      </c>
    </row>
    <row r="1473" spans="1:6" s="121" customFormat="1">
      <c r="A1473"/>
      <c r="B1473">
        <v>582</v>
      </c>
      <c r="D1473" s="128">
        <f t="shared" si="39"/>
        <v>111937.71473003626</v>
      </c>
      <c r="E1473" s="127">
        <f t="shared" si="40"/>
        <v>2024</v>
      </c>
      <c r="F1473" s="126">
        <f>_xlfn.XLOOKUP(D599,'3. Input (des)investeringen '!$B$11:$B$89,'3. Input (des)investeringen '!$E$11:$E$89)</f>
        <v>1</v>
      </c>
    </row>
    <row r="1474" spans="1:6" s="121" customFormat="1">
      <c r="A1474"/>
      <c r="B1474">
        <v>583</v>
      </c>
      <c r="D1474" s="128">
        <f t="shared" si="39"/>
        <v>1216263.6619135251</v>
      </c>
      <c r="E1474" s="127">
        <f t="shared" si="40"/>
        <v>2024</v>
      </c>
      <c r="F1474" s="126">
        <f>_xlfn.XLOOKUP(D600,'3. Input (des)investeringen '!$B$11:$B$89,'3. Input (des)investeringen '!$E$11:$E$89)</f>
        <v>0</v>
      </c>
    </row>
    <row r="1475" spans="1:6" s="121" customFormat="1">
      <c r="A1475"/>
      <c r="B1475">
        <v>584</v>
      </c>
      <c r="D1475" s="128">
        <f t="shared" si="39"/>
        <v>3078943.1772163478</v>
      </c>
      <c r="E1475" s="127">
        <f t="shared" si="40"/>
        <v>2024</v>
      </c>
      <c r="F1475" s="126">
        <f>_xlfn.XLOOKUP(D601,'3. Input (des)investeringen '!$B$11:$B$89,'3. Input (des)investeringen '!$E$11:$E$89)</f>
        <v>0</v>
      </c>
    </row>
    <row r="1476" spans="1:6" s="121" customFormat="1">
      <c r="A1476"/>
      <c r="B1476">
        <v>585</v>
      </c>
      <c r="D1476" s="128">
        <f t="shared" si="39"/>
        <v>43903.651261405612</v>
      </c>
      <c r="E1476" s="127">
        <f t="shared" si="40"/>
        <v>2024</v>
      </c>
      <c r="F1476" s="126">
        <f>_xlfn.XLOOKUP(D602,'3. Input (des)investeringen '!$B$11:$B$89,'3. Input (des)investeringen '!$E$11:$E$89)</f>
        <v>0</v>
      </c>
    </row>
    <row r="1477" spans="1:6" s="121" customFormat="1">
      <c r="A1477"/>
      <c r="B1477">
        <v>586</v>
      </c>
      <c r="D1477" s="128">
        <f t="shared" si="39"/>
        <v>364734.47275620163</v>
      </c>
      <c r="E1477" s="127">
        <f t="shared" si="40"/>
        <v>2024</v>
      </c>
      <c r="F1477" s="126">
        <f>_xlfn.XLOOKUP(D603,'3. Input (des)investeringen '!$B$11:$B$89,'3. Input (des)investeringen '!$E$11:$E$89)</f>
        <v>0</v>
      </c>
    </row>
    <row r="1478" spans="1:6" s="121" customFormat="1">
      <c r="A1478"/>
      <c r="B1478">
        <v>587</v>
      </c>
      <c r="D1478" s="128">
        <f t="shared" si="39"/>
        <v>227352.80382663046</v>
      </c>
      <c r="E1478" s="127">
        <f t="shared" si="40"/>
        <v>2024</v>
      </c>
      <c r="F1478" s="126">
        <f>_xlfn.XLOOKUP(D604,'3. Input (des)investeringen '!$B$11:$B$89,'3. Input (des)investeringen '!$E$11:$E$89)</f>
        <v>0</v>
      </c>
    </row>
    <row r="1479" spans="1:6" s="121" customFormat="1">
      <c r="A1479"/>
      <c r="B1479">
        <v>588</v>
      </c>
      <c r="D1479" s="128">
        <f t="shared" si="39"/>
        <v>135655.54482780391</v>
      </c>
      <c r="E1479" s="127">
        <f t="shared" si="40"/>
        <v>2024</v>
      </c>
      <c r="F1479" s="126">
        <f>_xlfn.XLOOKUP(D605,'3. Input (des)investeringen '!$B$11:$B$89,'3. Input (des)investeringen '!$E$11:$E$89)</f>
        <v>0</v>
      </c>
    </row>
    <row r="1480" spans="1:6" s="121" customFormat="1">
      <c r="A1480"/>
      <c r="B1480">
        <v>589</v>
      </c>
      <c r="D1480" s="128">
        <f t="shared" si="39"/>
        <v>985150.36757394136</v>
      </c>
      <c r="E1480" s="127">
        <f t="shared" si="40"/>
        <v>2024</v>
      </c>
      <c r="F1480" s="126">
        <f>_xlfn.XLOOKUP(D606,'3. Input (des)investeringen '!$B$11:$B$89,'3. Input (des)investeringen '!$E$11:$E$89)</f>
        <v>0</v>
      </c>
    </row>
    <row r="1481" spans="1:6" s="121" customFormat="1">
      <c r="A1481"/>
      <c r="B1481">
        <v>590</v>
      </c>
      <c r="D1481" s="128">
        <f t="shared" si="39"/>
        <v>153937.53000361333</v>
      </c>
      <c r="E1481" s="127">
        <f t="shared" si="40"/>
        <v>2024</v>
      </c>
      <c r="F1481" s="126">
        <f>_xlfn.XLOOKUP(D607,'3. Input (des)investeringen '!$B$11:$B$89,'3. Input (des)investeringen '!$E$11:$E$89)</f>
        <v>0</v>
      </c>
    </row>
    <row r="1482" spans="1:6" s="121" customFormat="1">
      <c r="A1482"/>
      <c r="B1482">
        <v>591</v>
      </c>
      <c r="D1482" s="128">
        <f t="shared" si="39"/>
        <v>37011.186320728681</v>
      </c>
      <c r="E1482" s="127">
        <f t="shared" si="40"/>
        <v>2024</v>
      </c>
      <c r="F1482" s="126">
        <f>_xlfn.XLOOKUP(D608,'3. Input (des)investeringen '!$B$11:$B$89,'3. Input (des)investeringen '!$E$11:$E$89)</f>
        <v>0</v>
      </c>
    </row>
    <row r="1483" spans="1:6" s="121" customFormat="1">
      <c r="A1483"/>
      <c r="B1483">
        <v>592</v>
      </c>
      <c r="D1483" s="128">
        <f t="shared" si="39"/>
        <v>17270.494018671787</v>
      </c>
      <c r="E1483" s="127">
        <f t="shared" si="40"/>
        <v>2024</v>
      </c>
      <c r="F1483" s="126">
        <f>_xlfn.XLOOKUP(D609,'3. Input (des)investeringen '!$B$11:$B$89,'3. Input (des)investeringen '!$E$11:$E$89)</f>
        <v>0</v>
      </c>
    </row>
    <row r="1484" spans="1:6" s="121" customFormat="1">
      <c r="A1484"/>
      <c r="B1484">
        <v>593</v>
      </c>
      <c r="D1484" s="128">
        <f t="shared" si="39"/>
        <v>5301815.8015589137</v>
      </c>
      <c r="E1484" s="127">
        <f t="shared" si="40"/>
        <v>2024</v>
      </c>
      <c r="F1484" s="126">
        <f>_xlfn.XLOOKUP(D610,'3. Input (des)investeringen '!$B$11:$B$89,'3. Input (des)investeringen '!$E$11:$E$89)</f>
        <v>1</v>
      </c>
    </row>
    <row r="1485" spans="1:6" s="121" customFormat="1">
      <c r="A1485"/>
      <c r="B1485">
        <v>594</v>
      </c>
      <c r="D1485" s="128">
        <f t="shared" si="39"/>
        <v>62852922.254831426</v>
      </c>
      <c r="E1485" s="127">
        <f t="shared" si="40"/>
        <v>2024</v>
      </c>
      <c r="F1485" s="126">
        <f>_xlfn.XLOOKUP(D611,'3. Input (des)investeringen '!$B$11:$B$89,'3. Input (des)investeringen '!$E$11:$E$89)</f>
        <v>1</v>
      </c>
    </row>
    <row r="1486" spans="1:6" s="121" customFormat="1">
      <c r="A1486"/>
      <c r="B1486">
        <v>595</v>
      </c>
      <c r="D1486" s="128">
        <f t="shared" si="39"/>
        <v>17159492.824191242</v>
      </c>
      <c r="E1486" s="127">
        <f t="shared" si="40"/>
        <v>2024</v>
      </c>
      <c r="F1486" s="126">
        <f>_xlfn.XLOOKUP(D612,'3. Input (des)investeringen '!$B$11:$B$89,'3. Input (des)investeringen '!$E$11:$E$89)</f>
        <v>1</v>
      </c>
    </row>
    <row r="1487" spans="1:6" s="121" customFormat="1">
      <c r="A1487"/>
      <c r="B1487">
        <v>596</v>
      </c>
      <c r="D1487" s="128">
        <f t="shared" si="39"/>
        <v>211911.94339047861</v>
      </c>
      <c r="E1487" s="127">
        <f t="shared" si="40"/>
        <v>2024</v>
      </c>
      <c r="F1487" s="126">
        <f>_xlfn.XLOOKUP(D613,'3. Input (des)investeringen '!$B$11:$B$89,'3. Input (des)investeringen '!$E$11:$E$89)</f>
        <v>1</v>
      </c>
    </row>
    <row r="1488" spans="1:6" s="121" customFormat="1">
      <c r="A1488"/>
      <c r="B1488">
        <v>597</v>
      </c>
      <c r="D1488" s="128">
        <f t="shared" si="39"/>
        <v>145611.22492333068</v>
      </c>
      <c r="E1488" s="127">
        <f t="shared" si="40"/>
        <v>2024</v>
      </c>
      <c r="F1488" s="126">
        <f>_xlfn.XLOOKUP(D614,'3. Input (des)investeringen '!$B$11:$B$89,'3. Input (des)investeringen '!$E$11:$E$89)</f>
        <v>1</v>
      </c>
    </row>
    <row r="1489" spans="1:6" s="121" customFormat="1">
      <c r="A1489"/>
      <c r="B1489">
        <v>598</v>
      </c>
      <c r="D1489" s="128">
        <f t="shared" si="39"/>
        <v>14127260.808909208</v>
      </c>
      <c r="E1489" s="127">
        <f t="shared" si="40"/>
        <v>2024</v>
      </c>
      <c r="F1489" s="126">
        <f>_xlfn.XLOOKUP(D615,'3. Input (des)investeringen '!$B$11:$B$89,'3. Input (des)investeringen '!$E$11:$E$89)</f>
        <v>1</v>
      </c>
    </row>
    <row r="1490" spans="1:6" s="121" customFormat="1">
      <c r="A1490"/>
      <c r="B1490">
        <v>599</v>
      </c>
      <c r="D1490" s="128">
        <f t="shared" si="39"/>
        <v>411732.03392921865</v>
      </c>
      <c r="E1490" s="127">
        <f t="shared" si="40"/>
        <v>2024</v>
      </c>
      <c r="F1490" s="126">
        <f>_xlfn.XLOOKUP(D616,'3. Input (des)investeringen '!$B$11:$B$89,'3. Input (des)investeringen '!$E$11:$E$89)</f>
        <v>1</v>
      </c>
    </row>
    <row r="1491" spans="1:6" s="121" customFormat="1">
      <c r="A1491"/>
      <c r="B1491">
        <v>600</v>
      </c>
      <c r="D1491" s="128">
        <f t="shared" si="39"/>
        <v>109663.09871307464</v>
      </c>
      <c r="E1491" s="127">
        <f t="shared" si="40"/>
        <v>2024</v>
      </c>
      <c r="F1491" s="126">
        <f>_xlfn.XLOOKUP(D617,'3. Input (des)investeringen '!$B$11:$B$89,'3. Input (des)investeringen '!$E$11:$E$89)</f>
        <v>1</v>
      </c>
    </row>
    <row r="1492" spans="1:6" s="121" customFormat="1">
      <c r="A1492"/>
      <c r="B1492">
        <v>601</v>
      </c>
      <c r="D1492" s="128">
        <f t="shared" si="39"/>
        <v>60347.123344159125</v>
      </c>
      <c r="E1492" s="127">
        <f t="shared" si="40"/>
        <v>2024</v>
      </c>
      <c r="F1492" s="126">
        <f>_xlfn.XLOOKUP(D618,'3. Input (des)investeringen '!$B$11:$B$89,'3. Input (des)investeringen '!$E$11:$E$89)</f>
        <v>1</v>
      </c>
    </row>
    <row r="1493" spans="1:6" s="121" customFormat="1">
      <c r="A1493"/>
      <c r="B1493">
        <v>602</v>
      </c>
      <c r="D1493" s="128">
        <f t="shared" si="39"/>
        <v>143984.07647664379</v>
      </c>
      <c r="E1493" s="127">
        <f t="shared" si="40"/>
        <v>2024</v>
      </c>
      <c r="F1493" s="126">
        <f>_xlfn.XLOOKUP(D619,'3. Input (des)investeringen '!$B$11:$B$89,'3. Input (des)investeringen '!$E$11:$E$89)</f>
        <v>1</v>
      </c>
    </row>
    <row r="1494" spans="1:6" s="121" customFormat="1">
      <c r="A1494"/>
      <c r="B1494">
        <v>603</v>
      </c>
      <c r="D1494" s="128">
        <f t="shared" si="39"/>
        <v>45668.030797308769</v>
      </c>
      <c r="E1494" s="127">
        <f t="shared" si="40"/>
        <v>2024</v>
      </c>
      <c r="F1494" s="126">
        <f>_xlfn.XLOOKUP(D620,'3. Input (des)investeringen '!$B$11:$B$89,'3. Input (des)investeringen '!$E$11:$E$89)</f>
        <v>1</v>
      </c>
    </row>
    <row r="1495" spans="1:6" s="121" customFormat="1">
      <c r="A1495"/>
      <c r="B1495">
        <v>604</v>
      </c>
      <c r="D1495" s="128">
        <f t="shared" si="39"/>
        <v>57799919.186389856</v>
      </c>
      <c r="E1495" s="127">
        <f t="shared" si="40"/>
        <v>2024</v>
      </c>
      <c r="F1495" s="126">
        <f>_xlfn.XLOOKUP(D621,'3. Input (des)investeringen '!$B$11:$B$89,'3. Input (des)investeringen '!$E$11:$E$89)</f>
        <v>1</v>
      </c>
    </row>
    <row r="1496" spans="1:6" s="121" customFormat="1">
      <c r="A1496"/>
      <c r="B1496">
        <v>605</v>
      </c>
      <c r="D1496" s="128">
        <f t="shared" si="39"/>
        <v>470626.14397873112</v>
      </c>
      <c r="E1496" s="127">
        <f t="shared" si="40"/>
        <v>2024</v>
      </c>
      <c r="F1496" s="126">
        <f>_xlfn.XLOOKUP(D622,'3. Input (des)investeringen '!$B$11:$B$89,'3. Input (des)investeringen '!$E$11:$E$89)</f>
        <v>1</v>
      </c>
    </row>
    <row r="1497" spans="1:6" s="121" customFormat="1">
      <c r="A1497"/>
      <c r="B1497">
        <v>606</v>
      </c>
      <c r="D1497" s="128">
        <f t="shared" si="39"/>
        <v>75589.04602804454</v>
      </c>
      <c r="E1497" s="127">
        <f t="shared" si="40"/>
        <v>2024</v>
      </c>
      <c r="F1497" s="126">
        <f>_xlfn.XLOOKUP(D623,'3. Input (des)investeringen '!$B$11:$B$89,'3. Input (des)investeringen '!$E$11:$E$89)</f>
        <v>1</v>
      </c>
    </row>
    <row r="1498" spans="1:6" s="121" customFormat="1">
      <c r="A1498"/>
      <c r="B1498">
        <v>607</v>
      </c>
      <c r="D1498" s="128">
        <f t="shared" si="39"/>
        <v>762522.0659628826</v>
      </c>
      <c r="E1498" s="127">
        <f t="shared" si="40"/>
        <v>2024</v>
      </c>
      <c r="F1498" s="126">
        <f>_xlfn.XLOOKUP(D624,'3. Input (des)investeringen '!$B$11:$B$89,'3. Input (des)investeringen '!$E$11:$E$89)</f>
        <v>1</v>
      </c>
    </row>
    <row r="1499" spans="1:6" s="121" customFormat="1">
      <c r="A1499"/>
      <c r="B1499">
        <v>608</v>
      </c>
      <c r="D1499" s="128">
        <f t="shared" si="39"/>
        <v>874582.48480662529</v>
      </c>
      <c r="E1499" s="127">
        <f t="shared" si="40"/>
        <v>2024</v>
      </c>
      <c r="F1499" s="126">
        <f>_xlfn.XLOOKUP(D625,'3. Input (des)investeringen '!$B$11:$B$89,'3. Input (des)investeringen '!$E$11:$E$89)</f>
        <v>1</v>
      </c>
    </row>
    <row r="1500" spans="1:6" s="121" customFormat="1">
      <c r="A1500"/>
      <c r="B1500">
        <v>609</v>
      </c>
      <c r="D1500" s="128">
        <f t="shared" si="39"/>
        <v>542520.05493636371</v>
      </c>
      <c r="E1500" s="127">
        <f t="shared" si="40"/>
        <v>2024</v>
      </c>
      <c r="F1500" s="126">
        <f>_xlfn.XLOOKUP(D626,'3. Input (des)investeringen '!$B$11:$B$89,'3. Input (des)investeringen '!$E$11:$E$89)</f>
        <v>1</v>
      </c>
    </row>
    <row r="1501" spans="1:6" s="121" customFormat="1">
      <c r="A1501"/>
      <c r="B1501">
        <v>610</v>
      </c>
      <c r="D1501" s="128">
        <f t="shared" si="39"/>
        <v>2078131.7841124595</v>
      </c>
      <c r="E1501" s="127">
        <f t="shared" si="40"/>
        <v>2024</v>
      </c>
      <c r="F1501" s="126">
        <f>_xlfn.XLOOKUP(D627,'3. Input (des)investeringen '!$B$11:$B$89,'3. Input (des)investeringen '!$E$11:$E$89)</f>
        <v>1</v>
      </c>
    </row>
    <row r="1502" spans="1:6" s="121" customFormat="1">
      <c r="A1502"/>
      <c r="B1502">
        <v>611</v>
      </c>
      <c r="D1502" s="128">
        <f t="shared" si="39"/>
        <v>1614100.6668574503</v>
      </c>
      <c r="E1502" s="127">
        <f t="shared" si="40"/>
        <v>2024</v>
      </c>
      <c r="F1502" s="126">
        <f>_xlfn.XLOOKUP(D628,'3. Input (des)investeringen '!$B$11:$B$89,'3. Input (des)investeringen '!$E$11:$E$89)</f>
        <v>1</v>
      </c>
    </row>
    <row r="1503" spans="1:6" s="121" customFormat="1">
      <c r="A1503"/>
      <c r="B1503">
        <v>612</v>
      </c>
      <c r="D1503" s="128">
        <f t="shared" si="39"/>
        <v>4231677.7396503771</v>
      </c>
      <c r="E1503" s="127">
        <f t="shared" si="40"/>
        <v>2024</v>
      </c>
      <c r="F1503" s="126">
        <f>_xlfn.XLOOKUP(D629,'3. Input (des)investeringen '!$B$11:$B$89,'3. Input (des)investeringen '!$E$11:$E$89)</f>
        <v>1</v>
      </c>
    </row>
    <row r="1504" spans="1:6" s="121" customFormat="1">
      <c r="A1504"/>
      <c r="B1504">
        <v>613</v>
      </c>
      <c r="D1504" s="128">
        <f t="shared" si="39"/>
        <v>4414757.8608861342</v>
      </c>
      <c r="E1504" s="127">
        <f t="shared" si="40"/>
        <v>2024</v>
      </c>
      <c r="F1504" s="126">
        <f>_xlfn.XLOOKUP(D630,'3. Input (des)investeringen '!$B$11:$B$89,'3. Input (des)investeringen '!$E$11:$E$89)</f>
        <v>1</v>
      </c>
    </row>
    <row r="1505" spans="1:6" s="121" customFormat="1">
      <c r="A1505"/>
      <c r="B1505">
        <v>614</v>
      </c>
      <c r="D1505" s="128">
        <f t="shared" si="39"/>
        <v>437708.67102006235</v>
      </c>
      <c r="E1505" s="127">
        <f t="shared" si="40"/>
        <v>2024</v>
      </c>
      <c r="F1505" s="126">
        <f>_xlfn.XLOOKUP(D631,'3. Input (des)investeringen '!$B$11:$B$89,'3. Input (des)investeringen '!$E$11:$E$89)</f>
        <v>1</v>
      </c>
    </row>
    <row r="1506" spans="1:6" s="121" customFormat="1">
      <c r="A1506"/>
      <c r="B1506">
        <v>615</v>
      </c>
      <c r="D1506" s="128">
        <f t="shared" si="39"/>
        <v>333386.71316266886</v>
      </c>
      <c r="E1506" s="127">
        <f t="shared" si="40"/>
        <v>2024</v>
      </c>
      <c r="F1506" s="126">
        <f>_xlfn.XLOOKUP(D632,'3. Input (des)investeringen '!$B$11:$B$89,'3. Input (des)investeringen '!$E$11:$E$89)</f>
        <v>1</v>
      </c>
    </row>
    <row r="1507" spans="1:6" s="121" customFormat="1">
      <c r="A1507"/>
      <c r="B1507">
        <v>616</v>
      </c>
      <c r="D1507" s="128">
        <f t="shared" si="39"/>
        <v>1979385.9470383527</v>
      </c>
      <c r="E1507" s="127">
        <f t="shared" si="40"/>
        <v>2024</v>
      </c>
      <c r="F1507" s="126">
        <f>_xlfn.XLOOKUP(D633,'3. Input (des)investeringen '!$B$11:$B$89,'3. Input (des)investeringen '!$E$11:$E$89)</f>
        <v>1</v>
      </c>
    </row>
    <row r="1508" spans="1:6" s="121" customFormat="1">
      <c r="A1508"/>
      <c r="B1508">
        <v>617</v>
      </c>
      <c r="D1508" s="128">
        <f t="shared" si="39"/>
        <v>7159903.0505077969</v>
      </c>
      <c r="E1508" s="127">
        <f t="shared" si="40"/>
        <v>2024</v>
      </c>
      <c r="F1508" s="126">
        <f>_xlfn.XLOOKUP(D634,'3. Input (des)investeringen '!$B$11:$B$89,'3. Input (des)investeringen '!$E$11:$E$89)</f>
        <v>1</v>
      </c>
    </row>
    <row r="1509" spans="1:6" s="121" customFormat="1">
      <c r="A1509"/>
      <c r="B1509">
        <v>618</v>
      </c>
      <c r="D1509" s="128">
        <f t="shared" si="39"/>
        <v>74629.265167178659</v>
      </c>
      <c r="E1509" s="127">
        <f t="shared" si="40"/>
        <v>2024</v>
      </c>
      <c r="F1509" s="126">
        <f>_xlfn.XLOOKUP(D635,'3. Input (des)investeringen '!$B$11:$B$89,'3. Input (des)investeringen '!$E$11:$E$89)</f>
        <v>1</v>
      </c>
    </row>
    <row r="1510" spans="1:6" s="121" customFormat="1">
      <c r="A1510"/>
      <c r="B1510">
        <v>619</v>
      </c>
      <c r="D1510" s="128">
        <f t="shared" si="39"/>
        <v>7239669.4251530087</v>
      </c>
      <c r="E1510" s="127">
        <f t="shared" si="40"/>
        <v>2024</v>
      </c>
      <c r="F1510" s="126">
        <f>_xlfn.XLOOKUP(D636,'3. Input (des)investeringen '!$B$11:$B$89,'3. Input (des)investeringen '!$E$11:$E$89)</f>
        <v>1</v>
      </c>
    </row>
    <row r="1511" spans="1:6" s="121" customFormat="1">
      <c r="A1511"/>
      <c r="B1511">
        <v>620</v>
      </c>
      <c r="D1511" s="128">
        <f t="shared" si="39"/>
        <v>2134110.8715248764</v>
      </c>
      <c r="E1511" s="127">
        <f t="shared" si="40"/>
        <v>2024</v>
      </c>
      <c r="F1511" s="126">
        <f>_xlfn.XLOOKUP(D637,'3. Input (des)investeringen '!$B$11:$B$89,'3. Input (des)investeringen '!$E$11:$E$89)</f>
        <v>1</v>
      </c>
    </row>
    <row r="1512" spans="1:6" s="121" customFormat="1">
      <c r="A1512"/>
      <c r="B1512">
        <v>621</v>
      </c>
      <c r="D1512" s="128">
        <f t="shared" si="39"/>
        <v>548430.84486086131</v>
      </c>
      <c r="E1512" s="127">
        <f t="shared" si="40"/>
        <v>2024</v>
      </c>
      <c r="F1512" s="126">
        <f>_xlfn.XLOOKUP(D638,'3. Input (des)investeringen '!$B$11:$B$89,'3. Input (des)investeringen '!$E$11:$E$89)</f>
        <v>1</v>
      </c>
    </row>
    <row r="1513" spans="1:6" s="121" customFormat="1">
      <c r="A1513"/>
      <c r="B1513">
        <v>622</v>
      </c>
      <c r="D1513" s="128">
        <f t="shared" si="39"/>
        <v>12840682.30635125</v>
      </c>
      <c r="E1513" s="127">
        <f t="shared" si="40"/>
        <v>2024</v>
      </c>
      <c r="F1513" s="126">
        <f>_xlfn.XLOOKUP(D639,'3. Input (des)investeringen '!$B$11:$B$89,'3. Input (des)investeringen '!$E$11:$E$89)</f>
        <v>1</v>
      </c>
    </row>
    <row r="1514" spans="1:6" s="121" customFormat="1">
      <c r="A1514"/>
      <c r="B1514">
        <v>623</v>
      </c>
      <c r="D1514" s="128">
        <f t="shared" si="39"/>
        <v>293349.00595699152</v>
      </c>
      <c r="E1514" s="127">
        <f t="shared" si="40"/>
        <v>2024</v>
      </c>
      <c r="F1514" s="126">
        <f>_xlfn.XLOOKUP(D640,'3. Input (des)investeringen '!$B$11:$B$89,'3. Input (des)investeringen '!$E$11:$E$89)</f>
        <v>1</v>
      </c>
    </row>
    <row r="1515" spans="1:6" s="121" customFormat="1">
      <c r="A1515"/>
      <c r="B1515">
        <v>624</v>
      </c>
      <c r="D1515" s="128">
        <f t="shared" si="39"/>
        <v>20998127.740403332</v>
      </c>
      <c r="E1515" s="127">
        <f t="shared" si="40"/>
        <v>2024</v>
      </c>
      <c r="F1515" s="126">
        <f>_xlfn.XLOOKUP(D641,'3. Input (des)investeringen '!$B$11:$B$89,'3. Input (des)investeringen '!$E$11:$E$89)</f>
        <v>1</v>
      </c>
    </row>
    <row r="1516" spans="1:6" s="121" customFormat="1">
      <c r="A1516"/>
      <c r="B1516">
        <v>625</v>
      </c>
      <c r="D1516" s="128">
        <f t="shared" si="39"/>
        <v>163313.75382603268</v>
      </c>
      <c r="E1516" s="127">
        <f t="shared" si="40"/>
        <v>2024</v>
      </c>
      <c r="F1516" s="126">
        <f>_xlfn.XLOOKUP(D642,'3. Input (des)investeringen '!$B$11:$B$89,'3. Input (des)investeringen '!$E$11:$E$89)</f>
        <v>1</v>
      </c>
    </row>
    <row r="1517" spans="1:6" s="121" customFormat="1">
      <c r="A1517"/>
      <c r="B1517">
        <v>626</v>
      </c>
      <c r="D1517" s="128">
        <f t="shared" si="39"/>
        <v>111126.30477577953</v>
      </c>
      <c r="E1517" s="127">
        <f t="shared" si="40"/>
        <v>2024</v>
      </c>
      <c r="F1517" s="126">
        <f>_xlfn.XLOOKUP(D643,'3. Input (des)investeringen '!$B$11:$B$89,'3. Input (des)investeringen '!$E$11:$E$89)</f>
        <v>0</v>
      </c>
    </row>
    <row r="1518" spans="1:6" s="121" customFormat="1">
      <c r="A1518"/>
      <c r="B1518">
        <v>627</v>
      </c>
      <c r="D1518" s="128">
        <f t="shared" si="39"/>
        <v>209822.27949994101</v>
      </c>
      <c r="E1518" s="127">
        <f t="shared" si="40"/>
        <v>2024</v>
      </c>
      <c r="F1518" s="126">
        <f>_xlfn.XLOOKUP(D644,'3. Input (des)investeringen '!$B$11:$B$89,'3. Input (des)investeringen '!$E$11:$E$89)</f>
        <v>0</v>
      </c>
    </row>
    <row r="1519" spans="1:6" s="121" customFormat="1">
      <c r="A1519"/>
      <c r="B1519">
        <v>628</v>
      </c>
      <c r="D1519" s="128">
        <f t="shared" si="39"/>
        <v>30414.811158507579</v>
      </c>
      <c r="E1519" s="127">
        <f t="shared" si="40"/>
        <v>2024</v>
      </c>
      <c r="F1519" s="126">
        <f>_xlfn.XLOOKUP(D645,'3. Input (des)investeringen '!$B$11:$B$89,'3. Input (des)investeringen '!$E$11:$E$89)</f>
        <v>0</v>
      </c>
    </row>
    <row r="1520" spans="1:6" s="121" customFormat="1">
      <c r="A1520"/>
      <c r="B1520">
        <v>629</v>
      </c>
      <c r="D1520" s="128">
        <f t="shared" si="39"/>
        <v>72299.483968800036</v>
      </c>
      <c r="E1520" s="127">
        <f t="shared" si="40"/>
        <v>2024</v>
      </c>
      <c r="F1520" s="126">
        <f>_xlfn.XLOOKUP(D646,'3. Input (des)investeringen '!$B$11:$B$89,'3. Input (des)investeringen '!$E$11:$E$89)</f>
        <v>0</v>
      </c>
    </row>
    <row r="1521" spans="1:6" s="121" customFormat="1">
      <c r="A1521"/>
      <c r="B1521">
        <v>630</v>
      </c>
      <c r="D1521" s="128">
        <f t="shared" si="39"/>
        <v>229964.43070982173</v>
      </c>
      <c r="E1521" s="127">
        <f t="shared" si="40"/>
        <v>2024</v>
      </c>
      <c r="F1521" s="126">
        <f>_xlfn.XLOOKUP(D647,'3. Input (des)investeringen '!$B$11:$B$89,'3. Input (des)investeringen '!$E$11:$E$89)</f>
        <v>0</v>
      </c>
    </row>
    <row r="1522" spans="1:6" s="121" customFormat="1">
      <c r="A1522"/>
      <c r="B1522">
        <v>631</v>
      </c>
      <c r="D1522" s="128">
        <f t="shared" si="39"/>
        <v>80367.180895925572</v>
      </c>
      <c r="E1522" s="127">
        <f t="shared" si="40"/>
        <v>2024</v>
      </c>
      <c r="F1522" s="126">
        <f>_xlfn.XLOOKUP(D648,'3. Input (des)investeringen '!$B$11:$B$89,'3. Input (des)investeringen '!$E$11:$E$89)</f>
        <v>0</v>
      </c>
    </row>
    <row r="1523" spans="1:6" s="121" customFormat="1">
      <c r="A1523"/>
      <c r="B1523">
        <v>632</v>
      </c>
      <c r="D1523" s="128">
        <f t="shared" si="39"/>
        <v>161474.03145727274</v>
      </c>
      <c r="E1523" s="127">
        <f t="shared" si="40"/>
        <v>2024</v>
      </c>
      <c r="F1523" s="126">
        <f>_xlfn.XLOOKUP(D649,'3. Input (des)investeringen '!$B$11:$B$89,'3. Input (des)investeringen '!$E$11:$E$89)</f>
        <v>0</v>
      </c>
    </row>
    <row r="1524" spans="1:6" s="121" customFormat="1">
      <c r="A1524"/>
      <c r="B1524">
        <v>633</v>
      </c>
      <c r="D1524" s="128">
        <f t="shared" si="39"/>
        <v>145347.34813364185</v>
      </c>
      <c r="E1524" s="127">
        <f t="shared" si="40"/>
        <v>2024</v>
      </c>
      <c r="F1524" s="126">
        <f>_xlfn.XLOOKUP(D650,'3. Input (des)investeringen '!$B$11:$B$89,'3. Input (des)investeringen '!$E$11:$E$89)</f>
        <v>0</v>
      </c>
    </row>
    <row r="1525" spans="1:6" s="121" customFormat="1">
      <c r="A1525"/>
      <c r="B1525">
        <v>634</v>
      </c>
      <c r="D1525" s="128">
        <f t="shared" si="39"/>
        <v>253959.2233117416</v>
      </c>
      <c r="E1525" s="127">
        <f t="shared" si="40"/>
        <v>2024</v>
      </c>
      <c r="F1525" s="126">
        <f>_xlfn.XLOOKUP(D651,'3. Input (des)investeringen '!$B$11:$B$89,'3. Input (des)investeringen '!$E$11:$E$89)</f>
        <v>1</v>
      </c>
    </row>
    <row r="1526" spans="1:6" s="121" customFormat="1">
      <c r="A1526"/>
      <c r="B1526">
        <v>635</v>
      </c>
      <c r="D1526" s="128">
        <f t="shared" si="39"/>
        <v>44400.751979526118</v>
      </c>
      <c r="E1526" s="127">
        <f t="shared" si="40"/>
        <v>2024</v>
      </c>
      <c r="F1526" s="126">
        <f>_xlfn.XLOOKUP(D652,'3. Input (des)investeringen '!$B$11:$B$89,'3. Input (des)investeringen '!$E$11:$E$89)</f>
        <v>1</v>
      </c>
    </row>
    <row r="1527" spans="1:6" s="121" customFormat="1">
      <c r="A1527"/>
      <c r="B1527">
        <v>636</v>
      </c>
      <c r="D1527" s="128">
        <f t="shared" ref="D1527:D1558" si="41">F653*INDEX($E$807:$CG$887,E653-1945,G653-1945)</f>
        <v>135615.51907538407</v>
      </c>
      <c r="E1527" s="127">
        <f t="shared" si="40"/>
        <v>2024</v>
      </c>
      <c r="F1527" s="126">
        <f>_xlfn.XLOOKUP(D653,'3. Input (des)investeringen '!$B$11:$B$89,'3. Input (des)investeringen '!$E$11:$E$89)</f>
        <v>1</v>
      </c>
    </row>
    <row r="1528" spans="1:6" s="121" customFormat="1">
      <c r="A1528" s="3"/>
      <c r="B1528">
        <v>637</v>
      </c>
      <c r="D1528" s="128">
        <f t="shared" si="41"/>
        <v>160731.9399931191</v>
      </c>
      <c r="E1528" s="127">
        <f t="shared" si="40"/>
        <v>2024</v>
      </c>
      <c r="F1528" s="126">
        <f>_xlfn.XLOOKUP(D654,'3. Input (des)investeringen '!$B$11:$B$89,'3. Input (des)investeringen '!$E$11:$E$89)</f>
        <v>1</v>
      </c>
    </row>
    <row r="1529" spans="1:6" s="121" customFormat="1">
      <c r="A1529" s="3"/>
      <c r="B1529">
        <v>638</v>
      </c>
      <c r="D1529" s="128">
        <f t="shared" si="41"/>
        <v>48052.833482000133</v>
      </c>
      <c r="E1529" s="127">
        <f t="shared" si="40"/>
        <v>2024</v>
      </c>
      <c r="F1529" s="126">
        <f>_xlfn.XLOOKUP(D655,'3. Input (des)investeringen '!$B$11:$B$89,'3. Input (des)investeringen '!$E$11:$E$89)</f>
        <v>1</v>
      </c>
    </row>
    <row r="1530" spans="1:6" s="121" customFormat="1">
      <c r="A1530" s="3"/>
      <c r="B1530">
        <v>639</v>
      </c>
      <c r="D1530" s="128">
        <f t="shared" si="41"/>
        <v>260339.04092527876</v>
      </c>
      <c r="E1530" s="127">
        <f t="shared" si="40"/>
        <v>2024</v>
      </c>
      <c r="F1530" s="126">
        <f>_xlfn.XLOOKUP(D656,'3. Input (des)investeringen '!$B$11:$B$89,'3. Input (des)investeringen '!$E$11:$E$89)</f>
        <v>1</v>
      </c>
    </row>
    <row r="1531" spans="1:6" s="121" customFormat="1">
      <c r="A1531" s="3"/>
      <c r="B1531">
        <v>640</v>
      </c>
      <c r="D1531" s="128">
        <f t="shared" si="41"/>
        <v>71917.782611901479</v>
      </c>
      <c r="E1531" s="127">
        <f t="shared" si="40"/>
        <v>2024</v>
      </c>
      <c r="F1531" s="126">
        <f>_xlfn.XLOOKUP(D657,'3. Input (des)investeringen '!$B$11:$B$89,'3. Input (des)investeringen '!$E$11:$E$89)</f>
        <v>1</v>
      </c>
    </row>
    <row r="1532" spans="1:6" s="121" customFormat="1">
      <c r="A1532" s="3"/>
      <c r="B1532">
        <v>641</v>
      </c>
      <c r="D1532" s="128">
        <f t="shared" si="41"/>
        <v>25076.077850351056</v>
      </c>
      <c r="E1532" s="127">
        <f t="shared" ref="E1532:E1563" si="42">G658</f>
        <v>2024</v>
      </c>
      <c r="F1532" s="126">
        <f>_xlfn.XLOOKUP(D658,'3. Input (des)investeringen '!$B$11:$B$89,'3. Input (des)investeringen '!$E$11:$E$89)</f>
        <v>1</v>
      </c>
    </row>
    <row r="1533" spans="1:6" s="121" customFormat="1">
      <c r="A1533" s="3"/>
      <c r="B1533">
        <v>642</v>
      </c>
      <c r="D1533" s="128">
        <f t="shared" si="41"/>
        <v>31332.211305845765</v>
      </c>
      <c r="E1533" s="127">
        <f t="shared" si="42"/>
        <v>2024</v>
      </c>
      <c r="F1533" s="126">
        <f>_xlfn.XLOOKUP(D659,'3. Input (des)investeringen '!$B$11:$B$89,'3. Input (des)investeringen '!$E$11:$E$89)</f>
        <v>1</v>
      </c>
    </row>
    <row r="1534" spans="1:6" s="121" customFormat="1">
      <c r="A1534" s="3"/>
      <c r="B1534">
        <v>643</v>
      </c>
      <c r="D1534" s="128">
        <f t="shared" si="41"/>
        <v>100712.26368000002</v>
      </c>
      <c r="E1534" s="127">
        <f t="shared" si="42"/>
        <v>2024</v>
      </c>
      <c r="F1534" s="126">
        <f>_xlfn.XLOOKUP(D660,'3. Input (des)investeringen '!$B$11:$B$89,'3. Input (des)investeringen '!$E$11:$E$89)</f>
        <v>1</v>
      </c>
    </row>
    <row r="1535" spans="1:6" s="121" customFormat="1">
      <c r="A1535" s="3"/>
      <c r="B1535">
        <v>644</v>
      </c>
      <c r="D1535" s="128">
        <f t="shared" si="41"/>
        <v>518134.22387007735</v>
      </c>
      <c r="E1535" s="127">
        <f t="shared" si="42"/>
        <v>2024</v>
      </c>
      <c r="F1535" s="126">
        <f>_xlfn.XLOOKUP(D661,'3. Input (des)investeringen '!$B$11:$B$89,'3. Input (des)investeringen '!$E$11:$E$89)</f>
        <v>1</v>
      </c>
    </row>
    <row r="1536" spans="1:6" s="121" customFormat="1">
      <c r="A1536" s="3"/>
      <c r="B1536">
        <v>645</v>
      </c>
      <c r="D1536" s="128">
        <f t="shared" si="41"/>
        <v>105239.71077357125</v>
      </c>
      <c r="E1536" s="127">
        <f t="shared" si="42"/>
        <v>2024</v>
      </c>
      <c r="F1536" s="126">
        <f>_xlfn.XLOOKUP(D662,'3. Input (des)investeringen '!$B$11:$B$89,'3. Input (des)investeringen '!$E$11:$E$89)</f>
        <v>1</v>
      </c>
    </row>
    <row r="1537" spans="1:6" s="121" customFormat="1">
      <c r="A1537" s="3"/>
      <c r="B1537">
        <v>646</v>
      </c>
      <c r="D1537" s="128">
        <f t="shared" si="41"/>
        <v>48671.500527957382</v>
      </c>
      <c r="E1537" s="127">
        <f t="shared" si="42"/>
        <v>2024</v>
      </c>
      <c r="F1537" s="126">
        <f>_xlfn.XLOOKUP(D663,'3. Input (des)investeringen '!$B$11:$B$89,'3. Input (des)investeringen '!$E$11:$E$89)</f>
        <v>1</v>
      </c>
    </row>
    <row r="1538" spans="1:6" s="121" customFormat="1">
      <c r="A1538" s="3"/>
      <c r="B1538">
        <v>647</v>
      </c>
      <c r="D1538" s="128">
        <f t="shared" si="41"/>
        <v>47773.672656387018</v>
      </c>
      <c r="E1538" s="127">
        <f t="shared" si="42"/>
        <v>2024</v>
      </c>
      <c r="F1538" s="126">
        <f>_xlfn.XLOOKUP(D664,'3. Input (des)investeringen '!$B$11:$B$89,'3. Input (des)investeringen '!$E$11:$E$89)</f>
        <v>1</v>
      </c>
    </row>
    <row r="1539" spans="1:6" s="121" customFormat="1">
      <c r="A1539" s="3"/>
      <c r="B1539">
        <v>648</v>
      </c>
      <c r="D1539" s="128">
        <f t="shared" si="41"/>
        <v>23708.586158674614</v>
      </c>
      <c r="E1539" s="127">
        <f t="shared" si="42"/>
        <v>2024</v>
      </c>
      <c r="F1539" s="126">
        <f>_xlfn.XLOOKUP(D665,'3. Input (des)investeringen '!$B$11:$B$89,'3. Input (des)investeringen '!$E$11:$E$89)</f>
        <v>1</v>
      </c>
    </row>
    <row r="1540" spans="1:6" s="121" customFormat="1">
      <c r="A1540" s="3"/>
      <c r="B1540">
        <v>649</v>
      </c>
      <c r="D1540" s="128">
        <f t="shared" si="41"/>
        <v>0.10372788852452536</v>
      </c>
      <c r="E1540" s="127">
        <f t="shared" si="42"/>
        <v>2025</v>
      </c>
      <c r="F1540" s="126">
        <f>_xlfn.XLOOKUP(D666,'3. Input (des)investeringen '!$B$11:$B$89,'3. Input (des)investeringen '!$E$11:$E$89)</f>
        <v>1</v>
      </c>
    </row>
    <row r="1541" spans="1:6" s="121" customFormat="1">
      <c r="A1541" s="3"/>
      <c r="B1541">
        <v>650</v>
      </c>
      <c r="D1541" s="128">
        <f t="shared" si="41"/>
        <v>559891.59391123429</v>
      </c>
      <c r="E1541" s="127">
        <f t="shared" si="42"/>
        <v>2025</v>
      </c>
      <c r="F1541" s="126">
        <f>_xlfn.XLOOKUP(D667,'3. Input (des)investeringen '!$B$11:$B$89,'3. Input (des)investeringen '!$E$11:$E$89)</f>
        <v>1</v>
      </c>
    </row>
    <row r="1542" spans="1:6" s="121" customFormat="1">
      <c r="A1542" s="3"/>
      <c r="B1542">
        <v>651</v>
      </c>
      <c r="D1542" s="128">
        <f t="shared" si="41"/>
        <v>418294.60799465654</v>
      </c>
      <c r="E1542" s="127">
        <f t="shared" si="42"/>
        <v>2025</v>
      </c>
      <c r="F1542" s="126">
        <f>_xlfn.XLOOKUP(D668,'3. Input (des)investeringen '!$B$11:$B$89,'3. Input (des)investeringen '!$E$11:$E$89)</f>
        <v>1</v>
      </c>
    </row>
    <row r="1543" spans="1:6" s="121" customFormat="1">
      <c r="A1543" s="3"/>
      <c r="B1543">
        <v>652</v>
      </c>
      <c r="D1543" s="128">
        <f t="shared" si="41"/>
        <v>49779.66951148137</v>
      </c>
      <c r="E1543" s="127">
        <f t="shared" si="42"/>
        <v>2025</v>
      </c>
      <c r="F1543" s="126">
        <f>_xlfn.XLOOKUP(D669,'3. Input (des)investeringen '!$B$11:$B$89,'3. Input (des)investeringen '!$E$11:$E$89)</f>
        <v>1</v>
      </c>
    </row>
    <row r="1544" spans="1:6" s="121" customFormat="1">
      <c r="A1544" s="3"/>
      <c r="B1544">
        <v>653</v>
      </c>
      <c r="D1544" s="128">
        <f t="shared" si="41"/>
        <v>350751.96585377463</v>
      </c>
      <c r="E1544" s="127">
        <f t="shared" si="42"/>
        <v>2025</v>
      </c>
      <c r="F1544" s="126">
        <f>_xlfn.XLOOKUP(D670,'3. Input (des)investeringen '!$B$11:$B$89,'3. Input (des)investeringen '!$E$11:$E$89)</f>
        <v>1</v>
      </c>
    </row>
    <row r="1545" spans="1:6" s="121" customFormat="1">
      <c r="A1545" s="3"/>
      <c r="B1545">
        <v>654</v>
      </c>
      <c r="D1545" s="128">
        <f t="shared" si="41"/>
        <v>79013.464848231029</v>
      </c>
      <c r="E1545" s="127">
        <f t="shared" si="42"/>
        <v>2025</v>
      </c>
      <c r="F1545" s="126">
        <f>_xlfn.XLOOKUP(D671,'3. Input (des)investeringen '!$B$11:$B$89,'3. Input (des)investeringen '!$E$11:$E$89)</f>
        <v>1</v>
      </c>
    </row>
    <row r="1546" spans="1:6" s="121" customFormat="1">
      <c r="A1546" s="3"/>
      <c r="B1546">
        <v>655</v>
      </c>
      <c r="D1546" s="128">
        <f t="shared" si="41"/>
        <v>734762.06077520701</v>
      </c>
      <c r="E1546" s="127">
        <f t="shared" si="42"/>
        <v>2025</v>
      </c>
      <c r="F1546" s="126">
        <f>_xlfn.XLOOKUP(D672,'3. Input (des)investeringen '!$B$11:$B$89,'3. Input (des)investeringen '!$E$11:$E$89)</f>
        <v>1</v>
      </c>
    </row>
    <row r="1547" spans="1:6" s="121" customFormat="1">
      <c r="A1547" s="3"/>
      <c r="B1547">
        <v>656</v>
      </c>
      <c r="D1547" s="128">
        <f t="shared" si="41"/>
        <v>162744.2969813066</v>
      </c>
      <c r="E1547" s="127">
        <f t="shared" si="42"/>
        <v>2025</v>
      </c>
      <c r="F1547" s="126">
        <f>_xlfn.XLOOKUP(D673,'3. Input (des)investeringen '!$B$11:$B$89,'3. Input (des)investeringen '!$E$11:$E$89)</f>
        <v>1</v>
      </c>
    </row>
    <row r="1548" spans="1:6" s="121" customFormat="1">
      <c r="A1548" s="3"/>
      <c r="B1548">
        <v>657</v>
      </c>
      <c r="D1548" s="128">
        <f t="shared" si="41"/>
        <v>883662.25347816164</v>
      </c>
      <c r="E1548" s="127">
        <f t="shared" si="42"/>
        <v>2025</v>
      </c>
      <c r="F1548" s="126">
        <f>_xlfn.XLOOKUP(D674,'3. Input (des)investeringen '!$B$11:$B$89,'3. Input (des)investeringen '!$E$11:$E$89)</f>
        <v>1</v>
      </c>
    </row>
    <row r="1549" spans="1:6" s="121" customFormat="1">
      <c r="A1549" s="3"/>
      <c r="B1549">
        <v>658</v>
      </c>
      <c r="D1549" s="128">
        <f t="shared" si="41"/>
        <v>632300.32831052307</v>
      </c>
      <c r="E1549" s="127">
        <f t="shared" si="42"/>
        <v>2025</v>
      </c>
      <c r="F1549" s="126">
        <f>_xlfn.XLOOKUP(D675,'3. Input (des)investeringen '!$B$11:$B$89,'3. Input (des)investeringen '!$E$11:$E$89)</f>
        <v>1</v>
      </c>
    </row>
    <row r="1550" spans="1:6" s="121" customFormat="1">
      <c r="A1550" s="3"/>
      <c r="B1550">
        <v>659</v>
      </c>
      <c r="D1550" s="128">
        <f t="shared" si="41"/>
        <v>2480841.6192225819</v>
      </c>
      <c r="E1550" s="127">
        <f t="shared" si="42"/>
        <v>2025</v>
      </c>
      <c r="F1550" s="126">
        <f>_xlfn.XLOOKUP(D676,'3. Input (des)investeringen '!$B$11:$B$89,'3. Input (des)investeringen '!$E$11:$E$89)</f>
        <v>1</v>
      </c>
    </row>
    <row r="1551" spans="1:6" s="121" customFormat="1">
      <c r="A1551" s="3"/>
      <c r="B1551">
        <v>660</v>
      </c>
      <c r="D1551" s="128">
        <f t="shared" si="41"/>
        <v>343256.89928464394</v>
      </c>
      <c r="E1551" s="127">
        <f t="shared" si="42"/>
        <v>2025</v>
      </c>
      <c r="F1551" s="126">
        <f>_xlfn.XLOOKUP(D677,'3. Input (des)investeringen '!$B$11:$B$89,'3. Input (des)investeringen '!$E$11:$E$89)</f>
        <v>1</v>
      </c>
    </row>
    <row r="1552" spans="1:6" s="121" customFormat="1">
      <c r="A1552" s="3"/>
      <c r="B1552">
        <v>661</v>
      </c>
      <c r="D1552" s="128">
        <f t="shared" si="41"/>
        <v>229745.30149565075</v>
      </c>
      <c r="E1552" s="127">
        <f t="shared" si="42"/>
        <v>2025</v>
      </c>
      <c r="F1552" s="126">
        <f>_xlfn.XLOOKUP(D678,'3. Input (des)investeringen '!$B$11:$B$89,'3. Input (des)investeringen '!$E$11:$E$89)</f>
        <v>1</v>
      </c>
    </row>
    <row r="1553" spans="1:6" s="121" customFormat="1">
      <c r="A1553" s="3"/>
      <c r="B1553">
        <v>662</v>
      </c>
      <c r="D1553" s="128">
        <f t="shared" si="41"/>
        <v>429279.52207403985</v>
      </c>
      <c r="E1553" s="127">
        <f t="shared" si="42"/>
        <v>2025</v>
      </c>
      <c r="F1553" s="126">
        <f>_xlfn.XLOOKUP(D679,'3. Input (des)investeringen '!$B$11:$B$89,'3. Input (des)investeringen '!$E$11:$E$89)</f>
        <v>1</v>
      </c>
    </row>
    <row r="1554" spans="1:6" s="121" customFormat="1">
      <c r="A1554" s="3"/>
      <c r="B1554">
        <v>663</v>
      </c>
      <c r="D1554" s="128">
        <f t="shared" si="41"/>
        <v>195676.16141037896</v>
      </c>
      <c r="E1554" s="127">
        <f t="shared" si="42"/>
        <v>2025</v>
      </c>
      <c r="F1554" s="126">
        <f>_xlfn.XLOOKUP(D680,'3. Input (des)investeringen '!$B$11:$B$89,'3. Input (des)investeringen '!$E$11:$E$89)</f>
        <v>1</v>
      </c>
    </row>
    <row r="1555" spans="1:6" s="121" customFormat="1">
      <c r="A1555" s="3"/>
      <c r="B1555">
        <v>664</v>
      </c>
      <c r="D1555" s="128">
        <f t="shared" si="41"/>
        <v>183473.0225411093</v>
      </c>
      <c r="E1555" s="127">
        <f t="shared" si="42"/>
        <v>2025</v>
      </c>
      <c r="F1555" s="126">
        <f>_xlfn.XLOOKUP(D681,'3. Input (des)investeringen '!$B$11:$B$89,'3. Input (des)investeringen '!$E$11:$E$89)</f>
        <v>1</v>
      </c>
    </row>
    <row r="1556" spans="1:6" s="121" customFormat="1">
      <c r="A1556" s="3"/>
      <c r="B1556">
        <v>665</v>
      </c>
      <c r="D1556" s="128">
        <f t="shared" si="41"/>
        <v>167097.47043816879</v>
      </c>
      <c r="E1556" s="127">
        <f t="shared" si="42"/>
        <v>2025</v>
      </c>
      <c r="F1556" s="126">
        <f>_xlfn.XLOOKUP(D682,'3. Input (des)investeringen '!$B$11:$B$89,'3. Input (des)investeringen '!$E$11:$E$89)</f>
        <v>1</v>
      </c>
    </row>
    <row r="1557" spans="1:6" s="121" customFormat="1">
      <c r="A1557" s="3"/>
      <c r="B1557">
        <v>666</v>
      </c>
      <c r="D1557" s="128">
        <f t="shared" si="41"/>
        <v>139377.86188801783</v>
      </c>
      <c r="E1557" s="127">
        <f t="shared" si="42"/>
        <v>2025</v>
      </c>
      <c r="F1557" s="126">
        <f>_xlfn.XLOOKUP(D683,'3. Input (des)investeringen '!$B$11:$B$89,'3. Input (des)investeringen '!$E$11:$E$89)</f>
        <v>1</v>
      </c>
    </row>
    <row r="1558" spans="1:6" s="121" customFormat="1">
      <c r="A1558" s="3"/>
      <c r="B1558">
        <v>667</v>
      </c>
      <c r="D1558" s="128">
        <f t="shared" si="41"/>
        <v>130503.61600001677</v>
      </c>
      <c r="E1558" s="127">
        <f t="shared" si="42"/>
        <v>2025</v>
      </c>
      <c r="F1558" s="126">
        <f>_xlfn.XLOOKUP(D684,'3. Input (des)investeringen '!$B$11:$B$89,'3. Input (des)investeringen '!$E$11:$E$89)</f>
        <v>1</v>
      </c>
    </row>
    <row r="1559" spans="1:6" s="121" customFormat="1">
      <c r="A1559" s="3"/>
      <c r="B1559">
        <v>668</v>
      </c>
      <c r="D1559" s="128">
        <f t="shared" ref="D1559:D1590" si="43">F685*INDEX($E$807:$CG$887,E685-1945,G685-1945)</f>
        <v>119488.86374952631</v>
      </c>
      <c r="E1559" s="127">
        <f t="shared" si="42"/>
        <v>2025</v>
      </c>
      <c r="F1559" s="126">
        <f>_xlfn.XLOOKUP(D685,'3. Input (des)investeringen '!$B$11:$B$89,'3. Input (des)investeringen '!$E$11:$E$89)</f>
        <v>1</v>
      </c>
    </row>
    <row r="1560" spans="1:6" s="121" customFormat="1">
      <c r="A1560" s="3"/>
      <c r="B1560">
        <v>669</v>
      </c>
      <c r="D1560" s="128">
        <f t="shared" si="43"/>
        <v>115830.86985540371</v>
      </c>
      <c r="E1560" s="127">
        <f t="shared" si="42"/>
        <v>2025</v>
      </c>
      <c r="F1560" s="126">
        <f>_xlfn.XLOOKUP(D686,'3. Input (des)investeringen '!$B$11:$B$89,'3. Input (des)investeringen '!$E$11:$E$89)</f>
        <v>1</v>
      </c>
    </row>
    <row r="1561" spans="1:6" s="121" customFormat="1">
      <c r="A1561" s="3"/>
      <c r="B1561">
        <v>670</v>
      </c>
      <c r="D1561" s="128">
        <f t="shared" si="43"/>
        <v>48968.681822657381</v>
      </c>
      <c r="E1561" s="127">
        <f t="shared" si="42"/>
        <v>2025</v>
      </c>
      <c r="F1561" s="126">
        <f>_xlfn.XLOOKUP(D687,'3. Input (des)investeringen '!$B$11:$B$89,'3. Input (des)investeringen '!$E$11:$E$89)</f>
        <v>1</v>
      </c>
    </row>
    <row r="1562" spans="1:6" s="121" customFormat="1">
      <c r="A1562" s="3"/>
      <c r="B1562">
        <v>671</v>
      </c>
      <c r="D1562" s="128">
        <f t="shared" si="43"/>
        <v>57308.939516068116</v>
      </c>
      <c r="E1562" s="127">
        <f t="shared" si="42"/>
        <v>2025</v>
      </c>
      <c r="F1562" s="126">
        <f>_xlfn.XLOOKUP(D688,'3. Input (des)investeringen '!$B$11:$B$89,'3. Input (des)investeringen '!$E$11:$E$89)</f>
        <v>1</v>
      </c>
    </row>
    <row r="1563" spans="1:6" s="121" customFormat="1">
      <c r="A1563" s="3"/>
      <c r="B1563">
        <v>672</v>
      </c>
      <c r="D1563" s="128">
        <f t="shared" si="43"/>
        <v>83697.203696818629</v>
      </c>
      <c r="E1563" s="127">
        <f t="shared" si="42"/>
        <v>2025</v>
      </c>
      <c r="F1563" s="126">
        <f>_xlfn.XLOOKUP(D689,'3. Input (des)investeringen '!$B$11:$B$89,'3. Input (des)investeringen '!$E$11:$E$89)</f>
        <v>1</v>
      </c>
    </row>
    <row r="1564" spans="1:6" s="121" customFormat="1">
      <c r="A1564" s="3"/>
      <c r="B1564">
        <v>673</v>
      </c>
      <c r="D1564" s="128">
        <f t="shared" si="43"/>
        <v>34550.718403401741</v>
      </c>
      <c r="E1564" s="127">
        <f t="shared" ref="E1564:E1595" si="44">G690</f>
        <v>2025</v>
      </c>
      <c r="F1564" s="126">
        <f>_xlfn.XLOOKUP(D690,'3. Input (des)investeringen '!$B$11:$B$89,'3. Input (des)investeringen '!$E$11:$E$89)</f>
        <v>1</v>
      </c>
    </row>
    <row r="1565" spans="1:6" s="121" customFormat="1">
      <c r="A1565" s="3"/>
      <c r="B1565">
        <v>674</v>
      </c>
      <c r="D1565" s="128">
        <f t="shared" si="43"/>
        <v>11546.235880947081</v>
      </c>
      <c r="E1565" s="127">
        <f t="shared" si="44"/>
        <v>2025</v>
      </c>
      <c r="F1565" s="126">
        <f>_xlfn.XLOOKUP(D691,'3. Input (des)investeringen '!$B$11:$B$89,'3. Input (des)investeringen '!$E$11:$E$89)</f>
        <v>1</v>
      </c>
    </row>
    <row r="1566" spans="1:6" s="121" customFormat="1">
      <c r="A1566" s="3"/>
      <c r="B1566">
        <v>675</v>
      </c>
      <c r="D1566" s="128">
        <f t="shared" si="43"/>
        <v>11759.941377619944</v>
      </c>
      <c r="E1566" s="127">
        <f t="shared" si="44"/>
        <v>2025</v>
      </c>
      <c r="F1566" s="126">
        <f>_xlfn.XLOOKUP(D692,'3. Input (des)investeringen '!$B$11:$B$89,'3. Input (des)investeringen '!$E$11:$E$89)</f>
        <v>1</v>
      </c>
    </row>
    <row r="1567" spans="1:6" s="121" customFormat="1">
      <c r="A1567" s="3"/>
      <c r="B1567">
        <v>676</v>
      </c>
      <c r="D1567" s="128">
        <f t="shared" si="43"/>
        <v>776170.58592619933</v>
      </c>
      <c r="E1567" s="127">
        <f t="shared" si="44"/>
        <v>2025</v>
      </c>
      <c r="F1567" s="126">
        <f>_xlfn.XLOOKUP(D693,'3. Input (des)investeringen '!$B$11:$B$89,'3. Input (des)investeringen '!$E$11:$E$89)</f>
        <v>1</v>
      </c>
    </row>
    <row r="1568" spans="1:6" s="121" customFormat="1">
      <c r="A1568" s="3"/>
      <c r="B1568">
        <v>677</v>
      </c>
      <c r="D1568" s="128">
        <f t="shared" si="43"/>
        <v>344500.49143733218</v>
      </c>
      <c r="E1568" s="127">
        <f t="shared" si="44"/>
        <v>2025</v>
      </c>
      <c r="F1568" s="126">
        <f>_xlfn.XLOOKUP(D694,'3. Input (des)investeringen '!$B$11:$B$89,'3. Input (des)investeringen '!$E$11:$E$89)</f>
        <v>1</v>
      </c>
    </row>
    <row r="1569" spans="1:6" s="121" customFormat="1">
      <c r="A1569" s="3"/>
      <c r="B1569">
        <v>678</v>
      </c>
      <c r="D1569" s="128">
        <f t="shared" si="43"/>
        <v>1526987.2787699511</v>
      </c>
      <c r="E1569" s="127">
        <f t="shared" si="44"/>
        <v>2025</v>
      </c>
      <c r="F1569" s="126">
        <f>_xlfn.XLOOKUP(D695,'3. Input (des)investeringen '!$B$11:$B$89,'3. Input (des)investeringen '!$E$11:$E$89)</f>
        <v>1</v>
      </c>
    </row>
    <row r="1570" spans="1:6" s="121" customFormat="1">
      <c r="A1570" s="3"/>
      <c r="B1570">
        <v>679</v>
      </c>
      <c r="D1570" s="128">
        <f t="shared" si="43"/>
        <v>126562.58681388578</v>
      </c>
      <c r="E1570" s="127">
        <f t="shared" si="44"/>
        <v>2025</v>
      </c>
      <c r="F1570" s="126">
        <f>_xlfn.XLOOKUP(D696,'3. Input (des)investeringen '!$B$11:$B$89,'3. Input (des)investeringen '!$E$11:$E$89)</f>
        <v>1</v>
      </c>
    </row>
    <row r="1571" spans="1:6" s="121" customFormat="1">
      <c r="A1571" s="3"/>
      <c r="B1571">
        <v>680</v>
      </c>
      <c r="D1571" s="128">
        <f t="shared" si="43"/>
        <v>839617.63062353432</v>
      </c>
      <c r="E1571" s="127">
        <f t="shared" si="44"/>
        <v>2025</v>
      </c>
      <c r="F1571" s="126">
        <f>_xlfn.XLOOKUP(D697,'3. Input (des)investeringen '!$B$11:$B$89,'3. Input (des)investeringen '!$E$11:$E$89)</f>
        <v>1</v>
      </c>
    </row>
    <row r="1572" spans="1:6" s="121" customFormat="1">
      <c r="A1572" s="3"/>
      <c r="B1572">
        <v>681</v>
      </c>
      <c r="D1572" s="128">
        <f t="shared" si="43"/>
        <v>245051.82372776029</v>
      </c>
      <c r="E1572" s="127">
        <f t="shared" si="44"/>
        <v>2025</v>
      </c>
      <c r="F1572" s="126">
        <f>_xlfn.XLOOKUP(D698,'3. Input (des)investeringen '!$B$11:$B$89,'3. Input (des)investeringen '!$E$11:$E$89)</f>
        <v>1</v>
      </c>
    </row>
    <row r="1573" spans="1:6" s="121" customFormat="1">
      <c r="A1573" s="3"/>
      <c r="B1573">
        <v>682</v>
      </c>
      <c r="D1573" s="128">
        <f t="shared" si="43"/>
        <v>563724.21267183207</v>
      </c>
      <c r="E1573" s="127">
        <f t="shared" si="44"/>
        <v>2025</v>
      </c>
      <c r="F1573" s="126">
        <f>_xlfn.XLOOKUP(D699,'3. Input (des)investeringen '!$B$11:$B$89,'3. Input (des)investeringen '!$E$11:$E$89)</f>
        <v>1</v>
      </c>
    </row>
    <row r="1574" spans="1:6" s="121" customFormat="1">
      <c r="A1574" s="3"/>
      <c r="B1574">
        <v>683</v>
      </c>
      <c r="D1574" s="128">
        <f t="shared" si="43"/>
        <v>-3639.1548202985305</v>
      </c>
      <c r="E1574" s="127">
        <f t="shared" si="44"/>
        <v>2025</v>
      </c>
      <c r="F1574" s="126">
        <f>_xlfn.XLOOKUP(D700,'3. Input (des)investeringen '!$B$11:$B$89,'3. Input (des)investeringen '!$E$11:$E$89)</f>
        <v>1</v>
      </c>
    </row>
    <row r="1575" spans="1:6" s="121" customFormat="1">
      <c r="A1575" s="3"/>
      <c r="B1575">
        <v>684</v>
      </c>
      <c r="D1575" s="128">
        <f t="shared" si="43"/>
        <v>149864.72025350932</v>
      </c>
      <c r="E1575" s="127">
        <f t="shared" si="44"/>
        <v>2025</v>
      </c>
      <c r="F1575" s="126">
        <f>_xlfn.XLOOKUP(D701,'3. Input (des)investeringen '!$B$11:$B$89,'3. Input (des)investeringen '!$E$11:$E$89)</f>
        <v>0</v>
      </c>
    </row>
    <row r="1576" spans="1:6" s="121" customFormat="1">
      <c r="A1576" s="3"/>
      <c r="B1576">
        <v>685</v>
      </c>
      <c r="D1576" s="128">
        <f t="shared" si="43"/>
        <v>490057.65953137679</v>
      </c>
      <c r="E1576" s="127">
        <f t="shared" si="44"/>
        <v>2025</v>
      </c>
      <c r="F1576" s="126">
        <f>_xlfn.XLOOKUP(D702,'3. Input (des)investeringen '!$B$11:$B$89,'3. Input (des)investeringen '!$E$11:$E$89)</f>
        <v>0</v>
      </c>
    </row>
    <row r="1577" spans="1:6" s="121" customFormat="1">
      <c r="A1577" s="3"/>
      <c r="B1577">
        <v>686</v>
      </c>
      <c r="D1577" s="128">
        <f t="shared" si="43"/>
        <v>952246.99572447862</v>
      </c>
      <c r="E1577" s="127">
        <f t="shared" si="44"/>
        <v>2025</v>
      </c>
      <c r="F1577" s="126">
        <f>_xlfn.XLOOKUP(D703,'3. Input (des)investeringen '!$B$11:$B$89,'3. Input (des)investeringen '!$E$11:$E$89)</f>
        <v>0</v>
      </c>
    </row>
    <row r="1578" spans="1:6" s="121" customFormat="1">
      <c r="A1578" s="3"/>
      <c r="B1578">
        <v>687</v>
      </c>
      <c r="D1578" s="128">
        <f t="shared" si="43"/>
        <v>1570980.258812933</v>
      </c>
      <c r="E1578" s="127">
        <f t="shared" si="44"/>
        <v>2025</v>
      </c>
      <c r="F1578" s="126">
        <f>_xlfn.XLOOKUP(D704,'3. Input (des)investeringen '!$B$11:$B$89,'3. Input (des)investeringen '!$E$11:$E$89)</f>
        <v>0</v>
      </c>
    </row>
    <row r="1579" spans="1:6" s="121" customFormat="1">
      <c r="A1579" s="3"/>
      <c r="B1579">
        <v>688</v>
      </c>
      <c r="D1579" s="128">
        <f t="shared" si="43"/>
        <v>1507055.929413344</v>
      </c>
      <c r="E1579" s="127">
        <f t="shared" si="44"/>
        <v>2025</v>
      </c>
      <c r="F1579" s="126">
        <f>_xlfn.XLOOKUP(D705,'3. Input (des)investeringen '!$B$11:$B$89,'3. Input (des)investeringen '!$E$11:$E$89)</f>
        <v>0</v>
      </c>
    </row>
    <row r="1580" spans="1:6" s="121" customFormat="1">
      <c r="A1580" s="3"/>
      <c r="B1580">
        <v>689</v>
      </c>
      <c r="D1580" s="128">
        <f t="shared" si="43"/>
        <v>808807.61200046749</v>
      </c>
      <c r="E1580" s="127">
        <f t="shared" si="44"/>
        <v>2025</v>
      </c>
      <c r="F1580" s="126">
        <f>_xlfn.XLOOKUP(D706,'3. Input (des)investeringen '!$B$11:$B$89,'3. Input (des)investeringen '!$E$11:$E$89)</f>
        <v>0</v>
      </c>
    </row>
    <row r="1581" spans="1:6" s="121" customFormat="1">
      <c r="A1581" s="3"/>
      <c r="B1581">
        <v>690</v>
      </c>
      <c r="D1581" s="128">
        <f t="shared" si="43"/>
        <v>600809.30228666717</v>
      </c>
      <c r="E1581" s="127">
        <f t="shared" si="44"/>
        <v>2025</v>
      </c>
      <c r="F1581" s="126">
        <f>_xlfn.XLOOKUP(D707,'3. Input (des)investeringen '!$B$11:$B$89,'3. Input (des)investeringen '!$E$11:$E$89)</f>
        <v>0</v>
      </c>
    </row>
    <row r="1582" spans="1:6" s="121" customFormat="1">
      <c r="A1582" s="3"/>
      <c r="B1582">
        <v>691</v>
      </c>
      <c r="D1582" s="128">
        <f t="shared" si="43"/>
        <v>104666.93027507057</v>
      </c>
      <c r="E1582" s="127">
        <f t="shared" si="44"/>
        <v>2025</v>
      </c>
      <c r="F1582" s="126">
        <f>_xlfn.XLOOKUP(D708,'3. Input (des)investeringen '!$B$11:$B$89,'3. Input (des)investeringen '!$E$11:$E$89)</f>
        <v>0</v>
      </c>
    </row>
    <row r="1583" spans="1:6" s="121" customFormat="1">
      <c r="A1583" s="3"/>
      <c r="B1583">
        <v>692</v>
      </c>
      <c r="D1583" s="128">
        <f t="shared" si="43"/>
        <v>304271.98165996512</v>
      </c>
      <c r="E1583" s="127">
        <f t="shared" si="44"/>
        <v>2025</v>
      </c>
      <c r="F1583" s="126">
        <f>_xlfn.XLOOKUP(D709,'3. Input (des)investeringen '!$B$11:$B$89,'3. Input (des)investeringen '!$E$11:$E$89)</f>
        <v>0</v>
      </c>
    </row>
    <row r="1584" spans="1:6" s="121" customFormat="1">
      <c r="A1584" s="3"/>
      <c r="B1584">
        <v>693</v>
      </c>
      <c r="D1584" s="128">
        <f t="shared" si="43"/>
        <v>485491.42386366747</v>
      </c>
      <c r="E1584" s="127">
        <f t="shared" si="44"/>
        <v>2025</v>
      </c>
      <c r="F1584" s="126">
        <f>_xlfn.XLOOKUP(D710,'3. Input (des)investeringen '!$B$11:$B$89,'3. Input (des)investeringen '!$E$11:$E$89)</f>
        <v>0</v>
      </c>
    </row>
    <row r="1585" spans="1:6" s="121" customFormat="1">
      <c r="A1585" s="3"/>
      <c r="B1585">
        <v>694</v>
      </c>
      <c r="D1585" s="128">
        <f t="shared" si="43"/>
        <v>426415.19705961761</v>
      </c>
      <c r="E1585" s="127">
        <f t="shared" si="44"/>
        <v>2025</v>
      </c>
      <c r="F1585" s="126">
        <f>_xlfn.XLOOKUP(D711,'3. Input (des)investeringen '!$B$11:$B$89,'3. Input (des)investeringen '!$E$11:$E$89)</f>
        <v>0</v>
      </c>
    </row>
    <row r="1586" spans="1:6" s="121" customFormat="1">
      <c r="A1586" s="3"/>
      <c r="B1586">
        <v>695</v>
      </c>
      <c r="D1586" s="128">
        <f t="shared" si="43"/>
        <v>355488.84670433047</v>
      </c>
      <c r="E1586" s="127">
        <f t="shared" si="44"/>
        <v>2025</v>
      </c>
      <c r="F1586" s="126">
        <f>_xlfn.XLOOKUP(D712,'3. Input (des)investeringen '!$B$11:$B$89,'3. Input (des)investeringen '!$E$11:$E$89)</f>
        <v>0</v>
      </c>
    </row>
    <row r="1587" spans="1:6" s="121" customFormat="1">
      <c r="A1587" s="3"/>
      <c r="B1587">
        <v>696</v>
      </c>
      <c r="D1587" s="128">
        <f t="shared" si="43"/>
        <v>95176.972292796228</v>
      </c>
      <c r="E1587" s="127">
        <f t="shared" si="44"/>
        <v>2025</v>
      </c>
      <c r="F1587" s="126">
        <f>_xlfn.XLOOKUP(D713,'3. Input (des)investeringen '!$B$11:$B$89,'3. Input (des)investeringen '!$E$11:$E$89)</f>
        <v>0</v>
      </c>
    </row>
    <row r="1588" spans="1:6" s="121" customFormat="1">
      <c r="A1588" s="3"/>
      <c r="B1588">
        <v>697</v>
      </c>
      <c r="D1588" s="128">
        <f t="shared" si="43"/>
        <v>45280.282911303584</v>
      </c>
      <c r="E1588" s="127">
        <f t="shared" si="44"/>
        <v>2025</v>
      </c>
      <c r="F1588" s="126">
        <f>_xlfn.XLOOKUP(D714,'3. Input (des)investeringen '!$B$11:$B$89,'3. Input (des)investeringen '!$E$11:$E$89)</f>
        <v>0</v>
      </c>
    </row>
    <row r="1589" spans="1:6" s="121" customFormat="1">
      <c r="A1589" s="3"/>
      <c r="B1589">
        <v>698</v>
      </c>
      <c r="D1589" s="128">
        <f t="shared" si="43"/>
        <v>116935.316001564</v>
      </c>
      <c r="E1589" s="127">
        <f t="shared" si="44"/>
        <v>2025</v>
      </c>
      <c r="F1589" s="126">
        <f>_xlfn.XLOOKUP(D715,'3. Input (des)investeringen '!$B$11:$B$89,'3. Input (des)investeringen '!$E$11:$E$89)</f>
        <v>0</v>
      </c>
    </row>
    <row r="1590" spans="1:6" s="121" customFormat="1">
      <c r="A1590" s="3"/>
      <c r="B1590">
        <v>699</v>
      </c>
      <c r="D1590" s="128">
        <f t="shared" si="43"/>
        <v>41522.537432125864</v>
      </c>
      <c r="E1590" s="127">
        <f t="shared" si="44"/>
        <v>2025</v>
      </c>
      <c r="F1590" s="126">
        <f>_xlfn.XLOOKUP(D716,'3. Input (des)investeringen '!$B$11:$B$89,'3. Input (des)investeringen '!$E$11:$E$89)</f>
        <v>0</v>
      </c>
    </row>
    <row r="1591" spans="1:6" s="121" customFormat="1">
      <c r="A1591" s="3"/>
      <c r="B1591">
        <v>700</v>
      </c>
      <c r="D1591" s="128">
        <f t="shared" ref="D1591:D1622" si="45">F717*INDEX($E$807:$CG$887,E717-1945,G717-1945)</f>
        <v>46618.721559266225</v>
      </c>
      <c r="E1591" s="127">
        <f t="shared" si="44"/>
        <v>2025</v>
      </c>
      <c r="F1591" s="126">
        <f>_xlfn.XLOOKUP(D717,'3. Input (des)investeringen '!$B$11:$B$89,'3. Input (des)investeringen '!$E$11:$E$89)</f>
        <v>0</v>
      </c>
    </row>
    <row r="1592" spans="1:6" s="121" customFormat="1">
      <c r="A1592" s="3"/>
      <c r="B1592">
        <v>701</v>
      </c>
      <c r="D1592" s="128">
        <f t="shared" si="45"/>
        <v>46637.722352015451</v>
      </c>
      <c r="E1592" s="127">
        <f t="shared" si="44"/>
        <v>2025</v>
      </c>
      <c r="F1592" s="126">
        <f>_xlfn.XLOOKUP(D718,'3. Input (des)investeringen '!$B$11:$B$89,'3. Input (des)investeringen '!$E$11:$E$89)</f>
        <v>0</v>
      </c>
    </row>
    <row r="1593" spans="1:6" s="121" customFormat="1">
      <c r="A1593" s="3"/>
      <c r="B1593">
        <v>702</v>
      </c>
      <c r="D1593" s="128">
        <f t="shared" si="45"/>
        <v>171800.97726240935</v>
      </c>
      <c r="E1593" s="127">
        <f t="shared" si="44"/>
        <v>2025</v>
      </c>
      <c r="F1593" s="126">
        <f>_xlfn.XLOOKUP(D719,'3. Input (des)investeringen '!$B$11:$B$89,'3. Input (des)investeringen '!$E$11:$E$89)</f>
        <v>0</v>
      </c>
    </row>
    <row r="1594" spans="1:6" s="121" customFormat="1">
      <c r="A1594" s="3"/>
      <c r="B1594">
        <v>703</v>
      </c>
      <c r="D1594" s="128">
        <f t="shared" si="45"/>
        <v>104030.94098361701</v>
      </c>
      <c r="E1594" s="127">
        <f t="shared" si="44"/>
        <v>2025</v>
      </c>
      <c r="F1594" s="126">
        <f>_xlfn.XLOOKUP(D720,'3. Input (des)investeringen '!$B$11:$B$89,'3. Input (des)investeringen '!$E$11:$E$89)</f>
        <v>0</v>
      </c>
    </row>
    <row r="1595" spans="1:6" s="121" customFormat="1">
      <c r="A1595" s="3"/>
      <c r="B1595">
        <v>704</v>
      </c>
      <c r="D1595" s="128">
        <f t="shared" si="45"/>
        <v>174082.86925249393</v>
      </c>
      <c r="E1595" s="127">
        <f t="shared" si="44"/>
        <v>2025</v>
      </c>
      <c r="F1595" s="126">
        <f>_xlfn.XLOOKUP(D721,'3. Input (des)investeringen '!$B$11:$B$89,'3. Input (des)investeringen '!$E$11:$E$89)</f>
        <v>0</v>
      </c>
    </row>
    <row r="1596" spans="1:6" s="121" customFormat="1">
      <c r="A1596" s="3"/>
      <c r="B1596">
        <v>705</v>
      </c>
      <c r="D1596" s="128">
        <f t="shared" si="45"/>
        <v>323371.97708165855</v>
      </c>
      <c r="E1596" s="127">
        <f t="shared" ref="E1596:E1627" si="46">G722</f>
        <v>2025</v>
      </c>
      <c r="F1596" s="126">
        <f>_xlfn.XLOOKUP(D722,'3. Input (des)investeringen '!$B$11:$B$89,'3. Input (des)investeringen '!$E$11:$E$89)</f>
        <v>0</v>
      </c>
    </row>
    <row r="1597" spans="1:6" s="121" customFormat="1">
      <c r="A1597" s="3"/>
      <c r="B1597">
        <v>706</v>
      </c>
      <c r="D1597" s="128">
        <f t="shared" si="45"/>
        <v>132347.49274265693</v>
      </c>
      <c r="E1597" s="127">
        <f t="shared" si="46"/>
        <v>2025</v>
      </c>
      <c r="F1597" s="126">
        <f>_xlfn.XLOOKUP(D723,'3. Input (des)investeringen '!$B$11:$B$89,'3. Input (des)investeringen '!$E$11:$E$89)</f>
        <v>0</v>
      </c>
    </row>
    <row r="1598" spans="1:6" s="121" customFormat="1">
      <c r="A1598" s="3"/>
      <c r="B1598">
        <v>707</v>
      </c>
      <c r="D1598" s="128">
        <f t="shared" si="45"/>
        <v>306245.07007070532</v>
      </c>
      <c r="E1598" s="127">
        <f t="shared" si="46"/>
        <v>2025</v>
      </c>
      <c r="F1598" s="126">
        <f>_xlfn.XLOOKUP(D724,'3. Input (des)investeringen '!$B$11:$B$89,'3. Input (des)investeringen '!$E$11:$E$89)</f>
        <v>0</v>
      </c>
    </row>
    <row r="1599" spans="1:6" s="121" customFormat="1">
      <c r="A1599" s="3"/>
      <c r="B1599">
        <v>708</v>
      </c>
      <c r="D1599" s="128">
        <f t="shared" si="45"/>
        <v>45033.928675584182</v>
      </c>
      <c r="E1599" s="127">
        <f t="shared" si="46"/>
        <v>2025</v>
      </c>
      <c r="F1599" s="126">
        <f>_xlfn.XLOOKUP(D725,'3. Input (des)investeringen '!$B$11:$B$89,'3. Input (des)investeringen '!$E$11:$E$89)</f>
        <v>0</v>
      </c>
    </row>
    <row r="1600" spans="1:6" s="121" customFormat="1">
      <c r="A1600" s="3"/>
      <c r="B1600">
        <v>709</v>
      </c>
      <c r="D1600" s="128">
        <f t="shared" si="45"/>
        <v>130540.60759928671</v>
      </c>
      <c r="E1600" s="127">
        <f t="shared" si="46"/>
        <v>2025</v>
      </c>
      <c r="F1600" s="126">
        <f>_xlfn.XLOOKUP(D726,'3. Input (des)investeringen '!$B$11:$B$89,'3. Input (des)investeringen '!$E$11:$E$89)</f>
        <v>0</v>
      </c>
    </row>
    <row r="1601" spans="1:6" s="121" customFormat="1">
      <c r="A1601" s="3"/>
      <c r="B1601">
        <v>710</v>
      </c>
      <c r="D1601" s="128">
        <f t="shared" si="45"/>
        <v>44413.5538274309</v>
      </c>
      <c r="E1601" s="127">
        <f t="shared" si="46"/>
        <v>2025</v>
      </c>
      <c r="F1601" s="126">
        <f>_xlfn.XLOOKUP(D727,'3. Input (des)investeringen '!$B$11:$B$89,'3. Input (des)investeringen '!$E$11:$E$89)</f>
        <v>0</v>
      </c>
    </row>
    <row r="1602" spans="1:6" s="121" customFormat="1">
      <c r="A1602" s="3"/>
      <c r="B1602">
        <v>711</v>
      </c>
      <c r="D1602" s="128">
        <f t="shared" si="45"/>
        <v>43458.317428178263</v>
      </c>
      <c r="E1602" s="127">
        <f t="shared" si="46"/>
        <v>2025</v>
      </c>
      <c r="F1602" s="126">
        <f>_xlfn.XLOOKUP(D728,'3. Input (des)investeringen '!$B$11:$B$89,'3. Input (des)investeringen '!$E$11:$E$89)</f>
        <v>0</v>
      </c>
    </row>
    <row r="1603" spans="1:6" s="121" customFormat="1">
      <c r="A1603" s="3"/>
      <c r="B1603">
        <v>712</v>
      </c>
      <c r="D1603" s="128">
        <f t="shared" si="45"/>
        <v>55255.777442748556</v>
      </c>
      <c r="E1603" s="127">
        <f t="shared" si="46"/>
        <v>2025</v>
      </c>
      <c r="F1603" s="126">
        <f>_xlfn.XLOOKUP(D729,'3. Input (des)investeringen '!$B$11:$B$89,'3. Input (des)investeringen '!$E$11:$E$89)</f>
        <v>0</v>
      </c>
    </row>
    <row r="1604" spans="1:6" s="121" customFormat="1">
      <c r="A1604" s="3"/>
      <c r="B1604">
        <v>713</v>
      </c>
      <c r="D1604" s="128">
        <f t="shared" si="45"/>
        <v>144765.92785624959</v>
      </c>
      <c r="E1604" s="127">
        <f t="shared" si="46"/>
        <v>2025</v>
      </c>
      <c r="F1604" s="126">
        <f>_xlfn.XLOOKUP(D730,'3. Input (des)investeringen '!$B$11:$B$89,'3. Input (des)investeringen '!$E$11:$E$89)</f>
        <v>0</v>
      </c>
    </row>
    <row r="1605" spans="1:6" s="121" customFormat="1">
      <c r="A1605" s="3"/>
      <c r="B1605">
        <v>714</v>
      </c>
      <c r="D1605" s="128">
        <f t="shared" si="45"/>
        <v>85009.520432839505</v>
      </c>
      <c r="E1605" s="127">
        <f t="shared" si="46"/>
        <v>2025</v>
      </c>
      <c r="F1605" s="126">
        <f>_xlfn.XLOOKUP(D731,'3. Input (des)investeringen '!$B$11:$B$89,'3. Input (des)investeringen '!$E$11:$E$89)</f>
        <v>0</v>
      </c>
    </row>
    <row r="1606" spans="1:6" s="121" customFormat="1">
      <c r="A1606" s="3"/>
      <c r="B1606">
        <v>715</v>
      </c>
      <c r="D1606" s="128">
        <f t="shared" si="45"/>
        <v>40632.472209608772</v>
      </c>
      <c r="E1606" s="127">
        <f t="shared" si="46"/>
        <v>2025</v>
      </c>
      <c r="F1606" s="126">
        <f>_xlfn.XLOOKUP(D732,'3. Input (des)investeringen '!$B$11:$B$89,'3. Input (des)investeringen '!$E$11:$E$89)</f>
        <v>0</v>
      </c>
    </row>
    <row r="1607" spans="1:6" s="121" customFormat="1">
      <c r="A1607" s="3"/>
      <c r="B1607">
        <v>716</v>
      </c>
      <c r="D1607" s="128">
        <f t="shared" si="45"/>
        <v>121057.00024251235</v>
      </c>
      <c r="E1607" s="127">
        <f t="shared" si="46"/>
        <v>2025</v>
      </c>
      <c r="F1607" s="126">
        <f>_xlfn.XLOOKUP(D733,'3. Input (des)investeringen '!$B$11:$B$89,'3. Input (des)investeringen '!$E$11:$E$89)</f>
        <v>0</v>
      </c>
    </row>
    <row r="1608" spans="1:6" s="121" customFormat="1">
      <c r="A1608" s="3"/>
      <c r="B1608">
        <v>717</v>
      </c>
      <c r="D1608" s="128">
        <f t="shared" si="45"/>
        <v>45810.710612286435</v>
      </c>
      <c r="E1608" s="127">
        <f t="shared" si="46"/>
        <v>2025</v>
      </c>
      <c r="F1608" s="126">
        <f>_xlfn.XLOOKUP(D734,'3. Input (des)investeringen '!$B$11:$B$89,'3. Input (des)investeringen '!$E$11:$E$89)</f>
        <v>0</v>
      </c>
    </row>
    <row r="1609" spans="1:6" s="121" customFormat="1">
      <c r="A1609" s="3"/>
      <c r="B1609">
        <v>718</v>
      </c>
      <c r="D1609" s="128">
        <f t="shared" si="45"/>
        <v>81692.687907044106</v>
      </c>
      <c r="E1609" s="127">
        <f t="shared" si="46"/>
        <v>2025</v>
      </c>
      <c r="F1609" s="126">
        <f>_xlfn.XLOOKUP(D735,'3. Input (des)investeringen '!$B$11:$B$89,'3. Input (des)investeringen '!$E$11:$E$89)</f>
        <v>0</v>
      </c>
    </row>
    <row r="1610" spans="1:6" s="121" customFormat="1">
      <c r="A1610" s="3"/>
      <c r="B1610">
        <v>719</v>
      </c>
      <c r="D1610" s="128">
        <f t="shared" si="45"/>
        <v>-1565.2815240522466</v>
      </c>
      <c r="E1610" s="127">
        <f t="shared" si="46"/>
        <v>2025</v>
      </c>
      <c r="F1610" s="126">
        <f>_xlfn.XLOOKUP(D736,'3. Input (des)investeringen '!$B$11:$B$89,'3. Input (des)investeringen '!$E$11:$E$89)</f>
        <v>0</v>
      </c>
    </row>
    <row r="1611" spans="1:6" s="121" customFormat="1">
      <c r="A1611" s="3"/>
      <c r="B1611">
        <v>720</v>
      </c>
      <c r="D1611" s="128">
        <f t="shared" si="45"/>
        <v>26679.389824626698</v>
      </c>
      <c r="E1611" s="127">
        <f t="shared" si="46"/>
        <v>2025</v>
      </c>
      <c r="F1611" s="126">
        <f>_xlfn.XLOOKUP(D737,'3. Input (des)investeringen '!$B$11:$B$89,'3. Input (des)investeringen '!$E$11:$E$89)</f>
        <v>0</v>
      </c>
    </row>
    <row r="1612" spans="1:6" s="121" customFormat="1">
      <c r="A1612" s="3"/>
      <c r="B1612">
        <v>721</v>
      </c>
      <c r="D1612" s="128">
        <f t="shared" si="45"/>
        <v>70479.297820641819</v>
      </c>
      <c r="E1612" s="127">
        <f t="shared" si="46"/>
        <v>2025</v>
      </c>
      <c r="F1612" s="126">
        <f>_xlfn.XLOOKUP(D738,'3. Input (des)investeringen '!$B$11:$B$89,'3. Input (des)investeringen '!$E$11:$E$89)</f>
        <v>0</v>
      </c>
    </row>
    <row r="1613" spans="1:6" s="121" customFormat="1">
      <c r="A1613" s="3"/>
      <c r="B1613">
        <v>722</v>
      </c>
      <c r="D1613" s="128">
        <f t="shared" si="45"/>
        <v>11035.013466163904</v>
      </c>
      <c r="E1613" s="127">
        <f t="shared" si="46"/>
        <v>2025</v>
      </c>
      <c r="F1613" s="126">
        <f>_xlfn.XLOOKUP(D739,'3. Input (des)investeringen '!$B$11:$B$89,'3. Input (des)investeringen '!$E$11:$E$89)</f>
        <v>0</v>
      </c>
    </row>
    <row r="1614" spans="1:6" s="121" customFormat="1">
      <c r="A1614" s="3"/>
      <c r="B1614">
        <v>723</v>
      </c>
      <c r="D1614" s="128">
        <f t="shared" si="45"/>
        <v>48556.986504079665</v>
      </c>
      <c r="E1614" s="127">
        <f t="shared" si="46"/>
        <v>2025</v>
      </c>
      <c r="F1614" s="126">
        <f>_xlfn.XLOOKUP(D740,'3. Input (des)investeringen '!$B$11:$B$89,'3. Input (des)investeringen '!$E$11:$E$89)</f>
        <v>0</v>
      </c>
    </row>
    <row r="1615" spans="1:6" s="121" customFormat="1">
      <c r="A1615" s="3"/>
      <c r="B1615">
        <v>724</v>
      </c>
      <c r="D1615" s="128">
        <f t="shared" si="45"/>
        <v>113965.06948619294</v>
      </c>
      <c r="E1615" s="127">
        <f t="shared" si="46"/>
        <v>2025</v>
      </c>
      <c r="F1615" s="126">
        <f>_xlfn.XLOOKUP(D741,'3. Input (des)investeringen '!$B$11:$B$89,'3. Input (des)investeringen '!$E$11:$E$89)</f>
        <v>0</v>
      </c>
    </row>
    <row r="1616" spans="1:6" s="121" customFormat="1">
      <c r="A1616" s="3"/>
      <c r="B1616">
        <v>725</v>
      </c>
      <c r="D1616" s="128">
        <f t="shared" si="45"/>
        <v>75286.356834354607</v>
      </c>
      <c r="E1616" s="127">
        <f t="shared" si="46"/>
        <v>2025</v>
      </c>
      <c r="F1616" s="126">
        <f>_xlfn.XLOOKUP(D742,'3. Input (des)investeringen '!$B$11:$B$89,'3. Input (des)investeringen '!$E$11:$E$89)</f>
        <v>0</v>
      </c>
    </row>
    <row r="1617" spans="1:6" s="121" customFormat="1">
      <c r="A1617" s="3"/>
      <c r="B1617">
        <v>726</v>
      </c>
      <c r="D1617" s="128">
        <f t="shared" si="45"/>
        <v>119756.22147134213</v>
      </c>
      <c r="E1617" s="127">
        <f t="shared" si="46"/>
        <v>2025</v>
      </c>
      <c r="F1617" s="126">
        <f>_xlfn.XLOOKUP(D743,'3. Input (des)investeringen '!$B$11:$B$89,'3. Input (des)investeringen '!$E$11:$E$89)</f>
        <v>1</v>
      </c>
    </row>
    <row r="1618" spans="1:6" s="121" customFormat="1">
      <c r="A1618" s="3"/>
      <c r="B1618">
        <v>727</v>
      </c>
      <c r="D1618" s="128">
        <f t="shared" si="45"/>
        <v>7405.6550167475652</v>
      </c>
      <c r="E1618" s="127">
        <f t="shared" si="46"/>
        <v>2025</v>
      </c>
      <c r="F1618" s="126">
        <f>_xlfn.XLOOKUP(D744,'3. Input (des)investeringen '!$B$11:$B$89,'3. Input (des)investeringen '!$E$11:$E$89)</f>
        <v>0</v>
      </c>
    </row>
    <row r="1619" spans="1:6" s="121" customFormat="1">
      <c r="A1619" s="3"/>
      <c r="B1619">
        <v>728</v>
      </c>
      <c r="D1619" s="128">
        <f t="shared" si="45"/>
        <v>392247.87307801074</v>
      </c>
      <c r="E1619" s="127">
        <f t="shared" si="46"/>
        <v>2025</v>
      </c>
      <c r="F1619" s="126">
        <f>_xlfn.XLOOKUP(D745,'3. Input (des)investeringen '!$B$11:$B$89,'3. Input (des)investeringen '!$E$11:$E$89)</f>
        <v>1</v>
      </c>
    </row>
    <row r="1620" spans="1:6" s="121" customFormat="1">
      <c r="A1620" s="3"/>
      <c r="B1620">
        <v>729</v>
      </c>
      <c r="D1620" s="128">
        <f t="shared" si="45"/>
        <v>121165.56375917945</v>
      </c>
      <c r="E1620" s="127">
        <f t="shared" si="46"/>
        <v>2025</v>
      </c>
      <c r="F1620" s="126">
        <f>_xlfn.XLOOKUP(D746,'3. Input (des)investeringen '!$B$11:$B$89,'3. Input (des)investeringen '!$E$11:$E$89)</f>
        <v>0</v>
      </c>
    </row>
    <row r="1621" spans="1:6" s="121" customFormat="1">
      <c r="A1621" s="3"/>
      <c r="B1621">
        <v>730</v>
      </c>
      <c r="D1621" s="128">
        <f t="shared" si="45"/>
        <v>21312.184409282545</v>
      </c>
      <c r="E1621" s="127">
        <f t="shared" si="46"/>
        <v>2025</v>
      </c>
      <c r="F1621" s="126">
        <f>_xlfn.XLOOKUP(D747,'3. Input (des)investeringen '!$B$11:$B$89,'3. Input (des)investeringen '!$E$11:$E$89)</f>
        <v>1</v>
      </c>
    </row>
    <row r="1622" spans="1:6" s="121" customFormat="1">
      <c r="A1622" s="3"/>
      <c r="B1622">
        <v>731</v>
      </c>
      <c r="D1622" s="128">
        <f t="shared" si="45"/>
        <v>2211.2147513958721</v>
      </c>
      <c r="E1622" s="127">
        <f t="shared" si="46"/>
        <v>2025</v>
      </c>
      <c r="F1622" s="126">
        <f>_xlfn.XLOOKUP(D748,'3. Input (des)investeringen '!$B$11:$B$89,'3. Input (des)investeringen '!$E$11:$E$89)</f>
        <v>0</v>
      </c>
    </row>
    <row r="1623" spans="1:6" s="121" customFormat="1">
      <c r="A1623" s="3"/>
      <c r="B1623">
        <v>732</v>
      </c>
      <c r="D1623" s="128">
        <f t="shared" ref="D1623:D1654" si="47">F749*INDEX($E$807:$CG$887,E749-1945,G749-1945)</f>
        <v>751131.90558479563</v>
      </c>
      <c r="E1623" s="127">
        <f t="shared" si="46"/>
        <v>2025</v>
      </c>
      <c r="F1623" s="126">
        <f>_xlfn.XLOOKUP(D749,'3. Input (des)investeringen '!$B$11:$B$89,'3. Input (des)investeringen '!$E$11:$E$89)</f>
        <v>1</v>
      </c>
    </row>
    <row r="1624" spans="1:6" s="121" customFormat="1">
      <c r="A1624" s="3"/>
      <c r="B1624">
        <v>733</v>
      </c>
      <c r="D1624" s="128">
        <f t="shared" si="47"/>
        <v>45859.290076719881</v>
      </c>
      <c r="E1624" s="127">
        <f t="shared" si="46"/>
        <v>2025</v>
      </c>
      <c r="F1624" s="126">
        <f>_xlfn.XLOOKUP(D750,'3. Input (des)investeringen '!$B$11:$B$89,'3. Input (des)investeringen '!$E$11:$E$89)</f>
        <v>0</v>
      </c>
    </row>
    <row r="1625" spans="1:6" s="121" customFormat="1">
      <c r="A1625" s="3"/>
      <c r="B1625">
        <v>734</v>
      </c>
      <c r="D1625" s="128">
        <f t="shared" si="47"/>
        <v>1448301.2460016331</v>
      </c>
      <c r="E1625" s="127">
        <f t="shared" si="46"/>
        <v>2025</v>
      </c>
      <c r="F1625" s="126">
        <f>_xlfn.XLOOKUP(D751,'3. Input (des)investeringen '!$B$11:$B$89,'3. Input (des)investeringen '!$E$11:$E$89)</f>
        <v>1</v>
      </c>
    </row>
    <row r="1626" spans="1:6" s="121" customFormat="1">
      <c r="A1626" s="3"/>
      <c r="B1626">
        <v>735</v>
      </c>
      <c r="D1626" s="128">
        <f t="shared" si="47"/>
        <v>283034.14794310386</v>
      </c>
      <c r="E1626" s="127">
        <f t="shared" si="46"/>
        <v>2025</v>
      </c>
      <c r="F1626" s="126">
        <f>_xlfn.XLOOKUP(D752,'3. Input (des)investeringen '!$B$11:$B$89,'3. Input (des)investeringen '!$E$11:$E$89)</f>
        <v>1</v>
      </c>
    </row>
    <row r="1627" spans="1:6" s="121" customFormat="1">
      <c r="A1627" s="3"/>
      <c r="B1627">
        <v>736</v>
      </c>
      <c r="D1627" s="128">
        <f t="shared" si="47"/>
        <v>1747558.4142420378</v>
      </c>
      <c r="E1627" s="127">
        <f t="shared" si="46"/>
        <v>2025</v>
      </c>
      <c r="F1627" s="126">
        <f>_xlfn.XLOOKUP(D753,'3. Input (des)investeringen '!$B$11:$B$89,'3. Input (des)investeringen '!$E$11:$E$89)</f>
        <v>0</v>
      </c>
    </row>
    <row r="1628" spans="1:6" s="121" customFormat="1">
      <c r="A1628" s="3"/>
      <c r="B1628">
        <v>737</v>
      </c>
      <c r="D1628" s="128">
        <f t="shared" si="47"/>
        <v>18812067.698736418</v>
      </c>
      <c r="E1628" s="127">
        <f t="shared" ref="E1628:E1659" si="48">G754</f>
        <v>2025</v>
      </c>
      <c r="F1628" s="126">
        <f>_xlfn.XLOOKUP(D754,'3. Input (des)investeringen '!$B$11:$B$89,'3. Input (des)investeringen '!$E$11:$E$89)</f>
        <v>0</v>
      </c>
    </row>
    <row r="1629" spans="1:6" s="121" customFormat="1">
      <c r="A1629" s="3"/>
      <c r="B1629">
        <v>738</v>
      </c>
      <c r="D1629" s="128">
        <f t="shared" si="47"/>
        <v>37775.035635905042</v>
      </c>
      <c r="E1629" s="127">
        <f t="shared" si="48"/>
        <v>2025</v>
      </c>
      <c r="F1629" s="126">
        <f>_xlfn.XLOOKUP(D755,'3. Input (des)investeringen '!$B$11:$B$89,'3. Input (des)investeringen '!$E$11:$E$89)</f>
        <v>0</v>
      </c>
    </row>
    <row r="1630" spans="1:6" s="121" customFormat="1">
      <c r="A1630" s="3"/>
      <c r="B1630">
        <v>739</v>
      </c>
      <c r="D1630" s="128">
        <f t="shared" si="47"/>
        <v>137215.71264563347</v>
      </c>
      <c r="E1630" s="127">
        <f t="shared" si="48"/>
        <v>2025</v>
      </c>
      <c r="F1630" s="126">
        <f>_xlfn.XLOOKUP(D756,'3. Input (des)investeringen '!$B$11:$B$89,'3. Input (des)investeringen '!$E$11:$E$89)</f>
        <v>0</v>
      </c>
    </row>
    <row r="1631" spans="1:6" s="121" customFormat="1">
      <c r="A1631" s="3"/>
      <c r="B1631">
        <v>740</v>
      </c>
      <c r="D1631" s="128">
        <f t="shared" si="47"/>
        <v>1016071.7081169444</v>
      </c>
      <c r="E1631" s="127">
        <f t="shared" si="48"/>
        <v>2025</v>
      </c>
      <c r="F1631" s="126">
        <f>_xlfn.XLOOKUP(D757,'3. Input (des)investeringen '!$B$11:$B$89,'3. Input (des)investeringen '!$E$11:$E$89)</f>
        <v>0</v>
      </c>
    </row>
    <row r="1632" spans="1:6" s="121" customFormat="1">
      <c r="A1632" s="3"/>
      <c r="B1632">
        <v>741</v>
      </c>
      <c r="D1632" s="128">
        <f t="shared" si="47"/>
        <v>1285.3145391478797</v>
      </c>
      <c r="E1632" s="127">
        <f t="shared" si="48"/>
        <v>2025</v>
      </c>
      <c r="F1632" s="126">
        <f>_xlfn.XLOOKUP(D758,'3. Input (des)investeringen '!$B$11:$B$89,'3. Input (des)investeringen '!$E$11:$E$89)</f>
        <v>0</v>
      </c>
    </row>
    <row r="1633" spans="1:6" s="121" customFormat="1">
      <c r="A1633" s="3"/>
      <c r="B1633">
        <v>742</v>
      </c>
      <c r="D1633" s="128">
        <f t="shared" si="47"/>
        <v>551380.01983804617</v>
      </c>
      <c r="E1633" s="127">
        <f t="shared" si="48"/>
        <v>2025</v>
      </c>
      <c r="F1633" s="126">
        <f>_xlfn.XLOOKUP(D759,'3. Input (des)investeringen '!$B$11:$B$89,'3. Input (des)investeringen '!$E$11:$E$89)</f>
        <v>0</v>
      </c>
    </row>
    <row r="1634" spans="1:6" s="121" customFormat="1">
      <c r="A1634" s="3"/>
      <c r="B1634">
        <v>743</v>
      </c>
      <c r="D1634" s="128">
        <f t="shared" si="47"/>
        <v>1568751.9957950138</v>
      </c>
      <c r="E1634" s="127">
        <f t="shared" si="48"/>
        <v>2025</v>
      </c>
      <c r="F1634" s="126">
        <f>_xlfn.XLOOKUP(D760,'3. Input (des)investeringen '!$B$11:$B$89,'3. Input (des)investeringen '!$E$11:$E$89)</f>
        <v>0</v>
      </c>
    </row>
    <row r="1635" spans="1:6" s="121" customFormat="1">
      <c r="A1635" s="3"/>
      <c r="B1635">
        <v>744</v>
      </c>
      <c r="D1635" s="128">
        <f t="shared" si="47"/>
        <v>153674.39865564601</v>
      </c>
      <c r="E1635" s="127">
        <f t="shared" si="48"/>
        <v>2025</v>
      </c>
      <c r="F1635" s="126">
        <f>_xlfn.XLOOKUP(D761,'3. Input (des)investeringen '!$B$11:$B$89,'3. Input (des)investeringen '!$E$11:$E$89)</f>
        <v>0</v>
      </c>
    </row>
    <row r="1636" spans="1:6" s="121" customFormat="1">
      <c r="A1636" s="3"/>
      <c r="B1636">
        <v>745</v>
      </c>
      <c r="D1636" s="128">
        <f t="shared" si="47"/>
        <v>120671.41948586627</v>
      </c>
      <c r="E1636" s="127">
        <f t="shared" si="48"/>
        <v>2025</v>
      </c>
      <c r="F1636" s="126">
        <f>_xlfn.XLOOKUP(D762,'3. Input (des)investeringen '!$B$11:$B$89,'3. Input (des)investeringen '!$E$11:$E$89)</f>
        <v>0</v>
      </c>
    </row>
    <row r="1637" spans="1:6" s="121" customFormat="1">
      <c r="A1637" s="3"/>
      <c r="B1637">
        <v>746</v>
      </c>
      <c r="D1637" s="128">
        <f t="shared" si="47"/>
        <v>645405.49169296678</v>
      </c>
      <c r="E1637" s="127">
        <f t="shared" si="48"/>
        <v>2025</v>
      </c>
      <c r="F1637" s="126">
        <f>_xlfn.XLOOKUP(D763,'3. Input (des)investeringen '!$B$11:$B$89,'3. Input (des)investeringen '!$E$11:$E$89)</f>
        <v>1</v>
      </c>
    </row>
    <row r="1638" spans="1:6" s="121" customFormat="1">
      <c r="A1638" s="3"/>
      <c r="B1638">
        <v>747</v>
      </c>
      <c r="D1638" s="128">
        <f t="shared" si="47"/>
        <v>727066.48274273693</v>
      </c>
      <c r="E1638" s="127">
        <f t="shared" si="48"/>
        <v>2025</v>
      </c>
      <c r="F1638" s="126">
        <f>_xlfn.XLOOKUP(D764,'3. Input (des)investeringen '!$B$11:$B$89,'3. Input (des)investeringen '!$E$11:$E$89)</f>
        <v>1</v>
      </c>
    </row>
    <row r="1639" spans="1:6" s="121" customFormat="1">
      <c r="A1639" s="3"/>
      <c r="B1639">
        <v>748</v>
      </c>
      <c r="D1639" s="128">
        <f t="shared" si="47"/>
        <v>52237.03309386687</v>
      </c>
      <c r="E1639" s="127">
        <f t="shared" si="48"/>
        <v>2025</v>
      </c>
      <c r="F1639" s="126">
        <f>_xlfn.XLOOKUP(D765,'3. Input (des)investeringen '!$B$11:$B$89,'3. Input (des)investeringen '!$E$11:$E$89)</f>
        <v>1</v>
      </c>
    </row>
    <row r="1640" spans="1:6" s="121" customFormat="1">
      <c r="A1640" s="3"/>
      <c r="B1640">
        <v>749</v>
      </c>
      <c r="D1640" s="128">
        <f t="shared" si="47"/>
        <v>422759.25296629441</v>
      </c>
      <c r="E1640" s="127">
        <f t="shared" si="48"/>
        <v>2025</v>
      </c>
      <c r="F1640" s="126">
        <f>_xlfn.XLOOKUP(D766,'3. Input (des)investeringen '!$B$11:$B$89,'3. Input (des)investeringen '!$E$11:$E$89)</f>
        <v>1</v>
      </c>
    </row>
    <row r="1641" spans="1:6" s="121" customFormat="1">
      <c r="A1641" s="3"/>
      <c r="B1641">
        <v>750</v>
      </c>
      <c r="D1641" s="128">
        <f t="shared" si="47"/>
        <v>16086.969405026726</v>
      </c>
      <c r="E1641" s="127">
        <f t="shared" si="48"/>
        <v>2025</v>
      </c>
      <c r="F1641" s="126">
        <f>_xlfn.XLOOKUP(D767,'3. Input (des)investeringen '!$B$11:$B$89,'3. Input (des)investeringen '!$E$11:$E$89)</f>
        <v>1</v>
      </c>
    </row>
    <row r="1642" spans="1:6" s="121" customFormat="1">
      <c r="A1642" s="3"/>
      <c r="B1642">
        <v>751</v>
      </c>
      <c r="D1642" s="128">
        <f t="shared" si="47"/>
        <v>910145.37481254141</v>
      </c>
      <c r="E1642" s="127">
        <f t="shared" si="48"/>
        <v>2025</v>
      </c>
      <c r="F1642" s="126">
        <f>_xlfn.XLOOKUP(D768,'3. Input (des)investeringen '!$B$11:$B$89,'3. Input (des)investeringen '!$E$11:$E$89)</f>
        <v>1</v>
      </c>
    </row>
    <row r="1643" spans="1:6" s="121" customFormat="1">
      <c r="A1643" s="3"/>
      <c r="B1643">
        <v>752</v>
      </c>
      <c r="D1643" s="128">
        <f t="shared" si="47"/>
        <v>737791.7357776037</v>
      </c>
      <c r="E1643" s="127">
        <f t="shared" si="48"/>
        <v>2025</v>
      </c>
      <c r="F1643" s="126">
        <f>_xlfn.XLOOKUP(D769,'3. Input (des)investeringen '!$B$11:$B$89,'3. Input (des)investeringen '!$E$11:$E$89)</f>
        <v>1</v>
      </c>
    </row>
    <row r="1644" spans="1:6" s="121" customFormat="1">
      <c r="A1644" s="3"/>
      <c r="B1644">
        <v>753</v>
      </c>
      <c r="D1644" s="128">
        <f t="shared" si="47"/>
        <v>77552.734912983971</v>
      </c>
      <c r="E1644" s="127">
        <f t="shared" si="48"/>
        <v>2025</v>
      </c>
      <c r="F1644" s="126">
        <f>_xlfn.XLOOKUP(D770,'3. Input (des)investeringen '!$B$11:$B$89,'3. Input (des)investeringen '!$E$11:$E$89)</f>
        <v>1</v>
      </c>
    </row>
    <row r="1645" spans="1:6" s="121" customFormat="1">
      <c r="A1645" s="3"/>
      <c r="B1645">
        <v>754</v>
      </c>
      <c r="D1645" s="128">
        <f t="shared" si="47"/>
        <v>291173.86060832546</v>
      </c>
      <c r="E1645" s="127">
        <f t="shared" si="48"/>
        <v>2025</v>
      </c>
      <c r="F1645" s="126">
        <f>_xlfn.XLOOKUP(D771,'3. Input (des)investeringen '!$B$11:$B$89,'3. Input (des)investeringen '!$E$11:$E$89)</f>
        <v>1</v>
      </c>
    </row>
    <row r="1646" spans="1:6" s="121" customFormat="1">
      <c r="A1646" s="3"/>
      <c r="B1646">
        <v>755</v>
      </c>
      <c r="D1646" s="128">
        <f t="shared" si="47"/>
        <v>285662.20808746852</v>
      </c>
      <c r="E1646" s="127">
        <f t="shared" si="48"/>
        <v>2025</v>
      </c>
      <c r="F1646" s="126">
        <f>_xlfn.XLOOKUP(D772,'3. Input (des)investeringen '!$B$11:$B$89,'3. Input (des)investeringen '!$E$11:$E$89)</f>
        <v>1</v>
      </c>
    </row>
    <row r="1647" spans="1:6" s="121" customFormat="1">
      <c r="A1647" s="3"/>
      <c r="B1647">
        <v>756</v>
      </c>
      <c r="D1647" s="128">
        <f t="shared" si="47"/>
        <v>701807.62956765539</v>
      </c>
      <c r="E1647" s="127">
        <f t="shared" si="48"/>
        <v>2025</v>
      </c>
      <c r="F1647" s="126">
        <f>_xlfn.XLOOKUP(D773,'3. Input (des)investeringen '!$B$11:$B$89,'3. Input (des)investeringen '!$E$11:$E$89)</f>
        <v>1</v>
      </c>
    </row>
    <row r="1648" spans="1:6" s="121" customFormat="1">
      <c r="A1648" s="3"/>
      <c r="B1648">
        <v>757</v>
      </c>
      <c r="D1648" s="128">
        <f t="shared" si="47"/>
        <v>637462.56989208166</v>
      </c>
      <c r="E1648" s="127">
        <f t="shared" si="48"/>
        <v>2025</v>
      </c>
      <c r="F1648" s="126">
        <f>_xlfn.XLOOKUP(D774,'3. Input (des)investeringen '!$B$11:$B$89,'3. Input (des)investeringen '!$E$11:$E$89)</f>
        <v>1</v>
      </c>
    </row>
    <row r="1649" spans="1:6" s="121" customFormat="1">
      <c r="A1649" s="3"/>
      <c r="B1649">
        <v>758</v>
      </c>
      <c r="D1649" s="128">
        <f t="shared" si="47"/>
        <v>64826.49427190132</v>
      </c>
      <c r="E1649" s="127">
        <f t="shared" si="48"/>
        <v>2025</v>
      </c>
      <c r="F1649" s="126">
        <f>_xlfn.XLOOKUP(D775,'3. Input (des)investeringen '!$B$11:$B$89,'3. Input (des)investeringen '!$E$11:$E$89)</f>
        <v>1</v>
      </c>
    </row>
    <row r="1650" spans="1:6" s="121" customFormat="1">
      <c r="A1650" s="3"/>
      <c r="B1650">
        <v>759</v>
      </c>
      <c r="D1650" s="128">
        <f t="shared" si="47"/>
        <v>17870.535099253397</v>
      </c>
      <c r="E1650" s="127">
        <f t="shared" si="48"/>
        <v>2025</v>
      </c>
      <c r="F1650" s="126">
        <f>_xlfn.XLOOKUP(D776,'3. Input (des)investeringen '!$B$11:$B$89,'3. Input (des)investeringen '!$E$11:$E$89)</f>
        <v>1</v>
      </c>
    </row>
    <row r="1651" spans="1:6" s="121" customFormat="1">
      <c r="A1651" s="3"/>
      <c r="B1651">
        <v>760</v>
      </c>
      <c r="D1651" s="128">
        <f t="shared" si="47"/>
        <v>20248.158062122053</v>
      </c>
      <c r="E1651" s="127">
        <f t="shared" si="48"/>
        <v>2025</v>
      </c>
      <c r="F1651" s="126">
        <f>_xlfn.XLOOKUP(D777,'3. Input (des)investeringen '!$B$11:$B$89,'3. Input (des)investeringen '!$E$11:$E$89)</f>
        <v>1</v>
      </c>
    </row>
    <row r="1652" spans="1:6" s="121" customFormat="1">
      <c r="A1652" s="3"/>
      <c r="B1652">
        <v>761</v>
      </c>
      <c r="D1652" s="128">
        <f t="shared" si="47"/>
        <v>135934.25306321291</v>
      </c>
      <c r="E1652" s="127">
        <f t="shared" si="48"/>
        <v>2025</v>
      </c>
      <c r="F1652" s="126">
        <f>_xlfn.XLOOKUP(D778,'3. Input (des)investeringen '!$B$11:$B$89,'3. Input (des)investeringen '!$E$11:$E$89)</f>
        <v>1</v>
      </c>
    </row>
    <row r="1653" spans="1:6" s="121" customFormat="1">
      <c r="A1653" s="3"/>
      <c r="B1653">
        <v>762</v>
      </c>
      <c r="D1653" s="128">
        <f t="shared" si="47"/>
        <v>7731.8383663222921</v>
      </c>
      <c r="E1653" s="127">
        <f t="shared" si="48"/>
        <v>2025</v>
      </c>
      <c r="F1653" s="126">
        <f>_xlfn.XLOOKUP(D779,'3. Input (des)investeringen '!$B$11:$B$89,'3. Input (des)investeringen '!$E$11:$E$89)</f>
        <v>1</v>
      </c>
    </row>
    <row r="1654" spans="1:6" s="121" customFormat="1">
      <c r="A1654" s="3"/>
      <c r="B1654">
        <v>763</v>
      </c>
      <c r="D1654" s="128">
        <f t="shared" si="47"/>
        <v>135018.26850044346</v>
      </c>
      <c r="E1654" s="127">
        <f t="shared" si="48"/>
        <v>2025</v>
      </c>
      <c r="F1654" s="126">
        <f>_xlfn.XLOOKUP(D780,'3. Input (des)investeringen '!$B$11:$B$89,'3. Input (des)investeringen '!$E$11:$E$89)</f>
        <v>1</v>
      </c>
    </row>
    <row r="1655" spans="1:6" s="121" customFormat="1">
      <c r="A1655" s="3"/>
      <c r="B1655">
        <v>764</v>
      </c>
      <c r="D1655" s="128">
        <f t="shared" ref="D1655:D1661" si="49">F781*INDEX($E$807:$CG$887,E781-1945,G781-1945)</f>
        <v>69105.245761944927</v>
      </c>
      <c r="E1655" s="127">
        <f t="shared" si="48"/>
        <v>2025</v>
      </c>
      <c r="F1655" s="126">
        <f>_xlfn.XLOOKUP(D781,'3. Input (des)investeringen '!$B$11:$B$89,'3. Input (des)investeringen '!$E$11:$E$89)</f>
        <v>1</v>
      </c>
    </row>
    <row r="1656" spans="1:6" s="121" customFormat="1">
      <c r="A1656" s="3"/>
      <c r="B1656">
        <v>765</v>
      </c>
      <c r="D1656" s="128">
        <f t="shared" si="49"/>
        <v>54.925646905958402</v>
      </c>
      <c r="E1656" s="127">
        <f t="shared" si="48"/>
        <v>2025</v>
      </c>
      <c r="F1656" s="126">
        <f>_xlfn.XLOOKUP(D782,'3. Input (des)investeringen '!$B$11:$B$89,'3. Input (des)investeringen '!$E$11:$E$89)</f>
        <v>1</v>
      </c>
    </row>
    <row r="1657" spans="1:6" s="121" customFormat="1">
      <c r="A1657" s="3"/>
      <c r="B1657">
        <v>766</v>
      </c>
      <c r="D1657" s="128">
        <f t="shared" si="49"/>
        <v>256393.15764716163</v>
      </c>
      <c r="E1657" s="127">
        <f t="shared" si="48"/>
        <v>2025</v>
      </c>
      <c r="F1657" s="126">
        <f>_xlfn.XLOOKUP(D783,'3. Input (des)investeringen '!$B$11:$B$89,'3. Input (des)investeringen '!$E$11:$E$89)</f>
        <v>1</v>
      </c>
    </row>
    <row r="1658" spans="1:6" s="121" customFormat="1">
      <c r="A1658" s="3"/>
      <c r="B1658">
        <v>767</v>
      </c>
      <c r="D1658" s="128">
        <f t="shared" si="49"/>
        <v>14240.098493911408</v>
      </c>
      <c r="E1658" s="127">
        <f t="shared" si="48"/>
        <v>2025</v>
      </c>
      <c r="F1658" s="126">
        <f>_xlfn.XLOOKUP(D784,'3. Input (des)investeringen '!$B$11:$B$89,'3. Input (des)investeringen '!$E$11:$E$89)</f>
        <v>1</v>
      </c>
    </row>
    <row r="1659" spans="1:6" s="121" customFormat="1">
      <c r="A1659" s="3"/>
      <c r="B1659">
        <v>768</v>
      </c>
      <c r="D1659" s="128">
        <f t="shared" si="49"/>
        <v>42734.715198794474</v>
      </c>
      <c r="E1659" s="127">
        <f t="shared" si="48"/>
        <v>2025</v>
      </c>
      <c r="F1659" s="126">
        <f>_xlfn.XLOOKUP(D785,'3. Input (des)investeringen '!$B$11:$B$89,'3. Input (des)investeringen '!$E$11:$E$89)</f>
        <v>1</v>
      </c>
    </row>
    <row r="1660" spans="1:6" s="121" customFormat="1">
      <c r="A1660" s="3"/>
      <c r="B1660">
        <v>769</v>
      </c>
      <c r="D1660" s="128">
        <f t="shared" si="49"/>
        <v>2779112.1084981426</v>
      </c>
      <c r="E1660" s="127">
        <f t="shared" ref="E1660:E1661" si="50">G786</f>
        <v>2025</v>
      </c>
      <c r="F1660" s="126">
        <f>_xlfn.XLOOKUP(D786,'3. Input (des)investeringen '!$B$11:$B$89,'3. Input (des)investeringen '!$E$11:$E$89)</f>
        <v>1</v>
      </c>
    </row>
    <row r="1661" spans="1:6" s="121" customFormat="1">
      <c r="A1661" s="3"/>
      <c r="B1661">
        <v>770</v>
      </c>
      <c r="D1661" s="128">
        <f t="shared" si="49"/>
        <v>255518.42218227472</v>
      </c>
      <c r="E1661" s="127">
        <f t="shared" si="50"/>
        <v>2025</v>
      </c>
      <c r="F1661" s="126">
        <f>_xlfn.XLOOKUP(D787,'3. Input (des)investeringen '!$B$11:$B$89,'3. Input (des)investeringen '!$E$11:$E$89)</f>
        <v>1</v>
      </c>
    </row>
    <row r="1662" spans="1:6" s="121" customFormat="1">
      <c r="A1662" s="3"/>
      <c r="B1662">
        <v>771</v>
      </c>
      <c r="D1662" s="128">
        <f t="shared" ref="D1662:D1666" si="51">F788*INDEX($E$807:$CG$887,E788-1945,G788-1945)</f>
        <v>81198.098158839406</v>
      </c>
      <c r="E1662" s="127">
        <f t="shared" ref="E1662:E1666" si="52">G788</f>
        <v>2025</v>
      </c>
      <c r="F1662" s="126">
        <f>_xlfn.XLOOKUP(D788,'3. Input (des)investeringen '!$B$11:$B$89,'3. Input (des)investeringen '!$E$11:$E$89)</f>
        <v>1</v>
      </c>
    </row>
    <row r="1663" spans="1:6" s="121" customFormat="1">
      <c r="A1663" s="3"/>
      <c r="B1663">
        <v>772</v>
      </c>
      <c r="D1663" s="128">
        <f t="shared" si="51"/>
        <v>79628.656641938651</v>
      </c>
      <c r="E1663" s="127">
        <f t="shared" si="52"/>
        <v>2025</v>
      </c>
      <c r="F1663" s="126">
        <f>_xlfn.XLOOKUP(D789,'3. Input (des)investeringen '!$B$11:$B$89,'3. Input (des)investeringen '!$E$11:$E$89)</f>
        <v>1</v>
      </c>
    </row>
    <row r="1664" spans="1:6" s="121" customFormat="1">
      <c r="A1664" s="3"/>
      <c r="B1664">
        <v>773</v>
      </c>
      <c r="D1664" s="128">
        <f t="shared" si="51"/>
        <v>268908.23275657441</v>
      </c>
      <c r="E1664" s="127">
        <f t="shared" si="52"/>
        <v>2025</v>
      </c>
      <c r="F1664" s="126">
        <f>_xlfn.XLOOKUP(D790,'3. Input (des)investeringen '!$B$11:$B$89,'3. Input (des)investeringen '!$E$11:$E$89)</f>
        <v>1</v>
      </c>
    </row>
    <row r="1665" spans="1:10" s="121" customFormat="1">
      <c r="A1665" s="3"/>
      <c r="B1665">
        <v>774</v>
      </c>
      <c r="D1665" s="128">
        <f t="shared" si="51"/>
        <v>21206.179819594759</v>
      </c>
      <c r="E1665" s="127">
        <f t="shared" si="52"/>
        <v>2025</v>
      </c>
      <c r="F1665" s="126">
        <f>_xlfn.XLOOKUP(D791,'3. Input (des)investeringen '!$B$11:$B$89,'3. Input (des)investeringen '!$E$11:$E$89)</f>
        <v>1</v>
      </c>
    </row>
    <row r="1666" spans="1:10" s="121" customFormat="1">
      <c r="A1666" s="3"/>
      <c r="B1666">
        <v>775</v>
      </c>
      <c r="D1666" s="128">
        <f t="shared" si="51"/>
        <v>30131.742382788423</v>
      </c>
      <c r="E1666" s="127">
        <f t="shared" si="52"/>
        <v>2025</v>
      </c>
      <c r="F1666" s="126">
        <f>_xlfn.XLOOKUP(D792,'3. Input (des)investeringen '!$B$11:$B$89,'3. Input (des)investeringen '!$E$11:$E$89)</f>
        <v>1</v>
      </c>
    </row>
    <row r="1667" spans="1:10" s="121" customFormat="1">
      <c r="A1667" s="3"/>
      <c r="B1667">
        <v>776</v>
      </c>
      <c r="D1667" s="128">
        <f>F793*INDEX($E$807:$CG$887,E793-1945,G793-1945)</f>
        <v>423580.21629211266</v>
      </c>
      <c r="E1667" s="127">
        <f>G793</f>
        <v>2025</v>
      </c>
      <c r="F1667" s="126">
        <f>_xlfn.XLOOKUP(D793,'3. Input (des)investeringen '!$B$11:$B$89,'3. Input (des)investeringen '!$E$11:$E$89)</f>
        <v>1</v>
      </c>
    </row>
    <row r="1668" spans="1:10" s="121" customFormat="1">
      <c r="A1668" s="3"/>
      <c r="B1668">
        <v>777</v>
      </c>
      <c r="D1668" s="128">
        <f>F794*INDEX($E$807:$CG$887,E794-1945,G794-1945)</f>
        <v>179503.89218929596</v>
      </c>
      <c r="E1668" s="127">
        <f>G794</f>
        <v>2025</v>
      </c>
      <c r="F1668" s="126">
        <f>_xlfn.XLOOKUP(D794,'3. Input (des)investeringen '!$B$11:$B$89,'3. Input (des)investeringen '!$E$11:$E$89)</f>
        <v>1</v>
      </c>
    </row>
    <row r="1669" spans="1:10" s="121" customFormat="1">
      <c r="A1669" s="3"/>
      <c r="B1669">
        <v>778</v>
      </c>
      <c r="D1669" s="128">
        <f t="shared" ref="D1669:D1673" si="53">F795*INDEX($E$807:$CG$887,E795-1945,G795-1945)</f>
        <v>36658.603771200003</v>
      </c>
      <c r="E1669" s="127">
        <f t="shared" ref="E1669:E1673" si="54">G795</f>
        <v>2025</v>
      </c>
      <c r="F1669" s="126">
        <f>_xlfn.XLOOKUP(D795,'3. Input (des)investeringen '!$B$11:$B$89,'3. Input (des)investeringen '!$E$11:$E$89)</f>
        <v>1</v>
      </c>
    </row>
    <row r="1670" spans="1:10" s="121" customFormat="1">
      <c r="A1670" s="3"/>
      <c r="B1670">
        <v>779</v>
      </c>
      <c r="D1670" s="128">
        <f t="shared" si="53"/>
        <v>1324570.9043647456</v>
      </c>
      <c r="E1670" s="127">
        <f t="shared" si="54"/>
        <v>2025</v>
      </c>
      <c r="F1670" s="126">
        <f>_xlfn.XLOOKUP(D796,'3. Input (des)investeringen '!$B$11:$B$89,'3. Input (des)investeringen '!$E$11:$E$89)</f>
        <v>1</v>
      </c>
    </row>
    <row r="1671" spans="1:10" s="121" customFormat="1">
      <c r="A1671" s="3"/>
      <c r="B1671">
        <v>780</v>
      </c>
      <c r="D1671" s="128">
        <f t="shared" si="53"/>
        <v>512769.60099626181</v>
      </c>
      <c r="E1671" s="127">
        <f t="shared" si="54"/>
        <v>2025</v>
      </c>
      <c r="F1671" s="126">
        <f>_xlfn.XLOOKUP(D797,'3. Input (des)investeringen '!$B$11:$B$89,'3. Input (des)investeringen '!$E$11:$E$89)</f>
        <v>1</v>
      </c>
    </row>
    <row r="1672" spans="1:10" s="121" customFormat="1">
      <c r="A1672" s="3"/>
      <c r="B1672">
        <v>781</v>
      </c>
      <c r="D1672" s="128">
        <f t="shared" si="53"/>
        <v>263620.39759434265</v>
      </c>
      <c r="E1672" s="127">
        <f t="shared" si="54"/>
        <v>2025</v>
      </c>
      <c r="F1672" s="126">
        <f>_xlfn.XLOOKUP(D798,'3. Input (des)investeringen '!$B$11:$B$89,'3. Input (des)investeringen '!$E$11:$E$89)</f>
        <v>1</v>
      </c>
    </row>
    <row r="1673" spans="1:10" s="121" customFormat="1">
      <c r="A1673" s="3"/>
      <c r="B1673">
        <v>782</v>
      </c>
      <c r="D1673" s="128">
        <f t="shared" si="53"/>
        <v>67242.086053145642</v>
      </c>
      <c r="E1673" s="127">
        <f t="shared" si="54"/>
        <v>2025</v>
      </c>
      <c r="F1673" s="126">
        <f>_xlfn.XLOOKUP(D799,'3. Input (des)investeringen '!$B$11:$B$89,'3. Input (des)investeringen '!$E$11:$E$89)</f>
        <v>0</v>
      </c>
    </row>
    <row r="1675" spans="1:10" s="53" customFormat="1">
      <c r="B1675" s="53" t="s">
        <v>974</v>
      </c>
      <c r="D1675" s="53">
        <v>2020</v>
      </c>
      <c r="E1675" s="53">
        <v>2021</v>
      </c>
      <c r="F1675" s="53">
        <v>2022</v>
      </c>
      <c r="G1675" s="53">
        <v>2023</v>
      </c>
      <c r="H1675" s="53">
        <v>2024</v>
      </c>
      <c r="I1675" s="53">
        <v>2025</v>
      </c>
      <c r="J1675" s="53">
        <v>2026</v>
      </c>
    </row>
    <row r="1677" spans="1:10">
      <c r="A1677" s="3"/>
      <c r="B1677" s="3" t="s">
        <v>975</v>
      </c>
      <c r="D1677" s="169">
        <f t="shared" ref="D1677:I1677" si="55">SUMIFS($D$892:$D$1673,$E$892:$E$1673,D$1675,$F$892:$F$1673,1)</f>
        <v>37758981.056281559</v>
      </c>
      <c r="E1677" s="169">
        <f t="shared" si="55"/>
        <v>38763732.819702528</v>
      </c>
      <c r="F1677" s="169">
        <f t="shared" si="55"/>
        <v>22960381.53917243</v>
      </c>
      <c r="G1677" s="169">
        <f t="shared" si="55"/>
        <v>58023959.745093741</v>
      </c>
      <c r="H1677" s="169">
        <f t="shared" si="55"/>
        <v>240087476.54390535</v>
      </c>
      <c r="I1677" s="169">
        <f t="shared" si="55"/>
        <v>28614078.397007521</v>
      </c>
      <c r="J1677" s="129"/>
    </row>
    <row r="1678" spans="1:10">
      <c r="A1678" s="3"/>
      <c r="B1678" s="3" t="s">
        <v>976</v>
      </c>
      <c r="D1678" s="169">
        <f t="shared" ref="D1678:I1678" si="56">SUMIFS($D$892:$D$1673,$E$892:$E$1673,D$1675,$F$892:$F$1673,0)</f>
        <v>27912770.687367041</v>
      </c>
      <c r="E1678" s="169">
        <f t="shared" si="56"/>
        <v>152460325.70788148</v>
      </c>
      <c r="F1678" s="169">
        <f t="shared" si="56"/>
        <v>18326404.223966755</v>
      </c>
      <c r="G1678" s="169">
        <f t="shared" si="56"/>
        <v>56904952.296988726</v>
      </c>
      <c r="H1678" s="169">
        <f t="shared" si="56"/>
        <v>12059459.252509575</v>
      </c>
      <c r="I1678" s="169">
        <f t="shared" si="56"/>
        <v>34932650.601521671</v>
      </c>
      <c r="J1678" s="129"/>
    </row>
    <row r="1679" spans="1:10">
      <c r="A1679" s="3"/>
    </row>
  </sheetData>
  <autoFilter ref="D16:G548" xr:uid="{00000000-0001-0000-1000-000000000000}"/>
  <mergeCells count="2">
    <mergeCell ref="B5:N5"/>
    <mergeCell ref="B7:D7"/>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2:T148"/>
  <sheetViews>
    <sheetView showGridLines="0" zoomScale="85" zoomScaleNormal="85" workbookViewId="0">
      <pane xSplit="3" ySplit="11" topLeftCell="D12" activePane="bottomRight" state="frozen"/>
      <selection pane="bottomRight"/>
      <selection pane="bottomLeft" activeCell="A12" sqref="A12"/>
      <selection pane="topRight" activeCell="D1" sqref="D1"/>
    </sheetView>
  </sheetViews>
  <sheetFormatPr defaultColWidth="9"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1" width="12" style="3" bestFit="1" customWidth="1"/>
    <col min="12" max="12" width="13" style="3" bestFit="1" customWidth="1"/>
    <col min="13" max="17" width="14.85546875" style="3" bestFit="1" customWidth="1"/>
    <col min="18" max="18" width="14.85546875" style="3" customWidth="1"/>
    <col min="19" max="19" width="2.5703125" style="3" customWidth="1"/>
    <col min="20" max="31" width="13.5703125" style="3" customWidth="1"/>
    <col min="32" max="16384" width="9" style="3"/>
  </cols>
  <sheetData>
    <row r="2" spans="2:20" s="12" customFormat="1" ht="18">
      <c r="B2" s="12" t="s">
        <v>977</v>
      </c>
    </row>
    <row r="4" spans="2:20">
      <c r="B4" s="16" t="s">
        <v>893</v>
      </c>
      <c r="C4" s="2"/>
    </row>
    <row r="5" spans="2:20">
      <c r="B5" s="359" t="s">
        <v>978</v>
      </c>
      <c r="C5" s="366"/>
      <c r="D5" s="366"/>
      <c r="F5" s="13"/>
    </row>
    <row r="6" spans="2:20" ht="14.25" customHeight="1">
      <c r="F6" s="183"/>
    </row>
    <row r="7" spans="2:20">
      <c r="B7" s="367" t="s">
        <v>895</v>
      </c>
      <c r="C7" s="369"/>
      <c r="D7" s="369"/>
      <c r="F7" s="13"/>
    </row>
    <row r="8" spans="2:20" ht="57.75" customHeight="1">
      <c r="B8" s="359" t="s">
        <v>979</v>
      </c>
      <c r="C8" s="359"/>
      <c r="D8" s="359"/>
      <c r="F8" s="13"/>
    </row>
    <row r="9" spans="2:20">
      <c r="F9" s="13"/>
    </row>
    <row r="10" spans="2:20" s="8" customFormat="1">
      <c r="B10" s="8" t="s">
        <v>162</v>
      </c>
      <c r="D10" s="8" t="s">
        <v>204</v>
      </c>
      <c r="F10" s="8" t="s">
        <v>205</v>
      </c>
      <c r="H10" s="300" t="s">
        <v>465</v>
      </c>
      <c r="I10" s="300" t="s">
        <v>466</v>
      </c>
      <c r="J10" s="300" t="s">
        <v>467</v>
      </c>
      <c r="K10" s="46">
        <v>2020</v>
      </c>
      <c r="L10" s="46">
        <v>2021</v>
      </c>
      <c r="M10" s="46">
        <v>2022</v>
      </c>
      <c r="N10" s="46">
        <v>2023</v>
      </c>
      <c r="O10" s="46">
        <v>2024</v>
      </c>
      <c r="P10" s="46">
        <v>2025</v>
      </c>
      <c r="Q10" s="46">
        <v>2026</v>
      </c>
      <c r="R10" s="46">
        <v>2027</v>
      </c>
      <c r="T10" s="8" t="s">
        <v>207</v>
      </c>
    </row>
    <row r="12" spans="2:20" s="8" customFormat="1">
      <c r="B12" s="8" t="s">
        <v>897</v>
      </c>
    </row>
    <row r="14" spans="2:20">
      <c r="B14" s="2" t="s">
        <v>224</v>
      </c>
    </row>
    <row r="15" spans="2:20">
      <c r="B15" s="3" t="s">
        <v>980</v>
      </c>
      <c r="D15" s="3" t="s">
        <v>228</v>
      </c>
      <c r="H15" s="32">
        <f>'2. Parameters'!H35</f>
        <v>1</v>
      </c>
      <c r="I15" s="32">
        <f>'2. Parameters'!I35</f>
        <v>1.014</v>
      </c>
      <c r="J15" s="32">
        <f>'2. Parameters'!J35</f>
        <v>1.026168</v>
      </c>
      <c r="K15" s="32">
        <f>'2. Parameters'!K35</f>
        <v>1.052848368</v>
      </c>
      <c r="L15" s="32">
        <f>'2. Parameters'!L35</f>
        <v>1.069693941888</v>
      </c>
      <c r="M15" s="32">
        <f>'2. Parameters'!M35</f>
        <v>1.0889484328419841</v>
      </c>
      <c r="N15" s="32">
        <f>'2. Parameters'!N35</f>
        <v>1.1564632356781872</v>
      </c>
      <c r="O15" s="32">
        <f>'2. Parameters'!O35</f>
        <v>1.2489802945324422</v>
      </c>
      <c r="P15" s="32">
        <f>'2. Parameters'!P35</f>
        <v>1.2839517427793505</v>
      </c>
      <c r="Q15" s="32">
        <f>'2. Parameters'!Q35</f>
        <v>1.3327419090049659</v>
      </c>
      <c r="R15" s="10"/>
    </row>
    <row r="16" spans="2:20">
      <c r="B16" s="3" t="s">
        <v>981</v>
      </c>
      <c r="D16" s="3" t="s">
        <v>228</v>
      </c>
      <c r="H16" s="10"/>
      <c r="I16" s="32">
        <f>'2. Parameters'!I36</f>
        <v>1</v>
      </c>
      <c r="J16" s="32">
        <f>'2. Parameters'!J36</f>
        <v>1.012</v>
      </c>
      <c r="K16" s="32">
        <f>'2. Parameters'!K36</f>
        <v>1.0383120000000001</v>
      </c>
      <c r="L16" s="32">
        <f>'2. Parameters'!L36</f>
        <v>1.0549249920000001</v>
      </c>
      <c r="M16" s="32">
        <f>'2. Parameters'!M36</f>
        <v>1.0739136418560002</v>
      </c>
      <c r="N16" s="32">
        <f>'2. Parameters'!N36</f>
        <v>1.1404962876510722</v>
      </c>
      <c r="O16" s="32">
        <f>'2. Parameters'!O36</f>
        <v>1.2317359906631582</v>
      </c>
      <c r="P16" s="32">
        <f>'2. Parameters'!P36</f>
        <v>1.2662245984017266</v>
      </c>
      <c r="Q16" s="32">
        <f>'2. Parameters'!Q36</f>
        <v>1.3143411331409922</v>
      </c>
      <c r="R16" s="10"/>
    </row>
    <row r="17" spans="2:18">
      <c r="B17" s="3" t="s">
        <v>982</v>
      </c>
      <c r="D17" s="3" t="s">
        <v>228</v>
      </c>
      <c r="H17" s="10"/>
      <c r="I17" s="10"/>
      <c r="J17" s="32">
        <f>'2. Parameters'!J37</f>
        <v>1</v>
      </c>
      <c r="K17" s="32">
        <f>'2. Parameters'!K37</f>
        <v>1.026</v>
      </c>
      <c r="L17" s="32">
        <f>'2. Parameters'!L37</f>
        <v>1.042416</v>
      </c>
      <c r="M17" s="32">
        <f>'2. Parameters'!M37</f>
        <v>1.0611794880000001</v>
      </c>
      <c r="N17" s="32">
        <f>'2. Parameters'!N37</f>
        <v>1.1269726162560001</v>
      </c>
      <c r="O17" s="32">
        <f>'2. Parameters'!O37</f>
        <v>1.2171304255564801</v>
      </c>
      <c r="P17" s="32">
        <f>'2. Parameters'!P37</f>
        <v>1.2512100774720616</v>
      </c>
      <c r="Q17" s="32">
        <f>'2. Parameters'!Q37</f>
        <v>1.298756060416</v>
      </c>
      <c r="R17" s="10"/>
    </row>
    <row r="18" spans="2:18">
      <c r="B18" s="3" t="s">
        <v>983</v>
      </c>
      <c r="D18" s="3" t="s">
        <v>228</v>
      </c>
      <c r="H18" s="10"/>
      <c r="I18" s="10"/>
      <c r="J18" s="10"/>
      <c r="K18" s="32">
        <f>'2. Parameters'!K38</f>
        <v>1</v>
      </c>
      <c r="L18" s="32">
        <f>'2. Parameters'!L38</f>
        <v>1.016</v>
      </c>
      <c r="M18" s="32">
        <f>'2. Parameters'!M38</f>
        <v>1.0342880000000001</v>
      </c>
      <c r="N18" s="32">
        <f>'2. Parameters'!N38</f>
        <v>1.0984138560000001</v>
      </c>
      <c r="O18" s="32">
        <f>'2. Parameters'!O38</f>
        <v>1.1862869644800003</v>
      </c>
      <c r="P18" s="32">
        <f>'2. Parameters'!P38</f>
        <v>1.2195029994854403</v>
      </c>
      <c r="Q18" s="32">
        <f>'2. Parameters'!Q38</f>
        <v>1.2658441134658871</v>
      </c>
      <c r="R18" s="10"/>
    </row>
    <row r="19" spans="2:18">
      <c r="B19" s="3" t="s">
        <v>984</v>
      </c>
      <c r="D19" s="3" t="s">
        <v>228</v>
      </c>
      <c r="H19" s="10"/>
      <c r="I19" s="10"/>
      <c r="J19" s="10"/>
      <c r="K19" s="10"/>
      <c r="L19" s="32">
        <f>'2. Parameters'!L39</f>
        <v>1</v>
      </c>
      <c r="M19" s="32">
        <f>'2. Parameters'!M39</f>
        <v>1.018</v>
      </c>
      <c r="N19" s="32">
        <f>'2. Parameters'!N39</f>
        <v>1.081116</v>
      </c>
      <c r="O19" s="32">
        <f>'2. Parameters'!O39</f>
        <v>1.1676052800000001</v>
      </c>
      <c r="P19" s="32">
        <f>'2. Parameters'!P39</f>
        <v>1.2002982278400001</v>
      </c>
      <c r="Q19" s="32">
        <f>'2. Parameters'!Q39</f>
        <v>1.24590956049792</v>
      </c>
      <c r="R19" s="10"/>
    </row>
    <row r="20" spans="2:18">
      <c r="B20" s="3" t="s">
        <v>985</v>
      </c>
      <c r="D20" s="3" t="s">
        <v>228</v>
      </c>
      <c r="H20" s="10"/>
      <c r="I20" s="10"/>
      <c r="J20" s="10"/>
      <c r="K20" s="10"/>
      <c r="L20" s="10"/>
      <c r="M20" s="32">
        <f>'2. Parameters'!M40</f>
        <v>1</v>
      </c>
      <c r="N20" s="32">
        <f>'2. Parameters'!N40</f>
        <v>1.0620000000000001</v>
      </c>
      <c r="O20" s="32">
        <f>'2. Parameters'!O40</f>
        <v>1.1469600000000002</v>
      </c>
      <c r="P20" s="32">
        <f>'2. Parameters'!P40</f>
        <v>1.1790748800000002</v>
      </c>
      <c r="Q20" s="32">
        <f>'2. Parameters'!Q40</f>
        <v>1.2238797254400002</v>
      </c>
      <c r="R20" s="10"/>
    </row>
    <row r="21" spans="2:18">
      <c r="B21" s="3" t="s">
        <v>986</v>
      </c>
      <c r="D21" s="3" t="s">
        <v>228</v>
      </c>
      <c r="H21" s="10"/>
      <c r="I21" s="10"/>
      <c r="J21" s="10"/>
      <c r="K21" s="10"/>
      <c r="L21" s="10"/>
      <c r="M21" s="10"/>
      <c r="N21" s="32">
        <f>'2. Parameters'!N41</f>
        <v>1</v>
      </c>
      <c r="O21" s="32">
        <f>'2. Parameters'!O41</f>
        <v>1.08</v>
      </c>
      <c r="P21" s="32">
        <f>'2. Parameters'!P41</f>
        <v>1.1102400000000001</v>
      </c>
      <c r="Q21" s="32">
        <f>'2. Parameters'!Q41</f>
        <v>1.1524291200000001</v>
      </c>
      <c r="R21" s="10"/>
    </row>
    <row r="22" spans="2:18">
      <c r="B22" s="3" t="s">
        <v>987</v>
      </c>
      <c r="D22" s="3" t="s">
        <v>228</v>
      </c>
      <c r="H22" s="10"/>
      <c r="I22" s="10"/>
      <c r="J22" s="10"/>
      <c r="K22" s="10"/>
      <c r="L22" s="10"/>
      <c r="M22" s="10"/>
      <c r="N22" s="10"/>
      <c r="O22" s="32">
        <f>'2. Parameters'!O42</f>
        <v>1</v>
      </c>
      <c r="P22" s="32">
        <f>'2. Parameters'!P42</f>
        <v>1.028</v>
      </c>
      <c r="Q22" s="32">
        <f>'2. Parameters'!Q42</f>
        <v>1.067064</v>
      </c>
      <c r="R22" s="10"/>
    </row>
    <row r="23" spans="2:18">
      <c r="B23" s="3" t="s">
        <v>988</v>
      </c>
      <c r="D23" s="3" t="s">
        <v>228</v>
      </c>
      <c r="H23" s="10"/>
      <c r="I23" s="10"/>
      <c r="J23" s="10"/>
      <c r="K23" s="10"/>
      <c r="L23" s="10"/>
      <c r="M23" s="10"/>
      <c r="N23" s="10"/>
      <c r="O23" s="10"/>
      <c r="P23" s="32">
        <f>'2. Parameters'!P43</f>
        <v>1</v>
      </c>
      <c r="Q23" s="32">
        <f>'2. Parameters'!Q43</f>
        <v>1.038</v>
      </c>
      <c r="R23" s="10"/>
    </row>
    <row r="24" spans="2:18">
      <c r="B24" s="3" t="s">
        <v>989</v>
      </c>
      <c r="D24" s="3" t="s">
        <v>228</v>
      </c>
      <c r="H24" s="10"/>
      <c r="I24" s="10"/>
      <c r="J24" s="10"/>
      <c r="K24" s="10"/>
      <c r="L24" s="10"/>
      <c r="M24" s="10"/>
      <c r="N24" s="10"/>
      <c r="O24" s="10"/>
      <c r="P24" s="10"/>
      <c r="Q24" s="32">
        <f>'2. Parameters'!Q44</f>
        <v>1</v>
      </c>
      <c r="R24" s="10"/>
    </row>
    <row r="26" spans="2:18">
      <c r="B26" s="2" t="s">
        <v>238</v>
      </c>
    </row>
    <row r="27" spans="2:18">
      <c r="B27" s="3" t="s">
        <v>990</v>
      </c>
      <c r="D27" s="3" t="s">
        <v>242</v>
      </c>
      <c r="H27" s="32">
        <f>'2. Parameters'!H52</f>
        <v>1</v>
      </c>
      <c r="I27" s="32">
        <f>'2. Parameters'!I52</f>
        <v>0.999</v>
      </c>
      <c r="J27" s="32">
        <f>'2. Parameters'!J52</f>
        <v>0.99800100000000003</v>
      </c>
      <c r="K27" s="32">
        <f>'2. Parameters'!K52</f>
        <v>0.997002999</v>
      </c>
      <c r="L27" s="32">
        <f>'2. Parameters'!L52</f>
        <v>0.99600599600100004</v>
      </c>
      <c r="M27" s="32">
        <f>'2. Parameters'!M52</f>
        <v>0.99202197201699605</v>
      </c>
      <c r="N27" s="32">
        <f>'2. Parameters'!N52</f>
        <v>0.98805388412892803</v>
      </c>
      <c r="O27" s="32">
        <f>'2. Parameters'!O52</f>
        <v>0.98410166859241233</v>
      </c>
      <c r="P27" s="32">
        <f>'2. Parameters'!P52</f>
        <v>0.98016526191804265</v>
      </c>
      <c r="Q27" s="32">
        <f>'2. Parameters'!Q52</f>
        <v>0.97624460087037046</v>
      </c>
      <c r="R27" s="10"/>
    </row>
    <row r="28" spans="2:18">
      <c r="B28" s="3" t="s">
        <v>991</v>
      </c>
      <c r="D28" s="3" t="s">
        <v>242</v>
      </c>
      <c r="H28" s="10"/>
      <c r="I28" s="32">
        <f>'2. Parameters'!I53</f>
        <v>1</v>
      </c>
      <c r="J28" s="32">
        <f>'2. Parameters'!J53</f>
        <v>0.999</v>
      </c>
      <c r="K28" s="32">
        <f>'2. Parameters'!K53</f>
        <v>0.99800100000000003</v>
      </c>
      <c r="L28" s="32">
        <f>'2. Parameters'!L53</f>
        <v>0.997002999</v>
      </c>
      <c r="M28" s="32">
        <f>'2. Parameters'!M53</f>
        <v>0.99301498700400004</v>
      </c>
      <c r="N28" s="32">
        <f>'2. Parameters'!N53</f>
        <v>0.98904292705598407</v>
      </c>
      <c r="O28" s="32">
        <f>'2. Parameters'!O53</f>
        <v>0.98508675534776013</v>
      </c>
      <c r="P28" s="32">
        <f>'2. Parameters'!P53</f>
        <v>0.98114640832636912</v>
      </c>
      <c r="Q28" s="32">
        <f>'2. Parameters'!Q53</f>
        <v>0.97722182269306368</v>
      </c>
      <c r="R28" s="10"/>
    </row>
    <row r="29" spans="2:18">
      <c r="B29" s="3" t="s">
        <v>992</v>
      </c>
      <c r="D29" s="3" t="s">
        <v>242</v>
      </c>
      <c r="H29" s="10"/>
      <c r="I29" s="10"/>
      <c r="J29" s="32">
        <f>'2. Parameters'!J54</f>
        <v>1</v>
      </c>
      <c r="K29" s="32">
        <f>'2. Parameters'!K54</f>
        <v>0.999</v>
      </c>
      <c r="L29" s="32">
        <f>'2. Parameters'!L54</f>
        <v>0.99800100000000003</v>
      </c>
      <c r="M29" s="32">
        <f>'2. Parameters'!M54</f>
        <v>0.99400899600000003</v>
      </c>
      <c r="N29" s="32">
        <f>'2. Parameters'!N54</f>
        <v>0.99003296001600005</v>
      </c>
      <c r="O29" s="32">
        <f>'2. Parameters'!O54</f>
        <v>0.986072828175936</v>
      </c>
      <c r="P29" s="32">
        <f>'2. Parameters'!P54</f>
        <v>0.9821285368632322</v>
      </c>
      <c r="Q29" s="32">
        <f>'2. Parameters'!Q54</f>
        <v>0.97820002271577933</v>
      </c>
      <c r="R29" s="10"/>
    </row>
    <row r="30" spans="2:18">
      <c r="B30" s="3" t="s">
        <v>993</v>
      </c>
      <c r="D30" s="3" t="s">
        <v>242</v>
      </c>
      <c r="H30" s="10"/>
      <c r="I30" s="10"/>
      <c r="J30" s="10"/>
      <c r="K30" s="32">
        <f>'2. Parameters'!K55</f>
        <v>1</v>
      </c>
      <c r="L30" s="32">
        <f>'2. Parameters'!L55</f>
        <v>0.999</v>
      </c>
      <c r="M30" s="32">
        <f>'2. Parameters'!M55</f>
        <v>0.995004</v>
      </c>
      <c r="N30" s="32">
        <f>'2. Parameters'!N55</f>
        <v>0.99102398400000002</v>
      </c>
      <c r="O30" s="32">
        <f>'2. Parameters'!O55</f>
        <v>0.98705988806400002</v>
      </c>
      <c r="P30" s="32">
        <f>'2. Parameters'!P55</f>
        <v>0.98311164851174404</v>
      </c>
      <c r="Q30" s="32">
        <f>'2. Parameters'!Q55</f>
        <v>0.97917920191769703</v>
      </c>
      <c r="R30" s="10"/>
    </row>
    <row r="31" spans="2:18">
      <c r="B31" s="3" t="s">
        <v>994</v>
      </c>
      <c r="D31" s="3" t="s">
        <v>242</v>
      </c>
      <c r="H31" s="10"/>
      <c r="I31" s="10"/>
      <c r="J31" s="10"/>
      <c r="K31" s="10"/>
      <c r="L31" s="32">
        <f>'2. Parameters'!L56</f>
        <v>1</v>
      </c>
      <c r="M31" s="32">
        <f>'2. Parameters'!M56</f>
        <v>0.996</v>
      </c>
      <c r="N31" s="32">
        <f>'2. Parameters'!N56</f>
        <v>0.99201600000000001</v>
      </c>
      <c r="O31" s="32">
        <f>'2. Parameters'!O56</f>
        <v>0.98804793599999996</v>
      </c>
      <c r="P31" s="32">
        <f>'2. Parameters'!P56</f>
        <v>0.98409574425599999</v>
      </c>
      <c r="Q31" s="32">
        <f>'2. Parameters'!Q56</f>
        <v>0.98015936127897596</v>
      </c>
      <c r="R31" s="10"/>
    </row>
    <row r="32" spans="2:18">
      <c r="B32" s="3" t="s">
        <v>995</v>
      </c>
      <c r="D32" s="3" t="s">
        <v>242</v>
      </c>
      <c r="H32" s="10"/>
      <c r="I32" s="10"/>
      <c r="J32" s="10"/>
      <c r="K32" s="10"/>
      <c r="L32" s="10"/>
      <c r="M32" s="32">
        <f>'2. Parameters'!M57</f>
        <v>1</v>
      </c>
      <c r="N32" s="32">
        <f>'2. Parameters'!N57</f>
        <v>0.996</v>
      </c>
      <c r="O32" s="32">
        <f>'2. Parameters'!O57</f>
        <v>0.99201600000000001</v>
      </c>
      <c r="P32" s="32">
        <f>'2. Parameters'!P57</f>
        <v>0.98804793599999996</v>
      </c>
      <c r="Q32" s="32">
        <f>'2. Parameters'!Q57</f>
        <v>0.98409574425599999</v>
      </c>
      <c r="R32" s="10"/>
    </row>
    <row r="33" spans="1:18">
      <c r="B33" s="3" t="s">
        <v>996</v>
      </c>
      <c r="D33" s="3" t="s">
        <v>242</v>
      </c>
      <c r="H33" s="10"/>
      <c r="I33" s="10"/>
      <c r="J33" s="10"/>
      <c r="K33" s="10"/>
      <c r="L33" s="10"/>
      <c r="M33" s="10"/>
      <c r="N33" s="32">
        <f>'2. Parameters'!N58</f>
        <v>1</v>
      </c>
      <c r="O33" s="32">
        <f>'2. Parameters'!O58</f>
        <v>0.996</v>
      </c>
      <c r="P33" s="32">
        <f>'2. Parameters'!P58</f>
        <v>0.99201600000000001</v>
      </c>
      <c r="Q33" s="32">
        <f>'2. Parameters'!Q58</f>
        <v>0.98804793599999996</v>
      </c>
      <c r="R33" s="10"/>
    </row>
    <row r="34" spans="1:18">
      <c r="B34" s="3" t="s">
        <v>997</v>
      </c>
      <c r="D34" s="3" t="s">
        <v>242</v>
      </c>
      <c r="H34" s="10"/>
      <c r="I34" s="10"/>
      <c r="J34" s="10"/>
      <c r="K34" s="10"/>
      <c r="L34" s="10"/>
      <c r="M34" s="10"/>
      <c r="N34" s="10"/>
      <c r="O34" s="32">
        <f>'2. Parameters'!O59</f>
        <v>1</v>
      </c>
      <c r="P34" s="32">
        <f>'2. Parameters'!P59</f>
        <v>0.996</v>
      </c>
      <c r="Q34" s="32">
        <f>'2. Parameters'!Q59</f>
        <v>0.99201600000000001</v>
      </c>
      <c r="R34" s="10"/>
    </row>
    <row r="35" spans="1:18">
      <c r="B35" s="3" t="s">
        <v>998</v>
      </c>
      <c r="D35" s="3" t="s">
        <v>242</v>
      </c>
      <c r="H35" s="10"/>
      <c r="I35" s="10"/>
      <c r="J35" s="10"/>
      <c r="K35" s="10"/>
      <c r="L35" s="10"/>
      <c r="M35" s="10"/>
      <c r="N35" s="10"/>
      <c r="O35" s="10"/>
      <c r="P35" s="32">
        <f>'2. Parameters'!P60</f>
        <v>1</v>
      </c>
      <c r="Q35" s="32">
        <f>'2. Parameters'!Q60</f>
        <v>0.996</v>
      </c>
      <c r="R35" s="10"/>
    </row>
    <row r="36" spans="1:18">
      <c r="B36" s="3" t="s">
        <v>999</v>
      </c>
      <c r="D36" s="3" t="s">
        <v>242</v>
      </c>
      <c r="H36" s="10"/>
      <c r="I36" s="10"/>
      <c r="J36" s="10"/>
      <c r="K36" s="10"/>
      <c r="L36" s="10"/>
      <c r="M36" s="10"/>
      <c r="N36" s="10"/>
      <c r="O36" s="10"/>
      <c r="P36" s="10"/>
      <c r="Q36" s="32">
        <f>'2. Parameters'!Q61</f>
        <v>1</v>
      </c>
      <c r="R36" s="10"/>
    </row>
    <row r="37" spans="1:18" s="89" customFormat="1">
      <c r="A37" s="3"/>
      <c r="P37" s="109"/>
      <c r="Q37" s="109"/>
      <c r="R37" s="109"/>
    </row>
    <row r="38" spans="1:18">
      <c r="B38" s="16" t="s">
        <v>243</v>
      </c>
    </row>
    <row r="39" spans="1:18">
      <c r="B39" s="28" t="s">
        <v>231</v>
      </c>
      <c r="D39" s="3" t="s">
        <v>899</v>
      </c>
      <c r="H39" s="10"/>
      <c r="I39" s="10"/>
      <c r="J39" s="10"/>
      <c r="K39" s="32">
        <f>'2. Parameters'!K69</f>
        <v>1</v>
      </c>
      <c r="L39" s="32">
        <f>'2. Parameters'!L69</f>
        <v>1.02</v>
      </c>
      <c r="M39" s="32">
        <f>'2. Parameters'!M69</f>
        <v>1.0404</v>
      </c>
      <c r="N39" s="32">
        <f>'2. Parameters'!N69</f>
        <v>1.0612079999999999</v>
      </c>
      <c r="O39" s="32">
        <f>'2. Parameters'!O69</f>
        <v>1.10365632</v>
      </c>
      <c r="P39" s="32">
        <f>'2. Parameters'!P69</f>
        <v>1.1809122624000001</v>
      </c>
      <c r="Q39" s="32">
        <f>'2. Parameters'!Q69</f>
        <v>1.2399578755200003</v>
      </c>
      <c r="R39" s="32">
        <f>'2. Parameters'!R69</f>
        <v>1.2895561905408004</v>
      </c>
    </row>
    <row r="40" spans="1:18">
      <c r="B40" s="28" t="s">
        <v>232</v>
      </c>
      <c r="D40" s="3" t="s">
        <v>899</v>
      </c>
      <c r="H40" s="10"/>
      <c r="I40" s="10"/>
      <c r="J40" s="10"/>
      <c r="K40" s="10"/>
      <c r="L40" s="32">
        <f>'2. Parameters'!L70</f>
        <v>1</v>
      </c>
      <c r="M40" s="32">
        <f>'2. Parameters'!M70</f>
        <v>1.02</v>
      </c>
      <c r="N40" s="32">
        <f>'2. Parameters'!N70</f>
        <v>1.0404</v>
      </c>
      <c r="O40" s="32">
        <f>'2. Parameters'!O70</f>
        <v>1.0820160000000001</v>
      </c>
      <c r="P40" s="32">
        <f>'2. Parameters'!P70</f>
        <v>1.1577571200000001</v>
      </c>
      <c r="Q40" s="32">
        <f>'2. Parameters'!Q70</f>
        <v>1.2156449760000001</v>
      </c>
      <c r="R40" s="32">
        <f>'2. Parameters'!R70</f>
        <v>1.2642707750400002</v>
      </c>
    </row>
    <row r="41" spans="1:18">
      <c r="B41" s="28" t="s">
        <v>233</v>
      </c>
      <c r="D41" s="3" t="s">
        <v>899</v>
      </c>
      <c r="H41" s="10"/>
      <c r="I41" s="10"/>
      <c r="J41" s="10"/>
      <c r="K41" s="10"/>
      <c r="L41" s="10"/>
      <c r="M41" s="32">
        <f>'2. Parameters'!M71</f>
        <v>1</v>
      </c>
      <c r="N41" s="32">
        <f>'2. Parameters'!N71</f>
        <v>1.02</v>
      </c>
      <c r="O41" s="32">
        <f>'2. Parameters'!O71</f>
        <v>1.0608</v>
      </c>
      <c r="P41" s="32">
        <f>'2. Parameters'!P71</f>
        <v>1.1350560000000001</v>
      </c>
      <c r="Q41" s="32">
        <f>'2. Parameters'!Q71</f>
        <v>1.1918088000000002</v>
      </c>
      <c r="R41" s="32">
        <f>'2. Parameters'!R71</f>
        <v>1.2394811520000002</v>
      </c>
    </row>
    <row r="42" spans="1:18">
      <c r="B42" s="28" t="s">
        <v>234</v>
      </c>
      <c r="D42" s="3" t="s">
        <v>899</v>
      </c>
      <c r="H42" s="10"/>
      <c r="I42" s="10"/>
      <c r="J42" s="10"/>
      <c r="K42" s="10"/>
      <c r="L42" s="10"/>
      <c r="M42" s="10"/>
      <c r="N42" s="32">
        <f>'2. Parameters'!N72</f>
        <v>1</v>
      </c>
      <c r="O42" s="32">
        <f>'2. Parameters'!O72</f>
        <v>1.04</v>
      </c>
      <c r="P42" s="32">
        <f>'2. Parameters'!P72</f>
        <v>1.1128</v>
      </c>
      <c r="Q42" s="32">
        <f>'2. Parameters'!Q72</f>
        <v>1.1684400000000001</v>
      </c>
      <c r="R42" s="32">
        <f>'2. Parameters'!R72</f>
        <v>1.2151776000000003</v>
      </c>
    </row>
    <row r="43" spans="1:18">
      <c r="B43" s="28" t="s">
        <v>235</v>
      </c>
      <c r="D43" s="3" t="s">
        <v>899</v>
      </c>
      <c r="H43" s="10"/>
      <c r="I43" s="10"/>
      <c r="J43" s="10"/>
      <c r="K43" s="10"/>
      <c r="L43" s="10"/>
      <c r="M43" s="10"/>
      <c r="N43" s="10"/>
      <c r="O43" s="32">
        <f>'2. Parameters'!O73</f>
        <v>1</v>
      </c>
      <c r="P43" s="32">
        <f>'2. Parameters'!P73</f>
        <v>1.07</v>
      </c>
      <c r="Q43" s="32">
        <f>'2. Parameters'!Q73</f>
        <v>1.1235000000000002</v>
      </c>
      <c r="R43" s="32">
        <f>'2. Parameters'!R73</f>
        <v>1.1684400000000001</v>
      </c>
    </row>
    <row r="44" spans="1:18">
      <c r="B44" s="28" t="s">
        <v>236</v>
      </c>
      <c r="D44" s="3" t="s">
        <v>899</v>
      </c>
      <c r="H44" s="10"/>
      <c r="I44" s="10"/>
      <c r="J44" s="10"/>
      <c r="K44" s="10"/>
      <c r="L44" s="10"/>
      <c r="M44" s="10"/>
      <c r="N44" s="10"/>
      <c r="O44" s="10"/>
      <c r="P44" s="32">
        <f>'2. Parameters'!P74</f>
        <v>1</v>
      </c>
      <c r="Q44" s="32">
        <f>'2. Parameters'!Q74</f>
        <v>1.05</v>
      </c>
      <c r="R44" s="32">
        <f>'2. Parameters'!R74</f>
        <v>1.0920000000000001</v>
      </c>
    </row>
    <row r="45" spans="1:18">
      <c r="B45" s="28" t="s">
        <v>237</v>
      </c>
      <c r="D45" s="3" t="s">
        <v>899</v>
      </c>
      <c r="H45" s="10"/>
      <c r="I45" s="10"/>
      <c r="J45" s="10"/>
      <c r="K45" s="10"/>
      <c r="L45" s="10"/>
      <c r="M45" s="10"/>
      <c r="N45" s="10"/>
      <c r="O45" s="10"/>
      <c r="P45" s="10"/>
      <c r="Q45" s="32">
        <f>'2. Parameters'!Q75</f>
        <v>1</v>
      </c>
      <c r="R45" s="32">
        <f>'2. Parameters'!R75</f>
        <v>1.04</v>
      </c>
    </row>
    <row r="47" spans="1:18">
      <c r="B47" s="2" t="s">
        <v>223</v>
      </c>
    </row>
    <row r="48" spans="1:18">
      <c r="B48" s="3" t="s">
        <v>223</v>
      </c>
      <c r="D48" s="3" t="s">
        <v>214</v>
      </c>
      <c r="F48" s="55">
        <f>'2. Parameters'!F27</f>
        <v>0.01</v>
      </c>
    </row>
    <row r="50" spans="1:20">
      <c r="B50" s="2" t="s">
        <v>248</v>
      </c>
    </row>
    <row r="51" spans="1:20">
      <c r="B51" s="3" t="s">
        <v>248</v>
      </c>
      <c r="D51" s="3" t="s">
        <v>214</v>
      </c>
      <c r="F51" s="55">
        <f>'2. Parameters'!F79</f>
        <v>1</v>
      </c>
    </row>
    <row r="53" spans="1:20">
      <c r="B53" s="2" t="s">
        <v>211</v>
      </c>
    </row>
    <row r="54" spans="1:20">
      <c r="B54" s="3" t="s">
        <v>1000</v>
      </c>
      <c r="D54" s="3" t="s">
        <v>214</v>
      </c>
      <c r="H54" s="10"/>
      <c r="I54" s="10"/>
      <c r="J54" s="10"/>
      <c r="K54" s="10"/>
      <c r="L54" s="10"/>
      <c r="M54" s="55">
        <f>'2. Parameters'!M19</f>
        <v>3.4000000000000002E-2</v>
      </c>
      <c r="N54" s="55">
        <f>'2. Parameters'!N19</f>
        <v>3.3000000000000002E-2</v>
      </c>
      <c r="O54" s="55">
        <f>'2. Parameters'!O19</f>
        <v>3.7999999999999999E-2</v>
      </c>
      <c r="P54" s="55">
        <f>'2. Parameters'!P19</f>
        <v>3.7999999999999999E-2</v>
      </c>
      <c r="Q54" s="55">
        <f>'2. Parameters'!Q19</f>
        <v>3.7999999999999999E-2</v>
      </c>
      <c r="R54" s="10"/>
    </row>
    <row r="55" spans="1:20">
      <c r="B55" s="3" t="s">
        <v>1001</v>
      </c>
      <c r="D55" s="3" t="s">
        <v>214</v>
      </c>
      <c r="H55" s="10"/>
      <c r="I55" s="10"/>
      <c r="J55" s="10"/>
      <c r="K55" s="10"/>
      <c r="L55" s="10"/>
      <c r="M55" s="247">
        <f>'2. Parameters'!M23</f>
        <v>4.1000000000000002E-2</v>
      </c>
      <c r="N55" s="247">
        <f>'2. Parameters'!N23</f>
        <v>5.0999999999999997E-2</v>
      </c>
      <c r="O55" s="247">
        <f>'2. Parameters'!O23</f>
        <v>5.0999999999999997E-2</v>
      </c>
      <c r="P55" s="247">
        <f>'2. Parameters'!P23</f>
        <v>5.5E-2</v>
      </c>
      <c r="Q55" s="10"/>
      <c r="R55" s="10"/>
    </row>
    <row r="57" spans="1:20" s="89" customFormat="1">
      <c r="A57" s="3"/>
      <c r="B57" s="106" t="s">
        <v>1002</v>
      </c>
    </row>
    <row r="58" spans="1:20">
      <c r="B58" s="3" t="s">
        <v>497</v>
      </c>
      <c r="D58" s="3" t="s">
        <v>482</v>
      </c>
      <c r="H58" s="42">
        <f>'4. Input nacalculaties'!I27</f>
        <v>44821191.142850496</v>
      </c>
      <c r="I58" s="42">
        <f>'4. Input nacalculaties'!J27</f>
        <v>58525786.829999998</v>
      </c>
      <c r="J58" s="42">
        <f>'4. Input nacalculaties'!K27</f>
        <v>58366350.850000001</v>
      </c>
      <c r="K58" s="10"/>
      <c r="L58" s="10"/>
      <c r="M58" s="42">
        <f>'15. Operationele kosten'!F20</f>
        <v>255375350.92082277</v>
      </c>
      <c r="N58" s="42">
        <f>'15. Operationele kosten'!F23</f>
        <v>235931593.58603954</v>
      </c>
      <c r="O58" s="42">
        <f>'15. Operationele kosten'!F26</f>
        <v>151724179.39030492</v>
      </c>
      <c r="P58" s="42">
        <f>'15. Operationele kosten'!F29</f>
        <v>131989333</v>
      </c>
      <c r="Q58" s="10"/>
      <c r="R58" s="10"/>
    </row>
    <row r="59" spans="1:20">
      <c r="B59" s="28" t="s">
        <v>1003</v>
      </c>
      <c r="D59" s="3" t="s">
        <v>482</v>
      </c>
      <c r="H59" s="42">
        <f>'4. Input nacalculaties'!I28</f>
        <v>51772596.931449495</v>
      </c>
      <c r="I59" s="42">
        <f>'4. Input nacalculaties'!J28</f>
        <v>57577907.726399995</v>
      </c>
      <c r="J59" s="42">
        <f>'4. Input nacalculaties'!K28</f>
        <v>46608188.220100001</v>
      </c>
      <c r="K59" s="10"/>
      <c r="L59" s="10"/>
      <c r="M59" s="42">
        <f>'15. Operationele kosten'!E20</f>
        <v>117613906.59917724</v>
      </c>
      <c r="N59" s="42">
        <f>'15. Operationele kosten'!E23</f>
        <v>85777606.813960448</v>
      </c>
      <c r="O59" s="42">
        <f>'15. Operationele kosten'!E26</f>
        <v>57272557.30969505</v>
      </c>
      <c r="P59" s="42">
        <f>'15. Operationele kosten'!E29</f>
        <v>56906270</v>
      </c>
      <c r="Q59" s="10"/>
      <c r="R59" s="10"/>
    </row>
    <row r="60" spans="1:20">
      <c r="B60" s="28" t="s">
        <v>1004</v>
      </c>
      <c r="D60" s="3" t="s">
        <v>482</v>
      </c>
      <c r="H60" s="42">
        <f>'7. Input IC peakshaver'!H31</f>
        <v>1320509.5900000001</v>
      </c>
      <c r="I60" s="42">
        <f>'7. Input IC peakshaver'!I31</f>
        <v>1966066.3200000003</v>
      </c>
      <c r="J60" s="42">
        <f>'7. Input IC peakshaver'!J31</f>
        <v>1575548.13</v>
      </c>
      <c r="K60" s="10"/>
      <c r="L60" s="10"/>
      <c r="M60" s="250">
        <f>'15. Operationele kosten'!F21</f>
        <v>4045629</v>
      </c>
      <c r="N60" s="42">
        <f>'15. Operationele kosten'!F24</f>
        <v>4280846.4400000004</v>
      </c>
      <c r="O60" s="42">
        <f>'15. Operationele kosten'!F27</f>
        <v>2788340.2199999997</v>
      </c>
      <c r="P60" s="42">
        <f>'15. Operationele kosten'!F30</f>
        <v>2735428</v>
      </c>
      <c r="Q60" s="10"/>
      <c r="R60" s="10"/>
      <c r="T60" s="3" t="s">
        <v>1005</v>
      </c>
    </row>
    <row r="62" spans="1:20" s="89" customFormat="1">
      <c r="A62" s="3"/>
      <c r="B62" s="106" t="s">
        <v>1006</v>
      </c>
    </row>
    <row r="63" spans="1:20" s="89" customFormat="1">
      <c r="A63" s="3"/>
      <c r="B63" s="89" t="s">
        <v>1007</v>
      </c>
      <c r="D63" s="89" t="s">
        <v>214</v>
      </c>
      <c r="F63" s="78">
        <f>'2. Parameters'!F95</f>
        <v>0.25</v>
      </c>
    </row>
    <row r="64" spans="1:20">
      <c r="B64" s="3" t="s">
        <v>1008</v>
      </c>
      <c r="D64" s="3" t="s">
        <v>214</v>
      </c>
      <c r="F64" s="78">
        <f>'2. Parameters'!F96</f>
        <v>0.2</v>
      </c>
    </row>
    <row r="65" spans="2:18">
      <c r="F65" s="19"/>
    </row>
    <row r="66" spans="2:18">
      <c r="B66" s="241" t="s">
        <v>1009</v>
      </c>
    </row>
    <row r="67" spans="2:18">
      <c r="B67" s="163" t="s">
        <v>1009</v>
      </c>
      <c r="D67" s="3" t="s">
        <v>214</v>
      </c>
      <c r="F67" s="173">
        <f>'7. Input IC peakshaver'!F17</f>
        <v>0.77</v>
      </c>
    </row>
    <row r="69" spans="2:18" s="8" customFormat="1">
      <c r="B69" s="8" t="s">
        <v>480</v>
      </c>
    </row>
    <row r="71" spans="2:18">
      <c r="B71" s="28" t="s">
        <v>1010</v>
      </c>
      <c r="D71" s="3" t="s">
        <v>482</v>
      </c>
      <c r="K71" s="10"/>
      <c r="L71" s="10"/>
      <c r="M71" s="94"/>
      <c r="N71" s="94"/>
      <c r="O71" s="94"/>
      <c r="P71" s="42">
        <f>'4. Input nacalculaties'!Q11</f>
        <v>1069469892.4698374</v>
      </c>
      <c r="Q71" s="10"/>
      <c r="R71" s="10"/>
    </row>
    <row r="72" spans="2:18">
      <c r="B72" t="s">
        <v>880</v>
      </c>
      <c r="D72" s="3" t="s">
        <v>482</v>
      </c>
      <c r="K72" s="10"/>
      <c r="L72" s="10"/>
      <c r="M72" s="288"/>
      <c r="N72" s="288"/>
      <c r="O72" s="288"/>
      <c r="P72" s="190">
        <f>_xlfn.XLOOKUP(P10,Omzet[Jaar],Omzet[Omzetregulering tariefgereguleerd])</f>
        <v>1006790076.3599999</v>
      </c>
      <c r="Q72" s="10"/>
      <c r="R72" s="10"/>
    </row>
    <row r="73" spans="2:18">
      <c r="B73" s="3" t="s">
        <v>1011</v>
      </c>
      <c r="D73" s="3" t="s">
        <v>482</v>
      </c>
      <c r="K73" s="10"/>
      <c r="L73" s="10"/>
      <c r="M73" s="94"/>
      <c r="N73" s="94"/>
      <c r="O73" s="94"/>
      <c r="P73" s="43">
        <f>P71-P72</f>
        <v>62679816.109837532</v>
      </c>
      <c r="Q73" s="10"/>
      <c r="R73" s="10"/>
    </row>
    <row r="74" spans="2:18">
      <c r="B74" s="3" t="s">
        <v>1012</v>
      </c>
      <c r="D74" s="3" t="s">
        <v>482</v>
      </c>
      <c r="K74" s="10"/>
      <c r="L74" s="10"/>
      <c r="M74" s="94"/>
      <c r="N74" s="94"/>
      <c r="O74" s="94"/>
      <c r="P74" s="42">
        <f>P73</f>
        <v>62679816.109837532</v>
      </c>
      <c r="Q74" s="10"/>
      <c r="R74" s="10"/>
    </row>
    <row r="75" spans="2:18">
      <c r="B75" s="3" t="s">
        <v>1013</v>
      </c>
      <c r="D75" s="3" t="s">
        <v>482</v>
      </c>
      <c r="K75" s="10"/>
      <c r="L75" s="10"/>
      <c r="M75" s="10"/>
      <c r="N75" s="10"/>
      <c r="O75" s="94"/>
      <c r="P75" s="94"/>
      <c r="Q75" s="94"/>
      <c r="R75" s="51">
        <f>P74*INDEX(R$39:R$45,R$10-2021)</f>
        <v>68446359.191942587</v>
      </c>
    </row>
    <row r="77" spans="2:18" s="8" customFormat="1">
      <c r="B77" s="8" t="s">
        <v>1014</v>
      </c>
    </row>
    <row r="79" spans="2:18">
      <c r="B79" s="3" t="s">
        <v>1015</v>
      </c>
      <c r="D79" s="3" t="s">
        <v>482</v>
      </c>
      <c r="K79" s="10"/>
      <c r="L79" s="10"/>
      <c r="M79" s="96"/>
      <c r="N79" s="96"/>
      <c r="O79" s="96"/>
      <c r="P79" s="52">
        <f>_xlfn.XLOOKUP(P10,Omzet[Jaar],Omzet[Overboek- en terugkoopregeling])</f>
        <v>14646611.33</v>
      </c>
      <c r="Q79" s="10"/>
      <c r="R79" s="10"/>
    </row>
    <row r="80" spans="2:18">
      <c r="B80" s="3" t="s">
        <v>1016</v>
      </c>
      <c r="D80" s="3" t="s">
        <v>482</v>
      </c>
      <c r="K80" s="10"/>
      <c r="L80" s="10"/>
      <c r="M80" s="96"/>
      <c r="N80" s="96"/>
      <c r="O80" s="96"/>
      <c r="P80" s="47">
        <f>-P79*50%</f>
        <v>-7323305.665</v>
      </c>
      <c r="Q80" s="10"/>
      <c r="R80" s="10"/>
    </row>
    <row r="81" spans="2:20">
      <c r="B81" s="3" t="s">
        <v>1012</v>
      </c>
      <c r="D81" s="3" t="s">
        <v>482</v>
      </c>
      <c r="K81" s="10"/>
      <c r="L81" s="10"/>
      <c r="M81" s="96"/>
      <c r="N81" s="96"/>
      <c r="O81" s="96"/>
      <c r="P81" s="52">
        <f>P80</f>
        <v>-7323305.665</v>
      </c>
      <c r="Q81" s="10"/>
      <c r="R81" s="10"/>
    </row>
    <row r="82" spans="2:20">
      <c r="B82" s="3" t="s">
        <v>1013</v>
      </c>
      <c r="D82" s="3" t="s">
        <v>482</v>
      </c>
      <c r="K82" s="10"/>
      <c r="L82" s="10"/>
      <c r="M82" s="10"/>
      <c r="N82" s="10"/>
      <c r="O82" s="94"/>
      <c r="P82" s="94"/>
      <c r="Q82" s="94"/>
      <c r="R82" s="51">
        <f>P81*INDEX(R$39:R$45,R$10-2021)</f>
        <v>-7997049.7861800008</v>
      </c>
    </row>
    <row r="84" spans="2:20" s="8" customFormat="1">
      <c r="B84" s="8" t="s">
        <v>484</v>
      </c>
    </row>
    <row r="86" spans="2:20">
      <c r="B86" s="3" t="s">
        <v>1017</v>
      </c>
      <c r="D86" s="3" t="s">
        <v>482</v>
      </c>
      <c r="K86" s="10"/>
      <c r="L86" s="10"/>
      <c r="M86" s="10"/>
      <c r="N86" s="94"/>
      <c r="O86" s="94"/>
      <c r="P86" s="289"/>
      <c r="Q86" s="165">
        <f>'4. Input nacalculaties'!R15</f>
        <v>0</v>
      </c>
      <c r="R86" s="10"/>
    </row>
    <row r="87" spans="2:20">
      <c r="B87" s="3" t="s">
        <v>1018</v>
      </c>
      <c r="D87" s="3" t="s">
        <v>482</v>
      </c>
      <c r="K87" s="10"/>
      <c r="L87" s="10"/>
      <c r="M87" s="10"/>
      <c r="N87" s="10"/>
      <c r="O87" s="94"/>
      <c r="P87" s="94"/>
      <c r="Q87" s="94"/>
      <c r="R87" s="43">
        <f>Q86*R45</f>
        <v>0</v>
      </c>
    </row>
    <row r="88" spans="2:20">
      <c r="B88" s="3" t="s">
        <v>877</v>
      </c>
      <c r="D88" s="3" t="s">
        <v>482</v>
      </c>
      <c r="K88" s="10"/>
      <c r="L88" s="10"/>
      <c r="M88" s="289"/>
      <c r="N88" s="289"/>
      <c r="O88" s="289"/>
      <c r="P88" s="165">
        <f>_xlfn.XLOOKUP(P10,Omzet[Jaar],Omzet[Veilinggelden])</f>
        <v>4689355.4799999995</v>
      </c>
      <c r="Q88" s="10"/>
      <c r="R88" s="10"/>
    </row>
    <row r="89" spans="2:20">
      <c r="B89" s="3" t="s">
        <v>1019</v>
      </c>
      <c r="D89" s="3" t="s">
        <v>482</v>
      </c>
      <c r="K89" s="10"/>
      <c r="L89" s="10"/>
      <c r="M89" s="10"/>
      <c r="N89" s="10"/>
      <c r="O89" s="94"/>
      <c r="P89" s="94"/>
      <c r="Q89" s="94"/>
      <c r="R89" s="43">
        <f>P88*INDEX(R$39:R$45,R$10-2021)</f>
        <v>5120776.1841599997</v>
      </c>
    </row>
    <row r="90" spans="2:20">
      <c r="B90" s="3" t="s">
        <v>1020</v>
      </c>
      <c r="D90" s="3" t="s">
        <v>482</v>
      </c>
      <c r="K90" s="10"/>
      <c r="L90" s="10"/>
      <c r="M90" s="10"/>
      <c r="N90" s="10"/>
      <c r="O90" s="94"/>
      <c r="P90" s="94"/>
      <c r="Q90" s="94"/>
      <c r="R90" s="43">
        <f>R87+R89</f>
        <v>5120776.1841599997</v>
      </c>
    </row>
    <row r="91" spans="2:20">
      <c r="B91" s="3" t="s">
        <v>489</v>
      </c>
      <c r="D91" s="3" t="s">
        <v>482</v>
      </c>
      <c r="K91" s="10"/>
      <c r="L91" s="10"/>
      <c r="M91" s="10"/>
      <c r="N91" s="10"/>
      <c r="O91" s="94"/>
      <c r="P91" s="94"/>
      <c r="Q91" s="94"/>
      <c r="R91" s="42">
        <f>'4. Input nacalculaties'!S17</f>
        <v>0</v>
      </c>
    </row>
    <row r="92" spans="2:20">
      <c r="B92" s="3" t="s">
        <v>491</v>
      </c>
      <c r="D92" s="3" t="s">
        <v>482</v>
      </c>
      <c r="K92" s="10"/>
      <c r="L92" s="10"/>
      <c r="M92" s="10"/>
      <c r="N92" s="10"/>
      <c r="O92" s="94"/>
      <c r="P92" s="94"/>
      <c r="Q92" s="94"/>
      <c r="R92" s="51">
        <f>'4. Input nacalculaties'!S18</f>
        <v>-5120776.1841599997</v>
      </c>
      <c r="T92" s="13"/>
    </row>
    <row r="93" spans="2:20">
      <c r="B93" s="3" t="s">
        <v>1021</v>
      </c>
      <c r="D93" s="3" t="s">
        <v>482</v>
      </c>
      <c r="K93" s="10"/>
      <c r="L93" s="10"/>
      <c r="M93" s="10"/>
      <c r="N93" s="10"/>
      <c r="O93" s="94"/>
      <c r="P93" s="94"/>
      <c r="Q93" s="94"/>
      <c r="R93" s="43">
        <f>R90+R92</f>
        <v>0</v>
      </c>
    </row>
    <row r="95" spans="2:20" s="8" customFormat="1">
      <c r="B95" s="8" t="s">
        <v>1022</v>
      </c>
    </row>
    <row r="97" spans="2:18">
      <c r="B97" s="3" t="s">
        <v>878</v>
      </c>
      <c r="D97" s="3" t="s">
        <v>482</v>
      </c>
      <c r="K97" s="10"/>
      <c r="L97" s="10"/>
      <c r="M97" s="96"/>
      <c r="N97" s="96"/>
      <c r="O97" s="96"/>
      <c r="P97" s="52">
        <f>_xlfn.XLOOKUP(P10,Omzet[Jaar],Omzet[Saldo administratieve onbalans])</f>
        <v>-47704132.830000006</v>
      </c>
      <c r="Q97" s="10"/>
      <c r="R97" s="10"/>
    </row>
    <row r="98" spans="2:18">
      <c r="B98" s="3" t="s">
        <v>1012</v>
      </c>
      <c r="D98" s="3" t="s">
        <v>482</v>
      </c>
      <c r="K98" s="10"/>
      <c r="L98" s="10"/>
      <c r="M98" s="96"/>
      <c r="N98" s="96"/>
      <c r="O98" s="96"/>
      <c r="P98" s="47">
        <f>-P97</f>
        <v>47704132.830000006</v>
      </c>
      <c r="Q98" s="10"/>
      <c r="R98" s="10"/>
    </row>
    <row r="99" spans="2:18">
      <c r="B99" s="3" t="s">
        <v>1013</v>
      </c>
      <c r="D99" s="3" t="s">
        <v>482</v>
      </c>
      <c r="K99" s="10"/>
      <c r="L99" s="10"/>
      <c r="M99" s="10"/>
      <c r="N99" s="10"/>
      <c r="O99" s="94"/>
      <c r="P99" s="96"/>
      <c r="Q99" s="94"/>
      <c r="R99" s="51">
        <f>P98*INDEX(R$39:R$45,R$10-2021)</f>
        <v>52092913.050360009</v>
      </c>
    </row>
    <row r="101" spans="2:18" s="8" customFormat="1">
      <c r="B101" s="8" t="s">
        <v>1023</v>
      </c>
    </row>
    <row r="103" spans="2:18">
      <c r="B103" s="3" t="s">
        <v>501</v>
      </c>
      <c r="D103" s="3" t="s">
        <v>482</v>
      </c>
      <c r="K103" s="52">
        <f>'4. Input nacalculaties'!L32</f>
        <v>2227061.457252</v>
      </c>
      <c r="L103" s="10"/>
      <c r="M103" s="10"/>
      <c r="N103" s="10"/>
      <c r="O103" s="10"/>
      <c r="P103" s="10"/>
      <c r="Q103" s="10"/>
      <c r="R103" s="10"/>
    </row>
    <row r="104" spans="2:18">
      <c r="B104" s="3" t="s">
        <v>1024</v>
      </c>
      <c r="D104" s="3" t="s">
        <v>482</v>
      </c>
      <c r="K104" s="10"/>
      <c r="L104" s="10"/>
      <c r="M104" s="47">
        <f>$K$103*M18*M30</f>
        <v>2291915.0394875272</v>
      </c>
      <c r="N104" s="47">
        <f>$K$103*N18*N30</f>
        <v>2424277.7168480111</v>
      </c>
      <c r="O104" s="47">
        <f>$K$103*O18*O30</f>
        <v>2607747.0544590689</v>
      </c>
      <c r="P104" s="47">
        <f>$K$103*P18*P30</f>
        <v>2670040.9160959874</v>
      </c>
      <c r="Q104" s="47">
        <f>$K$103*Q18*Q30</f>
        <v>2760416.4610240045</v>
      </c>
      <c r="R104" s="96"/>
    </row>
    <row r="105" spans="2:18">
      <c r="B105" s="3" t="s">
        <v>1025</v>
      </c>
      <c r="D105" s="3" t="s">
        <v>482</v>
      </c>
      <c r="K105" s="10"/>
      <c r="L105" s="10"/>
      <c r="M105" s="289"/>
      <c r="N105" s="289"/>
      <c r="O105" s="289"/>
      <c r="P105" s="165" cm="1">
        <f t="array" ref="P105" xml:space="preserve"> _xlfn.XLOOKUP(
         "Ontmantelingskosten desinvesteringen" &amp; P10,
         Operationele_kosten[Subcategorie] &amp; Operationele_kosten[Jaar],
         Operationele_kosten[TT/BT/AT] + Operationele_kosten[KC]
   )</f>
        <v>37082706.710000001</v>
      </c>
      <c r="Q105" s="10"/>
      <c r="R105" s="10"/>
    </row>
    <row r="106" spans="2:18">
      <c r="B106" s="3" t="s">
        <v>1013</v>
      </c>
      <c r="D106" s="3" t="s">
        <v>482</v>
      </c>
      <c r="K106" s="10"/>
      <c r="L106" s="10"/>
      <c r="M106" s="10"/>
      <c r="N106" s="10"/>
      <c r="O106" s="94"/>
      <c r="P106" s="94"/>
      <c r="Q106" s="94"/>
      <c r="R106" s="51">
        <f>(P105-P104)*INDEX(R$39:R$45,R$10-2021)</f>
        <v>37578631.046943188</v>
      </c>
    </row>
    <row r="108" spans="2:18" s="8" customFormat="1">
      <c r="B108" s="8" t="s">
        <v>516</v>
      </c>
    </row>
    <row r="110" spans="2:18">
      <c r="B110" s="3" t="s">
        <v>975</v>
      </c>
      <c r="D110" s="3" t="s">
        <v>482</v>
      </c>
      <c r="K110" s="42">
        <f>'19. Indexatie desinvesteringen'!D1677</f>
        <v>37758981.056281559</v>
      </c>
      <c r="L110" s="42">
        <f>'19. Indexatie desinvesteringen'!E1677</f>
        <v>38763732.819702528</v>
      </c>
      <c r="M110" s="42">
        <f>'19. Indexatie desinvesteringen'!F1677</f>
        <v>22960381.53917243</v>
      </c>
      <c r="N110" s="42">
        <f>'19. Indexatie desinvesteringen'!G1677</f>
        <v>58023959.745093741</v>
      </c>
      <c r="O110" s="42">
        <f>'19. Indexatie desinvesteringen'!H1677</f>
        <v>240087476.54390535</v>
      </c>
      <c r="P110" s="42">
        <f>'19. Indexatie desinvesteringen'!I1677</f>
        <v>28614078.397007521</v>
      </c>
      <c r="Q110" s="10"/>
      <c r="R110" s="10"/>
    </row>
    <row r="111" spans="2:18">
      <c r="B111" s="3" t="s">
        <v>976</v>
      </c>
      <c r="D111" s="3" t="s">
        <v>482</v>
      </c>
      <c r="K111" s="42">
        <f>'19. Indexatie desinvesteringen'!D1678</f>
        <v>27912770.687367041</v>
      </c>
      <c r="L111" s="42">
        <f>'19. Indexatie desinvesteringen'!E1678</f>
        <v>152460325.70788148</v>
      </c>
      <c r="M111" s="42">
        <f>'19. Indexatie desinvesteringen'!F1678</f>
        <v>18326404.223966755</v>
      </c>
      <c r="N111" s="42">
        <f>'19. Indexatie desinvesteringen'!G1678</f>
        <v>56904952.296988726</v>
      </c>
      <c r="O111" s="42">
        <f>'19. Indexatie desinvesteringen'!H1678</f>
        <v>12059459.252509575</v>
      </c>
      <c r="P111" s="42">
        <f>'19. Indexatie desinvesteringen'!I1678</f>
        <v>34932650.601521671</v>
      </c>
      <c r="Q111" s="10"/>
      <c r="R111" s="10"/>
    </row>
    <row r="113" spans="2:18">
      <c r="B113" s="3" t="s">
        <v>1026</v>
      </c>
      <c r="D113" s="3" t="s">
        <v>482</v>
      </c>
      <c r="K113" s="10"/>
      <c r="L113" s="10"/>
      <c r="M113" s="47">
        <f>$F$48*$K110*M$18*M$30*$F$51</f>
        <v>388585.48908389639</v>
      </c>
      <c r="N113" s="47">
        <f>$F$48*$K110*N$18*N$30*$F$51</f>
        <v>411027.07824946957</v>
      </c>
      <c r="O113" s="47">
        <f>$F$48*$K110*O$18*O$30*$F$51</f>
        <v>442133.60753138951</v>
      </c>
      <c r="P113" s="47">
        <f>$F$48*$K110*P$18*P$30*$F$51</f>
        <v>452695.29514809937</v>
      </c>
      <c r="Q113" s="47">
        <f>$F$48*$K110*Q$18*Q$30*$F$51</f>
        <v>468018.12549827225</v>
      </c>
      <c r="R113" s="96"/>
    </row>
    <row r="114" spans="2:18">
      <c r="B114" s="3" t="s">
        <v>1027</v>
      </c>
      <c r="D114" s="3" t="s">
        <v>482</v>
      </c>
      <c r="K114" s="10"/>
      <c r="L114" s="10"/>
      <c r="M114" s="47">
        <f>$F$48*$K111*M$18*M$30</f>
        <v>287256.10029227083</v>
      </c>
      <c r="N114" s="47">
        <f>$F$48*$K111*N$18*N$30</f>
        <v>303845.71459635004</v>
      </c>
      <c r="O114" s="47">
        <f>$F$48*$K111*O$18*O$30</f>
        <v>326840.75827700185</v>
      </c>
      <c r="P114" s="47">
        <f>$F$48*$K111*P$18*P$30</f>
        <v>334648.33031072287</v>
      </c>
      <c r="Q114" s="47">
        <f>$F$48*$K111*Q$18*Q$30</f>
        <v>345975.50699508021</v>
      </c>
      <c r="R114" s="96"/>
    </row>
    <row r="115" spans="2:18">
      <c r="B115" s="3" t="s">
        <v>1028</v>
      </c>
      <c r="D115" s="3" t="s">
        <v>482</v>
      </c>
      <c r="K115" s="10"/>
      <c r="L115" s="10"/>
      <c r="M115" s="47">
        <f>$F$48*$L110*M$19*M$31*$F$51</f>
        <v>393036.34090415348</v>
      </c>
      <c r="N115" s="47">
        <f>$F$48*$L110*N$19*N$31*$F$51</f>
        <v>415734.97566405014</v>
      </c>
      <c r="O115" s="47">
        <f>$F$48*$L110*O$19*O$31*$F$51</f>
        <v>447197.79862230545</v>
      </c>
      <c r="P115" s="47">
        <f>$F$48*$L110*P$19*P$31*$F$51</f>
        <v>457880.45963579509</v>
      </c>
      <c r="Q115" s="47">
        <f>$F$48*$L110*Q$19*Q$31*$F$51</f>
        <v>473378.79743354744</v>
      </c>
      <c r="R115" s="96"/>
    </row>
    <row r="116" spans="2:18">
      <c r="B116" s="3" t="s">
        <v>1029</v>
      </c>
      <c r="D116" s="3" t="s">
        <v>482</v>
      </c>
      <c r="K116" s="10"/>
      <c r="L116" s="10"/>
      <c r="M116" s="47">
        <f>$F$48*$L111*M$19*M$31</f>
        <v>1545837.9312434087</v>
      </c>
      <c r="N116" s="47">
        <f>$F$48*$L111*N$19*N$31</f>
        <v>1635113.1634485777</v>
      </c>
      <c r="O116" s="47">
        <f>$F$48*$L111*O$19*O$31</f>
        <v>1758858.5276583664</v>
      </c>
      <c r="P116" s="47">
        <f>$F$48*$L111*P$19*P$31</f>
        <v>1800874.1401670694</v>
      </c>
      <c r="Q116" s="47">
        <f>$F$48*$L111*Q$19*Q$31</f>
        <v>1861830.1280634443</v>
      </c>
      <c r="R116" s="96"/>
    </row>
    <row r="117" spans="2:18">
      <c r="B117" s="3" t="s">
        <v>1030</v>
      </c>
      <c r="D117" s="3" t="s">
        <v>482</v>
      </c>
      <c r="K117" s="10"/>
      <c r="L117" s="10"/>
      <c r="M117" s="47">
        <f>$F$48*$M110*M$20*M$32*$F$51</f>
        <v>229603.81539172429</v>
      </c>
      <c r="N117" s="47">
        <f>$F$48*$M110*N$20*N$32*$F$51</f>
        <v>242863.89493822717</v>
      </c>
      <c r="O117" s="47">
        <f>$F$48*$M110*O$20*O$32*$F$51</f>
        <v>261243.83450715223</v>
      </c>
      <c r="P117" s="47">
        <f>$F$48*$M110*P$20*P$32*$F$51</f>
        <v>267484.42722585908</v>
      </c>
      <c r="Q117" s="47">
        <f>$F$48*$M110*Q$20*Q$32*$F$51</f>
        <v>276538.24011859996</v>
      </c>
      <c r="R117" s="96"/>
    </row>
    <row r="118" spans="2:18">
      <c r="B118" s="3" t="s">
        <v>1031</v>
      </c>
      <c r="D118" s="3" t="s">
        <v>482</v>
      </c>
      <c r="K118" s="10"/>
      <c r="L118" s="10"/>
      <c r="M118" s="47">
        <f>$F$48*$M111*M$20*M$32</f>
        <v>183264.04223966756</v>
      </c>
      <c r="N118" s="47">
        <f>$F$48*$M111*N$20*N$32</f>
        <v>193847.90720709285</v>
      </c>
      <c r="O118" s="47">
        <f>$F$48*$M111*O$20*O$32</f>
        <v>208518.31682452565</v>
      </c>
      <c r="P118" s="47">
        <f>$F$48*$M111*P$20*P$32</f>
        <v>213499.40237682991</v>
      </c>
      <c r="Q118" s="47">
        <f>$F$48*$M111*Q$20*Q$32</f>
        <v>220725.93014848087</v>
      </c>
      <c r="R118" s="96"/>
    </row>
    <row r="119" spans="2:18">
      <c r="B119" s="3" t="s">
        <v>1032</v>
      </c>
      <c r="D119" s="3" t="s">
        <v>482</v>
      </c>
      <c r="K119" s="10"/>
      <c r="L119" s="10"/>
      <c r="M119" s="96"/>
      <c r="N119" s="47">
        <f>$F$48*$N110*N$21*N$33*$F$51</f>
        <v>580239.59745093738</v>
      </c>
      <c r="O119" s="47">
        <f>$F$48*$N110*O$21*O$33*$F$51</f>
        <v>624152.13018602435</v>
      </c>
      <c r="P119" s="47">
        <f>$F$48*$N110*P$21*P$33*$F$51</f>
        <v>639061.87627190806</v>
      </c>
      <c r="Q119" s="47">
        <f>$F$48*$N110*Q$21*Q$33*$F$51</f>
        <v>660692.84265995957</v>
      </c>
      <c r="R119" s="96"/>
    </row>
    <row r="120" spans="2:18">
      <c r="B120" s="3" t="s">
        <v>1033</v>
      </c>
      <c r="D120" s="3" t="s">
        <v>482</v>
      </c>
      <c r="K120" s="10"/>
      <c r="L120" s="10"/>
      <c r="M120" s="96"/>
      <c r="N120" s="47">
        <f>$F$48*$N111*N$21*N$33</f>
        <v>569049.52296988724</v>
      </c>
      <c r="O120" s="47">
        <f>$F$48*$N111*O$21*O$33</f>
        <v>612115.19086824835</v>
      </c>
      <c r="P120" s="47">
        <f>$F$48*$N111*P$21*P$33</f>
        <v>626737.3985477091</v>
      </c>
      <c r="Q120" s="47">
        <f>$F$48*$N111*Q$21*Q$33</f>
        <v>647951.20601375191</v>
      </c>
      <c r="R120" s="96"/>
    </row>
    <row r="121" spans="2:18">
      <c r="B121" s="3" t="s">
        <v>1034</v>
      </c>
      <c r="D121" s="3" t="s">
        <v>482</v>
      </c>
      <c r="K121" s="10"/>
      <c r="L121" s="10"/>
      <c r="M121" s="96"/>
      <c r="N121" s="96"/>
      <c r="O121" s="47">
        <f>$F$48*$O110*O$22*O$34*$F$51</f>
        <v>2400874.7654390535</v>
      </c>
      <c r="P121" s="47">
        <f>$F$48*$O110*P$22*P$34*$F$51</f>
        <v>2458226.8618358616</v>
      </c>
      <c r="Q121" s="47">
        <f>$F$48*$O110*Q$22*Q$34*$F$51</f>
        <v>2541432.9246552819</v>
      </c>
      <c r="R121" s="96"/>
    </row>
    <row r="122" spans="2:18">
      <c r="B122" s="3" t="s">
        <v>1035</v>
      </c>
      <c r="D122" s="3" t="s">
        <v>482</v>
      </c>
      <c r="K122" s="10"/>
      <c r="L122" s="10"/>
      <c r="M122" s="96"/>
      <c r="N122" s="96"/>
      <c r="O122" s="47">
        <f>$F$48*$O111*O$22*O$34</f>
        <v>120594.59252509575</v>
      </c>
      <c r="P122" s="47">
        <f>$F$48*$O111*P$22*P$34</f>
        <v>123475.35615133523</v>
      </c>
      <c r="Q122" s="47">
        <f>$F$48*$O111*Q$22*Q$34</f>
        <v>127654.75000634564</v>
      </c>
      <c r="R122" s="96"/>
    </row>
    <row r="123" spans="2:18">
      <c r="B123" s="3" t="s">
        <v>1036</v>
      </c>
      <c r="D123" s="3" t="s">
        <v>482</v>
      </c>
      <c r="K123" s="10"/>
      <c r="L123" s="10"/>
      <c r="M123" s="96"/>
      <c r="N123" s="96"/>
      <c r="O123" s="96"/>
      <c r="P123" s="47">
        <f>$F$48*$P110*P$23*P$35*$F$51</f>
        <v>286140.78397007519</v>
      </c>
      <c r="Q123" s="47">
        <f>$F$48*$P110*Q$23*Q$35*$F$51</f>
        <v>295826.07722589432</v>
      </c>
      <c r="R123" s="96"/>
    </row>
    <row r="124" spans="2:18">
      <c r="B124" s="3" t="s">
        <v>1037</v>
      </c>
      <c r="D124" s="3" t="s">
        <v>482</v>
      </c>
      <c r="K124" s="10"/>
      <c r="L124" s="10"/>
      <c r="M124" s="96"/>
      <c r="N124" s="96"/>
      <c r="O124" s="96"/>
      <c r="P124" s="47">
        <f>$F$48*$P111*P$23*P$35</f>
        <v>349326.5060152167</v>
      </c>
      <c r="Q124" s="47">
        <f>$F$48*$P111*Q$23*Q$35</f>
        <v>361150.50959081977</v>
      </c>
      <c r="R124" s="96"/>
    </row>
    <row r="126" spans="2:18">
      <c r="B126" s="3" t="s">
        <v>1038</v>
      </c>
      <c r="D126" s="3" t="s">
        <v>482</v>
      </c>
      <c r="K126" s="10"/>
      <c r="L126" s="10"/>
      <c r="M126" s="47">
        <f>-SUM(M113:M114)</f>
        <v>-675841.58937616716</v>
      </c>
      <c r="N126" s="47">
        <f>-SUM(N113:N116)</f>
        <v>-2765720.9319584472</v>
      </c>
      <c r="O126" s="174">
        <f>-(SUM(O113:O118)+SUM(M115:M118)*O41+SUM(N117:N118)*O42)</f>
        <v>-6393701.1689213878</v>
      </c>
      <c r="P126" s="47">
        <f>-(SUM(P113:P120)+SUM(N119:N120)*P42+SUM(O119:O120)*P43)</f>
        <v>-7394616.2964163581</v>
      </c>
      <c r="Q126" s="47">
        <f>-(SUM(Q113:Q122)+SUM(O121:O122)*Q43+SUM(P121:P122)*Q44)</f>
        <v>-13167856.604152044</v>
      </c>
      <c r="R126" s="174">
        <f>-(SUM(Q123:Q124)*R45+SUM(P123:P124)*R44)</f>
        <v>-1377185.9309533215</v>
      </c>
    </row>
    <row r="127" spans="2:18">
      <c r="D127" s="2"/>
    </row>
    <row r="128" spans="2:18" s="8" customFormat="1">
      <c r="B128" s="8" t="s">
        <v>517</v>
      </c>
    </row>
    <row r="130" spans="2:20">
      <c r="B130" s="3" t="s">
        <v>493</v>
      </c>
      <c r="D130" s="3" t="s">
        <v>482</v>
      </c>
      <c r="K130" s="10"/>
      <c r="L130" s="10"/>
      <c r="M130" s="52">
        <f>'4. Input nacalculaties'!N22</f>
        <v>5268139756.0391312</v>
      </c>
      <c r="N130" s="52">
        <f>'4. Input nacalculaties'!O22</f>
        <v>5115634665.0918875</v>
      </c>
      <c r="O130" s="52">
        <f>'4. Input nacalculaties'!P22</f>
        <v>4980890118.9719696</v>
      </c>
      <c r="P130" s="52">
        <f>'4. Input nacalculaties'!Q22</f>
        <v>4857675740.1304922</v>
      </c>
      <c r="Q130" s="52">
        <f>'4. Input nacalculaties'!R22</f>
        <v>4748752834.5466137</v>
      </c>
      <c r="R130" s="96"/>
    </row>
    <row r="131" spans="2:20">
      <c r="B131" s="3" t="s">
        <v>495</v>
      </c>
      <c r="D131" s="3" t="s">
        <v>482</v>
      </c>
      <c r="K131" s="10"/>
      <c r="L131" s="10"/>
      <c r="M131" s="52">
        <f>'4. Input nacalculaties'!N23</f>
        <v>1236767462.5833061</v>
      </c>
      <c r="N131" s="52">
        <f>'4. Input nacalculaties'!O23</f>
        <v>1207881645.0947828</v>
      </c>
      <c r="O131" s="52">
        <f>'4. Input nacalculaties'!P23</f>
        <v>1182417569.8607492</v>
      </c>
      <c r="P131" s="52">
        <f>'4. Input nacalculaties'!Q23</f>
        <v>1160937568.2311876</v>
      </c>
      <c r="Q131" s="52">
        <f>'4. Input nacalculaties'!R23</f>
        <v>1143786642.7114766</v>
      </c>
      <c r="R131" s="96"/>
    </row>
    <row r="132" spans="2:20">
      <c r="B132" s="3" t="s">
        <v>1039</v>
      </c>
      <c r="D132" s="3" t="s">
        <v>482</v>
      </c>
      <c r="K132" s="10"/>
      <c r="L132" s="10"/>
      <c r="M132" s="52">
        <f>SUM('17. Nacalculatie bijschatten'!AN61:AN200)</f>
        <v>583544072.88691294</v>
      </c>
      <c r="N132" s="52">
        <f>SUM('17. Nacalculatie bijschatten'!AO61:AO200)</f>
        <v>757686269.26272178</v>
      </c>
      <c r="O132" s="52">
        <f>SUM('17. Nacalculatie bijschatten'!AP61:AP200)</f>
        <v>923791317.77928603</v>
      </c>
      <c r="P132" s="52">
        <f>SUM('17. Nacalculatie bijschatten'!AQ61:AQ200)</f>
        <v>1083407630.1572626</v>
      </c>
      <c r="Q132" s="52">
        <f>SUM('17. Nacalculatie bijschatten'!AR61:AR200)</f>
        <v>1238003822.5213494</v>
      </c>
      <c r="R132" s="96"/>
    </row>
    <row r="133" spans="2:20">
      <c r="B133" s="3" t="s">
        <v>1040</v>
      </c>
      <c r="D133" s="3" t="s">
        <v>482</v>
      </c>
      <c r="K133" s="10"/>
      <c r="L133" s="10"/>
      <c r="M133" s="52">
        <f>SUM('17. Nacalculatie bijschatten'!AN217:AN339)</f>
        <v>254422748.43621174</v>
      </c>
      <c r="N133" s="52">
        <f>SUM('17. Nacalculatie bijschatten'!AO217:AO339)</f>
        <v>304872520.13231742</v>
      </c>
      <c r="O133" s="52">
        <f>SUM('17. Nacalculatie bijschatten'!AP217:AP339)</f>
        <v>382962958.19935697</v>
      </c>
      <c r="P133" s="52">
        <f>SUM('17. Nacalculatie bijschatten'!AQ217:AQ339)</f>
        <v>476177427.89293349</v>
      </c>
      <c r="Q133" s="52">
        <f>SUM('17. Nacalculatie bijschatten'!AR217:AR339)</f>
        <v>459285670.17189103</v>
      </c>
      <c r="R133" s="96"/>
    </row>
    <row r="134" spans="2:20">
      <c r="B134" s="3" t="s">
        <v>1041</v>
      </c>
      <c r="D134" s="3" t="s">
        <v>482</v>
      </c>
      <c r="K134" s="10"/>
      <c r="L134" s="10"/>
      <c r="M134" s="52">
        <f ca="1">SUMIF('16. WUI &amp; ombouwtaak'!$J60:'16. WUI &amp; ombouwtaak'!$J105,"WUI",'16. WUI &amp; ombouwtaak'!AP60:'16. WUI &amp; ombouwtaak'!AP105)</f>
        <v>0</v>
      </c>
      <c r="N134" s="52">
        <f ca="1">SUMIF('16. WUI &amp; ombouwtaak'!$J60:'16. WUI &amp; ombouwtaak'!$J105,"WUI",'16. WUI &amp; ombouwtaak'!AQ60:'16. WUI &amp; ombouwtaak'!AQ105)</f>
        <v>185354192.34279776</v>
      </c>
      <c r="O134" s="52">
        <f ca="1">SUMIF('16. WUI &amp; ombouwtaak'!$J60:'16. WUI &amp; ombouwtaak'!$J105,"WUI",'16. WUI &amp; ombouwtaak'!AR60:'16. WUI &amp; ombouwtaak'!AR105)</f>
        <v>643438493.0658437</v>
      </c>
      <c r="P134" s="52">
        <f ca="1">SUMIF('16. WUI &amp; ombouwtaak'!$J60:'16. WUI &amp; ombouwtaak'!$J105,"WUI",'16. WUI &amp; ombouwtaak'!AS60:'16. WUI &amp; ombouwtaak'!AS105)</f>
        <v>620665278.16448808</v>
      </c>
      <c r="Q134" s="52">
        <f ca="1">SUMIF('16. WUI &amp; ombouwtaak'!$J60:'16. WUI &amp; ombouwtaak'!$J105,"WUI",'16. WUI &amp; ombouwtaak'!AT60:'16. WUI &amp; ombouwtaak'!AT105)</f>
        <v>589814587.27481544</v>
      </c>
      <c r="R134" s="96"/>
    </row>
    <row r="135" spans="2:20">
      <c r="B135" s="3" t="s">
        <v>1042</v>
      </c>
      <c r="D135" s="3" t="s">
        <v>482</v>
      </c>
      <c r="K135" s="10"/>
      <c r="L135" s="10"/>
      <c r="M135" s="52">
        <f ca="1">SUMIF('16. WUI &amp; ombouwtaak'!$K60:'16. WUI &amp; ombouwtaak'!$K105,"Ja",'16. WUI &amp; ombouwtaak'!AP60:'16. WUI &amp; ombouwtaak'!AP105)</f>
        <v>12135578.180691097</v>
      </c>
      <c r="N135" s="52">
        <f ca="1">SUMIF('16. WUI &amp; ombouwtaak'!$K60:'16. WUI &amp; ombouwtaak'!$K105,"Ja",'16. WUI &amp; ombouwtaak'!AQ60:'16. WUI &amp; ombouwtaak'!AQ105)</f>
        <v>18542334.539458171</v>
      </c>
      <c r="O135" s="52">
        <f ca="1">SUMIF('16. WUI &amp; ombouwtaak'!$K60:'16. WUI &amp; ombouwtaak'!$K105,"Ja",'16. WUI &amp; ombouwtaak'!AR60:'16. WUI &amp; ombouwtaak'!AR105)</f>
        <v>58239065.176133528</v>
      </c>
      <c r="P135" s="52">
        <f ca="1">SUMIF('16. WUI &amp; ombouwtaak'!$K60:'16. WUI &amp; ombouwtaak'!$K105,"Ja",'16. WUI &amp; ombouwtaak'!AS60:'16. WUI &amp; ombouwtaak'!AS105)</f>
        <v>113349579.46296436</v>
      </c>
      <c r="Q135" s="52">
        <f ca="1">SUMIF('16. WUI &amp; ombouwtaak'!$K60:'16. WUI &amp; ombouwtaak'!$K105,"Ja",'16. WUI &amp; ombouwtaak'!AT60:'16. WUI &amp; ombouwtaak'!AT105)</f>
        <v>110346414.45135954</v>
      </c>
      <c r="R135" s="96"/>
    </row>
    <row r="136" spans="2:20">
      <c r="B136" s="3" t="s">
        <v>1043</v>
      </c>
      <c r="D136" s="3" t="s">
        <v>482</v>
      </c>
      <c r="K136" s="10"/>
      <c r="L136" s="10"/>
      <c r="M136" s="10"/>
      <c r="N136" s="52">
        <f>SUMIF('18. Nacalculatie desinv.'!$H$52:$H$518,"&lt;"&amp;N10,'18. Nacalculatie desinv.'!AI52:AI518)</f>
        <v>2577836.9558432451</v>
      </c>
      <c r="O136" s="52">
        <f>SUMIF('18. Nacalculatie desinv.'!$H$52:$H$518,"&lt;"&amp;O10,'18. Nacalculatie desinv.'!AJ52:AJ518)</f>
        <v>17942316.745205738</v>
      </c>
      <c r="P136" s="52">
        <f>SUMIF('18. Nacalculatie desinv.'!$H$52:$H$518,"&lt;"&amp;P10,'18. Nacalculatie desinv.'!AK52:AK518)</f>
        <v>54445535.207264893</v>
      </c>
      <c r="Q136" s="52">
        <f>SUMIF('18. Nacalculatie desinv.'!$H$52:$H$518,"&lt;"&amp;Q10,'18. Nacalculatie desinv.'!AL52:AL518)</f>
        <v>55502008.394610845</v>
      </c>
      <c r="R136" s="96"/>
    </row>
    <row r="137" spans="2:20">
      <c r="B137" s="3" t="s">
        <v>1044</v>
      </c>
      <c r="D137" s="3" t="s">
        <v>482</v>
      </c>
      <c r="K137" s="10"/>
      <c r="L137" s="10"/>
      <c r="M137" s="52">
        <f>SUM('22. Correctie assetoverdracht'!AD307:AD549)</f>
        <v>175619169.84408131</v>
      </c>
      <c r="N137" s="52">
        <f>SUM('22. Correctie assetoverdracht'!AE307:AE549)</f>
        <v>148841369.24125001</v>
      </c>
      <c r="O137" s="52">
        <f>SUM('22. Correctie assetoverdracht'!AF307:AF549)</f>
        <v>125733839.90927796</v>
      </c>
      <c r="P137" s="52">
        <f>SUM('22. Correctie assetoverdracht'!AG307:AG549)</f>
        <v>107155312.15046735</v>
      </c>
      <c r="Q137" s="52">
        <f>SUM('22. Correctie assetoverdracht'!AH307:AH549)</f>
        <v>92951486.785070807</v>
      </c>
      <c r="R137" s="96"/>
    </row>
    <row r="138" spans="2:20">
      <c r="B138" s="3" t="s">
        <v>1045</v>
      </c>
      <c r="D138" s="3" t="s">
        <v>482</v>
      </c>
      <c r="K138" s="10"/>
      <c r="L138" s="10"/>
      <c r="M138" s="52">
        <f>SUM('22. Correctie assetoverdracht'!V555:V797)+SUM('22. Correctie assetoverdracht'!Q803:Q869)</f>
        <v>196919651.58165225</v>
      </c>
      <c r="N138" s="52">
        <f>SUM('22. Correctie assetoverdracht'!W555:W797)+SUM('22. Correctie assetoverdracht'!R803:R869)</f>
        <v>174852577.48214272</v>
      </c>
      <c r="O138" s="52">
        <f>SUM('22. Correctie assetoverdracht'!X555:X797)+SUM('22. Correctie assetoverdracht'!S803:S869)</f>
        <v>209152753.64445969</v>
      </c>
      <c r="P138" s="52">
        <f>SUM('22. Correctie assetoverdracht'!Y555:Y797)+SUM('22. Correctie assetoverdracht'!T803:T885)</f>
        <v>212880763.43107885</v>
      </c>
      <c r="Q138" s="52">
        <f>SUM('22. Correctie assetoverdracht'!Z555:Z797)+SUM('22. Correctie assetoverdracht'!U803:U869)</f>
        <v>183862862.99434114</v>
      </c>
      <c r="R138" s="96"/>
    </row>
    <row r="139" spans="2:20">
      <c r="B139" s="3" t="s">
        <v>1013</v>
      </c>
      <c r="D139" s="3" t="s">
        <v>482</v>
      </c>
      <c r="K139" s="10"/>
      <c r="L139" s="10"/>
      <c r="M139" s="10"/>
      <c r="N139" s="10"/>
      <c r="O139" s="43">
        <f ca="1">(M130+M131-M132+M133+M134+M135)*(M55-M54)*O41</f>
        <v>45949029.685100175</v>
      </c>
      <c r="P139" s="174">
        <f ca="1">(N130+N131-N132+N133+N134+N135-N136-N137+N138)*(N55-N54)*P42+(-M136-M137+M138)*(M55-M54)*P41</f>
        <v>122315270.04842561</v>
      </c>
      <c r="Q139" s="43">
        <f ca="1">(O130+O131-O132+O133+O134+O135-O136-O137+O138)*(O55-O54)*Q43</f>
        <v>93323791.857641906</v>
      </c>
      <c r="R139" s="51">
        <f ca="1">(P130+P131-P132+P133+P134+P135-P136-P137+P138)*(P55-P54)*R44</f>
        <v>115035128.16057287</v>
      </c>
      <c r="T139" s="3" t="s">
        <v>1046</v>
      </c>
    </row>
    <row r="141" spans="2:20" s="8" customFormat="1">
      <c r="B141" s="8" t="s">
        <v>511</v>
      </c>
    </row>
    <row r="143" spans="2:20">
      <c r="B143" s="3" t="s">
        <v>1047</v>
      </c>
      <c r="D143" s="3" t="s">
        <v>482</v>
      </c>
      <c r="K143" s="117"/>
      <c r="L143" s="117"/>
      <c r="M143" s="94"/>
      <c r="N143" s="303"/>
      <c r="O143" s="303"/>
      <c r="P143" s="302">
        <f xml:space="preserve"> AVERAGE(
      ($H$58 + $H$59 + $H$60 * (1 - $F$67)) * P15 * P27,
      ($I$58 + $I$59 + $I$60 * (1 - $F$67)) * P16 * P28,
      ($J$58 + $J$59 + $J$60 * (1 - $F$67)) * P17 * P29
  )</f>
        <v>132063544.15060271</v>
      </c>
      <c r="Q143" s="10"/>
      <c r="R143" s="10"/>
    </row>
    <row r="144" spans="2:20">
      <c r="B144" s="3" t="s">
        <v>1048</v>
      </c>
      <c r="D144" s="3" t="s">
        <v>482</v>
      </c>
      <c r="K144" s="117"/>
      <c r="L144" s="117"/>
      <c r="M144" s="96"/>
      <c r="N144" s="96"/>
      <c r="O144" s="303"/>
      <c r="P144" s="302">
        <f xml:space="preserve"> P143 - (P58 + P59 + P60 * (1 - $F$67))</f>
        <v>-57461207.289397284</v>
      </c>
      <c r="Q144" s="117"/>
      <c r="R144" s="117"/>
    </row>
    <row r="145" spans="2:18">
      <c r="B145" s="3" t="s">
        <v>1049</v>
      </c>
      <c r="D145" s="3" t="s">
        <v>482</v>
      </c>
      <c r="K145" s="117"/>
      <c r="L145" s="117"/>
      <c r="M145" s="96"/>
      <c r="N145" s="96"/>
      <c r="O145" s="303"/>
      <c r="P145" s="302">
        <f>P144*$F$63</f>
        <v>-14365301.822349321</v>
      </c>
      <c r="Q145" s="117"/>
      <c r="R145" s="117"/>
    </row>
    <row r="146" spans="2:18">
      <c r="B146" s="3" t="s">
        <v>1050</v>
      </c>
      <c r="D146" s="3" t="s">
        <v>482</v>
      </c>
      <c r="K146" s="117"/>
      <c r="L146" s="117"/>
      <c r="M146" s="96"/>
      <c r="N146" s="96"/>
      <c r="O146" s="303"/>
      <c r="P146" s="302">
        <f>IF(P144 &lt; 0, -$F$63 * $F$64 * P143, $F$63 * $F$64 * P143)</f>
        <v>-6603177.2075301362</v>
      </c>
      <c r="Q146" s="117"/>
      <c r="R146" s="117"/>
    </row>
    <row r="147" spans="2:18">
      <c r="B147" s="3" t="s">
        <v>1051</v>
      </c>
      <c r="D147" s="3" t="s">
        <v>482</v>
      </c>
      <c r="K147" s="117"/>
      <c r="L147" s="117"/>
      <c r="M147" s="96"/>
      <c r="N147" s="96"/>
      <c r="O147" s="303"/>
      <c r="P147" s="302">
        <f>IF(P144&lt;0, MAX(P145,P146), MIN(P145,P146))</f>
        <v>-6603177.2075301362</v>
      </c>
      <c r="Q147" s="117"/>
      <c r="R147" s="117"/>
    </row>
    <row r="148" spans="2:18">
      <c r="B148" s="3" t="s">
        <v>1052</v>
      </c>
      <c r="D148" s="3" t="s">
        <v>482</v>
      </c>
      <c r="K148" s="117"/>
      <c r="L148" s="117"/>
      <c r="M148" s="117"/>
      <c r="N148" s="303"/>
      <c r="O148" s="304"/>
      <c r="P148" s="304"/>
      <c r="Q148" s="303"/>
      <c r="R148" s="305">
        <f>-(P144-P147)*R44</f>
        <v>55536968.849398933</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ignoredErrors>
    <ignoredError sqref="H10:J10" numberStoredAsText="1"/>
  </ignoredError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B961-39FD-41AC-B0EC-7D37BB074D43}">
  <sheetPr>
    <tabColor rgb="FFFFFFCC"/>
  </sheetPr>
  <dimension ref="A2:AO70"/>
  <sheetViews>
    <sheetView showGridLines="0" zoomScale="85" zoomScaleNormal="85" workbookViewId="0">
      <pane xSplit="4" ySplit="10" topLeftCell="E12" activePane="bottomRight" state="frozen"/>
      <selection pane="bottomRight"/>
      <selection pane="bottomLeft" activeCell="A11" sqref="A11"/>
      <selection pane="topRight" activeCell="E1" sqref="E1"/>
    </sheetView>
  </sheetViews>
  <sheetFormatPr defaultColWidth="9" defaultRowHeight="12.75"/>
  <cols>
    <col min="1" max="1" width="2.5703125" style="199" customWidth="1"/>
    <col min="2" max="2" width="63" style="3" bestFit="1" customWidth="1"/>
    <col min="3" max="3" width="2.5703125" style="3" customWidth="1"/>
    <col min="4" max="4" width="16.5703125" style="3" customWidth="1"/>
    <col min="5" max="5" width="2.5703125" style="3" customWidth="1"/>
    <col min="6" max="6" width="21.5703125" style="3" customWidth="1"/>
    <col min="7" max="7" width="2.5703125" style="3" customWidth="1"/>
    <col min="8" max="8" width="22.28515625" style="3" customWidth="1"/>
    <col min="9" max="9" width="18.5703125" style="3" bestFit="1" customWidth="1"/>
    <col min="10" max="10" width="16.5703125" style="3" bestFit="1" customWidth="1"/>
    <col min="11" max="17" width="14.5703125" style="3" customWidth="1"/>
    <col min="18" max="18" width="2.5703125" style="3" customWidth="1"/>
    <col min="19" max="23" width="13.5703125" style="199" customWidth="1"/>
    <col min="24" max="24" width="2.5703125" style="199" customWidth="1"/>
    <col min="25" max="29" width="13.5703125" style="199" customWidth="1"/>
    <col min="30" max="30" width="2.5703125" style="199" customWidth="1"/>
    <col min="31" max="31" width="14.5703125" style="199" customWidth="1"/>
    <col min="32" max="35" width="14.5703125" style="3" customWidth="1"/>
    <col min="36" max="36" width="2.5703125" style="3" customWidth="1"/>
    <col min="37" max="41" width="14.5703125" style="3" customWidth="1"/>
    <col min="42" max="16384" width="9" style="3"/>
  </cols>
  <sheetData>
    <row r="2" spans="1:31" s="12" customFormat="1" ht="18">
      <c r="B2" s="12" t="s">
        <v>1053</v>
      </c>
    </row>
    <row r="3" spans="1:31">
      <c r="A3" s="3"/>
    </row>
    <row r="4" spans="1:31">
      <c r="A4" s="3"/>
      <c r="B4" s="16" t="s">
        <v>202</v>
      </c>
      <c r="C4" s="2"/>
    </row>
    <row r="5" spans="1:31" ht="83.25" customHeight="1">
      <c r="A5" s="3"/>
      <c r="B5" s="359" t="s">
        <v>1054</v>
      </c>
      <c r="C5" s="359"/>
      <c r="D5" s="359"/>
      <c r="F5" s="13"/>
    </row>
    <row r="6" spans="1:31">
      <c r="A6" s="3"/>
    </row>
    <row r="7" spans="1:31">
      <c r="A7" s="3"/>
      <c r="B7" s="17" t="s">
        <v>158</v>
      </c>
    </row>
    <row r="8" spans="1:31" ht="41.25" customHeight="1">
      <c r="A8" s="3"/>
      <c r="B8" s="359" t="s">
        <v>1055</v>
      </c>
      <c r="C8" s="359"/>
      <c r="D8" s="359"/>
    </row>
    <row r="10" spans="1:31" s="8" customFormat="1" ht="12.75" customHeight="1">
      <c r="B10" s="8" t="s">
        <v>162</v>
      </c>
    </row>
    <row r="12" spans="1:31" s="8" customFormat="1" ht="12.75" customHeight="1">
      <c r="B12" s="8" t="s">
        <v>1056</v>
      </c>
      <c r="D12" s="8" t="s">
        <v>204</v>
      </c>
      <c r="F12" s="8" t="s">
        <v>205</v>
      </c>
      <c r="H12" s="46">
        <v>2022</v>
      </c>
      <c r="I12" s="46">
        <v>2023</v>
      </c>
      <c r="J12" s="46">
        <v>2024</v>
      </c>
      <c r="K12" s="46">
        <v>2025</v>
      </c>
      <c r="L12" s="46">
        <v>2026</v>
      </c>
      <c r="M12" s="46">
        <v>2027</v>
      </c>
      <c r="N12" s="8" t="s">
        <v>207</v>
      </c>
    </row>
    <row r="13" spans="1:31">
      <c r="B13" s="2"/>
      <c r="C13" s="5"/>
      <c r="D13" s="5"/>
      <c r="E13" s="13"/>
      <c r="F13" s="13"/>
      <c r="G13" s="13"/>
      <c r="O13" s="199"/>
      <c r="P13" s="199"/>
      <c r="Q13" s="199"/>
      <c r="R13" s="199"/>
      <c r="AB13" s="3"/>
      <c r="AC13" s="3"/>
      <c r="AD13" s="3"/>
      <c r="AE13" s="3"/>
    </row>
    <row r="14" spans="1:31">
      <c r="A14" s="219"/>
      <c r="B14" s="16" t="s">
        <v>212</v>
      </c>
      <c r="C14" s="5"/>
      <c r="D14" s="5"/>
      <c r="E14" s="13"/>
      <c r="F14" s="13"/>
      <c r="G14" s="13"/>
      <c r="O14" s="219"/>
      <c r="P14" s="219"/>
      <c r="Q14" s="219"/>
      <c r="R14" s="219"/>
      <c r="S14" s="219"/>
      <c r="T14" s="219"/>
      <c r="U14" s="219"/>
      <c r="V14" s="219"/>
      <c r="W14" s="219"/>
      <c r="X14" s="219"/>
      <c r="Y14" s="219"/>
      <c r="Z14" s="219"/>
      <c r="AA14" s="219"/>
      <c r="AB14" s="3"/>
      <c r="AC14" s="3"/>
      <c r="AD14" s="3"/>
      <c r="AE14" s="3"/>
    </row>
    <row r="15" spans="1:31">
      <c r="A15" s="219"/>
      <c r="B15" s="221" t="s">
        <v>1057</v>
      </c>
      <c r="D15" s="3" t="s">
        <v>214</v>
      </c>
      <c r="F15" s="222"/>
      <c r="H15" s="229">
        <f>IF(ISBLANK('2. Parameters'!M23),'2. Parameters'!M19,'2. Parameters'!M23)</f>
        <v>4.1000000000000002E-2</v>
      </c>
      <c r="I15" s="229">
        <f>IF(ISBLANK('2. Parameters'!N23),'2. Parameters'!N19,'2. Parameters'!N23)</f>
        <v>5.0999999999999997E-2</v>
      </c>
      <c r="J15" s="229">
        <f>IF(ISBLANK('2. Parameters'!O23),'2. Parameters'!O19,'2. Parameters'!O23)</f>
        <v>5.0999999999999997E-2</v>
      </c>
      <c r="K15" s="229">
        <f>IF(ISBLANK('2. Parameters'!P23),'2. Parameters'!P19,'2. Parameters'!P23)</f>
        <v>5.5E-2</v>
      </c>
      <c r="L15" s="229">
        <f>IF(ISBLANK('2. Parameters'!Q23),'2. Parameters'!Q19,'2. Parameters'!Q23)</f>
        <v>3.7999999999999999E-2</v>
      </c>
      <c r="M15" s="210"/>
      <c r="N15" s="359"/>
      <c r="O15" s="359"/>
      <c r="P15" s="359"/>
      <c r="Q15" s="359"/>
      <c r="R15" s="359"/>
      <c r="S15" s="359"/>
      <c r="T15" s="359"/>
      <c r="U15" s="3"/>
      <c r="V15" s="3"/>
      <c r="W15" s="3"/>
      <c r="X15" s="3"/>
      <c r="Y15" s="3"/>
      <c r="Z15" s="3"/>
      <c r="AA15" s="3"/>
      <c r="AB15" s="3"/>
      <c r="AC15" s="3"/>
      <c r="AD15" s="3"/>
      <c r="AE15" s="3"/>
    </row>
    <row r="16" spans="1:31">
      <c r="A16" s="219"/>
      <c r="B16" s="2"/>
      <c r="C16" s="5"/>
      <c r="D16" s="5"/>
      <c r="E16" s="13"/>
      <c r="F16" s="13"/>
      <c r="G16" s="13"/>
      <c r="O16" s="219"/>
      <c r="P16" s="219"/>
      <c r="Q16" s="219"/>
      <c r="R16" s="219"/>
      <c r="S16" s="219"/>
      <c r="T16" s="219"/>
      <c r="U16" s="219"/>
      <c r="V16" s="219"/>
      <c r="W16" s="219"/>
      <c r="X16" s="219"/>
      <c r="Y16" s="219"/>
      <c r="Z16" s="219"/>
      <c r="AA16" s="219"/>
      <c r="AB16" s="3"/>
      <c r="AC16" s="3"/>
      <c r="AD16" s="3"/>
      <c r="AE16" s="3"/>
    </row>
    <row r="17" spans="1:31" s="3" customFormat="1">
      <c r="B17" s="2" t="s">
        <v>246</v>
      </c>
      <c r="H17" s="220"/>
      <c r="I17" s="220"/>
      <c r="J17" s="220"/>
      <c r="K17" s="220"/>
      <c r="L17" s="87"/>
    </row>
    <row r="18" spans="1:31" s="3" customFormat="1">
      <c r="B18" s="28" t="s">
        <v>233</v>
      </c>
      <c r="D18" s="3" t="s">
        <v>247</v>
      </c>
      <c r="H18" s="209">
        <f>'2. Parameters'!M71</f>
        <v>1</v>
      </c>
      <c r="I18" s="209">
        <f>'2. Parameters'!N71</f>
        <v>1.02</v>
      </c>
      <c r="J18" s="209">
        <f>'2. Parameters'!O71</f>
        <v>1.0608</v>
      </c>
      <c r="K18" s="209">
        <f>'2. Parameters'!P71</f>
        <v>1.1350560000000001</v>
      </c>
      <c r="L18" s="209">
        <f>'2. Parameters'!Q71</f>
        <v>1.1918088000000002</v>
      </c>
      <c r="M18" s="209">
        <f>'2. Parameters'!R71</f>
        <v>1.2394811520000002</v>
      </c>
    </row>
    <row r="19" spans="1:31" s="3" customFormat="1">
      <c r="B19" s="28" t="s">
        <v>234</v>
      </c>
      <c r="D19" s="3" t="s">
        <v>247</v>
      </c>
      <c r="H19" s="210"/>
      <c r="I19" s="209">
        <f>'2. Parameters'!N72</f>
        <v>1</v>
      </c>
      <c r="J19" s="209">
        <f>'2. Parameters'!O72</f>
        <v>1.04</v>
      </c>
      <c r="K19" s="209">
        <f>'2. Parameters'!P72</f>
        <v>1.1128</v>
      </c>
      <c r="L19" s="209">
        <f>'2. Parameters'!Q72</f>
        <v>1.1684400000000001</v>
      </c>
      <c r="M19" s="209">
        <f>'2. Parameters'!R72</f>
        <v>1.2151776000000003</v>
      </c>
    </row>
    <row r="20" spans="1:31" s="3" customFormat="1">
      <c r="B20" s="28" t="s">
        <v>235</v>
      </c>
      <c r="D20" s="3" t="s">
        <v>247</v>
      </c>
      <c r="H20" s="210"/>
      <c r="I20" s="210"/>
      <c r="J20" s="209">
        <f>'2. Parameters'!O73</f>
        <v>1</v>
      </c>
      <c r="K20" s="209">
        <f>'2. Parameters'!P73</f>
        <v>1.07</v>
      </c>
      <c r="L20" s="209">
        <f>'2. Parameters'!Q73</f>
        <v>1.1235000000000002</v>
      </c>
      <c r="M20" s="209">
        <f>'2. Parameters'!R73</f>
        <v>1.1684400000000001</v>
      </c>
    </row>
    <row r="21" spans="1:31" s="3" customFormat="1">
      <c r="B21" s="28" t="s">
        <v>236</v>
      </c>
      <c r="D21" s="3" t="s">
        <v>247</v>
      </c>
      <c r="H21" s="210"/>
      <c r="I21" s="210"/>
      <c r="J21" s="210"/>
      <c r="K21" s="209">
        <f>'2. Parameters'!P74</f>
        <v>1</v>
      </c>
      <c r="L21" s="209">
        <f>'2. Parameters'!Q74</f>
        <v>1.05</v>
      </c>
      <c r="M21" s="209">
        <f>'2. Parameters'!R74</f>
        <v>1.0920000000000001</v>
      </c>
    </row>
    <row r="22" spans="1:31" s="3" customFormat="1">
      <c r="B22" s="28" t="s">
        <v>237</v>
      </c>
      <c r="D22" s="3" t="s">
        <v>247</v>
      </c>
      <c r="H22" s="210"/>
      <c r="I22" s="210"/>
      <c r="J22" s="210"/>
      <c r="K22" s="210"/>
      <c r="L22" s="209">
        <f>'2. Parameters'!Q75</f>
        <v>1</v>
      </c>
      <c r="M22" s="209">
        <f>'2. Parameters'!R75</f>
        <v>1.04</v>
      </c>
    </row>
    <row r="23" spans="1:31" s="3" customFormat="1">
      <c r="H23" s="220"/>
      <c r="I23" s="220"/>
      <c r="J23" s="220"/>
      <c r="K23" s="220"/>
      <c r="L23" s="87"/>
    </row>
    <row r="24" spans="1:31" s="3" customFormat="1">
      <c r="B24" s="2" t="s">
        <v>249</v>
      </c>
      <c r="H24" s="220"/>
      <c r="I24" s="220"/>
      <c r="J24" s="220"/>
      <c r="K24" s="220"/>
      <c r="L24" s="87"/>
    </row>
    <row r="25" spans="1:31" s="3" customFormat="1">
      <c r="B25" s="3" t="s">
        <v>249</v>
      </c>
      <c r="D25" s="3" t="s">
        <v>214</v>
      </c>
      <c r="F25" s="211">
        <f>'2. Parameters'!F83</f>
        <v>1.3</v>
      </c>
      <c r="H25" s="220"/>
      <c r="I25" s="220"/>
      <c r="J25" s="220"/>
      <c r="K25" s="220"/>
      <c r="L25" s="87"/>
    </row>
    <row r="26" spans="1:31" s="3" customFormat="1">
      <c r="H26" s="220"/>
      <c r="I26" s="220"/>
      <c r="J26" s="220"/>
      <c r="K26" s="220"/>
      <c r="L26" s="87"/>
    </row>
    <row r="27" spans="1:31" s="3" customFormat="1">
      <c r="B27" s="2" t="s">
        <v>1058</v>
      </c>
      <c r="H27" s="220"/>
      <c r="I27" s="220"/>
      <c r="J27" s="220"/>
      <c r="K27" s="220"/>
      <c r="L27" s="87"/>
    </row>
    <row r="28" spans="1:31" s="3" customFormat="1">
      <c r="B28" s="3" t="s">
        <v>1058</v>
      </c>
      <c r="D28" s="3" t="s">
        <v>214</v>
      </c>
      <c r="F28" s="78">
        <f>'2. Parameters'!F87</f>
        <v>0.1</v>
      </c>
      <c r="H28" s="220"/>
      <c r="I28" s="220"/>
      <c r="J28" s="220"/>
      <c r="K28" s="220"/>
      <c r="L28" s="87"/>
    </row>
    <row r="29" spans="1:31" s="3" customFormat="1">
      <c r="H29" s="220"/>
      <c r="I29" s="220"/>
      <c r="J29" s="220"/>
      <c r="K29" s="220"/>
      <c r="L29" s="87"/>
    </row>
    <row r="30" spans="1:31">
      <c r="A30" s="3"/>
      <c r="B30" s="2" t="s">
        <v>554</v>
      </c>
      <c r="O30" s="219"/>
      <c r="P30" s="219"/>
      <c r="Q30" s="219"/>
      <c r="R30" s="219"/>
      <c r="S30" s="219"/>
      <c r="T30" s="219"/>
      <c r="U30" s="219"/>
      <c r="V30" s="219"/>
      <c r="W30" s="219"/>
      <c r="X30" s="219"/>
      <c r="Y30" s="219"/>
      <c r="Z30" s="219"/>
      <c r="AA30" s="219"/>
      <c r="AB30" s="3"/>
      <c r="AC30" s="3"/>
      <c r="AD30" s="3"/>
      <c r="AE30" s="3"/>
    </row>
    <row r="31" spans="1:31">
      <c r="A31" s="3"/>
      <c r="B31" s="3" t="s">
        <v>554</v>
      </c>
      <c r="D31" s="3" t="s">
        <v>482</v>
      </c>
      <c r="H31" s="210"/>
      <c r="I31" s="210"/>
      <c r="J31" s="210"/>
      <c r="K31" s="212">
        <f>'6. Input incidentele corr. WQA'!O21</f>
        <v>546009</v>
      </c>
      <c r="L31" s="210"/>
      <c r="O31" s="219"/>
      <c r="P31" s="219"/>
      <c r="Q31" s="219"/>
      <c r="R31" s="219"/>
      <c r="S31" s="219"/>
      <c r="T31" s="219"/>
      <c r="U31" s="219"/>
      <c r="V31" s="219"/>
      <c r="W31" s="219"/>
      <c r="X31" s="219"/>
      <c r="Y31" s="219"/>
      <c r="Z31" s="219"/>
      <c r="AA31" s="219"/>
      <c r="AB31" s="3"/>
      <c r="AC31" s="3"/>
      <c r="AD31" s="3"/>
      <c r="AE31" s="3"/>
    </row>
    <row r="32" spans="1:31">
      <c r="A32" s="3"/>
      <c r="O32" s="219"/>
      <c r="P32" s="219"/>
      <c r="Q32" s="219"/>
      <c r="R32" s="219"/>
      <c r="S32" s="219"/>
      <c r="T32" s="219"/>
      <c r="U32" s="219"/>
      <c r="V32" s="219"/>
      <c r="W32" s="219"/>
      <c r="X32" s="219"/>
      <c r="Y32" s="219"/>
      <c r="Z32" s="219"/>
      <c r="AA32" s="219"/>
      <c r="AB32" s="3"/>
      <c r="AC32" s="3"/>
      <c r="AD32" s="3"/>
      <c r="AE32" s="3"/>
    </row>
    <row r="33" spans="1:41">
      <c r="A33" s="3"/>
      <c r="B33" s="2" t="s">
        <v>556</v>
      </c>
      <c r="O33" s="219"/>
      <c r="P33" s="219"/>
      <c r="Q33" s="219"/>
      <c r="R33" s="219"/>
      <c r="S33" s="219"/>
      <c r="T33" s="219"/>
      <c r="U33" s="219"/>
      <c r="V33" s="219"/>
      <c r="W33" s="219"/>
      <c r="X33" s="219"/>
      <c r="Y33" s="219"/>
      <c r="Z33" s="219"/>
      <c r="AA33" s="219"/>
      <c r="AB33" s="3"/>
      <c r="AC33" s="3"/>
      <c r="AD33" s="3"/>
      <c r="AE33" s="3"/>
    </row>
    <row r="34" spans="1:41">
      <c r="A34" s="3"/>
      <c r="B34" s="3" t="s">
        <v>556</v>
      </c>
      <c r="D34" s="3" t="s">
        <v>482</v>
      </c>
      <c r="H34" s="210"/>
      <c r="I34" s="210"/>
      <c r="J34" s="210"/>
      <c r="K34" s="212">
        <f>'6. Input incidentele corr. WQA'!O24</f>
        <v>3477699</v>
      </c>
      <c r="L34" s="210"/>
      <c r="O34" s="219"/>
      <c r="P34" s="219"/>
      <c r="Q34" s="219"/>
      <c r="R34" s="219"/>
      <c r="S34" s="219"/>
      <c r="T34" s="219"/>
      <c r="U34" s="219"/>
      <c r="V34" s="219"/>
      <c r="W34" s="219"/>
      <c r="X34" s="219"/>
      <c r="Y34" s="219"/>
      <c r="Z34" s="219"/>
      <c r="AA34" s="219"/>
      <c r="AB34" s="3"/>
      <c r="AC34" s="3"/>
      <c r="AD34" s="3"/>
      <c r="AE34" s="3"/>
    </row>
    <row r="35" spans="1:41" ht="13.5" customHeight="1">
      <c r="A35" s="219"/>
      <c r="S35" s="219"/>
      <c r="T35" s="219"/>
      <c r="U35" s="219"/>
      <c r="V35" s="219"/>
      <c r="W35" s="219"/>
      <c r="X35" s="219"/>
      <c r="Y35" s="219"/>
      <c r="Z35" s="219"/>
      <c r="AA35" s="219"/>
      <c r="AB35" s="219"/>
      <c r="AC35" s="219"/>
      <c r="AD35" s="219"/>
      <c r="AE35" s="219"/>
    </row>
    <row r="36" spans="1:41" s="33" customFormat="1" ht="12.75" customHeight="1">
      <c r="A36" s="97"/>
      <c r="B36" s="33" t="s">
        <v>1059</v>
      </c>
      <c r="M36" s="33" t="s">
        <v>911</v>
      </c>
      <c r="S36" s="33" t="s">
        <v>1060</v>
      </c>
      <c r="Y36" s="33" t="s">
        <v>913</v>
      </c>
      <c r="AE36" s="33" t="s">
        <v>914</v>
      </c>
      <c r="AK36" s="33" t="s">
        <v>915</v>
      </c>
    </row>
    <row r="37" spans="1:41" s="34" customFormat="1" ht="12.75" customHeight="1">
      <c r="A37" s="98"/>
      <c r="F37" s="34" t="s">
        <v>390</v>
      </c>
      <c r="H37" s="34" t="s">
        <v>303</v>
      </c>
      <c r="I37" s="34" t="s">
        <v>537</v>
      </c>
      <c r="K37" s="100" t="s">
        <v>1061</v>
      </c>
      <c r="L37" s="100"/>
      <c r="M37" s="45">
        <v>2022</v>
      </c>
      <c r="N37" s="45">
        <v>2023</v>
      </c>
      <c r="O37" s="45">
        <v>2024</v>
      </c>
      <c r="P37" s="45">
        <v>2025</v>
      </c>
      <c r="Q37" s="45">
        <v>2026</v>
      </c>
      <c r="R37" s="39"/>
      <c r="S37" s="45">
        <v>2022</v>
      </c>
      <c r="T37" s="45">
        <v>2023</v>
      </c>
      <c r="U37" s="45">
        <v>2024</v>
      </c>
      <c r="V37" s="45">
        <v>2025</v>
      </c>
      <c r="W37" s="45">
        <v>2026</v>
      </c>
      <c r="X37" s="39"/>
      <c r="Y37" s="45">
        <v>2022</v>
      </c>
      <c r="Z37" s="45">
        <v>2023</v>
      </c>
      <c r="AA37" s="45">
        <v>2024</v>
      </c>
      <c r="AB37" s="45">
        <v>2025</v>
      </c>
      <c r="AC37" s="45">
        <v>2026</v>
      </c>
      <c r="AD37" s="39"/>
      <c r="AE37" s="45">
        <v>2022</v>
      </c>
      <c r="AF37" s="45">
        <v>2023</v>
      </c>
      <c r="AG37" s="45">
        <v>2024</v>
      </c>
      <c r="AH37" s="45">
        <v>2025</v>
      </c>
      <c r="AI37" s="45">
        <v>2026</v>
      </c>
      <c r="AJ37" s="39"/>
      <c r="AK37" s="45">
        <v>2022</v>
      </c>
      <c r="AL37" s="45">
        <v>2023</v>
      </c>
      <c r="AM37" s="45">
        <v>2024</v>
      </c>
      <c r="AN37" s="45">
        <v>2025</v>
      </c>
      <c r="AO37" s="45">
        <v>2026</v>
      </c>
    </row>
    <row r="38" spans="1:41" ht="13.5" customHeight="1">
      <c r="A38" s="219"/>
      <c r="S38" s="219"/>
      <c r="T38" s="219"/>
      <c r="U38" s="219"/>
      <c r="V38" s="219"/>
      <c r="W38" s="219"/>
      <c r="X38" s="219"/>
      <c r="Y38" s="219"/>
      <c r="Z38" s="219"/>
      <c r="AA38" s="219"/>
      <c r="AB38" s="219"/>
      <c r="AC38" s="219"/>
      <c r="AD38" s="219"/>
      <c r="AE38" s="219"/>
    </row>
    <row r="39" spans="1:41">
      <c r="A39" s="219"/>
      <c r="B39" s="3" t="s">
        <v>545</v>
      </c>
      <c r="F39" s="37">
        <f>'6. Input incidentele corr. WQA'!F12</f>
        <v>2011</v>
      </c>
      <c r="H39" s="37">
        <f>'6. Input incidentele corr. WQA'!H12</f>
        <v>30</v>
      </c>
      <c r="I39" s="42">
        <f>'6. Input incidentele corr. WQA'!J12</f>
        <v>17376205.576952007</v>
      </c>
      <c r="K39" s="38">
        <f>H39-2022+F39+0.5</f>
        <v>19.5</v>
      </c>
      <c r="M39" s="213">
        <f t="shared" ref="M39:Q43" si="0">IF($F39+$H39&lt;M$37,0,VDB($I39*(1-$F$28),0,$K39,MAX(0,M$37-2022),MIN($K39,M$37-2021),$F$25,FALSE))</f>
        <v>1042572.3346171203</v>
      </c>
      <c r="N39" s="213">
        <f t="shared" si="0"/>
        <v>973067.51230931235</v>
      </c>
      <c r="O39" s="213">
        <f t="shared" si="0"/>
        <v>908196.34482202481</v>
      </c>
      <c r="P39" s="213">
        <f t="shared" si="0"/>
        <v>847649.92183388979</v>
      </c>
      <c r="Q39" s="213">
        <f t="shared" si="0"/>
        <v>791139.92704496381</v>
      </c>
      <c r="S39" s="213">
        <f t="shared" ref="S39:W43" si="1">IF($F39+$H39&lt;S$37,0,VDB($I39*$F$28,0,$K39,MAX(0,S$37-2022),MIN($K39,S$37-2021),1,FALSE))</f>
        <v>89108.746548471827</v>
      </c>
      <c r="T39" s="213">
        <f t="shared" si="1"/>
        <v>89108.746548471827</v>
      </c>
      <c r="U39" s="213">
        <f t="shared" si="1"/>
        <v>89108.746548471827</v>
      </c>
      <c r="V39" s="213">
        <f t="shared" si="1"/>
        <v>89108.746548471827</v>
      </c>
      <c r="W39" s="213">
        <f t="shared" si="1"/>
        <v>89108.746548471827</v>
      </c>
      <c r="X39" s="219"/>
      <c r="Y39" s="213">
        <f>M39+S39</f>
        <v>1131681.0811655922</v>
      </c>
      <c r="Z39" s="213">
        <f t="shared" ref="Z39:AC43" si="2">N39+T39</f>
        <v>1062176.2588577841</v>
      </c>
      <c r="AA39" s="213">
        <f t="shared" si="2"/>
        <v>997305.09137049667</v>
      </c>
      <c r="AB39" s="213">
        <f t="shared" si="2"/>
        <v>936758.66838236165</v>
      </c>
      <c r="AC39" s="213">
        <f t="shared" si="2"/>
        <v>880248.67359343567</v>
      </c>
      <c r="AD39" s="219"/>
      <c r="AE39" s="213">
        <f t="shared" ref="AE39:AI43" si="3">IF($F39+$H39&lt;M$37&lt;=H$12,0,
IF(AE$37=2022,I39-Y39,AD39-Y39))</f>
        <v>16244524.495786414</v>
      </c>
      <c r="AF39" s="213">
        <f t="shared" si="3"/>
        <v>15182348.236928629</v>
      </c>
      <c r="AG39" s="213">
        <f t="shared" si="3"/>
        <v>14185043.145558132</v>
      </c>
      <c r="AH39" s="213">
        <f t="shared" si="3"/>
        <v>13248284.47717577</v>
      </c>
      <c r="AI39" s="213">
        <f t="shared" si="3"/>
        <v>12368035.803582335</v>
      </c>
      <c r="AK39" s="213">
        <f t="shared" ref="AK39:AO43" si="4">Y39+AE39*H$15</f>
        <v>1797706.5854928351</v>
      </c>
      <c r="AL39" s="213">
        <f t="shared" si="4"/>
        <v>1836476.018941144</v>
      </c>
      <c r="AM39" s="213">
        <f t="shared" si="4"/>
        <v>1720742.2917939613</v>
      </c>
      <c r="AN39" s="213">
        <f t="shared" si="4"/>
        <v>1665414.314627029</v>
      </c>
      <c r="AO39" s="213">
        <f>AC39+AI39*L$15</f>
        <v>1350234.0341295644</v>
      </c>
    </row>
    <row r="40" spans="1:41">
      <c r="A40" s="219"/>
      <c r="B40" s="3" t="s">
        <v>548</v>
      </c>
      <c r="F40" s="37">
        <f>'6. Input incidentele corr. WQA'!F13</f>
        <v>2012</v>
      </c>
      <c r="H40" s="37">
        <f>'6. Input incidentele corr. WQA'!H13</f>
        <v>30</v>
      </c>
      <c r="I40" s="42">
        <f>'6. Input incidentele corr. WQA'!J13</f>
        <v>1104502.0714844635</v>
      </c>
      <c r="K40" s="38">
        <f t="shared" ref="K40:K43" si="5">H40-2022+F40+0.5</f>
        <v>20.5</v>
      </c>
      <c r="M40" s="213">
        <f t="shared" si="0"/>
        <v>63037.435299357188</v>
      </c>
      <c r="N40" s="213">
        <f t="shared" si="0"/>
        <v>59039.939402324781</v>
      </c>
      <c r="O40" s="213">
        <f t="shared" si="0"/>
        <v>55295.943245104187</v>
      </c>
      <c r="P40" s="213">
        <f t="shared" si="0"/>
        <v>51789.371234439044</v>
      </c>
      <c r="Q40" s="213">
        <f t="shared" si="0"/>
        <v>48505.167204938029</v>
      </c>
      <c r="S40" s="213">
        <f t="shared" si="1"/>
        <v>5387.8149828510413</v>
      </c>
      <c r="T40" s="213">
        <f t="shared" si="1"/>
        <v>5387.8149828510423</v>
      </c>
      <c r="U40" s="213">
        <f t="shared" si="1"/>
        <v>5387.8149828510423</v>
      </c>
      <c r="V40" s="213">
        <f t="shared" si="1"/>
        <v>5387.8149828510423</v>
      </c>
      <c r="W40" s="213">
        <f t="shared" si="1"/>
        <v>5387.8149828510423</v>
      </c>
      <c r="X40" s="219"/>
      <c r="Y40" s="213">
        <f t="shared" ref="Y40:Y43" si="6">M40+S40</f>
        <v>68425.250282208232</v>
      </c>
      <c r="Z40" s="213">
        <f t="shared" si="2"/>
        <v>64427.754385175824</v>
      </c>
      <c r="AA40" s="213">
        <f t="shared" si="2"/>
        <v>60683.75822795523</v>
      </c>
      <c r="AB40" s="213">
        <f t="shared" si="2"/>
        <v>57177.186217290087</v>
      </c>
      <c r="AC40" s="213">
        <f t="shared" si="2"/>
        <v>53892.982187789072</v>
      </c>
      <c r="AD40" s="219"/>
      <c r="AE40" s="213">
        <f t="shared" si="3"/>
        <v>1036076.8212022553</v>
      </c>
      <c r="AF40" s="213">
        <f t="shared" si="3"/>
        <v>971649.06681707944</v>
      </c>
      <c r="AG40" s="213">
        <f t="shared" si="3"/>
        <v>910965.30858912424</v>
      </c>
      <c r="AH40" s="213">
        <f t="shared" si="3"/>
        <v>853788.12237183412</v>
      </c>
      <c r="AI40" s="213">
        <f t="shared" si="3"/>
        <v>799895.14018404507</v>
      </c>
      <c r="AK40" s="213">
        <f t="shared" si="4"/>
        <v>110904.3999515007</v>
      </c>
      <c r="AL40" s="213">
        <f t="shared" si="4"/>
        <v>113981.85679284687</v>
      </c>
      <c r="AM40" s="213">
        <f t="shared" si="4"/>
        <v>107142.98896600056</v>
      </c>
      <c r="AN40" s="213">
        <f t="shared" si="4"/>
        <v>104135.53294774095</v>
      </c>
      <c r="AO40" s="213">
        <f t="shared" si="4"/>
        <v>84288.997514782779</v>
      </c>
    </row>
    <row r="41" spans="1:41">
      <c r="A41" s="219"/>
      <c r="B41" s="3" t="s">
        <v>549</v>
      </c>
      <c r="F41" s="37">
        <f>'6. Input incidentele corr. WQA'!F14</f>
        <v>2013</v>
      </c>
      <c r="H41" s="37">
        <f>'6. Input incidentele corr. WQA'!H14</f>
        <v>30</v>
      </c>
      <c r="I41" s="42">
        <f>'6. Input incidentele corr. WQA'!J14</f>
        <v>271685.95797538623</v>
      </c>
      <c r="K41" s="38">
        <f t="shared" si="5"/>
        <v>21.5</v>
      </c>
      <c r="M41" s="213">
        <f t="shared" si="0"/>
        <v>14784.770736334973</v>
      </c>
      <c r="N41" s="213">
        <f t="shared" si="0"/>
        <v>13890.80785460309</v>
      </c>
      <c r="O41" s="213">
        <f t="shared" si="0"/>
        <v>13050.898542464298</v>
      </c>
      <c r="P41" s="213">
        <f t="shared" si="0"/>
        <v>12261.774444547853</v>
      </c>
      <c r="Q41" s="213">
        <f t="shared" si="0"/>
        <v>11520.364826970539</v>
      </c>
      <c r="S41" s="213">
        <f t="shared" si="1"/>
        <v>1263.6556184901688</v>
      </c>
      <c r="T41" s="213">
        <f t="shared" si="1"/>
        <v>1263.6556184901688</v>
      </c>
      <c r="U41" s="213">
        <f t="shared" si="1"/>
        <v>1263.6556184901688</v>
      </c>
      <c r="V41" s="213">
        <f t="shared" si="1"/>
        <v>1263.6556184901688</v>
      </c>
      <c r="W41" s="213">
        <f t="shared" si="1"/>
        <v>1263.6556184901688</v>
      </c>
      <c r="X41" s="219"/>
      <c r="Y41" s="213">
        <f t="shared" si="6"/>
        <v>16048.426354825142</v>
      </c>
      <c r="Z41" s="213">
        <f t="shared" si="2"/>
        <v>15154.463473093259</v>
      </c>
      <c r="AA41" s="213">
        <f t="shared" si="2"/>
        <v>14314.554160954467</v>
      </c>
      <c r="AB41" s="213">
        <f t="shared" si="2"/>
        <v>13525.430063038022</v>
      </c>
      <c r="AC41" s="213">
        <f t="shared" si="2"/>
        <v>12784.020445460708</v>
      </c>
      <c r="AD41" s="219"/>
      <c r="AE41" s="213">
        <f t="shared" si="3"/>
        <v>255637.53162056109</v>
      </c>
      <c r="AF41" s="213">
        <f t="shared" si="3"/>
        <v>240483.06814746783</v>
      </c>
      <c r="AG41" s="213">
        <f t="shared" si="3"/>
        <v>226168.51398651337</v>
      </c>
      <c r="AH41" s="213">
        <f t="shared" si="3"/>
        <v>212643.08392347535</v>
      </c>
      <c r="AI41" s="213">
        <f t="shared" si="3"/>
        <v>199859.06347801464</v>
      </c>
      <c r="AK41" s="213">
        <f t="shared" si="4"/>
        <v>26529.565151268147</v>
      </c>
      <c r="AL41" s="213">
        <f t="shared" si="4"/>
        <v>27419.099948614115</v>
      </c>
      <c r="AM41" s="213">
        <f t="shared" si="4"/>
        <v>25849.148374266646</v>
      </c>
      <c r="AN41" s="213">
        <f t="shared" si="4"/>
        <v>25220.799678829164</v>
      </c>
      <c r="AO41" s="213">
        <f t="shared" si="4"/>
        <v>20378.664857625263</v>
      </c>
    </row>
    <row r="42" spans="1:41">
      <c r="A42" s="219"/>
      <c r="B42" s="3" t="s">
        <v>550</v>
      </c>
      <c r="F42" s="37">
        <f>'6. Input incidentele corr. WQA'!F15</f>
        <v>2014</v>
      </c>
      <c r="H42" s="37">
        <f>'6. Input incidentele corr. WQA'!H15</f>
        <v>30</v>
      </c>
      <c r="I42" s="42">
        <f>'6. Input incidentele corr. WQA'!J15</f>
        <v>137435.09908722798</v>
      </c>
      <c r="K42" s="38">
        <f t="shared" si="5"/>
        <v>22.5</v>
      </c>
      <c r="M42" s="213">
        <f t="shared" si="0"/>
        <v>7146.6251525358557</v>
      </c>
      <c r="N42" s="213">
        <f t="shared" si="0"/>
        <v>6733.7090326115613</v>
      </c>
      <c r="O42" s="213">
        <f t="shared" si="0"/>
        <v>6344.6502885051159</v>
      </c>
      <c r="P42" s="213">
        <f t="shared" si="0"/>
        <v>5978.0704940581536</v>
      </c>
      <c r="Q42" s="213">
        <f t="shared" si="0"/>
        <v>5632.6708655125722</v>
      </c>
      <c r="S42" s="213">
        <f t="shared" si="1"/>
        <v>610.82266260990218</v>
      </c>
      <c r="T42" s="213">
        <f t="shared" si="1"/>
        <v>610.82266260990218</v>
      </c>
      <c r="U42" s="213">
        <f t="shared" si="1"/>
        <v>610.82266260990218</v>
      </c>
      <c r="V42" s="213">
        <f t="shared" si="1"/>
        <v>610.82266260990218</v>
      </c>
      <c r="W42" s="213">
        <f t="shared" si="1"/>
        <v>610.82266260990218</v>
      </c>
      <c r="X42" s="219"/>
      <c r="Y42" s="213">
        <f t="shared" si="6"/>
        <v>7757.4478151457579</v>
      </c>
      <c r="Z42" s="213">
        <f t="shared" si="2"/>
        <v>7344.5316952214635</v>
      </c>
      <c r="AA42" s="213">
        <f t="shared" si="2"/>
        <v>6955.4729511150181</v>
      </c>
      <c r="AB42" s="213">
        <f t="shared" si="2"/>
        <v>6588.8931566680558</v>
      </c>
      <c r="AC42" s="213">
        <f t="shared" si="2"/>
        <v>6243.4935281224743</v>
      </c>
      <c r="AD42" s="219"/>
      <c r="AE42" s="213">
        <f t="shared" si="3"/>
        <v>129677.65127208222</v>
      </c>
      <c r="AF42" s="213">
        <f t="shared" si="3"/>
        <v>122333.11957686076</v>
      </c>
      <c r="AG42" s="213">
        <f t="shared" si="3"/>
        <v>115377.64662574574</v>
      </c>
      <c r="AH42" s="213">
        <f t="shared" si="3"/>
        <v>108788.75346907768</v>
      </c>
      <c r="AI42" s="213">
        <f t="shared" si="3"/>
        <v>102545.25994095521</v>
      </c>
      <c r="AK42" s="213">
        <f t="shared" si="4"/>
        <v>13074.23151730113</v>
      </c>
      <c r="AL42" s="213">
        <f t="shared" si="4"/>
        <v>13583.520793641361</v>
      </c>
      <c r="AM42" s="213">
        <f t="shared" si="4"/>
        <v>12839.73292902805</v>
      </c>
      <c r="AN42" s="213">
        <f t="shared" si="4"/>
        <v>12572.274597467327</v>
      </c>
      <c r="AO42" s="213">
        <f t="shared" si="4"/>
        <v>10140.213405878772</v>
      </c>
    </row>
    <row r="43" spans="1:41">
      <c r="A43" s="219"/>
      <c r="B43" s="3" t="s">
        <v>551</v>
      </c>
      <c r="F43" s="37">
        <f>'6. Input incidentele corr. WQA'!F16</f>
        <v>2015</v>
      </c>
      <c r="H43" s="37">
        <f>'6. Input incidentele corr. WQA'!H16</f>
        <v>30</v>
      </c>
      <c r="I43" s="42">
        <f>'6. Input incidentele corr. WQA'!J16</f>
        <v>2218.4673824688466</v>
      </c>
      <c r="K43" s="38">
        <f t="shared" si="5"/>
        <v>23.5</v>
      </c>
      <c r="M43" s="213">
        <f t="shared" si="0"/>
        <v>110.45135478674685</v>
      </c>
      <c r="N43" s="213">
        <f t="shared" si="0"/>
        <v>104.34127984109702</v>
      </c>
      <c r="O43" s="213">
        <f t="shared" si="0"/>
        <v>98.569209041376752</v>
      </c>
      <c r="P43" s="213">
        <f t="shared" si="0"/>
        <v>93.116444285896335</v>
      </c>
      <c r="Q43" s="213">
        <f t="shared" si="0"/>
        <v>87.965321836038243</v>
      </c>
      <c r="S43" s="213">
        <f t="shared" si="1"/>
        <v>9.4402867339099874</v>
      </c>
      <c r="T43" s="213">
        <f t="shared" si="1"/>
        <v>9.4402867339099874</v>
      </c>
      <c r="U43" s="213">
        <f t="shared" si="1"/>
        <v>9.4402867339099874</v>
      </c>
      <c r="V43" s="213">
        <f t="shared" si="1"/>
        <v>9.4402867339099874</v>
      </c>
      <c r="W43" s="213">
        <f t="shared" si="1"/>
        <v>9.4402867339099874</v>
      </c>
      <c r="X43" s="219"/>
      <c r="Y43" s="213">
        <f t="shared" si="6"/>
        <v>119.89164152065683</v>
      </c>
      <c r="Z43" s="213">
        <f t="shared" si="2"/>
        <v>113.78156657500701</v>
      </c>
      <c r="AA43" s="213">
        <f t="shared" si="2"/>
        <v>108.00949577528674</v>
      </c>
      <c r="AB43" s="213">
        <f t="shared" si="2"/>
        <v>102.55673101980632</v>
      </c>
      <c r="AC43" s="213">
        <f t="shared" si="2"/>
        <v>97.405608569948228</v>
      </c>
      <c r="AD43" s="219"/>
      <c r="AE43" s="213">
        <f t="shared" si="3"/>
        <v>2098.5757409481898</v>
      </c>
      <c r="AF43" s="213">
        <f t="shared" si="3"/>
        <v>1984.7941743731828</v>
      </c>
      <c r="AG43" s="213">
        <f t="shared" si="3"/>
        <v>1876.7846785978961</v>
      </c>
      <c r="AH43" s="213">
        <f t="shared" si="3"/>
        <v>1774.2279475780897</v>
      </c>
      <c r="AI43" s="213">
        <f t="shared" si="3"/>
        <v>1676.8223390081414</v>
      </c>
      <c r="AK43" s="213">
        <f t="shared" si="4"/>
        <v>205.93324689953261</v>
      </c>
      <c r="AL43" s="213">
        <f t="shared" si="4"/>
        <v>215.00606946803933</v>
      </c>
      <c r="AM43" s="213">
        <f t="shared" si="4"/>
        <v>203.72551438377943</v>
      </c>
      <c r="AN43" s="213">
        <f t="shared" si="4"/>
        <v>200.13926813660126</v>
      </c>
      <c r="AO43" s="213">
        <f t="shared" si="4"/>
        <v>161.1248574522576</v>
      </c>
    </row>
    <row r="44" spans="1:41">
      <c r="A44" s="219"/>
      <c r="L44" s="223"/>
      <c r="M44" s="223"/>
      <c r="N44" s="223"/>
      <c r="O44" s="223"/>
      <c r="P44" s="223"/>
      <c r="S44" s="219"/>
      <c r="T44" s="219"/>
      <c r="U44" s="219"/>
      <c r="V44" s="219"/>
      <c r="W44" s="219"/>
      <c r="X44" s="219"/>
      <c r="Y44" s="219"/>
      <c r="Z44" s="219"/>
      <c r="AA44" s="219"/>
      <c r="AB44" s="219"/>
      <c r="AC44" s="219"/>
      <c r="AD44" s="219"/>
      <c r="AE44" s="219"/>
    </row>
    <row r="45" spans="1:41" s="214" customFormat="1">
      <c r="B45" s="214" t="s">
        <v>1062</v>
      </c>
      <c r="F45" s="214" t="s">
        <v>205</v>
      </c>
      <c r="H45" s="215">
        <v>2022</v>
      </c>
      <c r="I45" s="215">
        <v>2023</v>
      </c>
      <c r="J45" s="215">
        <v>2024</v>
      </c>
      <c r="K45" s="215">
        <v>2025</v>
      </c>
      <c r="L45" s="215">
        <v>2026</v>
      </c>
      <c r="O45" s="216"/>
      <c r="P45" s="216"/>
      <c r="Q45" s="216"/>
      <c r="R45" s="216"/>
      <c r="S45" s="216"/>
      <c r="T45" s="216"/>
      <c r="U45" s="216"/>
      <c r="V45" s="216"/>
      <c r="W45" s="216"/>
      <c r="X45" s="216"/>
      <c r="Y45" s="216"/>
      <c r="Z45" s="216"/>
      <c r="AA45" s="216"/>
    </row>
    <row r="46" spans="1:41">
      <c r="A46" s="219"/>
      <c r="B46" s="2"/>
      <c r="H46" s="224"/>
      <c r="I46" s="224"/>
      <c r="J46" s="224"/>
      <c r="K46" s="224"/>
      <c r="L46" s="224"/>
      <c r="O46" s="219"/>
      <c r="P46" s="219"/>
      <c r="Q46" s="219"/>
      <c r="R46" s="219"/>
      <c r="S46" s="219"/>
      <c r="T46" s="219"/>
      <c r="U46" s="219"/>
      <c r="V46" s="219"/>
      <c r="W46" s="219"/>
      <c r="X46" s="219"/>
      <c r="Y46" s="219"/>
      <c r="Z46" s="219"/>
      <c r="AA46" s="219"/>
      <c r="AB46" s="3"/>
      <c r="AC46" s="3"/>
      <c r="AD46" s="3"/>
      <c r="AE46" s="3"/>
    </row>
    <row r="47" spans="1:41">
      <c r="A47" s="3"/>
      <c r="B47" s="3" t="s">
        <v>915</v>
      </c>
      <c r="D47" s="3" t="s">
        <v>482</v>
      </c>
      <c r="H47" s="210"/>
      <c r="I47" s="210"/>
      <c r="J47" s="210"/>
      <c r="K47" s="213">
        <f>SUM(AN39:AN43)</f>
        <v>1807543.0611192032</v>
      </c>
      <c r="L47" s="210"/>
      <c r="O47" s="219"/>
      <c r="P47" s="219"/>
      <c r="Q47" s="219"/>
      <c r="R47" s="219"/>
      <c r="S47" s="219"/>
      <c r="T47" s="219"/>
      <c r="U47" s="219"/>
      <c r="V47" s="219"/>
      <c r="W47" s="219"/>
      <c r="X47" s="219"/>
      <c r="Y47" s="219"/>
      <c r="Z47" s="219"/>
      <c r="AA47" s="219"/>
      <c r="AB47" s="3"/>
      <c r="AC47" s="3"/>
      <c r="AD47" s="3"/>
      <c r="AE47" s="3"/>
    </row>
    <row r="48" spans="1:41">
      <c r="A48" s="219"/>
      <c r="O48" s="219"/>
      <c r="P48" s="219"/>
      <c r="Q48" s="219"/>
      <c r="R48" s="219"/>
      <c r="S48" s="219"/>
      <c r="T48" s="219"/>
      <c r="U48" s="219"/>
      <c r="V48" s="219"/>
      <c r="W48" s="219"/>
      <c r="X48" s="219"/>
      <c r="Y48" s="219"/>
      <c r="Z48" s="219"/>
      <c r="AA48" s="219"/>
      <c r="AB48" s="3"/>
      <c r="AC48" s="3"/>
      <c r="AD48" s="3"/>
      <c r="AE48" s="3"/>
    </row>
    <row r="49" spans="1:31" s="8" customFormat="1" ht="12.75" customHeight="1">
      <c r="B49" s="8" t="s">
        <v>1063</v>
      </c>
      <c r="D49" s="8" t="s">
        <v>204</v>
      </c>
      <c r="F49" s="8" t="s">
        <v>205</v>
      </c>
      <c r="H49" s="46">
        <v>2022</v>
      </c>
      <c r="I49" s="46">
        <v>2023</v>
      </c>
      <c r="J49" s="46">
        <v>2024</v>
      </c>
      <c r="K49" s="46">
        <v>2025</v>
      </c>
      <c r="L49" s="46">
        <v>2026</v>
      </c>
      <c r="O49" s="8" t="s">
        <v>207</v>
      </c>
    </row>
    <row r="50" spans="1:31">
      <c r="A50" s="219"/>
      <c r="P50" s="219"/>
      <c r="Q50" s="219"/>
      <c r="R50" s="219"/>
      <c r="S50" s="219"/>
      <c r="T50" s="219"/>
      <c r="U50" s="219"/>
      <c r="V50" s="219"/>
      <c r="W50" s="219"/>
      <c r="X50" s="219"/>
      <c r="Y50" s="219"/>
      <c r="Z50" s="219"/>
      <c r="AA50" s="219"/>
      <c r="AB50" s="3"/>
      <c r="AC50" s="3"/>
      <c r="AD50" s="3"/>
      <c r="AE50" s="3"/>
    </row>
    <row r="51" spans="1:31">
      <c r="A51" s="3"/>
      <c r="B51" s="2" t="s">
        <v>1064</v>
      </c>
      <c r="H51" s="225"/>
      <c r="I51" s="225"/>
      <c r="J51" s="225"/>
      <c r="K51" s="225"/>
      <c r="L51" s="225"/>
      <c r="S51" s="3"/>
      <c r="T51" s="3"/>
      <c r="U51" s="3"/>
      <c r="V51" s="3"/>
      <c r="W51" s="3"/>
      <c r="X51" s="3"/>
      <c r="Y51" s="3"/>
      <c r="Z51" s="3"/>
      <c r="AA51" s="3"/>
      <c r="AB51" s="3"/>
      <c r="AC51" s="3"/>
      <c r="AD51" s="3"/>
      <c r="AE51" s="3"/>
    </row>
    <row r="52" spans="1:31">
      <c r="A52" s="3"/>
      <c r="B52" s="3" t="s">
        <v>1065</v>
      </c>
      <c r="D52" s="3" t="s">
        <v>482</v>
      </c>
      <c r="H52" s="210"/>
      <c r="I52" s="210"/>
      <c r="J52" s="210"/>
      <c r="K52" s="217">
        <f>K31+K34</f>
        <v>4023708</v>
      </c>
      <c r="L52" s="210"/>
      <c r="S52" s="3"/>
      <c r="T52" s="3"/>
      <c r="U52" s="3"/>
      <c r="V52" s="3"/>
      <c r="W52" s="3"/>
      <c r="X52" s="3"/>
      <c r="Y52" s="3"/>
      <c r="Z52" s="3"/>
      <c r="AA52" s="3"/>
      <c r="AB52" s="3"/>
      <c r="AC52" s="3"/>
      <c r="AD52" s="3"/>
      <c r="AE52" s="3"/>
    </row>
    <row r="53" spans="1:31">
      <c r="A53" s="219"/>
      <c r="P53" s="219"/>
      <c r="Q53" s="219"/>
      <c r="R53" s="219"/>
      <c r="S53" s="219"/>
      <c r="T53" s="219"/>
      <c r="U53" s="219"/>
      <c r="V53" s="219"/>
      <c r="W53" s="219"/>
      <c r="X53" s="219"/>
      <c r="Y53" s="219"/>
      <c r="Z53" s="219"/>
      <c r="AA53" s="219"/>
      <c r="AB53" s="3"/>
      <c r="AC53" s="3"/>
      <c r="AD53" s="3"/>
      <c r="AE53" s="3"/>
    </row>
    <row r="54" spans="1:31" s="8" customFormat="1" ht="12.75" customHeight="1">
      <c r="B54" s="8" t="s">
        <v>1066</v>
      </c>
      <c r="D54" s="8" t="s">
        <v>204</v>
      </c>
      <c r="F54" s="8" t="s">
        <v>205</v>
      </c>
      <c r="H54" s="46">
        <v>2022</v>
      </c>
      <c r="I54" s="46">
        <v>2023</v>
      </c>
      <c r="J54" s="46">
        <v>2024</v>
      </c>
      <c r="K54" s="46">
        <v>2025</v>
      </c>
      <c r="L54" s="46">
        <v>2026</v>
      </c>
      <c r="M54" s="46">
        <v>2027</v>
      </c>
      <c r="O54" s="8" t="s">
        <v>207</v>
      </c>
    </row>
    <row r="55" spans="1:31">
      <c r="A55" s="219"/>
      <c r="O55" s="219"/>
      <c r="P55" s="219"/>
      <c r="Q55" s="219"/>
      <c r="R55" s="219"/>
      <c r="S55" s="219"/>
      <c r="T55" s="219"/>
      <c r="U55" s="219"/>
      <c r="V55" s="219"/>
      <c r="W55" s="219"/>
      <c r="X55" s="219"/>
      <c r="Y55" s="219"/>
      <c r="Z55" s="219"/>
      <c r="AA55" s="219"/>
      <c r="AB55" s="3"/>
      <c r="AC55" s="3"/>
      <c r="AD55" s="3"/>
      <c r="AE55" s="3"/>
    </row>
    <row r="56" spans="1:31">
      <c r="A56" s="3"/>
      <c r="B56" s="2" t="s">
        <v>917</v>
      </c>
      <c r="O56" s="219"/>
      <c r="P56" s="219"/>
      <c r="Q56" s="219"/>
      <c r="R56" s="219"/>
      <c r="S56" s="219"/>
      <c r="T56" s="219"/>
      <c r="U56" s="219"/>
      <c r="V56" s="219"/>
      <c r="W56" s="219"/>
      <c r="X56" s="219"/>
      <c r="Y56" s="219"/>
      <c r="Z56" s="219"/>
      <c r="AA56" s="219"/>
      <c r="AB56" s="3"/>
      <c r="AC56" s="3"/>
      <c r="AD56" s="3"/>
      <c r="AE56" s="3"/>
    </row>
    <row r="57" spans="1:31">
      <c r="A57" s="3"/>
      <c r="B57" s="3" t="s">
        <v>1067</v>
      </c>
      <c r="D57" s="3" t="s">
        <v>482</v>
      </c>
      <c r="H57" s="210"/>
      <c r="I57" s="210"/>
      <c r="J57" s="210"/>
      <c r="K57" s="210"/>
      <c r="L57" s="210"/>
      <c r="M57" s="218">
        <f>(K47+K52)*M21</f>
        <v>6367726.1587421708</v>
      </c>
      <c r="O57" s="219"/>
      <c r="P57" s="219"/>
      <c r="Q57" s="219"/>
      <c r="R57" s="219"/>
      <c r="S57" s="219"/>
      <c r="T57" s="219"/>
      <c r="U57" s="219"/>
      <c r="V57" s="219"/>
      <c r="W57" s="219"/>
      <c r="X57" s="219"/>
      <c r="Y57" s="219"/>
      <c r="Z57" s="219"/>
      <c r="AA57" s="219"/>
      <c r="AB57" s="3"/>
      <c r="AC57" s="3"/>
      <c r="AD57" s="3"/>
      <c r="AE57" s="3"/>
    </row>
    <row r="58" spans="1:31">
      <c r="A58" s="3"/>
      <c r="O58" s="219"/>
      <c r="P58" s="219"/>
      <c r="Q58" s="219"/>
      <c r="R58" s="219"/>
      <c r="S58" s="219"/>
      <c r="T58" s="219"/>
      <c r="U58" s="219"/>
      <c r="V58" s="219"/>
      <c r="W58" s="219"/>
      <c r="X58" s="219"/>
      <c r="Y58" s="219"/>
      <c r="Z58" s="219"/>
      <c r="AA58" s="219"/>
      <c r="AB58" s="3"/>
      <c r="AC58" s="3"/>
      <c r="AD58" s="3"/>
      <c r="AE58" s="3"/>
    </row>
    <row r="59" spans="1:31">
      <c r="A59" s="219"/>
      <c r="O59" s="219"/>
      <c r="P59" s="219"/>
      <c r="Q59" s="219"/>
      <c r="R59" s="219"/>
      <c r="S59" s="219"/>
      <c r="T59" s="219"/>
      <c r="U59" s="219"/>
      <c r="V59" s="219"/>
      <c r="W59" s="219"/>
      <c r="X59" s="219"/>
      <c r="Y59" s="219"/>
      <c r="Z59" s="219"/>
      <c r="AA59" s="219"/>
      <c r="AB59" s="3"/>
      <c r="AC59" s="3"/>
      <c r="AD59" s="3"/>
      <c r="AE59" s="3"/>
    </row>
    <row r="60" spans="1:31">
      <c r="A60" s="219"/>
      <c r="I60" s="3" t="s">
        <v>1068</v>
      </c>
      <c r="O60" s="219"/>
      <c r="P60" s="219"/>
      <c r="Q60" s="219"/>
      <c r="R60" s="219"/>
      <c r="S60" s="219"/>
      <c r="T60" s="219"/>
      <c r="U60" s="219"/>
      <c r="V60" s="219"/>
      <c r="W60" s="219"/>
      <c r="X60" s="219"/>
      <c r="Y60" s="219"/>
      <c r="Z60" s="219"/>
      <c r="AA60" s="219"/>
      <c r="AB60" s="3"/>
      <c r="AC60" s="3"/>
      <c r="AD60" s="3"/>
      <c r="AE60" s="3"/>
    </row>
    <row r="61" spans="1:31">
      <c r="A61" s="219"/>
      <c r="S61" s="219"/>
      <c r="T61" s="219"/>
      <c r="U61" s="219"/>
      <c r="V61" s="219"/>
      <c r="W61" s="219"/>
      <c r="X61" s="219"/>
      <c r="Y61" s="219"/>
      <c r="Z61" s="219"/>
      <c r="AA61" s="219"/>
      <c r="AB61" s="219"/>
      <c r="AC61" s="219"/>
      <c r="AD61" s="219"/>
      <c r="AE61" s="219"/>
    </row>
    <row r="62" spans="1:31">
      <c r="A62" s="219"/>
      <c r="S62" s="219"/>
      <c r="T62" s="219"/>
      <c r="U62" s="219"/>
      <c r="V62" s="219"/>
      <c r="W62" s="219"/>
      <c r="X62" s="219"/>
      <c r="Y62" s="219"/>
      <c r="Z62" s="219"/>
      <c r="AA62" s="219"/>
      <c r="AB62" s="219"/>
      <c r="AC62" s="219"/>
      <c r="AD62" s="219"/>
      <c r="AE62" s="219"/>
    </row>
    <row r="63" spans="1:31">
      <c r="A63" s="219"/>
      <c r="S63" s="219"/>
      <c r="T63" s="219"/>
      <c r="U63" s="219"/>
      <c r="V63" s="219"/>
      <c r="W63" s="219"/>
      <c r="X63" s="219"/>
      <c r="Y63" s="219"/>
      <c r="Z63" s="219"/>
      <c r="AA63" s="219"/>
      <c r="AB63" s="219"/>
      <c r="AC63" s="219"/>
      <c r="AD63" s="219"/>
      <c r="AE63" s="219"/>
    </row>
    <row r="64" spans="1:31">
      <c r="A64" s="219"/>
      <c r="S64" s="219"/>
      <c r="T64" s="219"/>
      <c r="U64" s="219"/>
      <c r="V64" s="219"/>
      <c r="W64" s="219"/>
      <c r="X64" s="219"/>
      <c r="Y64" s="219"/>
      <c r="Z64" s="219"/>
      <c r="AA64" s="219"/>
      <c r="AB64" s="219"/>
      <c r="AC64" s="219"/>
      <c r="AD64" s="219"/>
      <c r="AE64" s="219"/>
    </row>
    <row r="65" spans="1:31">
      <c r="A65" s="219"/>
      <c r="S65" s="219"/>
      <c r="T65" s="219"/>
      <c r="U65" s="219"/>
      <c r="V65" s="219"/>
      <c r="W65" s="219"/>
      <c r="X65" s="219"/>
      <c r="Y65" s="219"/>
      <c r="Z65" s="219"/>
      <c r="AA65" s="219"/>
      <c r="AB65" s="219"/>
      <c r="AC65" s="219"/>
      <c r="AD65" s="219"/>
      <c r="AE65" s="219"/>
    </row>
    <row r="66" spans="1:31">
      <c r="A66" s="219"/>
      <c r="S66" s="219"/>
      <c r="T66" s="219"/>
      <c r="U66" s="219"/>
      <c r="V66" s="219"/>
      <c r="W66" s="219"/>
      <c r="X66" s="219"/>
      <c r="Y66" s="219"/>
      <c r="Z66" s="219"/>
      <c r="AA66" s="219"/>
      <c r="AB66" s="219"/>
      <c r="AC66" s="219"/>
      <c r="AD66" s="219"/>
      <c r="AE66" s="219"/>
    </row>
    <row r="67" spans="1:31">
      <c r="A67" s="219"/>
      <c r="S67" s="219"/>
      <c r="T67" s="219"/>
      <c r="U67" s="219"/>
      <c r="V67" s="219"/>
      <c r="W67" s="219"/>
      <c r="X67" s="219"/>
      <c r="Y67" s="219"/>
      <c r="Z67" s="219"/>
      <c r="AA67" s="219"/>
      <c r="AB67" s="219"/>
      <c r="AC67" s="219"/>
      <c r="AD67" s="219"/>
      <c r="AE67" s="219"/>
    </row>
    <row r="68" spans="1:31">
      <c r="A68" s="219"/>
      <c r="S68" s="219"/>
      <c r="T68" s="219"/>
      <c r="U68" s="219"/>
      <c r="V68" s="219"/>
      <c r="W68" s="219"/>
      <c r="X68" s="219"/>
      <c r="Y68" s="219"/>
      <c r="Z68" s="219"/>
      <c r="AA68" s="219"/>
      <c r="AB68" s="219"/>
      <c r="AC68" s="219"/>
      <c r="AD68" s="219"/>
      <c r="AE68" s="219"/>
    </row>
    <row r="69" spans="1:31">
      <c r="A69" s="219"/>
      <c r="S69" s="219"/>
      <c r="T69" s="219"/>
      <c r="U69" s="219"/>
      <c r="V69" s="219"/>
      <c r="W69" s="219"/>
      <c r="X69" s="219"/>
      <c r="Y69" s="219"/>
      <c r="Z69" s="219"/>
      <c r="AA69" s="219"/>
      <c r="AB69" s="219"/>
      <c r="AC69" s="219"/>
      <c r="AD69" s="219"/>
      <c r="AE69" s="219"/>
    </row>
    <row r="70" spans="1:31">
      <c r="A70" s="219"/>
      <c r="S70" s="219"/>
      <c r="T70" s="219"/>
      <c r="U70" s="219"/>
      <c r="V70" s="219"/>
      <c r="W70" s="219"/>
      <c r="X70" s="219"/>
      <c r="Y70" s="219"/>
      <c r="Z70" s="219"/>
      <c r="AA70" s="219"/>
      <c r="AB70" s="219"/>
      <c r="AC70" s="219"/>
      <c r="AD70" s="219"/>
      <c r="AE70" s="219"/>
    </row>
  </sheetData>
  <mergeCells count="3">
    <mergeCell ref="B5:D5"/>
    <mergeCell ref="B8:D8"/>
    <mergeCell ref="N15:T15"/>
  </mergeCells>
  <pageMargins left="0.7" right="0.7" top="0.75" bottom="0.75" header="0.3" footer="0.3"/>
  <headerFooter>
    <oddFooter>&amp;C_x000D_&amp;1#&amp;"Calibri"&amp;10&amp;K000000 Vertrouwelijk/Confidential</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CC"/>
  </sheetPr>
  <dimension ref="A2:AN884"/>
  <sheetViews>
    <sheetView showGridLines="0" zoomScale="80" zoomScaleNormal="80" workbookViewId="0">
      <pane xSplit="4" ySplit="10" topLeftCell="E12"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52.85546875" style="3" customWidth="1"/>
    <col min="3" max="3" width="2.5703125" style="3" customWidth="1"/>
    <col min="4" max="4" width="15.28515625" style="3" customWidth="1"/>
    <col min="5" max="5" width="2.5703125" style="3" customWidth="1"/>
    <col min="6" max="6" width="32" style="3" bestFit="1" customWidth="1"/>
    <col min="7" max="7" width="29" style="3" customWidth="1"/>
    <col min="8" max="12" width="18" style="3" customWidth="1"/>
    <col min="13" max="13" width="19" style="3" customWidth="1"/>
    <col min="14" max="14" width="15" style="3" customWidth="1"/>
    <col min="15" max="15" width="16" style="3" customWidth="1"/>
    <col min="16" max="27" width="12.5703125" style="3" customWidth="1"/>
    <col min="28" max="28" width="17.28515625" style="3" bestFit="1" customWidth="1"/>
    <col min="29" max="30" width="12.5703125" style="3" customWidth="1"/>
    <col min="31" max="31" width="18.5703125" style="3" bestFit="1" customWidth="1"/>
    <col min="32" max="52" width="12.5703125" style="3" customWidth="1"/>
    <col min="53" max="16384" width="9" style="3"/>
  </cols>
  <sheetData>
    <row r="2" spans="2:37" s="12" customFormat="1" ht="18">
      <c r="B2" s="12" t="s">
        <v>1069</v>
      </c>
    </row>
    <row r="4" spans="2:37">
      <c r="B4" s="16" t="s">
        <v>893</v>
      </c>
      <c r="C4" s="2"/>
    </row>
    <row r="5" spans="2:37" ht="30.75" customHeight="1">
      <c r="B5" s="359" t="s">
        <v>1070</v>
      </c>
      <c r="C5" s="359"/>
      <c r="D5" s="359"/>
      <c r="F5" s="13"/>
    </row>
    <row r="6" spans="2:37">
      <c r="B6" s="4"/>
    </row>
    <row r="7" spans="2:37">
      <c r="B7" s="17" t="s">
        <v>158</v>
      </c>
    </row>
    <row r="8" spans="2:37" ht="37.5" customHeight="1">
      <c r="B8" s="359" t="s">
        <v>1071</v>
      </c>
      <c r="C8" s="359"/>
      <c r="D8" s="359"/>
    </row>
    <row r="9" spans="2:37">
      <c r="AJ9" s="26"/>
      <c r="AK9" s="321"/>
    </row>
    <row r="10" spans="2:37" s="8" customFormat="1">
      <c r="B10" s="8" t="s">
        <v>162</v>
      </c>
      <c r="P10" s="46"/>
      <c r="Q10" s="46"/>
      <c r="S10" s="8" t="s">
        <v>207</v>
      </c>
    </row>
    <row r="12" spans="2:37" s="8" customFormat="1">
      <c r="B12" s="8" t="s">
        <v>897</v>
      </c>
      <c r="D12" s="8" t="s">
        <v>204</v>
      </c>
      <c r="F12" s="8" t="s">
        <v>205</v>
      </c>
      <c r="G12" s="8">
        <v>2020</v>
      </c>
      <c r="H12" s="8">
        <v>2021</v>
      </c>
      <c r="I12" s="8">
        <v>2022</v>
      </c>
      <c r="J12" s="8">
        <v>2023</v>
      </c>
      <c r="K12" s="8">
        <v>2024</v>
      </c>
      <c r="L12" s="8">
        <v>2025</v>
      </c>
      <c r="M12" s="8">
        <v>2026</v>
      </c>
      <c r="N12" s="8">
        <v>2027</v>
      </c>
    </row>
    <row r="13" spans="2:37">
      <c r="P13" s="88"/>
    </row>
    <row r="14" spans="2:37">
      <c r="B14" s="16" t="s">
        <v>211</v>
      </c>
    </row>
    <row r="15" spans="2:37">
      <c r="B15" s="147" t="s">
        <v>213</v>
      </c>
      <c r="D15" s="3" t="s">
        <v>214</v>
      </c>
      <c r="G15" s="139">
        <f>'2. Parameters'!K17</f>
        <v>3.3000000000000002E-2</v>
      </c>
      <c r="H15" s="139">
        <f>'2. Parameters'!L17</f>
        <v>0.03</v>
      </c>
      <c r="I15" s="10"/>
      <c r="J15" s="10"/>
      <c r="K15" s="10"/>
      <c r="L15" s="10"/>
      <c r="M15" s="10"/>
      <c r="N15" s="10"/>
    </row>
    <row r="16" spans="2:37">
      <c r="B16" s="147" t="s">
        <v>898</v>
      </c>
      <c r="D16" s="3" t="s">
        <v>214</v>
      </c>
      <c r="G16" s="10"/>
      <c r="H16" s="10"/>
      <c r="I16" s="139">
        <f>'2. Parameters'!M19</f>
        <v>3.4000000000000002E-2</v>
      </c>
      <c r="J16" s="139">
        <f>'2. Parameters'!N19</f>
        <v>3.3000000000000002E-2</v>
      </c>
      <c r="K16" s="139">
        <f>'2. Parameters'!O19</f>
        <v>3.7999999999999999E-2</v>
      </c>
      <c r="L16" s="139">
        <f>'2. Parameters'!P19</f>
        <v>3.7999999999999999E-2</v>
      </c>
      <c r="M16" s="139">
        <f>'2. Parameters'!Q19</f>
        <v>3.7999999999999999E-2</v>
      </c>
      <c r="N16" s="10"/>
    </row>
    <row r="17" spans="1:20">
      <c r="B17" s="147"/>
    </row>
    <row r="18" spans="1:20">
      <c r="B18" s="2" t="s">
        <v>248</v>
      </c>
    </row>
    <row r="19" spans="1:20">
      <c r="B19" s="3" t="s">
        <v>248</v>
      </c>
      <c r="D19" s="3" t="s">
        <v>214</v>
      </c>
      <c r="F19" s="55">
        <f>'2. Parameters'!F79</f>
        <v>1</v>
      </c>
      <c r="T19" s="3" t="s">
        <v>118</v>
      </c>
    </row>
    <row r="20" spans="1:20">
      <c r="F20" s="26"/>
    </row>
    <row r="21" spans="1:20">
      <c r="B21" s="2" t="s">
        <v>249</v>
      </c>
      <c r="F21" s="26"/>
    </row>
    <row r="22" spans="1:20">
      <c r="B22" s="3" t="s">
        <v>249</v>
      </c>
      <c r="D22" s="3" t="s">
        <v>214</v>
      </c>
      <c r="F22" s="172">
        <f>'2. Parameters'!F83</f>
        <v>1.3</v>
      </c>
      <c r="T22" s="3" t="s">
        <v>118</v>
      </c>
    </row>
    <row r="23" spans="1:20">
      <c r="F23" s="171"/>
    </row>
    <row r="24" spans="1:20">
      <c r="B24" s="2" t="s">
        <v>250</v>
      </c>
      <c r="F24" s="171"/>
    </row>
    <row r="25" spans="1:20">
      <c r="B25" s="3" t="s">
        <v>250</v>
      </c>
      <c r="D25" s="3" t="s">
        <v>214</v>
      </c>
      <c r="F25" s="78">
        <f>'2. Parameters'!F87</f>
        <v>0.1</v>
      </c>
      <c r="T25" s="3" t="s">
        <v>118</v>
      </c>
    </row>
    <row r="26" spans="1:20">
      <c r="B26" s="16"/>
    </row>
    <row r="27" spans="1:20">
      <c r="B27" s="2" t="s">
        <v>223</v>
      </c>
    </row>
    <row r="28" spans="1:20">
      <c r="B28" s="3" t="s">
        <v>223</v>
      </c>
      <c r="D28" s="3" t="s">
        <v>214</v>
      </c>
      <c r="F28" s="173">
        <f>'2. Parameters'!F27</f>
        <v>0.01</v>
      </c>
    </row>
    <row r="29" spans="1:20" s="89" customFormat="1">
      <c r="A29" s="3"/>
      <c r="F29" s="105"/>
    </row>
    <row r="30" spans="1:20">
      <c r="B30" s="16" t="s">
        <v>243</v>
      </c>
    </row>
    <row r="31" spans="1:20">
      <c r="B31" s="28" t="s">
        <v>231</v>
      </c>
      <c r="D31" s="3" t="s">
        <v>247</v>
      </c>
      <c r="G31" s="32">
        <f>'2. Parameters'!K69</f>
        <v>1</v>
      </c>
      <c r="H31" s="32">
        <f>'2. Parameters'!L69</f>
        <v>1.02</v>
      </c>
      <c r="I31" s="32">
        <f>'2. Parameters'!M69</f>
        <v>1.0404</v>
      </c>
      <c r="J31" s="32">
        <f>'2. Parameters'!N69</f>
        <v>1.0612079999999999</v>
      </c>
      <c r="K31" s="32">
        <f>'2. Parameters'!O69</f>
        <v>1.10365632</v>
      </c>
      <c r="L31" s="32">
        <f>'2. Parameters'!P69</f>
        <v>1.1809122624000001</v>
      </c>
      <c r="M31" s="32">
        <f>'2. Parameters'!Q69</f>
        <v>1.2399578755200003</v>
      </c>
      <c r="N31" s="32">
        <f>'2. Parameters'!R69</f>
        <v>1.2895561905408004</v>
      </c>
    </row>
    <row r="32" spans="1:20">
      <c r="B32" s="28" t="s">
        <v>232</v>
      </c>
      <c r="D32" s="3" t="s">
        <v>247</v>
      </c>
      <c r="G32" s="10"/>
      <c r="H32" s="32">
        <f>'2. Parameters'!L70</f>
        <v>1</v>
      </c>
      <c r="I32" s="32">
        <f>'2. Parameters'!M70</f>
        <v>1.02</v>
      </c>
      <c r="J32" s="32">
        <f>'2. Parameters'!N70</f>
        <v>1.0404</v>
      </c>
      <c r="K32" s="32">
        <f>'2. Parameters'!O70</f>
        <v>1.0820160000000001</v>
      </c>
      <c r="L32" s="32">
        <f>'2. Parameters'!P70</f>
        <v>1.1577571200000001</v>
      </c>
      <c r="M32" s="32">
        <f>'2. Parameters'!Q70</f>
        <v>1.2156449760000001</v>
      </c>
      <c r="N32" s="32">
        <f>'2. Parameters'!R70</f>
        <v>1.2642707750400002</v>
      </c>
    </row>
    <row r="33" spans="2:14">
      <c r="B33" s="28" t="s">
        <v>233</v>
      </c>
      <c r="D33" s="3" t="s">
        <v>247</v>
      </c>
      <c r="G33" s="10"/>
      <c r="H33" s="10"/>
      <c r="I33" s="32">
        <f>'2. Parameters'!M71</f>
        <v>1</v>
      </c>
      <c r="J33" s="32">
        <f>'2. Parameters'!N71</f>
        <v>1.02</v>
      </c>
      <c r="K33" s="32">
        <f>'2. Parameters'!O71</f>
        <v>1.0608</v>
      </c>
      <c r="L33" s="32">
        <f>'2. Parameters'!P71</f>
        <v>1.1350560000000001</v>
      </c>
      <c r="M33" s="32">
        <f>'2. Parameters'!Q71</f>
        <v>1.1918088000000002</v>
      </c>
      <c r="N33" s="32">
        <f>'2. Parameters'!R71</f>
        <v>1.2394811520000002</v>
      </c>
    </row>
    <row r="34" spans="2:14">
      <c r="B34" s="28" t="s">
        <v>234</v>
      </c>
      <c r="D34" s="3" t="s">
        <v>247</v>
      </c>
      <c r="G34" s="10"/>
      <c r="H34" s="10"/>
      <c r="I34" s="10"/>
      <c r="J34" s="32">
        <f>'2. Parameters'!N72</f>
        <v>1</v>
      </c>
      <c r="K34" s="32">
        <f>'2. Parameters'!O72</f>
        <v>1.04</v>
      </c>
      <c r="L34" s="32">
        <f>'2. Parameters'!P72</f>
        <v>1.1128</v>
      </c>
      <c r="M34" s="32">
        <f>'2. Parameters'!Q72</f>
        <v>1.1684400000000001</v>
      </c>
      <c r="N34" s="32">
        <f>'2. Parameters'!R72</f>
        <v>1.2151776000000003</v>
      </c>
    </row>
    <row r="35" spans="2:14">
      <c r="B35" s="28" t="s">
        <v>235</v>
      </c>
      <c r="D35" s="3" t="s">
        <v>247</v>
      </c>
      <c r="G35" s="10"/>
      <c r="H35" s="10"/>
      <c r="I35" s="10"/>
      <c r="J35" s="10"/>
      <c r="K35" s="32">
        <f>'2. Parameters'!O73</f>
        <v>1</v>
      </c>
      <c r="L35" s="32">
        <f>'2. Parameters'!P73</f>
        <v>1.07</v>
      </c>
      <c r="M35" s="32">
        <f>'2. Parameters'!Q73</f>
        <v>1.1235000000000002</v>
      </c>
      <c r="N35" s="32">
        <f>'2. Parameters'!R73</f>
        <v>1.1684400000000001</v>
      </c>
    </row>
    <row r="36" spans="2:14">
      <c r="B36" s="28" t="s">
        <v>236</v>
      </c>
      <c r="D36" s="3" t="s">
        <v>247</v>
      </c>
      <c r="G36" s="10"/>
      <c r="H36" s="10"/>
      <c r="I36" s="10"/>
      <c r="J36" s="10"/>
      <c r="K36" s="10"/>
      <c r="L36" s="32">
        <f>'2. Parameters'!P74</f>
        <v>1</v>
      </c>
      <c r="M36" s="32">
        <f>'2. Parameters'!Q74</f>
        <v>1.05</v>
      </c>
      <c r="N36" s="32">
        <f>'2. Parameters'!R74</f>
        <v>1.0920000000000001</v>
      </c>
    </row>
    <row r="37" spans="2:14">
      <c r="B37" s="28" t="s">
        <v>237</v>
      </c>
      <c r="D37" s="3" t="s">
        <v>247</v>
      </c>
      <c r="G37" s="10"/>
      <c r="H37" s="10"/>
      <c r="I37" s="10"/>
      <c r="J37" s="10"/>
      <c r="K37" s="10"/>
      <c r="L37" s="10"/>
      <c r="M37" s="32">
        <f>'2. Parameters'!Q75</f>
        <v>1</v>
      </c>
      <c r="N37" s="32">
        <f>'2. Parameters'!R75</f>
        <v>1.04</v>
      </c>
    </row>
    <row r="38" spans="2:14">
      <c r="B38" s="28"/>
      <c r="M38" s="287"/>
    </row>
    <row r="39" spans="2:14">
      <c r="B39" s="16" t="s">
        <v>226</v>
      </c>
      <c r="M39" s="287"/>
    </row>
    <row r="40" spans="2:14">
      <c r="B40" s="28" t="s">
        <v>231</v>
      </c>
      <c r="D40" s="3" t="s">
        <v>228</v>
      </c>
      <c r="G40" s="54">
        <f>'2. Parameters'!K38</f>
        <v>1</v>
      </c>
      <c r="H40" s="54">
        <f>'2. Parameters'!L38</f>
        <v>1.016</v>
      </c>
      <c r="I40" s="54">
        <f>'2. Parameters'!M38</f>
        <v>1.0342880000000001</v>
      </c>
      <c r="J40" s="54">
        <f>'2. Parameters'!N38</f>
        <v>1.0984138560000001</v>
      </c>
      <c r="K40" s="54">
        <f>'2. Parameters'!O38</f>
        <v>1.1862869644800003</v>
      </c>
      <c r="L40" s="54">
        <f>'2. Parameters'!P38</f>
        <v>1.2195029994854403</v>
      </c>
      <c r="M40" s="54">
        <f>'2. Parameters'!Q38</f>
        <v>1.2658441134658871</v>
      </c>
      <c r="N40" s="117"/>
    </row>
    <row r="41" spans="2:14">
      <c r="B41" s="28" t="s">
        <v>232</v>
      </c>
      <c r="D41" s="3" t="s">
        <v>228</v>
      </c>
      <c r="G41" s="117"/>
      <c r="H41" s="54">
        <f>'2. Parameters'!L39</f>
        <v>1</v>
      </c>
      <c r="I41" s="54">
        <f>'2. Parameters'!M39</f>
        <v>1.018</v>
      </c>
      <c r="J41" s="54">
        <f>'2. Parameters'!N39</f>
        <v>1.081116</v>
      </c>
      <c r="K41" s="54">
        <f>'2. Parameters'!O39</f>
        <v>1.1676052800000001</v>
      </c>
      <c r="L41" s="54">
        <f>'2. Parameters'!P39</f>
        <v>1.2002982278400001</v>
      </c>
      <c r="M41" s="54">
        <f>'2. Parameters'!Q39</f>
        <v>1.24590956049792</v>
      </c>
      <c r="N41" s="117"/>
    </row>
    <row r="42" spans="2:14">
      <c r="B42" s="28" t="s">
        <v>233</v>
      </c>
      <c r="D42" s="3" t="s">
        <v>228</v>
      </c>
      <c r="G42" s="117"/>
      <c r="H42" s="117"/>
      <c r="I42" s="54">
        <f>'2. Parameters'!M40</f>
        <v>1</v>
      </c>
      <c r="J42" s="54">
        <f>'2. Parameters'!N40</f>
        <v>1.0620000000000001</v>
      </c>
      <c r="K42" s="54">
        <f>'2. Parameters'!O40</f>
        <v>1.1469600000000002</v>
      </c>
      <c r="L42" s="54">
        <f>'2. Parameters'!P40</f>
        <v>1.1790748800000002</v>
      </c>
      <c r="M42" s="54">
        <f>'2. Parameters'!Q40</f>
        <v>1.2238797254400002</v>
      </c>
      <c r="N42" s="117"/>
    </row>
    <row r="43" spans="2:14">
      <c r="B43" s="28" t="s">
        <v>234</v>
      </c>
      <c r="D43" s="3" t="s">
        <v>228</v>
      </c>
      <c r="G43" s="117"/>
      <c r="H43" s="117"/>
      <c r="I43" s="117"/>
      <c r="J43" s="54">
        <f>'2. Parameters'!N41</f>
        <v>1</v>
      </c>
      <c r="K43" s="54">
        <f>'2. Parameters'!O41</f>
        <v>1.08</v>
      </c>
      <c r="L43" s="54">
        <f>'2. Parameters'!P41</f>
        <v>1.1102400000000001</v>
      </c>
      <c r="M43" s="54">
        <f>'2. Parameters'!Q41</f>
        <v>1.1524291200000001</v>
      </c>
      <c r="N43" s="117"/>
    </row>
    <row r="44" spans="2:14">
      <c r="B44" s="28" t="s">
        <v>235</v>
      </c>
      <c r="D44" s="3" t="s">
        <v>228</v>
      </c>
      <c r="G44" s="117"/>
      <c r="H44" s="117"/>
      <c r="I44" s="117"/>
      <c r="J44" s="117"/>
      <c r="K44" s="54">
        <f>'2. Parameters'!O42</f>
        <v>1</v>
      </c>
      <c r="L44" s="54">
        <f>'2. Parameters'!P42</f>
        <v>1.028</v>
      </c>
      <c r="M44" s="54">
        <f>'2. Parameters'!Q42</f>
        <v>1.067064</v>
      </c>
      <c r="N44" s="117"/>
    </row>
    <row r="45" spans="2:14">
      <c r="B45" s="28" t="s">
        <v>236</v>
      </c>
      <c r="D45" s="3" t="s">
        <v>228</v>
      </c>
      <c r="G45" s="117"/>
      <c r="H45" s="117"/>
      <c r="I45" s="117"/>
      <c r="J45" s="117"/>
      <c r="K45" s="117"/>
      <c r="L45" s="54">
        <f>'2. Parameters'!P43</f>
        <v>1</v>
      </c>
      <c r="M45" s="54">
        <f>'2. Parameters'!Q43</f>
        <v>1.038</v>
      </c>
      <c r="N45" s="117"/>
    </row>
    <row r="46" spans="2:14">
      <c r="B46" s="28" t="s">
        <v>237</v>
      </c>
      <c r="D46" s="3" t="s">
        <v>228</v>
      </c>
      <c r="G46" s="117"/>
      <c r="H46" s="117"/>
      <c r="I46" s="117"/>
      <c r="J46" s="117"/>
      <c r="K46" s="117"/>
      <c r="L46" s="117"/>
      <c r="M46" s="54">
        <f>'2. Parameters'!Q44</f>
        <v>1</v>
      </c>
      <c r="N46" s="117"/>
    </row>
    <row r="47" spans="2:14">
      <c r="B47" s="28"/>
      <c r="M47" s="287"/>
    </row>
    <row r="48" spans="2:14">
      <c r="B48" s="16" t="s">
        <v>238</v>
      </c>
      <c r="M48" s="287"/>
    </row>
    <row r="49" spans="2:14">
      <c r="B49" s="28" t="s">
        <v>231</v>
      </c>
      <c r="D49" s="3" t="s">
        <v>242</v>
      </c>
      <c r="G49" s="54">
        <f>'2. Parameters'!K55</f>
        <v>1</v>
      </c>
      <c r="H49" s="54">
        <f>'2. Parameters'!L55</f>
        <v>0.999</v>
      </c>
      <c r="I49" s="54">
        <f>'2. Parameters'!M55</f>
        <v>0.995004</v>
      </c>
      <c r="J49" s="54">
        <f>'2. Parameters'!N55</f>
        <v>0.99102398400000002</v>
      </c>
      <c r="K49" s="54">
        <f>'2. Parameters'!O55</f>
        <v>0.98705988806400002</v>
      </c>
      <c r="L49" s="54">
        <f>'2. Parameters'!P55</f>
        <v>0.98311164851174404</v>
      </c>
      <c r="M49" s="54">
        <f>'2. Parameters'!Q55</f>
        <v>0.97917920191769703</v>
      </c>
      <c r="N49" s="117"/>
    </row>
    <row r="50" spans="2:14">
      <c r="B50" s="28" t="s">
        <v>232</v>
      </c>
      <c r="D50" s="3" t="s">
        <v>242</v>
      </c>
      <c r="G50" s="117"/>
      <c r="H50" s="54">
        <f>'2. Parameters'!L56</f>
        <v>1</v>
      </c>
      <c r="I50" s="54">
        <f>'2. Parameters'!M56</f>
        <v>0.996</v>
      </c>
      <c r="J50" s="54">
        <f>'2. Parameters'!N56</f>
        <v>0.99201600000000001</v>
      </c>
      <c r="K50" s="54">
        <f>'2. Parameters'!O56</f>
        <v>0.98804793599999996</v>
      </c>
      <c r="L50" s="54">
        <f>'2. Parameters'!P56</f>
        <v>0.98409574425599999</v>
      </c>
      <c r="M50" s="54">
        <f>'2. Parameters'!Q56</f>
        <v>0.98015936127897596</v>
      </c>
      <c r="N50" s="117"/>
    </row>
    <row r="51" spans="2:14">
      <c r="B51" s="28" t="s">
        <v>233</v>
      </c>
      <c r="D51" s="3" t="s">
        <v>242</v>
      </c>
      <c r="G51" s="117"/>
      <c r="H51" s="117"/>
      <c r="I51" s="54">
        <f>'2. Parameters'!M57</f>
        <v>1</v>
      </c>
      <c r="J51" s="54">
        <f>'2. Parameters'!N57</f>
        <v>0.996</v>
      </c>
      <c r="K51" s="54">
        <f>'2. Parameters'!O57</f>
        <v>0.99201600000000001</v>
      </c>
      <c r="L51" s="54">
        <f>'2. Parameters'!P57</f>
        <v>0.98804793599999996</v>
      </c>
      <c r="M51" s="54">
        <f>'2. Parameters'!Q57</f>
        <v>0.98409574425599999</v>
      </c>
      <c r="N51" s="117"/>
    </row>
    <row r="52" spans="2:14">
      <c r="B52" s="28" t="s">
        <v>234</v>
      </c>
      <c r="D52" s="3" t="s">
        <v>242</v>
      </c>
      <c r="G52" s="117"/>
      <c r="H52" s="117"/>
      <c r="I52" s="117"/>
      <c r="J52" s="54">
        <f>'2. Parameters'!N58</f>
        <v>1</v>
      </c>
      <c r="K52" s="54">
        <f>'2. Parameters'!O58</f>
        <v>0.996</v>
      </c>
      <c r="L52" s="54">
        <f>'2. Parameters'!P58</f>
        <v>0.99201600000000001</v>
      </c>
      <c r="M52" s="54">
        <f>'2. Parameters'!Q58</f>
        <v>0.98804793599999996</v>
      </c>
      <c r="N52" s="117"/>
    </row>
    <row r="53" spans="2:14">
      <c r="B53" s="28" t="s">
        <v>235</v>
      </c>
      <c r="D53" s="3" t="s">
        <v>242</v>
      </c>
      <c r="G53" s="117"/>
      <c r="H53" s="117"/>
      <c r="I53" s="117"/>
      <c r="J53" s="117"/>
      <c r="K53" s="54">
        <f>'2. Parameters'!O59</f>
        <v>1</v>
      </c>
      <c r="L53" s="54">
        <f>'2. Parameters'!P59</f>
        <v>0.996</v>
      </c>
      <c r="M53" s="54">
        <f>'2. Parameters'!Q59</f>
        <v>0.99201600000000001</v>
      </c>
      <c r="N53" s="117"/>
    </row>
    <row r="54" spans="2:14">
      <c r="B54" s="28" t="s">
        <v>236</v>
      </c>
      <c r="D54" s="3" t="s">
        <v>242</v>
      </c>
      <c r="G54" s="117"/>
      <c r="H54" s="117"/>
      <c r="I54" s="117"/>
      <c r="J54" s="117"/>
      <c r="K54" s="117"/>
      <c r="L54" s="54">
        <f>'2. Parameters'!P60</f>
        <v>1</v>
      </c>
      <c r="M54" s="54">
        <f>'2. Parameters'!Q60</f>
        <v>0.996</v>
      </c>
      <c r="N54" s="117"/>
    </row>
    <row r="55" spans="2:14">
      <c r="B55" s="28" t="s">
        <v>237</v>
      </c>
      <c r="D55" s="3" t="s">
        <v>242</v>
      </c>
      <c r="G55" s="117"/>
      <c r="H55" s="117"/>
      <c r="I55" s="117"/>
      <c r="J55" s="117"/>
      <c r="K55" s="117"/>
      <c r="L55" s="117"/>
      <c r="M55" s="54">
        <f>'2. Parameters'!Q61</f>
        <v>1</v>
      </c>
      <c r="N55" s="117"/>
    </row>
    <row r="57" spans="2:14" s="8" customFormat="1">
      <c r="B57" s="8" t="s">
        <v>1072</v>
      </c>
      <c r="F57" s="8" t="s">
        <v>302</v>
      </c>
      <c r="G57" s="8" t="s">
        <v>576</v>
      </c>
      <c r="H57" s="8" t="s">
        <v>577</v>
      </c>
      <c r="I57" s="8" t="s">
        <v>578</v>
      </c>
      <c r="J57" s="8" t="s">
        <v>303</v>
      </c>
      <c r="K57" s="8" t="s">
        <v>1073</v>
      </c>
      <c r="L57" s="8" t="s">
        <v>579</v>
      </c>
      <c r="M57" s="8" t="s">
        <v>1074</v>
      </c>
    </row>
    <row r="59" spans="2:14">
      <c r="B59" s="37" t="str">
        <f>'8. Input IC huur Gasunie'!B12</f>
        <v>Asset 1</v>
      </c>
      <c r="F59" s="37" t="str">
        <f>'8. Input IC huur Gasunie'!F12</f>
        <v>05 Wegen en terreinvoorzieningen</v>
      </c>
      <c r="G59" s="37">
        <f>'8. Input IC huur Gasunie'!G12</f>
        <v>1971</v>
      </c>
      <c r="H59" s="42">
        <f>'8. Input IC huur Gasunie'!H12</f>
        <v>47083.78</v>
      </c>
      <c r="I59" s="37">
        <f>'8. Input IC huur Gasunie'!I12</f>
        <v>2021</v>
      </c>
      <c r="J59" s="42">
        <f>_xlfn.XLOOKUP(F59,'3. Input (des)investeringen '!$B$11:$B$89,'3. Input (des)investeringen '!$D$11:$D$89)</f>
        <v>10</v>
      </c>
      <c r="K59" s="42">
        <f>_xlfn.XLOOKUP(F59,'3. Input (des)investeringen '!$B$11:$B$89,'3. Input (des)investeringen '!$E$11:$E$89)</f>
        <v>0</v>
      </c>
      <c r="L59" s="42">
        <f>'8. Input IC huur Gasunie'!J12</f>
        <v>0</v>
      </c>
      <c r="M59" s="42">
        <f>'8. Input IC huur Gasunie'!K12</f>
        <v>38383584.379999995</v>
      </c>
    </row>
    <row r="60" spans="2:14">
      <c r="B60" s="37" t="str">
        <f>'8. Input IC huur Gasunie'!B13</f>
        <v>Asset 2</v>
      </c>
      <c r="F60" s="37" t="str">
        <f>'8. Input IC huur Gasunie'!F13</f>
        <v>06 Utiliteitsgebouwen</v>
      </c>
      <c r="G60" s="37">
        <f>'8. Input IC huur Gasunie'!G13</f>
        <v>1961</v>
      </c>
      <c r="H60" s="42">
        <f>'8. Input IC huur Gasunie'!H13</f>
        <v>50334.43</v>
      </c>
      <c r="I60" s="37">
        <f>'8. Input IC huur Gasunie'!I13</f>
        <v>2021</v>
      </c>
      <c r="J60" s="42">
        <f>_xlfn.XLOOKUP(F60,'3. Input (des)investeringen '!$B$11:$B$89,'3. Input (des)investeringen '!$D$11:$D$89)</f>
        <v>30</v>
      </c>
      <c r="K60" s="42">
        <f>_xlfn.XLOOKUP(F60,'3. Input (des)investeringen '!$B$11:$B$89,'3. Input (des)investeringen '!$E$11:$E$89)</f>
        <v>0</v>
      </c>
      <c r="L60" s="42">
        <f>'8. Input IC huur Gasunie'!J13</f>
        <v>0</v>
      </c>
      <c r="M60" s="42">
        <f>'8. Input IC huur Gasunie'!K13</f>
        <v>0</v>
      </c>
    </row>
    <row r="61" spans="2:14">
      <c r="B61" s="37" t="str">
        <f>'8. Input IC huur Gasunie'!B14</f>
        <v>Asset 3</v>
      </c>
      <c r="F61" s="37" t="str">
        <f>'8. Input IC huur Gasunie'!F14</f>
        <v>06 Utiliteitsgebouwen</v>
      </c>
      <c r="G61" s="37">
        <f>'8. Input IC huur Gasunie'!G14</f>
        <v>1972</v>
      </c>
      <c r="H61" s="42">
        <f>'8. Input IC huur Gasunie'!H14</f>
        <v>2621.49</v>
      </c>
      <c r="I61" s="37">
        <f>'8. Input IC huur Gasunie'!I14</f>
        <v>2021</v>
      </c>
      <c r="J61" s="42">
        <f>_xlfn.XLOOKUP(F61,'3. Input (des)investeringen '!$B$11:$B$89,'3. Input (des)investeringen '!$D$11:$D$89)</f>
        <v>30</v>
      </c>
      <c r="K61" s="42">
        <f>_xlfn.XLOOKUP(F61,'3. Input (des)investeringen '!$B$11:$B$89,'3. Input (des)investeringen '!$E$11:$E$89)</f>
        <v>0</v>
      </c>
      <c r="L61" s="42">
        <f>'8. Input IC huur Gasunie'!J14</f>
        <v>0</v>
      </c>
      <c r="M61" s="42">
        <f>'8. Input IC huur Gasunie'!K14</f>
        <v>0</v>
      </c>
    </row>
    <row r="62" spans="2:14">
      <c r="B62" s="37" t="str">
        <f>'8. Input IC huur Gasunie'!B15</f>
        <v>Asset 4</v>
      </c>
      <c r="F62" s="37" t="str">
        <f>'8. Input IC huur Gasunie'!F15</f>
        <v>08 Inrichting gebouwen</v>
      </c>
      <c r="G62" s="37">
        <f>'8. Input IC huur Gasunie'!G15</f>
        <v>1997</v>
      </c>
      <c r="H62" s="42">
        <f>'8. Input IC huur Gasunie'!H15</f>
        <v>151227.48000000004</v>
      </c>
      <c r="I62" s="37">
        <f>'8. Input IC huur Gasunie'!I15</f>
        <v>2021</v>
      </c>
      <c r="J62" s="42">
        <f>_xlfn.XLOOKUP(F62,'3. Input (des)investeringen '!$B$11:$B$89,'3. Input (des)investeringen '!$D$11:$D$89)</f>
        <v>10</v>
      </c>
      <c r="K62" s="42">
        <f>_xlfn.XLOOKUP(F62,'3. Input (des)investeringen '!$B$11:$B$89,'3. Input (des)investeringen '!$E$11:$E$89)</f>
        <v>0</v>
      </c>
      <c r="L62" s="42">
        <f>'8. Input IC huur Gasunie'!J15</f>
        <v>0</v>
      </c>
      <c r="M62" s="42">
        <f>'8. Input IC huur Gasunie'!K15</f>
        <v>0</v>
      </c>
    </row>
    <row r="63" spans="2:14">
      <c r="B63" s="37" t="str">
        <f>'8. Input IC huur Gasunie'!B16</f>
        <v>Asset 5</v>
      </c>
      <c r="F63" s="37" t="str">
        <f>'8. Input IC huur Gasunie'!F16</f>
        <v>11 Werktuigen</v>
      </c>
      <c r="G63" s="37">
        <f>'8. Input IC huur Gasunie'!G16</f>
        <v>2009</v>
      </c>
      <c r="H63" s="42">
        <f>'8. Input IC huur Gasunie'!H16</f>
        <v>1313895.18</v>
      </c>
      <c r="I63" s="37">
        <f>'8. Input IC huur Gasunie'!I16</f>
        <v>2021</v>
      </c>
      <c r="J63" s="42">
        <f>_xlfn.XLOOKUP(F63,'3. Input (des)investeringen '!$B$11:$B$89,'3. Input (des)investeringen '!$D$11:$D$89)</f>
        <v>10</v>
      </c>
      <c r="K63" s="42">
        <f>_xlfn.XLOOKUP(F63,'3. Input (des)investeringen '!$B$11:$B$89,'3. Input (des)investeringen '!$E$11:$E$89)</f>
        <v>1</v>
      </c>
      <c r="L63" s="42">
        <f>'8. Input IC huur Gasunie'!J16</f>
        <v>0</v>
      </c>
      <c r="M63" s="42">
        <f>'8. Input IC huur Gasunie'!K16</f>
        <v>0</v>
      </c>
    </row>
    <row r="64" spans="2:14">
      <c r="B64" s="37" t="str">
        <f>'8. Input IC huur Gasunie'!B17</f>
        <v>Asset 6</v>
      </c>
      <c r="F64" s="37" t="str">
        <f>'8. Input IC huur Gasunie'!F17</f>
        <v>37 ICT middelen 1</v>
      </c>
      <c r="G64" s="37">
        <f>'8. Input IC huur Gasunie'!G17</f>
        <v>2009</v>
      </c>
      <c r="H64" s="42">
        <f>'8. Input IC huur Gasunie'!H17</f>
        <v>3658553.4539964925</v>
      </c>
      <c r="I64" s="37">
        <f>'8. Input IC huur Gasunie'!I17</f>
        <v>2021</v>
      </c>
      <c r="J64" s="42">
        <f>_xlfn.XLOOKUP(F64,'3. Input (des)investeringen '!$B$11:$B$89,'3. Input (des)investeringen '!$D$11:$D$89)</f>
        <v>5</v>
      </c>
      <c r="K64" s="42">
        <f>_xlfn.XLOOKUP(F64,'3. Input (des)investeringen '!$B$11:$B$89,'3. Input (des)investeringen '!$E$11:$E$89)</f>
        <v>1</v>
      </c>
      <c r="L64" s="42">
        <f>'8. Input IC huur Gasunie'!J17</f>
        <v>0</v>
      </c>
      <c r="M64" s="42">
        <f>'8. Input IC huur Gasunie'!K17</f>
        <v>114985168</v>
      </c>
    </row>
    <row r="65" spans="2:13">
      <c r="B65" s="37" t="str">
        <f>'8. Input IC huur Gasunie'!B18</f>
        <v>Asset 7</v>
      </c>
      <c r="F65" s="37" t="str">
        <f>'8. Input IC huur Gasunie'!F18</f>
        <v>37 ICT middelen 1</v>
      </c>
      <c r="G65" s="37">
        <f>'8. Input IC huur Gasunie'!G18</f>
        <v>2010</v>
      </c>
      <c r="H65" s="42">
        <f>'8. Input IC huur Gasunie'!H18</f>
        <v>17379179.522018339</v>
      </c>
      <c r="I65" s="37">
        <f>'8. Input IC huur Gasunie'!I18</f>
        <v>2021</v>
      </c>
      <c r="J65" s="42">
        <f>_xlfn.XLOOKUP(F65,'3. Input (des)investeringen '!$B$11:$B$89,'3. Input (des)investeringen '!$D$11:$D$89)</f>
        <v>5</v>
      </c>
      <c r="K65" s="42">
        <f>_xlfn.XLOOKUP(F65,'3. Input (des)investeringen '!$B$11:$B$89,'3. Input (des)investeringen '!$E$11:$E$89)</f>
        <v>1</v>
      </c>
      <c r="L65" s="42">
        <f>'8. Input IC huur Gasunie'!J18</f>
        <v>0</v>
      </c>
      <c r="M65" s="42">
        <f>'8. Input IC huur Gasunie'!K18</f>
        <v>0</v>
      </c>
    </row>
    <row r="66" spans="2:13">
      <c r="B66" s="37" t="str">
        <f>'8. Input IC huur Gasunie'!B19</f>
        <v>Asset 8</v>
      </c>
      <c r="F66" s="37" t="str">
        <f>'8. Input IC huur Gasunie'!F19</f>
        <v>10 Gereedschap</v>
      </c>
      <c r="G66" s="37">
        <f>'8. Input IC huur Gasunie'!G19</f>
        <v>2010</v>
      </c>
      <c r="H66" s="42">
        <f>'8. Input IC huur Gasunie'!H19</f>
        <v>2369604.1752097155</v>
      </c>
      <c r="I66" s="37">
        <f>'8. Input IC huur Gasunie'!I19</f>
        <v>2021</v>
      </c>
      <c r="J66" s="42">
        <f>_xlfn.XLOOKUP(F66,'3. Input (des)investeringen '!$B$11:$B$89,'3. Input (des)investeringen '!$D$11:$D$89)</f>
        <v>10</v>
      </c>
      <c r="K66" s="42">
        <f>_xlfn.XLOOKUP(F66,'3. Input (des)investeringen '!$B$11:$B$89,'3. Input (des)investeringen '!$E$11:$E$89)</f>
        <v>1</v>
      </c>
      <c r="L66" s="42">
        <f>'8. Input IC huur Gasunie'!J19</f>
        <v>0</v>
      </c>
      <c r="M66" s="42">
        <f>'8. Input IC huur Gasunie'!K19</f>
        <v>0</v>
      </c>
    </row>
    <row r="67" spans="2:13">
      <c r="B67" s="37" t="str">
        <f>'8. Input IC huur Gasunie'!B20</f>
        <v>Asset 9</v>
      </c>
      <c r="F67" s="37" t="str">
        <f>'8. Input IC huur Gasunie'!F20</f>
        <v>37 ICT middelen 1 (transparency)</v>
      </c>
      <c r="G67" s="37">
        <f>'8. Input IC huur Gasunie'!G20</f>
        <v>2010</v>
      </c>
      <c r="H67" s="42">
        <f>'8. Input IC huur Gasunie'!H20</f>
        <v>137063.35897796138</v>
      </c>
      <c r="I67" s="37">
        <f>'8. Input IC huur Gasunie'!I20</f>
        <v>2021</v>
      </c>
      <c r="J67" s="42">
        <f>_xlfn.XLOOKUP(F67,'3. Input (des)investeringen '!$B$11:$B$89,'3. Input (des)investeringen '!$D$11:$D$89)</f>
        <v>5</v>
      </c>
      <c r="K67" s="42">
        <f>_xlfn.XLOOKUP(F67,'3. Input (des)investeringen '!$B$11:$B$89,'3. Input (des)investeringen '!$E$11:$E$89)</f>
        <v>0</v>
      </c>
      <c r="L67" s="42">
        <f>'8. Input IC huur Gasunie'!J20</f>
        <v>0</v>
      </c>
      <c r="M67" s="42">
        <f>'8. Input IC huur Gasunie'!K20</f>
        <v>0</v>
      </c>
    </row>
    <row r="68" spans="2:13">
      <c r="B68" s="37" t="str">
        <f>'8. Input IC huur Gasunie'!B21</f>
        <v>Asset 10</v>
      </c>
      <c r="F68" s="37" t="str">
        <f>'8. Input IC huur Gasunie'!F21</f>
        <v>11 Werktuigen (gaschromatografen en comptabele meters)</v>
      </c>
      <c r="G68" s="37">
        <f>'8. Input IC huur Gasunie'!G21</f>
        <v>2011</v>
      </c>
      <c r="H68" s="42">
        <f>'8. Input IC huur Gasunie'!H21</f>
        <v>852201.48356837523</v>
      </c>
      <c r="I68" s="37">
        <f>'8. Input IC huur Gasunie'!I21</f>
        <v>2021</v>
      </c>
      <c r="J68" s="42">
        <f>_xlfn.XLOOKUP(F68,'3. Input (des)investeringen '!$B$11:$B$89,'3. Input (des)investeringen '!$D$11:$D$89)</f>
        <v>10</v>
      </c>
      <c r="K68" s="42">
        <f>_xlfn.XLOOKUP(F68,'3. Input (des)investeringen '!$B$11:$B$89,'3. Input (des)investeringen '!$E$11:$E$89)</f>
        <v>0</v>
      </c>
      <c r="L68" s="42">
        <f>'8. Input IC huur Gasunie'!J21</f>
        <v>0</v>
      </c>
      <c r="M68" s="42">
        <f>'8. Input IC huur Gasunie'!K21</f>
        <v>0</v>
      </c>
    </row>
    <row r="69" spans="2:13">
      <c r="B69" s="37" t="str">
        <f>'8. Input IC huur Gasunie'!B22</f>
        <v>Asset 11</v>
      </c>
      <c r="F69" s="37" t="str">
        <f>'8. Input IC huur Gasunie'!F22</f>
        <v>20 Kantoorgebouwen</v>
      </c>
      <c r="G69" s="37">
        <f>'8. Input IC huur Gasunie'!G22</f>
        <v>2011</v>
      </c>
      <c r="H69" s="42">
        <f>'8. Input IC huur Gasunie'!H22</f>
        <v>3100554.2541983742</v>
      </c>
      <c r="I69" s="37">
        <f>'8. Input IC huur Gasunie'!I22</f>
        <v>2021</v>
      </c>
      <c r="J69" s="42">
        <f>_xlfn.XLOOKUP(F69,'3. Input (des)investeringen '!$B$11:$B$89,'3. Input (des)investeringen '!$D$11:$D$89)</f>
        <v>30</v>
      </c>
      <c r="K69" s="42">
        <f>_xlfn.XLOOKUP(F69,'3. Input (des)investeringen '!$B$11:$B$89,'3. Input (des)investeringen '!$E$11:$E$89)</f>
        <v>0</v>
      </c>
      <c r="L69" s="42">
        <f>'8. Input IC huur Gasunie'!J22</f>
        <v>2372891.9585730941</v>
      </c>
      <c r="M69" s="42">
        <f>'8. Input IC huur Gasunie'!K22</f>
        <v>56326732</v>
      </c>
    </row>
    <row r="70" spans="2:13">
      <c r="B70" s="37" t="str">
        <f>'8. Input IC huur Gasunie'!B23</f>
        <v>Asset 12</v>
      </c>
      <c r="F70" s="37" t="str">
        <f>'8. Input IC huur Gasunie'!F23</f>
        <v>37 ICT middelen 1</v>
      </c>
      <c r="G70" s="37">
        <f>'8. Input IC huur Gasunie'!G23</f>
        <v>2011</v>
      </c>
      <c r="H70" s="42">
        <f>'8. Input IC huur Gasunie'!H23</f>
        <v>30115806.268534236</v>
      </c>
      <c r="I70" s="37">
        <f>'8. Input IC huur Gasunie'!I23</f>
        <v>2021</v>
      </c>
      <c r="J70" s="42">
        <f>_xlfn.XLOOKUP(F70,'3. Input (des)investeringen '!$B$11:$B$89,'3. Input (des)investeringen '!$D$11:$D$89)</f>
        <v>5</v>
      </c>
      <c r="K70" s="42">
        <f>_xlfn.XLOOKUP(F70,'3. Input (des)investeringen '!$B$11:$B$89,'3. Input (des)investeringen '!$E$11:$E$89)</f>
        <v>1</v>
      </c>
      <c r="L70" s="42">
        <f>'8. Input IC huur Gasunie'!J23</f>
        <v>0</v>
      </c>
      <c r="M70" s="42">
        <f>'8. Input IC huur Gasunie'!K23</f>
        <v>0</v>
      </c>
    </row>
    <row r="71" spans="2:13">
      <c r="B71" s="37" t="str">
        <f>'8. Input IC huur Gasunie'!B24</f>
        <v>Asset 13</v>
      </c>
      <c r="F71" s="37" t="str">
        <f>'8. Input IC huur Gasunie'!F24</f>
        <v>06 Utiliteitsgebouwen</v>
      </c>
      <c r="G71" s="37">
        <f>'8. Input IC huur Gasunie'!G24</f>
        <v>2011</v>
      </c>
      <c r="H71" s="42">
        <f>'8. Input IC huur Gasunie'!H24</f>
        <v>2437521.6070272112</v>
      </c>
      <c r="I71" s="37">
        <f>'8. Input IC huur Gasunie'!I24</f>
        <v>2021</v>
      </c>
      <c r="J71" s="42">
        <f>_xlfn.XLOOKUP(F71,'3. Input (des)investeringen '!$B$11:$B$89,'3. Input (des)investeringen '!$D$11:$D$89)</f>
        <v>30</v>
      </c>
      <c r="K71" s="42">
        <f>_xlfn.XLOOKUP(F71,'3. Input (des)investeringen '!$B$11:$B$89,'3. Input (des)investeringen '!$E$11:$E$89)</f>
        <v>0</v>
      </c>
      <c r="L71" s="42">
        <f>'8. Input IC huur Gasunie'!J24</f>
        <v>1865464.9930189459</v>
      </c>
      <c r="M71" s="42">
        <f>'8. Input IC huur Gasunie'!K24</f>
        <v>0</v>
      </c>
    </row>
    <row r="72" spans="2:13">
      <c r="B72" s="37" t="str">
        <f>'8. Input IC huur Gasunie'!B25</f>
        <v>Asset 14</v>
      </c>
      <c r="F72" s="37" t="str">
        <f>'8. Input IC huur Gasunie'!F25</f>
        <v>10 Gereedschap</v>
      </c>
      <c r="G72" s="37">
        <f>'8. Input IC huur Gasunie'!G25</f>
        <v>2011</v>
      </c>
      <c r="H72" s="42">
        <f>'8. Input IC huur Gasunie'!H25</f>
        <v>322323.48030063207</v>
      </c>
      <c r="I72" s="37">
        <f>'8. Input IC huur Gasunie'!I25</f>
        <v>2021</v>
      </c>
      <c r="J72" s="42">
        <f>_xlfn.XLOOKUP(F72,'3. Input (des)investeringen '!$B$11:$B$89,'3. Input (des)investeringen '!$D$11:$D$89)</f>
        <v>10</v>
      </c>
      <c r="K72" s="42">
        <f>_xlfn.XLOOKUP(F72,'3. Input (des)investeringen '!$B$11:$B$89,'3. Input (des)investeringen '!$E$11:$E$89)</f>
        <v>1</v>
      </c>
      <c r="L72" s="42">
        <f>'8. Input IC huur Gasunie'!J25</f>
        <v>0</v>
      </c>
      <c r="M72" s="42">
        <f>'8. Input IC huur Gasunie'!K25</f>
        <v>0</v>
      </c>
    </row>
    <row r="73" spans="2:13">
      <c r="B73" s="37" t="str">
        <f>'8. Input IC huur Gasunie'!B26</f>
        <v>Asset 15</v>
      </c>
      <c r="F73" s="37" t="str">
        <f>'8. Input IC huur Gasunie'!F26</f>
        <v>14 Overig rollend materieel</v>
      </c>
      <c r="G73" s="37">
        <f>'8. Input IC huur Gasunie'!G26</f>
        <v>2011</v>
      </c>
      <c r="H73" s="42">
        <f>'8. Input IC huur Gasunie'!H26</f>
        <v>4126005.7948834877</v>
      </c>
      <c r="I73" s="37">
        <f>'8. Input IC huur Gasunie'!I26</f>
        <v>2021</v>
      </c>
      <c r="J73" s="42">
        <f>_xlfn.XLOOKUP(F73,'3. Input (des)investeringen '!$B$11:$B$89,'3. Input (des)investeringen '!$D$11:$D$89)</f>
        <v>10</v>
      </c>
      <c r="K73" s="42">
        <f>_xlfn.XLOOKUP(F73,'3. Input (des)investeringen '!$B$11:$B$89,'3. Input (des)investeringen '!$E$11:$E$89)</f>
        <v>1</v>
      </c>
      <c r="L73" s="42">
        <f>'8. Input IC huur Gasunie'!J26</f>
        <v>0</v>
      </c>
      <c r="M73" s="42">
        <f>'8. Input IC huur Gasunie'!K26</f>
        <v>0</v>
      </c>
    </row>
    <row r="74" spans="2:13">
      <c r="B74" s="37" t="str">
        <f>'8. Input IC huur Gasunie'!B27</f>
        <v>Asset 16</v>
      </c>
      <c r="F74" s="37" t="str">
        <f>'8. Input IC huur Gasunie'!F27</f>
        <v>37 ICT middelen 1</v>
      </c>
      <c r="G74" s="37">
        <f>'8. Input IC huur Gasunie'!G27</f>
        <v>2012</v>
      </c>
      <c r="H74" s="42">
        <f>'8. Input IC huur Gasunie'!H27</f>
        <v>22695798.709637098</v>
      </c>
      <c r="I74" s="37">
        <f>'8. Input IC huur Gasunie'!I27</f>
        <v>2021</v>
      </c>
      <c r="J74" s="42">
        <f>_xlfn.XLOOKUP(F74,'3. Input (des)investeringen '!$B$11:$B$89,'3. Input (des)investeringen '!$D$11:$D$89)</f>
        <v>5</v>
      </c>
      <c r="K74" s="42">
        <f>_xlfn.XLOOKUP(F74,'3. Input (des)investeringen '!$B$11:$B$89,'3. Input (des)investeringen '!$E$11:$E$89)</f>
        <v>1</v>
      </c>
      <c r="L74" s="42">
        <f>'8. Input IC huur Gasunie'!J27</f>
        <v>0</v>
      </c>
      <c r="M74" s="42">
        <f>'8. Input IC huur Gasunie'!K27</f>
        <v>0</v>
      </c>
    </row>
    <row r="75" spans="2:13">
      <c r="B75" s="37" t="str">
        <f>'8. Input IC huur Gasunie'!B28</f>
        <v>Asset 17</v>
      </c>
      <c r="F75" s="37" t="str">
        <f>'8. Input IC huur Gasunie'!F28</f>
        <v>37 ICT middelen 1</v>
      </c>
      <c r="G75" s="37">
        <f>'8. Input IC huur Gasunie'!G28</f>
        <v>2013</v>
      </c>
      <c r="H75" s="42">
        <f>'8. Input IC huur Gasunie'!H28</f>
        <v>18719949.80436749</v>
      </c>
      <c r="I75" s="37">
        <f>'8. Input IC huur Gasunie'!I28</f>
        <v>2021</v>
      </c>
      <c r="J75" s="42">
        <f>_xlfn.XLOOKUP(F75,'3. Input (des)investeringen '!$B$11:$B$89,'3. Input (des)investeringen '!$D$11:$D$89)</f>
        <v>5</v>
      </c>
      <c r="K75" s="42">
        <f>_xlfn.XLOOKUP(F75,'3. Input (des)investeringen '!$B$11:$B$89,'3. Input (des)investeringen '!$E$11:$E$89)</f>
        <v>1</v>
      </c>
      <c r="L75" s="42">
        <f>'8. Input IC huur Gasunie'!J28</f>
        <v>0</v>
      </c>
      <c r="M75" s="42">
        <f>'8. Input IC huur Gasunie'!K28</f>
        <v>0</v>
      </c>
    </row>
    <row r="76" spans="2:13">
      <c r="B76" s="37" t="str">
        <f>'8. Input IC huur Gasunie'!B29</f>
        <v>Asset 18</v>
      </c>
      <c r="F76" s="37" t="str">
        <f>'8. Input IC huur Gasunie'!F29</f>
        <v>14 Overig rollend materieel</v>
      </c>
      <c r="G76" s="37">
        <f>'8. Input IC huur Gasunie'!G29</f>
        <v>2013</v>
      </c>
      <c r="H76" s="42">
        <f>'8. Input IC huur Gasunie'!H29</f>
        <v>14233.766853302437</v>
      </c>
      <c r="I76" s="37">
        <f>'8. Input IC huur Gasunie'!I29</f>
        <v>2021</v>
      </c>
      <c r="J76" s="42">
        <f>_xlfn.XLOOKUP(F76,'3. Input (des)investeringen '!$B$11:$B$89,'3. Input (des)investeringen '!$D$11:$D$89)</f>
        <v>10</v>
      </c>
      <c r="K76" s="42">
        <f>_xlfn.XLOOKUP(F76,'3. Input (des)investeringen '!$B$11:$B$89,'3. Input (des)investeringen '!$E$11:$E$89)</f>
        <v>1</v>
      </c>
      <c r="L76" s="42">
        <f>'8. Input IC huur Gasunie'!J29</f>
        <v>2395.0433871794298</v>
      </c>
      <c r="M76" s="42">
        <f>'8. Input IC huur Gasunie'!K29</f>
        <v>0</v>
      </c>
    </row>
    <row r="77" spans="2:13">
      <c r="B77" s="37" t="str">
        <f>'8. Input IC huur Gasunie'!B30</f>
        <v>Asset 19</v>
      </c>
      <c r="F77" s="37" t="str">
        <f>'8. Input IC huur Gasunie'!F30</f>
        <v>10 Gereedschap</v>
      </c>
      <c r="G77" s="37">
        <f>'8. Input IC huur Gasunie'!G30</f>
        <v>2013</v>
      </c>
      <c r="H77" s="42">
        <f>'8. Input IC huur Gasunie'!H30</f>
        <v>717715.3058753697</v>
      </c>
      <c r="I77" s="37">
        <f>'8. Input IC huur Gasunie'!I30</f>
        <v>2021</v>
      </c>
      <c r="J77" s="42">
        <f>_xlfn.XLOOKUP(F77,'3. Input (des)investeringen '!$B$11:$B$89,'3. Input (des)investeringen '!$D$11:$D$89)</f>
        <v>10</v>
      </c>
      <c r="K77" s="42">
        <f>_xlfn.XLOOKUP(F77,'3. Input (des)investeringen '!$B$11:$B$89,'3. Input (des)investeringen '!$E$11:$E$89)</f>
        <v>1</v>
      </c>
      <c r="L77" s="42">
        <f>'8. Input IC huur Gasunie'!J30</f>
        <v>120766.29573396736</v>
      </c>
      <c r="M77" s="42">
        <f>'8. Input IC huur Gasunie'!K30</f>
        <v>0</v>
      </c>
    </row>
    <row r="78" spans="2:13">
      <c r="B78" s="37" t="str">
        <f>'8. Input IC huur Gasunie'!B31</f>
        <v>Asset 20</v>
      </c>
      <c r="F78" s="37" t="str">
        <f>'8. Input IC huur Gasunie'!F31</f>
        <v>37 ICT middelen 1</v>
      </c>
      <c r="G78" s="37">
        <f>'8. Input IC huur Gasunie'!G31</f>
        <v>2014</v>
      </c>
      <c r="H78" s="42">
        <f>'8. Input IC huur Gasunie'!H31</f>
        <v>29278944.009914741</v>
      </c>
      <c r="I78" s="37">
        <f>'8. Input IC huur Gasunie'!I31</f>
        <v>2021</v>
      </c>
      <c r="J78" s="42">
        <f>_xlfn.XLOOKUP(F78,'3. Input (des)investeringen '!$B$11:$B$89,'3. Input (des)investeringen '!$D$11:$D$89)</f>
        <v>5</v>
      </c>
      <c r="K78" s="42">
        <f>_xlfn.XLOOKUP(F78,'3. Input (des)investeringen '!$B$11:$B$89,'3. Input (des)investeringen '!$E$11:$E$89)</f>
        <v>1</v>
      </c>
      <c r="L78" s="42">
        <f>'8. Input IC huur Gasunie'!J31</f>
        <v>0</v>
      </c>
      <c r="M78" s="42">
        <f>'8. Input IC huur Gasunie'!K31</f>
        <v>0</v>
      </c>
    </row>
    <row r="79" spans="2:13">
      <c r="B79" s="37" t="str">
        <f>'8. Input IC huur Gasunie'!B32</f>
        <v>Asset 21</v>
      </c>
      <c r="F79" s="37" t="str">
        <f>'8. Input IC huur Gasunie'!F32</f>
        <v>38 ICT middelen 2</v>
      </c>
      <c r="G79" s="37">
        <f>'8. Input IC huur Gasunie'!G32</f>
        <v>2014</v>
      </c>
      <c r="H79" s="42">
        <f>'8. Input IC huur Gasunie'!H32</f>
        <v>149619.99545874962</v>
      </c>
      <c r="I79" s="37">
        <f>'8. Input IC huur Gasunie'!I32</f>
        <v>2021</v>
      </c>
      <c r="J79" s="42">
        <f>_xlfn.XLOOKUP(F79,'3. Input (des)investeringen '!$B$11:$B$89,'3. Input (des)investeringen '!$D$11:$D$89)</f>
        <v>10</v>
      </c>
      <c r="K79" s="42">
        <f>_xlfn.XLOOKUP(F79,'3. Input (des)investeringen '!$B$11:$B$89,'3. Input (des)investeringen '!$E$11:$E$89)</f>
        <v>1</v>
      </c>
      <c r="L79" s="42">
        <f>'8. Input IC huur Gasunie'!J32</f>
        <v>40816.786477904512</v>
      </c>
      <c r="M79" s="42">
        <f>'8. Input IC huur Gasunie'!K32</f>
        <v>0</v>
      </c>
    </row>
    <row r="80" spans="2:13">
      <c r="B80" s="37" t="str">
        <f>'8. Input IC huur Gasunie'!B33</f>
        <v>Asset 22</v>
      </c>
      <c r="F80" s="37" t="str">
        <f>'8. Input IC huur Gasunie'!F33</f>
        <v>37 ICT middelen 1 (transparency)</v>
      </c>
      <c r="G80" s="37">
        <f>'8. Input IC huur Gasunie'!G33</f>
        <v>2014</v>
      </c>
      <c r="H80" s="42">
        <f>'8. Input IC huur Gasunie'!H33</f>
        <v>180341</v>
      </c>
      <c r="I80" s="37">
        <f>'8. Input IC huur Gasunie'!I33</f>
        <v>2021</v>
      </c>
      <c r="J80" s="42">
        <f>_xlfn.XLOOKUP(F80,'3. Input (des)investeringen '!$B$11:$B$89,'3. Input (des)investeringen '!$D$11:$D$89)</f>
        <v>5</v>
      </c>
      <c r="K80" s="42">
        <f>_xlfn.XLOOKUP(F80,'3. Input (des)investeringen '!$B$11:$B$89,'3. Input (des)investeringen '!$E$11:$E$89)</f>
        <v>0</v>
      </c>
      <c r="L80" s="42">
        <f>'8. Input IC huur Gasunie'!J33</f>
        <v>0</v>
      </c>
      <c r="M80" s="42">
        <f>'8. Input IC huur Gasunie'!K33</f>
        <v>0</v>
      </c>
    </row>
    <row r="81" spans="2:13">
      <c r="B81" s="37" t="str">
        <f>'8. Input IC huur Gasunie'!B34</f>
        <v>Asset 23</v>
      </c>
      <c r="F81" s="37" t="str">
        <f>'8. Input IC huur Gasunie'!F34</f>
        <v>37 ICT middelen 1</v>
      </c>
      <c r="G81" s="37">
        <f>'8. Input IC huur Gasunie'!G34</f>
        <v>2015</v>
      </c>
      <c r="H81" s="42">
        <f>'8. Input IC huur Gasunie'!H34</f>
        <v>16219637.049707994</v>
      </c>
      <c r="I81" s="37">
        <f>'8. Input IC huur Gasunie'!I34</f>
        <v>2021</v>
      </c>
      <c r="J81" s="42">
        <f>_xlfn.XLOOKUP(F81,'3. Input (des)investeringen '!$B$11:$B$89,'3. Input (des)investeringen '!$D$11:$D$89)</f>
        <v>5</v>
      </c>
      <c r="K81" s="42">
        <f>_xlfn.XLOOKUP(F81,'3. Input (des)investeringen '!$B$11:$B$89,'3. Input (des)investeringen '!$E$11:$E$89)</f>
        <v>1</v>
      </c>
      <c r="L81" s="42">
        <f>'8. Input IC huur Gasunie'!J34</f>
        <v>0</v>
      </c>
      <c r="M81" s="42">
        <f>'8. Input IC huur Gasunie'!K34</f>
        <v>0</v>
      </c>
    </row>
    <row r="82" spans="2:13">
      <c r="B82" s="37" t="str">
        <f>'8. Input IC huur Gasunie'!B35</f>
        <v>Asset 24</v>
      </c>
      <c r="F82" s="37" t="str">
        <f>'8. Input IC huur Gasunie'!F35</f>
        <v>14 Overig rollend materieel</v>
      </c>
      <c r="G82" s="37">
        <f>'8. Input IC huur Gasunie'!G35</f>
        <v>2015</v>
      </c>
      <c r="H82" s="42">
        <f>'8. Input IC huur Gasunie'!H35</f>
        <v>9111235.8707030155</v>
      </c>
      <c r="I82" s="37">
        <f>'8. Input IC huur Gasunie'!I35</f>
        <v>2021</v>
      </c>
      <c r="J82" s="42">
        <f>_xlfn.XLOOKUP(F82,'3. Input (des)investeringen '!$B$11:$B$89,'3. Input (des)investeringen '!$D$11:$D$89)</f>
        <v>10</v>
      </c>
      <c r="K82" s="42">
        <f>_xlfn.XLOOKUP(F82,'3. Input (des)investeringen '!$B$11:$B$89,'3. Input (des)investeringen '!$E$11:$E$89)</f>
        <v>1</v>
      </c>
      <c r="L82" s="42">
        <f>'8. Input IC huur Gasunie'!J35</f>
        <v>3445348.23215965</v>
      </c>
      <c r="M82" s="42">
        <f>'8. Input IC huur Gasunie'!K35</f>
        <v>0</v>
      </c>
    </row>
    <row r="83" spans="2:13">
      <c r="B83" s="37" t="str">
        <f>'8. Input IC huur Gasunie'!B36</f>
        <v>Asset 25</v>
      </c>
      <c r="F83" s="37" t="str">
        <f>'8. Input IC huur Gasunie'!F36</f>
        <v>10 Gereedschap</v>
      </c>
      <c r="G83" s="37">
        <f>'8. Input IC huur Gasunie'!G36</f>
        <v>2015</v>
      </c>
      <c r="H83" s="42">
        <f>'8. Input IC huur Gasunie'!H36</f>
        <v>1215996.3265953835</v>
      </c>
      <c r="I83" s="37">
        <f>'8. Input IC huur Gasunie'!I36</f>
        <v>2021</v>
      </c>
      <c r="J83" s="42">
        <f>_xlfn.XLOOKUP(F83,'3. Input (des)investeringen '!$B$11:$B$89,'3. Input (des)investeringen '!$D$11:$D$89)</f>
        <v>10</v>
      </c>
      <c r="K83" s="42">
        <f>_xlfn.XLOOKUP(F83,'3. Input (des)investeringen '!$B$11:$B$89,'3. Input (des)investeringen '!$E$11:$E$89)</f>
        <v>1</v>
      </c>
      <c r="L83" s="42">
        <f>'8. Input IC huur Gasunie'!J36</f>
        <v>459820.25420057232</v>
      </c>
      <c r="M83" s="42">
        <f>'8. Input IC huur Gasunie'!K36</f>
        <v>0</v>
      </c>
    </row>
    <row r="84" spans="2:13">
      <c r="B84" s="37" t="str">
        <f>'8. Input IC huur Gasunie'!B37</f>
        <v>Asset 26</v>
      </c>
      <c r="F84" s="37" t="str">
        <f>'8. Input IC huur Gasunie'!F37</f>
        <v>13 Aanhangwagens (gaschromatografen en comptabele meters)</v>
      </c>
      <c r="G84" s="37">
        <f>'8. Input IC huur Gasunie'!G37</f>
        <v>2015</v>
      </c>
      <c r="H84" s="42">
        <f>'8. Input IC huur Gasunie'!H37</f>
        <v>7968.6502792695001</v>
      </c>
      <c r="I84" s="37">
        <f>'8. Input IC huur Gasunie'!I37</f>
        <v>2021</v>
      </c>
      <c r="J84" s="42">
        <f>_xlfn.XLOOKUP(F84,'3. Input (des)investeringen '!$B$11:$B$89,'3. Input (des)investeringen '!$D$11:$D$89)</f>
        <v>10</v>
      </c>
      <c r="K84" s="42">
        <f>_xlfn.XLOOKUP(F84,'3. Input (des)investeringen '!$B$11:$B$89,'3. Input (des)investeringen '!$E$11:$E$89)</f>
        <v>0</v>
      </c>
      <c r="L84" s="42">
        <f>'8. Input IC huur Gasunie'!J37</f>
        <v>3013.2877188110033</v>
      </c>
      <c r="M84" s="42">
        <f>'8. Input IC huur Gasunie'!K37</f>
        <v>0</v>
      </c>
    </row>
    <row r="85" spans="2:13">
      <c r="B85" s="37" t="str">
        <f>'8. Input IC huur Gasunie'!B38</f>
        <v>Asset 27</v>
      </c>
      <c r="F85" s="37" t="str">
        <f>'8. Input IC huur Gasunie'!F38</f>
        <v>37 ICT middelen 1</v>
      </c>
      <c r="G85" s="37">
        <f>'8. Input IC huur Gasunie'!G38</f>
        <v>2016</v>
      </c>
      <c r="H85" s="42">
        <f>'8. Input IC huur Gasunie'!H38</f>
        <v>15289349.60564645</v>
      </c>
      <c r="I85" s="37">
        <f>'8. Input IC huur Gasunie'!I38</f>
        <v>2021</v>
      </c>
      <c r="J85" s="42">
        <f>_xlfn.XLOOKUP(F85,'3. Input (des)investeringen '!$B$11:$B$89,'3. Input (des)investeringen '!$D$11:$D$89)</f>
        <v>5</v>
      </c>
      <c r="K85" s="42">
        <f>_xlfn.XLOOKUP(F85,'3. Input (des)investeringen '!$B$11:$B$89,'3. Input (des)investeringen '!$E$11:$E$89)</f>
        <v>1</v>
      </c>
      <c r="L85" s="42">
        <f>'8. Input IC huur Gasunie'!J38</f>
        <v>0</v>
      </c>
      <c r="M85" s="42">
        <f>'8. Input IC huur Gasunie'!K38</f>
        <v>0</v>
      </c>
    </row>
    <row r="86" spans="2:13">
      <c r="B86" s="37" t="str">
        <f>'8. Input IC huur Gasunie'!B39</f>
        <v>Asset 28</v>
      </c>
      <c r="F86" s="37" t="str">
        <f>'8. Input IC huur Gasunie'!F39</f>
        <v>11 Werktuigen</v>
      </c>
      <c r="G86" s="37">
        <f>'8. Input IC huur Gasunie'!G39</f>
        <v>2016</v>
      </c>
      <c r="H86" s="42">
        <f>'8. Input IC huur Gasunie'!H39</f>
        <v>1481397.6896878041</v>
      </c>
      <c r="I86" s="37">
        <f>'8. Input IC huur Gasunie'!I39</f>
        <v>2021</v>
      </c>
      <c r="J86" s="42">
        <f>_xlfn.XLOOKUP(F86,'3. Input (des)investeringen '!$B$11:$B$89,'3. Input (des)investeringen '!$D$11:$D$89)</f>
        <v>10</v>
      </c>
      <c r="K86" s="42">
        <f>_xlfn.XLOOKUP(F86,'3. Input (des)investeringen '!$B$11:$B$89,'3. Input (des)investeringen '!$E$11:$E$89)</f>
        <v>1</v>
      </c>
      <c r="L86" s="42">
        <f>'8. Input IC huur Gasunie'!J39</f>
        <v>714515.13830443297</v>
      </c>
      <c r="M86" s="42">
        <f>'8. Input IC huur Gasunie'!K39</f>
        <v>0</v>
      </c>
    </row>
    <row r="87" spans="2:13">
      <c r="B87" s="37" t="str">
        <f>'8. Input IC huur Gasunie'!B40</f>
        <v>Asset 29</v>
      </c>
      <c r="F87" s="37" t="str">
        <f>'8. Input IC huur Gasunie'!F40</f>
        <v>14 Overig rollend materieel</v>
      </c>
      <c r="G87" s="37">
        <f>'8. Input IC huur Gasunie'!G40</f>
        <v>2016</v>
      </c>
      <c r="H87" s="42">
        <f>'8. Input IC huur Gasunie'!H40</f>
        <v>5338260.5379699524</v>
      </c>
      <c r="I87" s="37">
        <f>'8. Input IC huur Gasunie'!I40</f>
        <v>2021</v>
      </c>
      <c r="J87" s="42">
        <f>_xlfn.XLOOKUP(F87,'3. Input (des)investeringen '!$B$11:$B$89,'3. Input (des)investeringen '!$D$11:$D$89)</f>
        <v>10</v>
      </c>
      <c r="K87" s="42">
        <f>_xlfn.XLOOKUP(F87,'3. Input (des)investeringen '!$B$11:$B$89,'3. Input (des)investeringen '!$E$11:$E$89)</f>
        <v>1</v>
      </c>
      <c r="L87" s="42">
        <f>'8. Input IC huur Gasunie'!J40</f>
        <v>2574776.5054207225</v>
      </c>
      <c r="M87" s="42">
        <f>'8. Input IC huur Gasunie'!K40</f>
        <v>0</v>
      </c>
    </row>
    <row r="88" spans="2:13">
      <c r="B88" s="37" t="str">
        <f>'8. Input IC huur Gasunie'!B41</f>
        <v>Asset 30</v>
      </c>
      <c r="F88" s="37" t="str">
        <f>'8. Input IC huur Gasunie'!F41</f>
        <v>37 ICT middelen 1</v>
      </c>
      <c r="G88" s="37">
        <f>'8. Input IC huur Gasunie'!G41</f>
        <v>2017</v>
      </c>
      <c r="H88" s="42">
        <f>'8. Input IC huur Gasunie'!H41</f>
        <v>17348227.126304951</v>
      </c>
      <c r="I88" s="37">
        <f>'8. Input IC huur Gasunie'!I41</f>
        <v>2021</v>
      </c>
      <c r="J88" s="42">
        <f>_xlfn.XLOOKUP(F88,'3. Input (des)investeringen '!$B$11:$B$89,'3. Input (des)investeringen '!$D$11:$D$89)</f>
        <v>5</v>
      </c>
      <c r="K88" s="42">
        <f>_xlfn.XLOOKUP(F88,'3. Input (des)investeringen '!$B$11:$B$89,'3. Input (des)investeringen '!$E$11:$E$89)</f>
        <v>1</v>
      </c>
      <c r="L88" s="42">
        <f>'8. Input IC huur Gasunie'!J41</f>
        <v>1855729.3459505453</v>
      </c>
      <c r="M88" s="42">
        <f>'8. Input IC huur Gasunie'!K41</f>
        <v>0</v>
      </c>
    </row>
    <row r="89" spans="2:13">
      <c r="B89" s="37" t="str">
        <f>'8. Input IC huur Gasunie'!B42</f>
        <v>Asset 31</v>
      </c>
      <c r="F89" s="37" t="str">
        <f>'8. Input IC huur Gasunie'!F42</f>
        <v>05 Wegen en terreinvoorzieningen</v>
      </c>
      <c r="G89" s="37">
        <f>'8. Input IC huur Gasunie'!G42</f>
        <v>2012</v>
      </c>
      <c r="H89" s="42">
        <f>'8. Input IC huur Gasunie'!H42</f>
        <v>56189.23</v>
      </c>
      <c r="I89" s="37">
        <f>'8. Input IC huur Gasunie'!I42</f>
        <v>2021</v>
      </c>
      <c r="J89" s="42">
        <f>_xlfn.XLOOKUP(F89,'3. Input (des)investeringen '!$B$11:$B$89,'3. Input (des)investeringen '!$D$11:$D$89)</f>
        <v>10</v>
      </c>
      <c r="K89" s="42">
        <f>_xlfn.XLOOKUP(F89,'3. Input (des)investeringen '!$B$11:$B$89,'3. Input (des)investeringen '!$E$11:$E$89)</f>
        <v>0</v>
      </c>
      <c r="L89" s="42">
        <f>'8. Input IC huur Gasunie'!J42</f>
        <v>3224.0442736663617</v>
      </c>
      <c r="M89" s="42">
        <f>'8. Input IC huur Gasunie'!K42</f>
        <v>0</v>
      </c>
    </row>
    <row r="90" spans="2:13">
      <c r="B90" s="37" t="str">
        <f>'8. Input IC huur Gasunie'!B43</f>
        <v>Asset 32</v>
      </c>
      <c r="F90" s="37" t="str">
        <f>'8. Input IC huur Gasunie'!F43</f>
        <v>37 ICT middelen 1</v>
      </c>
      <c r="G90" s="37">
        <f>'8. Input IC huur Gasunie'!G43</f>
        <v>2018</v>
      </c>
      <c r="H90" s="42">
        <f>'8. Input IC huur Gasunie'!H43</f>
        <v>20811887.293785572</v>
      </c>
      <c r="I90" s="37">
        <f>'8. Input IC huur Gasunie'!I43</f>
        <v>2021</v>
      </c>
      <c r="J90" s="42">
        <f>_xlfn.XLOOKUP(F90,'3. Input (des)investeringen '!$B$11:$B$89,'3. Input (des)investeringen '!$D$11:$D$89)</f>
        <v>5</v>
      </c>
      <c r="K90" s="42">
        <f>_xlfn.XLOOKUP(F90,'3. Input (des)investeringen '!$B$11:$B$89,'3. Input (des)investeringen '!$E$11:$E$89)</f>
        <v>1</v>
      </c>
      <c r="L90" s="42">
        <f>'8. Input IC huur Gasunie'!J43</f>
        <v>6586494.0110704908</v>
      </c>
      <c r="M90" s="42">
        <f>'8. Input IC huur Gasunie'!K43</f>
        <v>0</v>
      </c>
    </row>
    <row r="91" spans="2:13">
      <c r="B91" s="37" t="str">
        <f>'8. Input IC huur Gasunie'!B44</f>
        <v>Asset 33</v>
      </c>
      <c r="F91" s="37" t="str">
        <f>'8. Input IC huur Gasunie'!F44</f>
        <v>37 ICT middelen 1</v>
      </c>
      <c r="G91" s="37">
        <f>'8. Input IC huur Gasunie'!G44</f>
        <v>2005</v>
      </c>
      <c r="H91" s="42">
        <f>'8. Input IC huur Gasunie'!H44</f>
        <v>3284081.86</v>
      </c>
      <c r="I91" s="37">
        <f>'8. Input IC huur Gasunie'!I44</f>
        <v>2021</v>
      </c>
      <c r="J91" s="42">
        <f>_xlfn.XLOOKUP(F91,'3. Input (des)investeringen '!$B$11:$B$89,'3. Input (des)investeringen '!$D$11:$D$89)</f>
        <v>5</v>
      </c>
      <c r="K91" s="42">
        <f>_xlfn.XLOOKUP(F91,'3. Input (des)investeringen '!$B$11:$B$89,'3. Input (des)investeringen '!$E$11:$E$89)</f>
        <v>1</v>
      </c>
      <c r="L91" s="42">
        <f>'8. Input IC huur Gasunie'!J44</f>
        <v>0</v>
      </c>
      <c r="M91" s="42">
        <f>'8. Input IC huur Gasunie'!K44</f>
        <v>0</v>
      </c>
    </row>
    <row r="92" spans="2:13">
      <c r="B92" s="37" t="str">
        <f>'8. Input IC huur Gasunie'!B45</f>
        <v>Asset 34</v>
      </c>
      <c r="F92" s="37" t="str">
        <f>'8. Input IC huur Gasunie'!F45</f>
        <v>14 Overig rollend materieel</v>
      </c>
      <c r="G92" s="37">
        <f>'8. Input IC huur Gasunie'!G45</f>
        <v>2005</v>
      </c>
      <c r="H92" s="42">
        <f>'8. Input IC huur Gasunie'!H45</f>
        <v>1438517.3199999998</v>
      </c>
      <c r="I92" s="37">
        <f>'8. Input IC huur Gasunie'!I45</f>
        <v>2021</v>
      </c>
      <c r="J92" s="42">
        <f>_xlfn.XLOOKUP(F92,'3. Input (des)investeringen '!$B$11:$B$89,'3. Input (des)investeringen '!$D$11:$D$89)</f>
        <v>10</v>
      </c>
      <c r="K92" s="42">
        <f>_xlfn.XLOOKUP(F92,'3. Input (des)investeringen '!$B$11:$B$89,'3. Input (des)investeringen '!$E$11:$E$89)</f>
        <v>1</v>
      </c>
      <c r="L92" s="42">
        <f>'8. Input IC huur Gasunie'!J45</f>
        <v>0</v>
      </c>
      <c r="M92" s="42">
        <f>'8. Input IC huur Gasunie'!K45</f>
        <v>0</v>
      </c>
    </row>
    <row r="93" spans="2:13">
      <c r="B93" s="37" t="str">
        <f>'8. Input IC huur Gasunie'!B46</f>
        <v>Asset 35</v>
      </c>
      <c r="F93" s="37" t="str">
        <f>'8. Input IC huur Gasunie'!F46</f>
        <v>11 Werktuigen</v>
      </c>
      <c r="G93" s="37">
        <f>'8. Input IC huur Gasunie'!G46</f>
        <v>2005</v>
      </c>
      <c r="H93" s="42">
        <f>'8. Input IC huur Gasunie'!H46</f>
        <v>499809.02999999997</v>
      </c>
      <c r="I93" s="37">
        <f>'8. Input IC huur Gasunie'!I46</f>
        <v>2021</v>
      </c>
      <c r="J93" s="42">
        <f>_xlfn.XLOOKUP(F93,'3. Input (des)investeringen '!$B$11:$B$89,'3. Input (des)investeringen '!$D$11:$D$89)</f>
        <v>10</v>
      </c>
      <c r="K93" s="42">
        <f>_xlfn.XLOOKUP(F93,'3. Input (des)investeringen '!$B$11:$B$89,'3. Input (des)investeringen '!$E$11:$E$89)</f>
        <v>1</v>
      </c>
      <c r="L93" s="42">
        <f>'8. Input IC huur Gasunie'!J46</f>
        <v>0</v>
      </c>
      <c r="M93" s="42">
        <f>'8. Input IC huur Gasunie'!K46</f>
        <v>0</v>
      </c>
    </row>
    <row r="94" spans="2:13">
      <c r="B94" s="37" t="str">
        <f>'8. Input IC huur Gasunie'!B47</f>
        <v>Asset 36</v>
      </c>
      <c r="F94" s="37" t="str">
        <f>'8. Input IC huur Gasunie'!F47</f>
        <v>14 Overig rollend materieel (odorisatie)</v>
      </c>
      <c r="G94" s="37">
        <f>'8. Input IC huur Gasunie'!G47</f>
        <v>2005</v>
      </c>
      <c r="H94" s="42">
        <f>'8. Input IC huur Gasunie'!H47</f>
        <v>245809.3</v>
      </c>
      <c r="I94" s="37">
        <f>'8. Input IC huur Gasunie'!I47</f>
        <v>2021</v>
      </c>
      <c r="J94" s="42">
        <f>_xlfn.XLOOKUP(F94,'3. Input (des)investeringen '!$B$11:$B$89,'3. Input (des)investeringen '!$D$11:$D$89)</f>
        <v>10</v>
      </c>
      <c r="K94" s="42">
        <f>_xlfn.XLOOKUP(F94,'3. Input (des)investeringen '!$B$11:$B$89,'3. Input (des)investeringen '!$E$11:$E$89)</f>
        <v>0</v>
      </c>
      <c r="L94" s="42">
        <f>'8. Input IC huur Gasunie'!J47</f>
        <v>0</v>
      </c>
      <c r="M94" s="42">
        <f>'8. Input IC huur Gasunie'!K47</f>
        <v>0</v>
      </c>
    </row>
    <row r="95" spans="2:13">
      <c r="B95" s="37" t="str">
        <f>'8. Input IC huur Gasunie'!B48</f>
        <v>Asset 37</v>
      </c>
      <c r="F95" s="37" t="str">
        <f>'8. Input IC huur Gasunie'!F48</f>
        <v>10 Gereedschap</v>
      </c>
      <c r="G95" s="37">
        <f>'8. Input IC huur Gasunie'!G48</f>
        <v>2005</v>
      </c>
      <c r="H95" s="42">
        <f>'8. Input IC huur Gasunie'!H48</f>
        <v>58217.59</v>
      </c>
      <c r="I95" s="37">
        <f>'8. Input IC huur Gasunie'!I48</f>
        <v>2021</v>
      </c>
      <c r="J95" s="42">
        <f>_xlfn.XLOOKUP(F95,'3. Input (des)investeringen '!$B$11:$B$89,'3. Input (des)investeringen '!$D$11:$D$89)</f>
        <v>10</v>
      </c>
      <c r="K95" s="42">
        <f>_xlfn.XLOOKUP(F95,'3. Input (des)investeringen '!$B$11:$B$89,'3. Input (des)investeringen '!$E$11:$E$89)</f>
        <v>1</v>
      </c>
      <c r="L95" s="42">
        <f>'8. Input IC huur Gasunie'!J48</f>
        <v>0</v>
      </c>
      <c r="M95" s="42">
        <f>'8. Input IC huur Gasunie'!K48</f>
        <v>0</v>
      </c>
    </row>
    <row r="96" spans="2:13">
      <c r="B96" s="37" t="str">
        <f>'8. Input IC huur Gasunie'!B49</f>
        <v>Asset 38</v>
      </c>
      <c r="F96" s="37" t="str">
        <f>'8. Input IC huur Gasunie'!F49</f>
        <v>37 ICT middelen 1</v>
      </c>
      <c r="G96" s="37">
        <f>'8. Input IC huur Gasunie'!G49</f>
        <v>2006</v>
      </c>
      <c r="H96" s="42">
        <f>'8. Input IC huur Gasunie'!H49</f>
        <v>4639319.7116944697</v>
      </c>
      <c r="I96" s="37">
        <f>'8. Input IC huur Gasunie'!I49</f>
        <v>2021</v>
      </c>
      <c r="J96" s="42">
        <f>_xlfn.XLOOKUP(F96,'3. Input (des)investeringen '!$B$11:$B$89,'3. Input (des)investeringen '!$D$11:$D$89)</f>
        <v>5</v>
      </c>
      <c r="K96" s="42">
        <f>_xlfn.XLOOKUP(F96,'3. Input (des)investeringen '!$B$11:$B$89,'3. Input (des)investeringen '!$E$11:$E$89)</f>
        <v>1</v>
      </c>
      <c r="L96" s="42">
        <f>'8. Input IC huur Gasunie'!J49</f>
        <v>0</v>
      </c>
      <c r="M96" s="42">
        <f>'8. Input IC huur Gasunie'!K49</f>
        <v>0</v>
      </c>
    </row>
    <row r="97" spans="2:13">
      <c r="B97" s="37" t="str">
        <f>'8. Input IC huur Gasunie'!B50</f>
        <v>Asset 39</v>
      </c>
      <c r="F97" s="37" t="str">
        <f>'8. Input IC huur Gasunie'!F50</f>
        <v>08 Inrichting gebouwen</v>
      </c>
      <c r="G97" s="37">
        <f>'8. Input IC huur Gasunie'!G50</f>
        <v>2006</v>
      </c>
      <c r="H97" s="42">
        <f>'8. Input IC huur Gasunie'!H50</f>
        <v>68586.959999999992</v>
      </c>
      <c r="I97" s="37">
        <f>'8. Input IC huur Gasunie'!I50</f>
        <v>2021</v>
      </c>
      <c r="J97" s="42">
        <f>_xlfn.XLOOKUP(F97,'3. Input (des)investeringen '!$B$11:$B$89,'3. Input (des)investeringen '!$D$11:$D$89)</f>
        <v>10</v>
      </c>
      <c r="K97" s="42">
        <f>_xlfn.XLOOKUP(F97,'3. Input (des)investeringen '!$B$11:$B$89,'3. Input (des)investeringen '!$E$11:$E$89)</f>
        <v>0</v>
      </c>
      <c r="L97" s="42">
        <f>'8. Input IC huur Gasunie'!J50</f>
        <v>0</v>
      </c>
      <c r="M97" s="42">
        <f>'8. Input IC huur Gasunie'!K50</f>
        <v>0</v>
      </c>
    </row>
    <row r="98" spans="2:13">
      <c r="B98" s="37" t="str">
        <f>'8. Input IC huur Gasunie'!B51</f>
        <v>Asset 40</v>
      </c>
      <c r="F98" s="37" t="str">
        <f>'8. Input IC huur Gasunie'!F51</f>
        <v>20 Kantoorgebouwen</v>
      </c>
      <c r="G98" s="37">
        <f>'8. Input IC huur Gasunie'!G51</f>
        <v>2006</v>
      </c>
      <c r="H98" s="42">
        <f>'8. Input IC huur Gasunie'!H51</f>
        <v>104600</v>
      </c>
      <c r="I98" s="37">
        <f>'8. Input IC huur Gasunie'!I51</f>
        <v>2021</v>
      </c>
      <c r="J98" s="42">
        <f>_xlfn.XLOOKUP(F98,'3. Input (des)investeringen '!$B$11:$B$89,'3. Input (des)investeringen '!$D$11:$D$89)</f>
        <v>30</v>
      </c>
      <c r="K98" s="42">
        <f>_xlfn.XLOOKUP(F98,'3. Input (des)investeringen '!$B$11:$B$89,'3. Input (des)investeringen '!$E$11:$E$89)</f>
        <v>0</v>
      </c>
      <c r="L98" s="42">
        <f>'8. Input IC huur Gasunie'!J51</f>
        <v>64112.024048213396</v>
      </c>
      <c r="M98" s="42">
        <f>'8. Input IC huur Gasunie'!K51</f>
        <v>0</v>
      </c>
    </row>
    <row r="99" spans="2:13">
      <c r="B99" s="37" t="str">
        <f>'8. Input IC huur Gasunie'!B52</f>
        <v>Asset 41</v>
      </c>
      <c r="F99" s="37" t="str">
        <f>'8. Input IC huur Gasunie'!F52</f>
        <v>09 Bedrijfsinventaris</v>
      </c>
      <c r="G99" s="37">
        <f>'8. Input IC huur Gasunie'!G52</f>
        <v>2006</v>
      </c>
      <c r="H99" s="42">
        <f>'8. Input IC huur Gasunie'!H52</f>
        <v>243251.93</v>
      </c>
      <c r="I99" s="37">
        <f>'8. Input IC huur Gasunie'!I52</f>
        <v>2021</v>
      </c>
      <c r="J99" s="42">
        <f>_xlfn.XLOOKUP(F99,'3. Input (des)investeringen '!$B$11:$B$89,'3. Input (des)investeringen '!$D$11:$D$89)</f>
        <v>10</v>
      </c>
      <c r="K99" s="42">
        <f>_xlfn.XLOOKUP(F99,'3. Input (des)investeringen '!$B$11:$B$89,'3. Input (des)investeringen '!$E$11:$E$89)</f>
        <v>1</v>
      </c>
      <c r="L99" s="42">
        <f>'8. Input IC huur Gasunie'!J52</f>
        <v>0</v>
      </c>
      <c r="M99" s="42">
        <f>'8. Input IC huur Gasunie'!K52</f>
        <v>0</v>
      </c>
    </row>
    <row r="100" spans="2:13">
      <c r="B100" s="37" t="str">
        <f>'8. Input IC huur Gasunie'!B53</f>
        <v>Asset 42</v>
      </c>
      <c r="F100" s="37" t="str">
        <f>'8. Input IC huur Gasunie'!F53</f>
        <v>10 Gereedschap</v>
      </c>
      <c r="G100" s="37">
        <f>'8. Input IC huur Gasunie'!G53</f>
        <v>2006</v>
      </c>
      <c r="H100" s="42">
        <f>'8. Input IC huur Gasunie'!H53</f>
        <v>585474.13</v>
      </c>
      <c r="I100" s="37">
        <f>'8. Input IC huur Gasunie'!I53</f>
        <v>2021</v>
      </c>
      <c r="J100" s="42">
        <f>_xlfn.XLOOKUP(F100,'3. Input (des)investeringen '!$B$11:$B$89,'3. Input (des)investeringen '!$D$11:$D$89)</f>
        <v>10</v>
      </c>
      <c r="K100" s="42">
        <f>_xlfn.XLOOKUP(F100,'3. Input (des)investeringen '!$B$11:$B$89,'3. Input (des)investeringen '!$E$11:$E$89)</f>
        <v>1</v>
      </c>
      <c r="L100" s="42">
        <f>'8. Input IC huur Gasunie'!J53</f>
        <v>0</v>
      </c>
      <c r="M100" s="42">
        <f>'8. Input IC huur Gasunie'!K53</f>
        <v>0</v>
      </c>
    </row>
    <row r="101" spans="2:13">
      <c r="B101" s="37" t="str">
        <f>'8. Input IC huur Gasunie'!B54</f>
        <v>Asset 43</v>
      </c>
      <c r="F101" s="37" t="str">
        <f>'8. Input IC huur Gasunie'!F54</f>
        <v>08 Inrichting gebouwen</v>
      </c>
      <c r="G101" s="37">
        <f>'8. Input IC huur Gasunie'!G54</f>
        <v>2007</v>
      </c>
      <c r="H101" s="42">
        <f>'8. Input IC huur Gasunie'!H54</f>
        <v>332079.90999999997</v>
      </c>
      <c r="I101" s="37">
        <f>'8. Input IC huur Gasunie'!I54</f>
        <v>2021</v>
      </c>
      <c r="J101" s="42">
        <f>_xlfn.XLOOKUP(F101,'3. Input (des)investeringen '!$B$11:$B$89,'3. Input (des)investeringen '!$D$11:$D$89)</f>
        <v>10</v>
      </c>
      <c r="K101" s="42">
        <f>_xlfn.XLOOKUP(F101,'3. Input (des)investeringen '!$B$11:$B$89,'3. Input (des)investeringen '!$E$11:$E$89)</f>
        <v>0</v>
      </c>
      <c r="L101" s="42">
        <f>'8. Input IC huur Gasunie'!J54</f>
        <v>0</v>
      </c>
      <c r="M101" s="42">
        <f>'8. Input IC huur Gasunie'!K54</f>
        <v>0</v>
      </c>
    </row>
    <row r="102" spans="2:13">
      <c r="B102" s="37" t="str">
        <f>'8. Input IC huur Gasunie'!B55</f>
        <v>Asset 44</v>
      </c>
      <c r="F102" s="37" t="str">
        <f>'8. Input IC huur Gasunie'!F55</f>
        <v>20 Kantoorgebouwen</v>
      </c>
      <c r="G102" s="37">
        <f>'8. Input IC huur Gasunie'!G55</f>
        <v>2007</v>
      </c>
      <c r="H102" s="42">
        <f>'8. Input IC huur Gasunie'!H55</f>
        <v>163550.16999999998</v>
      </c>
      <c r="I102" s="37">
        <f>'8. Input IC huur Gasunie'!I55</f>
        <v>2021</v>
      </c>
      <c r="J102" s="42">
        <f>_xlfn.XLOOKUP(F102,'3. Input (des)investeringen '!$B$11:$B$89,'3. Input (des)investeringen '!$D$11:$D$89)</f>
        <v>30</v>
      </c>
      <c r="K102" s="42">
        <f>_xlfn.XLOOKUP(F102,'3. Input (des)investeringen '!$B$11:$B$89,'3. Input (des)investeringen '!$E$11:$E$89)</f>
        <v>0</v>
      </c>
      <c r="L102" s="42">
        <f>'8. Input IC huur Gasunie'!J55</f>
        <v>105677.9899746046</v>
      </c>
      <c r="M102" s="42">
        <f>'8. Input IC huur Gasunie'!K55</f>
        <v>0</v>
      </c>
    </row>
    <row r="103" spans="2:13">
      <c r="B103" s="37" t="str">
        <f>'8. Input IC huur Gasunie'!B56</f>
        <v>Asset 45</v>
      </c>
      <c r="F103" s="37" t="str">
        <f>'8. Input IC huur Gasunie'!F56</f>
        <v>37 ICT middelen 1</v>
      </c>
      <c r="G103" s="37">
        <f>'8. Input IC huur Gasunie'!G56</f>
        <v>2007</v>
      </c>
      <c r="H103" s="42">
        <f>'8. Input IC huur Gasunie'!H56</f>
        <v>21517730.71653875</v>
      </c>
      <c r="I103" s="37">
        <f>'8. Input IC huur Gasunie'!I56</f>
        <v>2021</v>
      </c>
      <c r="J103" s="42">
        <f>_xlfn.XLOOKUP(F103,'3. Input (des)investeringen '!$B$11:$B$89,'3. Input (des)investeringen '!$D$11:$D$89)</f>
        <v>5</v>
      </c>
      <c r="K103" s="42">
        <f>_xlfn.XLOOKUP(F103,'3. Input (des)investeringen '!$B$11:$B$89,'3. Input (des)investeringen '!$E$11:$E$89)</f>
        <v>1</v>
      </c>
      <c r="L103" s="42">
        <f>'8. Input IC huur Gasunie'!J56</f>
        <v>0</v>
      </c>
      <c r="M103" s="42">
        <f>'8. Input IC huur Gasunie'!K56</f>
        <v>0</v>
      </c>
    </row>
    <row r="104" spans="2:13">
      <c r="B104" s="37" t="str">
        <f>'8. Input IC huur Gasunie'!B57</f>
        <v>Asset 46</v>
      </c>
      <c r="F104" s="37" t="str">
        <f>'8. Input IC huur Gasunie'!F57</f>
        <v>10 Gereedschap</v>
      </c>
      <c r="G104" s="37">
        <f>'8. Input IC huur Gasunie'!G57</f>
        <v>2007</v>
      </c>
      <c r="H104" s="42">
        <f>'8. Input IC huur Gasunie'!H57</f>
        <v>611283.49</v>
      </c>
      <c r="I104" s="37">
        <f>'8. Input IC huur Gasunie'!I57</f>
        <v>2021</v>
      </c>
      <c r="J104" s="42">
        <f>_xlfn.XLOOKUP(F104,'3. Input (des)investeringen '!$B$11:$B$89,'3. Input (des)investeringen '!$D$11:$D$89)</f>
        <v>10</v>
      </c>
      <c r="K104" s="42">
        <f>_xlfn.XLOOKUP(F104,'3. Input (des)investeringen '!$B$11:$B$89,'3. Input (des)investeringen '!$E$11:$E$89)</f>
        <v>1</v>
      </c>
      <c r="L104" s="42">
        <f>'8. Input IC huur Gasunie'!J57</f>
        <v>0</v>
      </c>
      <c r="M104" s="42">
        <f>'8. Input IC huur Gasunie'!K57</f>
        <v>0</v>
      </c>
    </row>
    <row r="105" spans="2:13">
      <c r="B105" s="37" t="str">
        <f>'8. Input IC huur Gasunie'!B58</f>
        <v>Asset 47</v>
      </c>
      <c r="F105" s="37" t="str">
        <f>'8. Input IC huur Gasunie'!F58</f>
        <v>09 Bedrijfsinventaris</v>
      </c>
      <c r="G105" s="37">
        <f>'8. Input IC huur Gasunie'!G58</f>
        <v>2007</v>
      </c>
      <c r="H105" s="42">
        <f>'8. Input IC huur Gasunie'!H58</f>
        <v>87193.72</v>
      </c>
      <c r="I105" s="37">
        <f>'8. Input IC huur Gasunie'!I58</f>
        <v>2021</v>
      </c>
      <c r="J105" s="42">
        <f>_xlfn.XLOOKUP(F105,'3. Input (des)investeringen '!$B$11:$B$89,'3. Input (des)investeringen '!$D$11:$D$89)</f>
        <v>10</v>
      </c>
      <c r="K105" s="42">
        <f>_xlfn.XLOOKUP(F105,'3. Input (des)investeringen '!$B$11:$B$89,'3. Input (des)investeringen '!$E$11:$E$89)</f>
        <v>1</v>
      </c>
      <c r="L105" s="42">
        <f>'8. Input IC huur Gasunie'!J58</f>
        <v>0</v>
      </c>
      <c r="M105" s="42">
        <f>'8. Input IC huur Gasunie'!K58</f>
        <v>0</v>
      </c>
    </row>
    <row r="106" spans="2:13">
      <c r="B106" s="37" t="str">
        <f>'8. Input IC huur Gasunie'!B59</f>
        <v>Asset 48</v>
      </c>
      <c r="F106" s="37" t="str">
        <f>'8. Input IC huur Gasunie'!F59</f>
        <v>13 Aanhangwagens</v>
      </c>
      <c r="G106" s="37">
        <f>'8. Input IC huur Gasunie'!G59</f>
        <v>2007</v>
      </c>
      <c r="H106" s="42">
        <f>'8. Input IC huur Gasunie'!H59</f>
        <v>25760.58</v>
      </c>
      <c r="I106" s="37">
        <f>'8. Input IC huur Gasunie'!I59</f>
        <v>2021</v>
      </c>
      <c r="J106" s="42">
        <f>_xlfn.XLOOKUP(F106,'3. Input (des)investeringen '!$B$11:$B$89,'3. Input (des)investeringen '!$D$11:$D$89)</f>
        <v>10</v>
      </c>
      <c r="K106" s="42">
        <f>_xlfn.XLOOKUP(F106,'3. Input (des)investeringen '!$B$11:$B$89,'3. Input (des)investeringen '!$E$11:$E$89)</f>
        <v>1</v>
      </c>
      <c r="L106" s="42">
        <f>'8. Input IC huur Gasunie'!J59</f>
        <v>0</v>
      </c>
      <c r="M106" s="42">
        <f>'8. Input IC huur Gasunie'!K59</f>
        <v>0</v>
      </c>
    </row>
    <row r="107" spans="2:13">
      <c r="B107" s="37" t="str">
        <f>'8. Input IC huur Gasunie'!B60</f>
        <v>Asset 49</v>
      </c>
      <c r="F107" s="37" t="str">
        <f>'8. Input IC huur Gasunie'!F60</f>
        <v>37 ICT middelen 1 (gaschromatografen en comptabele meting)</v>
      </c>
      <c r="G107" s="37">
        <f>'8. Input IC huur Gasunie'!G60</f>
        <v>2007</v>
      </c>
      <c r="H107" s="42">
        <f>'8. Input IC huur Gasunie'!H60</f>
        <v>140047.50693888956</v>
      </c>
      <c r="I107" s="37">
        <f>'8. Input IC huur Gasunie'!I60</f>
        <v>2021</v>
      </c>
      <c r="J107" s="42">
        <f>_xlfn.XLOOKUP(F107,'3. Input (des)investeringen '!$B$11:$B$89,'3. Input (des)investeringen '!$D$11:$D$89)</f>
        <v>5</v>
      </c>
      <c r="K107" s="42">
        <f>_xlfn.XLOOKUP(F107,'3. Input (des)investeringen '!$B$11:$B$89,'3. Input (des)investeringen '!$E$11:$E$89)</f>
        <v>0</v>
      </c>
      <c r="L107" s="42">
        <f>'8. Input IC huur Gasunie'!J60</f>
        <v>0</v>
      </c>
      <c r="M107" s="42">
        <f>'8. Input IC huur Gasunie'!K60</f>
        <v>0</v>
      </c>
    </row>
    <row r="108" spans="2:13">
      <c r="B108" s="37" t="str">
        <f>'8. Input IC huur Gasunie'!B61</f>
        <v>Asset 50</v>
      </c>
      <c r="F108" s="37" t="str">
        <f>'8. Input IC huur Gasunie'!F61</f>
        <v>37 ICT middelen 1</v>
      </c>
      <c r="G108" s="37">
        <f>'8. Input IC huur Gasunie'!G61</f>
        <v>2008</v>
      </c>
      <c r="H108" s="42">
        <f>'8. Input IC huur Gasunie'!H61</f>
        <v>1405801.5634173665</v>
      </c>
      <c r="I108" s="37">
        <f>'8. Input IC huur Gasunie'!I61</f>
        <v>2021</v>
      </c>
      <c r="J108" s="42">
        <f>_xlfn.XLOOKUP(F108,'3. Input (des)investeringen '!$B$11:$B$89,'3. Input (des)investeringen '!$D$11:$D$89)</f>
        <v>5</v>
      </c>
      <c r="K108" s="42">
        <f>_xlfn.XLOOKUP(F108,'3. Input (des)investeringen '!$B$11:$B$89,'3. Input (des)investeringen '!$E$11:$E$89)</f>
        <v>1</v>
      </c>
      <c r="L108" s="42">
        <f>'8. Input IC huur Gasunie'!J61</f>
        <v>0</v>
      </c>
      <c r="M108" s="42">
        <f>'8. Input IC huur Gasunie'!K61</f>
        <v>0</v>
      </c>
    </row>
    <row r="109" spans="2:13">
      <c r="B109" s="37" t="str">
        <f>'8. Input IC huur Gasunie'!B62</f>
        <v>Asset 51</v>
      </c>
      <c r="F109" s="37" t="str">
        <f>'8. Input IC huur Gasunie'!F62</f>
        <v>13 Aanhangwagens</v>
      </c>
      <c r="G109" s="37">
        <f>'8. Input IC huur Gasunie'!G62</f>
        <v>2008</v>
      </c>
      <c r="H109" s="42">
        <f>'8. Input IC huur Gasunie'!H62</f>
        <v>6485.6</v>
      </c>
      <c r="I109" s="37">
        <f>'8. Input IC huur Gasunie'!I62</f>
        <v>2021</v>
      </c>
      <c r="J109" s="42">
        <f>_xlfn.XLOOKUP(F109,'3. Input (des)investeringen '!$B$11:$B$89,'3. Input (des)investeringen '!$D$11:$D$89)</f>
        <v>10</v>
      </c>
      <c r="K109" s="42">
        <f>_xlfn.XLOOKUP(F109,'3. Input (des)investeringen '!$B$11:$B$89,'3. Input (des)investeringen '!$E$11:$E$89)</f>
        <v>1</v>
      </c>
      <c r="L109" s="42">
        <f>'8. Input IC huur Gasunie'!J62</f>
        <v>0</v>
      </c>
      <c r="M109" s="42">
        <f>'8. Input IC huur Gasunie'!K62</f>
        <v>0</v>
      </c>
    </row>
    <row r="110" spans="2:13">
      <c r="B110" s="37" t="str">
        <f>'8. Input IC huur Gasunie'!B63</f>
        <v>Asset 52</v>
      </c>
      <c r="F110" s="37" t="str">
        <f>'8. Input IC huur Gasunie'!F63</f>
        <v>04 Terreinen</v>
      </c>
      <c r="G110" s="37">
        <f>'8. Input IC huur Gasunie'!G63</f>
        <v>1956</v>
      </c>
      <c r="H110" s="42">
        <f>'8. Input IC huur Gasunie'!H63</f>
        <v>32433.599999999999</v>
      </c>
      <c r="I110" s="37">
        <f>'8. Input IC huur Gasunie'!I63</f>
        <v>2021</v>
      </c>
      <c r="J110" s="42">
        <f>_xlfn.XLOOKUP(F110,'3. Input (des)investeringen '!$B$11:$B$89,'3. Input (des)investeringen '!$D$11:$D$89)</f>
        <v>0</v>
      </c>
      <c r="K110" s="42">
        <f>_xlfn.XLOOKUP(F110,'3. Input (des)investeringen '!$B$11:$B$89,'3. Input (des)investeringen '!$E$11:$E$89)</f>
        <v>0</v>
      </c>
      <c r="L110" s="42">
        <f>'8. Input IC huur Gasunie'!J63</f>
        <v>275057.7098199001</v>
      </c>
      <c r="M110" s="42">
        <f>'8. Input IC huur Gasunie'!K63</f>
        <v>0</v>
      </c>
    </row>
    <row r="111" spans="2:13">
      <c r="B111" s="37" t="str">
        <f>'8. Input IC huur Gasunie'!B64</f>
        <v>Asset 53</v>
      </c>
      <c r="F111" s="37" t="str">
        <f>'8. Input IC huur Gasunie'!F64</f>
        <v>04 Terreinen</v>
      </c>
      <c r="G111" s="37">
        <f>'8. Input IC huur Gasunie'!G64</f>
        <v>1968</v>
      </c>
      <c r="H111" s="42">
        <f>'8. Input IC huur Gasunie'!H64</f>
        <v>219516.18</v>
      </c>
      <c r="I111" s="37">
        <f>'8. Input IC huur Gasunie'!I64</f>
        <v>2021</v>
      </c>
      <c r="J111" s="42">
        <f>_xlfn.XLOOKUP(F111,'3. Input (des)investeringen '!$B$11:$B$89,'3. Input (des)investeringen '!$D$11:$D$89)</f>
        <v>0</v>
      </c>
      <c r="K111" s="42">
        <f>_xlfn.XLOOKUP(F111,'3. Input (des)investeringen '!$B$11:$B$89,'3. Input (des)investeringen '!$E$11:$E$89)</f>
        <v>0</v>
      </c>
      <c r="L111" s="42">
        <f>'8. Input IC huur Gasunie'!J64</f>
        <v>1219692.8562955547</v>
      </c>
      <c r="M111" s="42">
        <f>'8. Input IC huur Gasunie'!K64</f>
        <v>0</v>
      </c>
    </row>
    <row r="112" spans="2:13">
      <c r="B112" s="37" t="str">
        <f>'8. Input IC huur Gasunie'!B65</f>
        <v>Asset 54</v>
      </c>
      <c r="F112" s="37" t="str">
        <f>'8. Input IC huur Gasunie'!F65</f>
        <v>04 Terreinen</v>
      </c>
      <c r="G112" s="37">
        <f>'8. Input IC huur Gasunie'!G65</f>
        <v>1972</v>
      </c>
      <c r="H112" s="42">
        <f>'8. Input IC huur Gasunie'!H65</f>
        <v>411128.51</v>
      </c>
      <c r="I112" s="37">
        <f>'8. Input IC huur Gasunie'!I65</f>
        <v>2021</v>
      </c>
      <c r="J112" s="42">
        <f>_xlfn.XLOOKUP(F112,'3. Input (des)investeringen '!$B$11:$B$89,'3. Input (des)investeringen '!$D$11:$D$89)</f>
        <v>0</v>
      </c>
      <c r="K112" s="42">
        <f>_xlfn.XLOOKUP(F112,'3. Input (des)investeringen '!$B$11:$B$89,'3. Input (des)investeringen '!$E$11:$E$89)</f>
        <v>0</v>
      </c>
      <c r="L112" s="42">
        <f>'8. Input IC huur Gasunie'!J65</f>
        <v>1824024.3386379536</v>
      </c>
      <c r="M112" s="42">
        <f>'8. Input IC huur Gasunie'!K65</f>
        <v>0</v>
      </c>
    </row>
    <row r="113" spans="2:13">
      <c r="B113" s="37" t="str">
        <f>'8. Input IC huur Gasunie'!B66</f>
        <v>Asset 55</v>
      </c>
      <c r="F113" s="37" t="str">
        <f>'8. Input IC huur Gasunie'!F66</f>
        <v>05 Wegen en terreinvoorzieningen</v>
      </c>
      <c r="G113" s="37">
        <f>'8. Input IC huur Gasunie'!G66</f>
        <v>1970</v>
      </c>
      <c r="H113" s="42">
        <f>'8. Input IC huur Gasunie'!H66</f>
        <v>65342.54</v>
      </c>
      <c r="I113" s="37">
        <f>'8. Input IC huur Gasunie'!I66</f>
        <v>2021</v>
      </c>
      <c r="J113" s="42">
        <f>_xlfn.XLOOKUP(F113,'3. Input (des)investeringen '!$B$11:$B$89,'3. Input (des)investeringen '!$D$11:$D$89)</f>
        <v>10</v>
      </c>
      <c r="K113" s="42">
        <f>_xlfn.XLOOKUP(F113,'3. Input (des)investeringen '!$B$11:$B$89,'3. Input (des)investeringen '!$E$11:$E$89)</f>
        <v>0</v>
      </c>
      <c r="L113" s="42">
        <f>'8. Input IC huur Gasunie'!J66</f>
        <v>0</v>
      </c>
      <c r="M113" s="42">
        <f>'8. Input IC huur Gasunie'!K66</f>
        <v>0</v>
      </c>
    </row>
    <row r="114" spans="2:13">
      <c r="B114" s="37" t="str">
        <f>'8. Input IC huur Gasunie'!B67</f>
        <v>Asset 56</v>
      </c>
      <c r="F114" s="37" t="str">
        <f>'8. Input IC huur Gasunie'!F67</f>
        <v>06 Utiliteitsgebouwen</v>
      </c>
      <c r="G114" s="37">
        <f>'8. Input IC huur Gasunie'!G67</f>
        <v>1980</v>
      </c>
      <c r="H114" s="42">
        <f>'8. Input IC huur Gasunie'!H67</f>
        <v>1188787.02</v>
      </c>
      <c r="I114" s="37">
        <f>'8. Input IC huur Gasunie'!I67</f>
        <v>2021</v>
      </c>
      <c r="J114" s="42">
        <f>_xlfn.XLOOKUP(F114,'3. Input (des)investeringen '!$B$11:$B$89,'3. Input (des)investeringen '!$D$11:$D$89)</f>
        <v>30</v>
      </c>
      <c r="K114" s="42">
        <f>_xlfn.XLOOKUP(F114,'3. Input (des)investeringen '!$B$11:$B$89,'3. Input (des)investeringen '!$E$11:$E$89)</f>
        <v>0</v>
      </c>
      <c r="L114" s="42">
        <f>'8. Input IC huur Gasunie'!J67</f>
        <v>0</v>
      </c>
      <c r="M114" s="42">
        <f>'8. Input IC huur Gasunie'!K67</f>
        <v>0</v>
      </c>
    </row>
    <row r="115" spans="2:13">
      <c r="B115" s="37" t="str">
        <f>'8. Input IC huur Gasunie'!B68</f>
        <v>Asset 57</v>
      </c>
      <c r="F115" s="37" t="str">
        <f>'8. Input IC huur Gasunie'!F68</f>
        <v>06 Utiliteitsgebouwen</v>
      </c>
      <c r="G115" s="37">
        <f>'8. Input IC huur Gasunie'!G68</f>
        <v>1971</v>
      </c>
      <c r="H115" s="42">
        <f>'8. Input IC huur Gasunie'!H68</f>
        <v>1287617.6299999999</v>
      </c>
      <c r="I115" s="37">
        <f>'8. Input IC huur Gasunie'!I68</f>
        <v>2021</v>
      </c>
      <c r="J115" s="42">
        <f>_xlfn.XLOOKUP(F115,'3. Input (des)investeringen '!$B$11:$B$89,'3. Input (des)investeringen '!$D$11:$D$89)</f>
        <v>30</v>
      </c>
      <c r="K115" s="42">
        <f>_xlfn.XLOOKUP(F115,'3. Input (des)investeringen '!$B$11:$B$89,'3. Input (des)investeringen '!$E$11:$E$89)</f>
        <v>0</v>
      </c>
      <c r="L115" s="42">
        <f>'8. Input IC huur Gasunie'!J68</f>
        <v>0</v>
      </c>
      <c r="M115" s="42">
        <f>'8. Input IC huur Gasunie'!K68</f>
        <v>0</v>
      </c>
    </row>
    <row r="116" spans="2:13">
      <c r="B116" s="37" t="str">
        <f>'8. Input IC huur Gasunie'!B69</f>
        <v>Asset 58</v>
      </c>
      <c r="F116" s="37" t="str">
        <f>'8. Input IC huur Gasunie'!F69</f>
        <v>06 Utiliteitsgebouwen</v>
      </c>
      <c r="G116" s="37">
        <f>'8. Input IC huur Gasunie'!G69</f>
        <v>1986</v>
      </c>
      <c r="H116" s="42">
        <f>'8. Input IC huur Gasunie'!H69</f>
        <v>986052.31</v>
      </c>
      <c r="I116" s="37">
        <f>'8. Input IC huur Gasunie'!I69</f>
        <v>2021</v>
      </c>
      <c r="J116" s="42">
        <f>_xlfn.XLOOKUP(F116,'3. Input (des)investeringen '!$B$11:$B$89,'3. Input (des)investeringen '!$D$11:$D$89)</f>
        <v>30</v>
      </c>
      <c r="K116" s="42">
        <f>_xlfn.XLOOKUP(F116,'3. Input (des)investeringen '!$B$11:$B$89,'3. Input (des)investeringen '!$E$11:$E$89)</f>
        <v>0</v>
      </c>
      <c r="L116" s="42">
        <f>'8. Input IC huur Gasunie'!J69</f>
        <v>0</v>
      </c>
      <c r="M116" s="42">
        <f>'8. Input IC huur Gasunie'!K69</f>
        <v>0</v>
      </c>
    </row>
    <row r="117" spans="2:13">
      <c r="B117" s="37" t="str">
        <f>'8. Input IC huur Gasunie'!B70</f>
        <v>Asset 59</v>
      </c>
      <c r="F117" s="37" t="str">
        <f>'8. Input IC huur Gasunie'!F70</f>
        <v>06 Utiliteitsgebouwen</v>
      </c>
      <c r="G117" s="37">
        <f>'8. Input IC huur Gasunie'!G70</f>
        <v>1988</v>
      </c>
      <c r="H117" s="42">
        <f>'8. Input IC huur Gasunie'!H70</f>
        <v>45049.48</v>
      </c>
      <c r="I117" s="37">
        <f>'8. Input IC huur Gasunie'!I70</f>
        <v>2021</v>
      </c>
      <c r="J117" s="42">
        <f>_xlfn.XLOOKUP(F117,'3. Input (des)investeringen '!$B$11:$B$89,'3. Input (des)investeringen '!$D$11:$D$89)</f>
        <v>30</v>
      </c>
      <c r="K117" s="42">
        <f>_xlfn.XLOOKUP(F117,'3. Input (des)investeringen '!$B$11:$B$89,'3. Input (des)investeringen '!$E$11:$E$89)</f>
        <v>0</v>
      </c>
      <c r="L117" s="42">
        <f>'8. Input IC huur Gasunie'!J70</f>
        <v>0</v>
      </c>
      <c r="M117" s="42">
        <f>'8. Input IC huur Gasunie'!K70</f>
        <v>0</v>
      </c>
    </row>
    <row r="118" spans="2:13">
      <c r="B118" s="37" t="str">
        <f>'8. Input IC huur Gasunie'!B71</f>
        <v>Asset 60</v>
      </c>
      <c r="F118" s="37" t="str">
        <f>'8. Input IC huur Gasunie'!F71</f>
        <v>04 Terreinen</v>
      </c>
      <c r="G118" s="37">
        <f>'8. Input IC huur Gasunie'!G71</f>
        <v>1969</v>
      </c>
      <c r="H118" s="42">
        <f>'8. Input IC huur Gasunie'!H71</f>
        <v>35732.019999999997</v>
      </c>
      <c r="I118" s="37">
        <f>'8. Input IC huur Gasunie'!I71</f>
        <v>2021</v>
      </c>
      <c r="J118" s="42">
        <f>_xlfn.XLOOKUP(F118,'3. Input (des)investeringen '!$B$11:$B$89,'3. Input (des)investeringen '!$D$11:$D$89)</f>
        <v>0</v>
      </c>
      <c r="K118" s="42">
        <f>_xlfn.XLOOKUP(F118,'3. Input (des)investeringen '!$B$11:$B$89,'3. Input (des)investeringen '!$E$11:$E$89)</f>
        <v>0</v>
      </c>
      <c r="L118" s="42">
        <f>'8. Input IC huur Gasunie'!J71</f>
        <v>192194.60406110552</v>
      </c>
      <c r="M118" s="42">
        <f>'8. Input IC huur Gasunie'!K71</f>
        <v>0</v>
      </c>
    </row>
    <row r="119" spans="2:13">
      <c r="B119" s="37" t="str">
        <f>'8. Input IC huur Gasunie'!B72</f>
        <v>Asset 61</v>
      </c>
      <c r="F119" s="37" t="str">
        <f>'8. Input IC huur Gasunie'!F72</f>
        <v>06 Utiliteitsgebouwen</v>
      </c>
      <c r="G119" s="37">
        <f>'8. Input IC huur Gasunie'!G72</f>
        <v>1993</v>
      </c>
      <c r="H119" s="42">
        <f>'8. Input IC huur Gasunie'!H72</f>
        <v>4915025</v>
      </c>
      <c r="I119" s="37">
        <f>'8. Input IC huur Gasunie'!I72</f>
        <v>2021</v>
      </c>
      <c r="J119" s="42">
        <f>_xlfn.XLOOKUP(F119,'3. Input (des)investeringen '!$B$11:$B$89,'3. Input (des)investeringen '!$D$11:$D$89)</f>
        <v>30</v>
      </c>
      <c r="K119" s="42">
        <f>_xlfn.XLOOKUP(F119,'3. Input (des)investeringen '!$B$11:$B$89,'3. Input (des)investeringen '!$E$11:$E$89)</f>
        <v>0</v>
      </c>
      <c r="L119" s="42">
        <f>'8. Input IC huur Gasunie'!J72</f>
        <v>420683.7813984917</v>
      </c>
      <c r="M119" s="42">
        <f>'8. Input IC huur Gasunie'!K72</f>
        <v>0</v>
      </c>
    </row>
    <row r="120" spans="2:13">
      <c r="B120" s="37" t="str">
        <f>'8. Input IC huur Gasunie'!B73</f>
        <v>Asset 62</v>
      </c>
      <c r="F120" s="37" t="str">
        <f>'8. Input IC huur Gasunie'!F73</f>
        <v>04 Terreinen</v>
      </c>
      <c r="G120" s="37">
        <f>'8. Input IC huur Gasunie'!G73</f>
        <v>1990</v>
      </c>
      <c r="H120" s="42">
        <f>'8. Input IC huur Gasunie'!H73</f>
        <v>4936129.59</v>
      </c>
      <c r="I120" s="37">
        <f>'8. Input IC huur Gasunie'!I73</f>
        <v>2021</v>
      </c>
      <c r="J120" s="42">
        <f>_xlfn.XLOOKUP(F120,'3. Input (des)investeringen '!$B$11:$B$89,'3. Input (des)investeringen '!$D$11:$D$89)</f>
        <v>0</v>
      </c>
      <c r="K120" s="42">
        <f>_xlfn.XLOOKUP(F120,'3. Input (des)investeringen '!$B$11:$B$89,'3. Input (des)investeringen '!$E$11:$E$89)</f>
        <v>0</v>
      </c>
      <c r="L120" s="42">
        <f>'8. Input IC huur Gasunie'!J73</f>
        <v>9367389.4688880406</v>
      </c>
      <c r="M120" s="42">
        <f>'8. Input IC huur Gasunie'!K73</f>
        <v>0</v>
      </c>
    </row>
    <row r="121" spans="2:13">
      <c r="B121" s="37" t="str">
        <f>'8. Input IC huur Gasunie'!B74</f>
        <v>Asset 63</v>
      </c>
      <c r="F121" s="37" t="str">
        <f>'8. Input IC huur Gasunie'!F74</f>
        <v>09 Bedrijfsinventaris</v>
      </c>
      <c r="G121" s="37">
        <f>'8. Input IC huur Gasunie'!G74</f>
        <v>1994</v>
      </c>
      <c r="H121" s="42">
        <f>'8. Input IC huur Gasunie'!H74</f>
        <v>5646696.2199999997</v>
      </c>
      <c r="I121" s="37">
        <f>'8. Input IC huur Gasunie'!I74</f>
        <v>2021</v>
      </c>
      <c r="J121" s="42">
        <f>_xlfn.XLOOKUP(F121,'3. Input (des)investeringen '!$B$11:$B$89,'3. Input (des)investeringen '!$D$11:$D$89)</f>
        <v>10</v>
      </c>
      <c r="K121" s="42">
        <f>_xlfn.XLOOKUP(F121,'3. Input (des)investeringen '!$B$11:$B$89,'3. Input (des)investeringen '!$E$11:$E$89)</f>
        <v>1</v>
      </c>
      <c r="L121" s="42">
        <f>'8. Input IC huur Gasunie'!J74</f>
        <v>0</v>
      </c>
      <c r="M121" s="42">
        <f>'8. Input IC huur Gasunie'!K74</f>
        <v>0</v>
      </c>
    </row>
    <row r="122" spans="2:13">
      <c r="B122" s="37" t="str">
        <f>'8. Input IC huur Gasunie'!B75</f>
        <v>Asset 64</v>
      </c>
      <c r="F122" s="37" t="str">
        <f>'8. Input IC huur Gasunie'!F75</f>
        <v>06 Utiliteitsgebouwen</v>
      </c>
      <c r="G122" s="37">
        <f>'8. Input IC huur Gasunie'!G75</f>
        <v>1994</v>
      </c>
      <c r="H122" s="42">
        <f>'8. Input IC huur Gasunie'!H75</f>
        <v>326095.09000000003</v>
      </c>
      <c r="I122" s="37">
        <f>'8. Input IC huur Gasunie'!I75</f>
        <v>2021</v>
      </c>
      <c r="J122" s="42">
        <f>_xlfn.XLOOKUP(F122,'3. Input (des)investeringen '!$B$11:$B$89,'3. Input (des)investeringen '!$D$11:$D$89)</f>
        <v>30</v>
      </c>
      <c r="K122" s="42">
        <f>_xlfn.XLOOKUP(F122,'3. Input (des)investeringen '!$B$11:$B$89,'3. Input (des)investeringen '!$E$11:$E$89)</f>
        <v>0</v>
      </c>
      <c r="L122" s="42">
        <f>'8. Input IC huur Gasunie'!J75</f>
        <v>45606.0937185246</v>
      </c>
      <c r="M122" s="42">
        <f>'8. Input IC huur Gasunie'!K75</f>
        <v>0</v>
      </c>
    </row>
    <row r="123" spans="2:13">
      <c r="B123" s="37" t="str">
        <f>'8. Input IC huur Gasunie'!B76</f>
        <v>Asset 65</v>
      </c>
      <c r="F123" s="37" t="str">
        <f>'8. Input IC huur Gasunie'!F76</f>
        <v>05 Wegen en terreinvoorzieningen</v>
      </c>
      <c r="G123" s="37">
        <f>'8. Input IC huur Gasunie'!G76</f>
        <v>1993</v>
      </c>
      <c r="H123" s="42">
        <f>'8. Input IC huur Gasunie'!H76</f>
        <v>174007.47</v>
      </c>
      <c r="I123" s="37">
        <f>'8. Input IC huur Gasunie'!I76</f>
        <v>2021</v>
      </c>
      <c r="J123" s="42">
        <f>_xlfn.XLOOKUP(F123,'3. Input (des)investeringen '!$B$11:$B$89,'3. Input (des)investeringen '!$D$11:$D$89)</f>
        <v>10</v>
      </c>
      <c r="K123" s="42">
        <f>_xlfn.XLOOKUP(F123,'3. Input (des)investeringen '!$B$11:$B$89,'3. Input (des)investeringen '!$E$11:$E$89)</f>
        <v>0</v>
      </c>
      <c r="L123" s="42">
        <f>'8. Input IC huur Gasunie'!J76</f>
        <v>0</v>
      </c>
      <c r="M123" s="42">
        <f>'8. Input IC huur Gasunie'!K76</f>
        <v>0</v>
      </c>
    </row>
    <row r="124" spans="2:13">
      <c r="B124" s="37" t="str">
        <f>'8. Input IC huur Gasunie'!B77</f>
        <v>Asset 66</v>
      </c>
      <c r="F124" s="37" t="str">
        <f>'8. Input IC huur Gasunie'!F77</f>
        <v>20 Kantoorgebouwen</v>
      </c>
      <c r="G124" s="37">
        <f>'8. Input IC huur Gasunie'!G77</f>
        <v>1991</v>
      </c>
      <c r="H124" s="42">
        <f>'8. Input IC huur Gasunie'!H77</f>
        <v>475302.12</v>
      </c>
      <c r="I124" s="37">
        <f>'8. Input IC huur Gasunie'!I77</f>
        <v>2021</v>
      </c>
      <c r="J124" s="42">
        <f>_xlfn.XLOOKUP(F124,'3. Input (des)investeringen '!$B$11:$B$89,'3. Input (des)investeringen '!$D$11:$D$89)</f>
        <v>30</v>
      </c>
      <c r="K124" s="42">
        <f>_xlfn.XLOOKUP(F124,'3. Input (des)investeringen '!$B$11:$B$89,'3. Input (des)investeringen '!$E$11:$E$89)</f>
        <v>0</v>
      </c>
      <c r="L124" s="42">
        <f>'8. Input IC huur Gasunie'!J77</f>
        <v>0</v>
      </c>
      <c r="M124" s="42">
        <f>'8. Input IC huur Gasunie'!K77</f>
        <v>0</v>
      </c>
    </row>
    <row r="125" spans="2:13">
      <c r="B125" s="37" t="str">
        <f>'8. Input IC huur Gasunie'!B78</f>
        <v>Asset 67</v>
      </c>
      <c r="F125" s="37" t="str">
        <f>'8. Input IC huur Gasunie'!F78</f>
        <v>08 Inrichting gebouwen</v>
      </c>
      <c r="G125" s="37">
        <f>'8. Input IC huur Gasunie'!G78</f>
        <v>1995</v>
      </c>
      <c r="H125" s="42">
        <f>'8. Input IC huur Gasunie'!H78</f>
        <v>365539.92999999993</v>
      </c>
      <c r="I125" s="37">
        <f>'8. Input IC huur Gasunie'!I78</f>
        <v>2021</v>
      </c>
      <c r="J125" s="42">
        <f>_xlfn.XLOOKUP(F125,'3. Input (des)investeringen '!$B$11:$B$89,'3. Input (des)investeringen '!$D$11:$D$89)</f>
        <v>10</v>
      </c>
      <c r="K125" s="42">
        <f>_xlfn.XLOOKUP(F125,'3. Input (des)investeringen '!$B$11:$B$89,'3. Input (des)investeringen '!$E$11:$E$89)</f>
        <v>0</v>
      </c>
      <c r="L125" s="42">
        <f>'8. Input IC huur Gasunie'!J78</f>
        <v>0</v>
      </c>
      <c r="M125" s="42">
        <f>'8. Input IC huur Gasunie'!K78</f>
        <v>0</v>
      </c>
    </row>
    <row r="126" spans="2:13">
      <c r="B126" s="37" t="str">
        <f>'8. Input IC huur Gasunie'!B79</f>
        <v>Asset 68</v>
      </c>
      <c r="F126" s="37" t="str">
        <f>'8. Input IC huur Gasunie'!F79</f>
        <v>08 Inrichting gebouwen</v>
      </c>
      <c r="G126" s="37">
        <f>'8. Input IC huur Gasunie'!G79</f>
        <v>1994</v>
      </c>
      <c r="H126" s="42">
        <f>'8. Input IC huur Gasunie'!H79</f>
        <v>6615395.4499999993</v>
      </c>
      <c r="I126" s="37">
        <f>'8. Input IC huur Gasunie'!I79</f>
        <v>2021</v>
      </c>
      <c r="J126" s="42">
        <f>_xlfn.XLOOKUP(F126,'3. Input (des)investeringen '!$B$11:$B$89,'3. Input (des)investeringen '!$D$11:$D$89)</f>
        <v>10</v>
      </c>
      <c r="K126" s="42">
        <f>_xlfn.XLOOKUP(F126,'3. Input (des)investeringen '!$B$11:$B$89,'3. Input (des)investeringen '!$E$11:$E$89)</f>
        <v>0</v>
      </c>
      <c r="L126" s="42">
        <f>'8. Input IC huur Gasunie'!J79</f>
        <v>0</v>
      </c>
      <c r="M126" s="42">
        <f>'8. Input IC huur Gasunie'!K79</f>
        <v>0</v>
      </c>
    </row>
    <row r="127" spans="2:13">
      <c r="B127" s="37" t="str">
        <f>'8. Input IC huur Gasunie'!B80</f>
        <v>Asset 69</v>
      </c>
      <c r="F127" s="37" t="str">
        <f>'8. Input IC huur Gasunie'!F80</f>
        <v>20 Kantoorgebouwen</v>
      </c>
      <c r="G127" s="37">
        <f>'8. Input IC huur Gasunie'!G80</f>
        <v>1998</v>
      </c>
      <c r="H127" s="42">
        <f>'8. Input IC huur Gasunie'!H80</f>
        <v>789493.11</v>
      </c>
      <c r="I127" s="37">
        <f>'8. Input IC huur Gasunie'!I80</f>
        <v>2021</v>
      </c>
      <c r="J127" s="42">
        <f>_xlfn.XLOOKUP(F127,'3. Input (des)investeringen '!$B$11:$B$89,'3. Input (des)investeringen '!$D$11:$D$89)</f>
        <v>30</v>
      </c>
      <c r="K127" s="42">
        <f>_xlfn.XLOOKUP(F127,'3. Input (des)investeringen '!$B$11:$B$89,'3. Input (des)investeringen '!$E$11:$E$89)</f>
        <v>0</v>
      </c>
      <c r="L127" s="42">
        <f>'8. Input IC huur Gasunie'!J80</f>
        <v>263672.8175889462</v>
      </c>
      <c r="M127" s="42">
        <f>'8. Input IC huur Gasunie'!K80</f>
        <v>0</v>
      </c>
    </row>
    <row r="128" spans="2:13">
      <c r="B128" s="37" t="str">
        <f>'8. Input IC huur Gasunie'!B81</f>
        <v>Asset 70</v>
      </c>
      <c r="F128" s="37" t="str">
        <f>'8. Input IC huur Gasunie'!F81</f>
        <v>20 Kantoorgebouwen</v>
      </c>
      <c r="G128" s="37">
        <f>'8. Input IC huur Gasunie'!G81</f>
        <v>1995</v>
      </c>
      <c r="H128" s="42">
        <f>'8. Input IC huur Gasunie'!H81</f>
        <v>93310335.520000011</v>
      </c>
      <c r="I128" s="37">
        <f>'8. Input IC huur Gasunie'!I81</f>
        <v>2021</v>
      </c>
      <c r="J128" s="42">
        <f>_xlfn.XLOOKUP(F128,'3. Input (des)investeringen '!$B$11:$B$89,'3. Input (des)investeringen '!$D$11:$D$89)</f>
        <v>30</v>
      </c>
      <c r="K128" s="42">
        <f>_xlfn.XLOOKUP(F128,'3. Input (des)investeringen '!$B$11:$B$89,'3. Input (des)investeringen '!$E$11:$E$89)</f>
        <v>0</v>
      </c>
      <c r="L128" s="42">
        <f>'8. Input IC huur Gasunie'!J81</f>
        <v>17806929.596040629</v>
      </c>
      <c r="M128" s="42">
        <f>'8. Input IC huur Gasunie'!K81</f>
        <v>0</v>
      </c>
    </row>
    <row r="129" spans="2:13">
      <c r="B129" s="37" t="str">
        <f>'8. Input IC huur Gasunie'!B82</f>
        <v>Asset 71</v>
      </c>
      <c r="F129" s="37" t="str">
        <f>'8. Input IC huur Gasunie'!F82</f>
        <v>09 Bedrijfsinventaris</v>
      </c>
      <c r="G129" s="37">
        <f>'8. Input IC huur Gasunie'!G82</f>
        <v>1997</v>
      </c>
      <c r="H129" s="42">
        <f>'8. Input IC huur Gasunie'!H82</f>
        <v>3767.74</v>
      </c>
      <c r="I129" s="37">
        <f>'8. Input IC huur Gasunie'!I82</f>
        <v>2021</v>
      </c>
      <c r="J129" s="42">
        <f>_xlfn.XLOOKUP(F129,'3. Input (des)investeringen '!$B$11:$B$89,'3. Input (des)investeringen '!$D$11:$D$89)</f>
        <v>10</v>
      </c>
      <c r="K129" s="42">
        <f>_xlfn.XLOOKUP(F129,'3. Input (des)investeringen '!$B$11:$B$89,'3. Input (des)investeringen '!$E$11:$E$89)</f>
        <v>1</v>
      </c>
      <c r="L129" s="42">
        <f>'8. Input IC huur Gasunie'!J82</f>
        <v>0</v>
      </c>
      <c r="M129" s="42">
        <f>'8. Input IC huur Gasunie'!K82</f>
        <v>0</v>
      </c>
    </row>
    <row r="130" spans="2:13">
      <c r="B130" s="37" t="str">
        <f>'8. Input IC huur Gasunie'!B83</f>
        <v>Asset 72</v>
      </c>
      <c r="F130" s="37" t="str">
        <f>'8. Input IC huur Gasunie'!F83</f>
        <v>08 Inrichting gebouwen</v>
      </c>
      <c r="G130" s="37">
        <f>'8. Input IC huur Gasunie'!G83</f>
        <v>2002</v>
      </c>
      <c r="H130" s="42">
        <f>'8. Input IC huur Gasunie'!H83</f>
        <v>257167.26</v>
      </c>
      <c r="I130" s="37">
        <f>'8. Input IC huur Gasunie'!I83</f>
        <v>2021</v>
      </c>
      <c r="J130" s="42">
        <f>_xlfn.XLOOKUP(F130,'3. Input (des)investeringen '!$B$11:$B$89,'3. Input (des)investeringen '!$D$11:$D$89)</f>
        <v>10</v>
      </c>
      <c r="K130" s="42">
        <f>_xlfn.XLOOKUP(F130,'3. Input (des)investeringen '!$B$11:$B$89,'3. Input (des)investeringen '!$E$11:$E$89)</f>
        <v>0</v>
      </c>
      <c r="L130" s="42">
        <f>'8. Input IC huur Gasunie'!J83</f>
        <v>0</v>
      </c>
      <c r="M130" s="42">
        <f>'8. Input IC huur Gasunie'!K83</f>
        <v>0</v>
      </c>
    </row>
    <row r="131" spans="2:13">
      <c r="B131" s="37" t="str">
        <f>'8. Input IC huur Gasunie'!B84</f>
        <v>Asset 73</v>
      </c>
      <c r="F131" s="37" t="str">
        <f>'8. Input IC huur Gasunie'!F84</f>
        <v>20 Kantoorgebouwen</v>
      </c>
      <c r="G131" s="37">
        <f>'8. Input IC huur Gasunie'!G84</f>
        <v>1997</v>
      </c>
      <c r="H131" s="42">
        <f>'8. Input IC huur Gasunie'!H84</f>
        <v>9956.39</v>
      </c>
      <c r="I131" s="37">
        <f>'8. Input IC huur Gasunie'!I84</f>
        <v>2021</v>
      </c>
      <c r="J131" s="42">
        <f>_xlfn.XLOOKUP(F131,'3. Input (des)investeringen '!$B$11:$B$89,'3. Input (des)investeringen '!$D$11:$D$89)</f>
        <v>30</v>
      </c>
      <c r="K131" s="42">
        <f>_xlfn.XLOOKUP(F131,'3. Input (des)investeringen '!$B$11:$B$89,'3. Input (des)investeringen '!$E$11:$E$89)</f>
        <v>0</v>
      </c>
      <c r="L131" s="42">
        <f>'8. Input IC huur Gasunie'!J84</f>
        <v>2886.7927731398736</v>
      </c>
      <c r="M131" s="42">
        <f>'8. Input IC huur Gasunie'!K84</f>
        <v>0</v>
      </c>
    </row>
    <row r="132" spans="2:13">
      <c r="B132" s="37" t="str">
        <f>'8. Input IC huur Gasunie'!B85</f>
        <v>Asset 74</v>
      </c>
      <c r="F132" s="37" t="str">
        <f>'8. Input IC huur Gasunie'!F85</f>
        <v>09 Bedrijfsinventaris</v>
      </c>
      <c r="G132" s="37">
        <f>'8. Input IC huur Gasunie'!G85</f>
        <v>2002</v>
      </c>
      <c r="H132" s="42">
        <f>'8. Input IC huur Gasunie'!H85</f>
        <v>259859.76</v>
      </c>
      <c r="I132" s="37">
        <f>'8. Input IC huur Gasunie'!I85</f>
        <v>2021</v>
      </c>
      <c r="J132" s="42">
        <f>_xlfn.XLOOKUP(F132,'3. Input (des)investeringen '!$B$11:$B$89,'3. Input (des)investeringen '!$D$11:$D$89)</f>
        <v>10</v>
      </c>
      <c r="K132" s="42">
        <f>_xlfn.XLOOKUP(F132,'3. Input (des)investeringen '!$B$11:$B$89,'3. Input (des)investeringen '!$E$11:$E$89)</f>
        <v>1</v>
      </c>
      <c r="L132" s="42">
        <f>'8. Input IC huur Gasunie'!J85</f>
        <v>0</v>
      </c>
      <c r="M132" s="42">
        <f>'8. Input IC huur Gasunie'!K85</f>
        <v>0</v>
      </c>
    </row>
    <row r="133" spans="2:13">
      <c r="B133" s="37" t="str">
        <f>'8. Input IC huur Gasunie'!B86</f>
        <v>Asset 75</v>
      </c>
      <c r="F133" s="37" t="str">
        <f>'8. Input IC huur Gasunie'!F86</f>
        <v>37 ICT middelen 1</v>
      </c>
      <c r="G133" s="37">
        <f>'8. Input IC huur Gasunie'!G86</f>
        <v>1998</v>
      </c>
      <c r="H133" s="42">
        <f>'8. Input IC huur Gasunie'!H86</f>
        <v>194674.43</v>
      </c>
      <c r="I133" s="37">
        <f>'8. Input IC huur Gasunie'!I86</f>
        <v>2021</v>
      </c>
      <c r="J133" s="42">
        <f>_xlfn.XLOOKUP(F133,'3. Input (des)investeringen '!$B$11:$B$89,'3. Input (des)investeringen '!$D$11:$D$89)</f>
        <v>5</v>
      </c>
      <c r="K133" s="42">
        <f>_xlfn.XLOOKUP(F133,'3. Input (des)investeringen '!$B$11:$B$89,'3. Input (des)investeringen '!$E$11:$E$89)</f>
        <v>1</v>
      </c>
      <c r="L133" s="42">
        <f>'8. Input IC huur Gasunie'!J86</f>
        <v>0</v>
      </c>
      <c r="M133" s="42">
        <f>'8. Input IC huur Gasunie'!K86</f>
        <v>0</v>
      </c>
    </row>
    <row r="134" spans="2:13">
      <c r="B134" s="37" t="str">
        <f>'8. Input IC huur Gasunie'!B87</f>
        <v>Asset 76</v>
      </c>
      <c r="F134" s="37" t="str">
        <f>'8. Input IC huur Gasunie'!F87</f>
        <v>13 Aanhangwagens</v>
      </c>
      <c r="G134" s="37">
        <f>'8. Input IC huur Gasunie'!G87</f>
        <v>2000</v>
      </c>
      <c r="H134" s="42">
        <f>'8. Input IC huur Gasunie'!H87</f>
        <v>5437.76</v>
      </c>
      <c r="I134" s="37">
        <f>'8. Input IC huur Gasunie'!I87</f>
        <v>2021</v>
      </c>
      <c r="J134" s="42">
        <f>_xlfn.XLOOKUP(F134,'3. Input (des)investeringen '!$B$11:$B$89,'3. Input (des)investeringen '!$D$11:$D$89)</f>
        <v>10</v>
      </c>
      <c r="K134" s="42">
        <f>_xlfn.XLOOKUP(F134,'3. Input (des)investeringen '!$B$11:$B$89,'3. Input (des)investeringen '!$E$11:$E$89)</f>
        <v>1</v>
      </c>
      <c r="L134" s="42">
        <f>'8. Input IC huur Gasunie'!J87</f>
        <v>0</v>
      </c>
      <c r="M134" s="42">
        <f>'8. Input IC huur Gasunie'!K87</f>
        <v>0</v>
      </c>
    </row>
    <row r="135" spans="2:13">
      <c r="B135" s="37" t="str">
        <f>'8. Input IC huur Gasunie'!B88</f>
        <v>Asset 77</v>
      </c>
      <c r="F135" s="37" t="str">
        <f>'8. Input IC huur Gasunie'!F88</f>
        <v>09 Bedrijfsinventaris</v>
      </c>
      <c r="G135" s="37">
        <f>'8. Input IC huur Gasunie'!G88</f>
        <v>1998</v>
      </c>
      <c r="H135" s="42">
        <f>'8. Input IC huur Gasunie'!H88</f>
        <v>159402.09</v>
      </c>
      <c r="I135" s="37">
        <f>'8. Input IC huur Gasunie'!I88</f>
        <v>2021</v>
      </c>
      <c r="J135" s="42">
        <f>_xlfn.XLOOKUP(F135,'3. Input (des)investeringen '!$B$11:$B$89,'3. Input (des)investeringen '!$D$11:$D$89)</f>
        <v>10</v>
      </c>
      <c r="K135" s="42">
        <f>_xlfn.XLOOKUP(F135,'3. Input (des)investeringen '!$B$11:$B$89,'3. Input (des)investeringen '!$E$11:$E$89)</f>
        <v>1</v>
      </c>
      <c r="L135" s="42">
        <f>'8. Input IC huur Gasunie'!J88</f>
        <v>0</v>
      </c>
      <c r="M135" s="42">
        <f>'8. Input IC huur Gasunie'!K88</f>
        <v>0</v>
      </c>
    </row>
    <row r="136" spans="2:13">
      <c r="B136" s="37" t="str">
        <f>'8. Input IC huur Gasunie'!B89</f>
        <v>Asset 78</v>
      </c>
      <c r="F136" s="37" t="str">
        <f>'8. Input IC huur Gasunie'!F89</f>
        <v>08 Inrichting gebouwen</v>
      </c>
      <c r="G136" s="37">
        <f>'8. Input IC huur Gasunie'!G89</f>
        <v>1998</v>
      </c>
      <c r="H136" s="42">
        <f>'8. Input IC huur Gasunie'!H89</f>
        <v>120568.99000000002</v>
      </c>
      <c r="I136" s="37">
        <f>'8. Input IC huur Gasunie'!I89</f>
        <v>2021</v>
      </c>
      <c r="J136" s="42">
        <f>_xlfn.XLOOKUP(F136,'3. Input (des)investeringen '!$B$11:$B$89,'3. Input (des)investeringen '!$D$11:$D$89)</f>
        <v>10</v>
      </c>
      <c r="K136" s="42">
        <f>_xlfn.XLOOKUP(F136,'3. Input (des)investeringen '!$B$11:$B$89,'3. Input (des)investeringen '!$E$11:$E$89)</f>
        <v>0</v>
      </c>
      <c r="L136" s="42">
        <f>'8. Input IC huur Gasunie'!J89</f>
        <v>0</v>
      </c>
      <c r="M136" s="42">
        <f>'8. Input IC huur Gasunie'!K89</f>
        <v>0</v>
      </c>
    </row>
    <row r="137" spans="2:13">
      <c r="B137" s="37" t="str">
        <f>'8. Input IC huur Gasunie'!B90</f>
        <v>Asset 79</v>
      </c>
      <c r="F137" s="37" t="str">
        <f>'8. Input IC huur Gasunie'!F90</f>
        <v>37 ICT middelen 1</v>
      </c>
      <c r="G137" s="37">
        <f>'8. Input IC huur Gasunie'!G90</f>
        <v>2002</v>
      </c>
      <c r="H137" s="42">
        <f>'8. Input IC huur Gasunie'!H90</f>
        <v>342396.39</v>
      </c>
      <c r="I137" s="37">
        <f>'8. Input IC huur Gasunie'!I90</f>
        <v>2021</v>
      </c>
      <c r="J137" s="42">
        <f>_xlfn.XLOOKUP(F137,'3. Input (des)investeringen '!$B$11:$B$89,'3. Input (des)investeringen '!$D$11:$D$89)</f>
        <v>5</v>
      </c>
      <c r="K137" s="42">
        <f>_xlfn.XLOOKUP(F137,'3. Input (des)investeringen '!$B$11:$B$89,'3. Input (des)investeringen '!$E$11:$E$89)</f>
        <v>1</v>
      </c>
      <c r="L137" s="42">
        <f>'8. Input IC huur Gasunie'!J90</f>
        <v>0</v>
      </c>
      <c r="M137" s="42">
        <f>'8. Input IC huur Gasunie'!K90</f>
        <v>0</v>
      </c>
    </row>
    <row r="138" spans="2:13">
      <c r="B138" s="37" t="str">
        <f>'8. Input IC huur Gasunie'!B91</f>
        <v>Asset 80</v>
      </c>
      <c r="F138" s="37" t="str">
        <f>'8. Input IC huur Gasunie'!F91</f>
        <v>37 ICT middelen 1 (gaschromatografen en comptabele meting)</v>
      </c>
      <c r="G138" s="37">
        <f>'8. Input IC huur Gasunie'!G91</f>
        <v>2000</v>
      </c>
      <c r="H138" s="42">
        <f>'8. Input IC huur Gasunie'!H91</f>
        <v>717051.87</v>
      </c>
      <c r="I138" s="37">
        <f>'8. Input IC huur Gasunie'!I91</f>
        <v>2021</v>
      </c>
      <c r="J138" s="42">
        <f>_xlfn.XLOOKUP(F138,'3. Input (des)investeringen '!$B$11:$B$89,'3. Input (des)investeringen '!$D$11:$D$89)</f>
        <v>5</v>
      </c>
      <c r="K138" s="42">
        <f>_xlfn.XLOOKUP(F138,'3. Input (des)investeringen '!$B$11:$B$89,'3. Input (des)investeringen '!$E$11:$E$89)</f>
        <v>0</v>
      </c>
      <c r="L138" s="42">
        <f>'8. Input IC huur Gasunie'!J91</f>
        <v>0</v>
      </c>
      <c r="M138" s="42">
        <f>'8. Input IC huur Gasunie'!K91</f>
        <v>0</v>
      </c>
    </row>
    <row r="139" spans="2:13">
      <c r="B139" s="37" t="str">
        <f>'8. Input IC huur Gasunie'!B92</f>
        <v>Asset 81</v>
      </c>
      <c r="F139" s="37" t="str">
        <f>'8. Input IC huur Gasunie'!F92</f>
        <v>09 Bedrijfsinventaris</v>
      </c>
      <c r="G139" s="37">
        <f>'8. Input IC huur Gasunie'!G92</f>
        <v>1999</v>
      </c>
      <c r="H139" s="42">
        <f>'8. Input IC huur Gasunie'!H92</f>
        <v>64305.72</v>
      </c>
      <c r="I139" s="37">
        <f>'8. Input IC huur Gasunie'!I92</f>
        <v>2021</v>
      </c>
      <c r="J139" s="42">
        <f>_xlfn.XLOOKUP(F139,'3. Input (des)investeringen '!$B$11:$B$89,'3. Input (des)investeringen '!$D$11:$D$89)</f>
        <v>10</v>
      </c>
      <c r="K139" s="42">
        <f>_xlfn.XLOOKUP(F139,'3. Input (des)investeringen '!$B$11:$B$89,'3. Input (des)investeringen '!$E$11:$E$89)</f>
        <v>1</v>
      </c>
      <c r="L139" s="42">
        <f>'8. Input IC huur Gasunie'!J92</f>
        <v>0</v>
      </c>
      <c r="M139" s="42">
        <f>'8. Input IC huur Gasunie'!K92</f>
        <v>0</v>
      </c>
    </row>
    <row r="140" spans="2:13">
      <c r="B140" s="37" t="str">
        <f>'8. Input IC huur Gasunie'!B93</f>
        <v>Asset 82</v>
      </c>
      <c r="F140" s="37" t="str">
        <f>'8. Input IC huur Gasunie'!F93</f>
        <v>08 Inrichting gebouwen</v>
      </c>
      <c r="G140" s="37">
        <f>'8. Input IC huur Gasunie'!G93</f>
        <v>1999</v>
      </c>
      <c r="H140" s="42">
        <f>'8. Input IC huur Gasunie'!H93</f>
        <v>41263.56</v>
      </c>
      <c r="I140" s="37">
        <f>'8. Input IC huur Gasunie'!I93</f>
        <v>2021</v>
      </c>
      <c r="J140" s="42">
        <f>_xlfn.XLOOKUP(F140,'3. Input (des)investeringen '!$B$11:$B$89,'3. Input (des)investeringen '!$D$11:$D$89)</f>
        <v>10</v>
      </c>
      <c r="K140" s="42">
        <f>_xlfn.XLOOKUP(F140,'3. Input (des)investeringen '!$B$11:$B$89,'3. Input (des)investeringen '!$E$11:$E$89)</f>
        <v>0</v>
      </c>
      <c r="L140" s="42">
        <f>'8. Input IC huur Gasunie'!J93</f>
        <v>0</v>
      </c>
      <c r="M140" s="42">
        <f>'8. Input IC huur Gasunie'!K93</f>
        <v>0</v>
      </c>
    </row>
    <row r="141" spans="2:13">
      <c r="B141" s="37" t="str">
        <f>'8. Input IC huur Gasunie'!B94</f>
        <v>Asset 83</v>
      </c>
      <c r="F141" s="37" t="str">
        <f>'8. Input IC huur Gasunie'!F94</f>
        <v>09 Bedrijfsinventaris</v>
      </c>
      <c r="G141" s="37">
        <f>'8. Input IC huur Gasunie'!G94</f>
        <v>2000</v>
      </c>
      <c r="H141" s="42">
        <f>'8. Input IC huur Gasunie'!H94</f>
        <v>5312.4</v>
      </c>
      <c r="I141" s="37">
        <f>'8. Input IC huur Gasunie'!I94</f>
        <v>2021</v>
      </c>
      <c r="J141" s="42">
        <f>_xlfn.XLOOKUP(F141,'3. Input (des)investeringen '!$B$11:$B$89,'3. Input (des)investeringen '!$D$11:$D$89)</f>
        <v>10</v>
      </c>
      <c r="K141" s="42">
        <f>_xlfn.XLOOKUP(F141,'3. Input (des)investeringen '!$B$11:$B$89,'3. Input (des)investeringen '!$E$11:$E$89)</f>
        <v>1</v>
      </c>
      <c r="L141" s="42">
        <f>'8. Input IC huur Gasunie'!J94</f>
        <v>0</v>
      </c>
      <c r="M141" s="42">
        <f>'8. Input IC huur Gasunie'!K94</f>
        <v>0</v>
      </c>
    </row>
    <row r="142" spans="2:13">
      <c r="B142" s="37" t="str">
        <f>'8. Input IC huur Gasunie'!B95</f>
        <v>Asset 84</v>
      </c>
      <c r="F142" s="37" t="str">
        <f>'8. Input IC huur Gasunie'!F95</f>
        <v>37 ICT middelen 1</v>
      </c>
      <c r="G142" s="37">
        <f>'8. Input IC huur Gasunie'!G95</f>
        <v>2001</v>
      </c>
      <c r="H142" s="42">
        <f>'8. Input IC huur Gasunie'!H95</f>
        <v>1754908.7700000003</v>
      </c>
      <c r="I142" s="37">
        <f>'8. Input IC huur Gasunie'!I95</f>
        <v>2021</v>
      </c>
      <c r="J142" s="42">
        <f>_xlfn.XLOOKUP(F142,'3. Input (des)investeringen '!$B$11:$B$89,'3. Input (des)investeringen '!$D$11:$D$89)</f>
        <v>5</v>
      </c>
      <c r="K142" s="42">
        <f>_xlfn.XLOOKUP(F142,'3. Input (des)investeringen '!$B$11:$B$89,'3. Input (des)investeringen '!$E$11:$E$89)</f>
        <v>1</v>
      </c>
      <c r="L142" s="42">
        <f>'8. Input IC huur Gasunie'!J95</f>
        <v>0</v>
      </c>
      <c r="M142" s="42">
        <f>'8. Input IC huur Gasunie'!K95</f>
        <v>0</v>
      </c>
    </row>
    <row r="143" spans="2:13">
      <c r="B143" s="37" t="str">
        <f>'8. Input IC huur Gasunie'!B96</f>
        <v>Asset 85</v>
      </c>
      <c r="F143" s="37" t="str">
        <f>'8. Input IC huur Gasunie'!F96</f>
        <v>11 Werktuigen</v>
      </c>
      <c r="G143" s="37">
        <f>'8. Input IC huur Gasunie'!G96</f>
        <v>2000</v>
      </c>
      <c r="H143" s="42">
        <f>'8. Input IC huur Gasunie'!H96</f>
        <v>86461.709999999992</v>
      </c>
      <c r="I143" s="37">
        <f>'8. Input IC huur Gasunie'!I96</f>
        <v>2021</v>
      </c>
      <c r="J143" s="42">
        <f>_xlfn.XLOOKUP(F143,'3. Input (des)investeringen '!$B$11:$B$89,'3. Input (des)investeringen '!$D$11:$D$89)</f>
        <v>10</v>
      </c>
      <c r="K143" s="42">
        <f>_xlfn.XLOOKUP(F143,'3. Input (des)investeringen '!$B$11:$B$89,'3. Input (des)investeringen '!$E$11:$E$89)</f>
        <v>1</v>
      </c>
      <c r="L143" s="42">
        <f>'8. Input IC huur Gasunie'!J96</f>
        <v>0</v>
      </c>
      <c r="M143" s="42">
        <f>'8. Input IC huur Gasunie'!K96</f>
        <v>0</v>
      </c>
    </row>
    <row r="144" spans="2:13">
      <c r="B144" s="37" t="str">
        <f>'8. Input IC huur Gasunie'!B97</f>
        <v>Asset 86</v>
      </c>
      <c r="F144" s="37" t="str">
        <f>'8. Input IC huur Gasunie'!F97</f>
        <v>13 Aanhangwagens</v>
      </c>
      <c r="G144" s="37">
        <f>'8. Input IC huur Gasunie'!G97</f>
        <v>1998</v>
      </c>
      <c r="H144" s="42">
        <f>'8. Input IC huur Gasunie'!H97</f>
        <v>3630.24</v>
      </c>
      <c r="I144" s="37">
        <f>'8. Input IC huur Gasunie'!I97</f>
        <v>2021</v>
      </c>
      <c r="J144" s="42">
        <f>_xlfn.XLOOKUP(F144,'3. Input (des)investeringen '!$B$11:$B$89,'3. Input (des)investeringen '!$D$11:$D$89)</f>
        <v>10</v>
      </c>
      <c r="K144" s="42">
        <f>_xlfn.XLOOKUP(F144,'3. Input (des)investeringen '!$B$11:$B$89,'3. Input (des)investeringen '!$E$11:$E$89)</f>
        <v>1</v>
      </c>
      <c r="L144" s="42">
        <f>'8. Input IC huur Gasunie'!J97</f>
        <v>0</v>
      </c>
      <c r="M144" s="42">
        <f>'8. Input IC huur Gasunie'!K97</f>
        <v>0</v>
      </c>
    </row>
    <row r="145" spans="2:13">
      <c r="B145" s="37" t="str">
        <f>'8. Input IC huur Gasunie'!B98</f>
        <v>Asset 87</v>
      </c>
      <c r="F145" s="37" t="str">
        <f>'8. Input IC huur Gasunie'!F98</f>
        <v>37 ICT middelen 1</v>
      </c>
      <c r="G145" s="37">
        <f>'8. Input IC huur Gasunie'!G98</f>
        <v>2000</v>
      </c>
      <c r="H145" s="42">
        <f>'8. Input IC huur Gasunie'!H98</f>
        <v>63690.75</v>
      </c>
      <c r="I145" s="37">
        <f>'8. Input IC huur Gasunie'!I98</f>
        <v>2021</v>
      </c>
      <c r="J145" s="42">
        <f>_xlfn.XLOOKUP(F145,'3. Input (des)investeringen '!$B$11:$B$89,'3. Input (des)investeringen '!$D$11:$D$89)</f>
        <v>5</v>
      </c>
      <c r="K145" s="42">
        <f>_xlfn.XLOOKUP(F145,'3. Input (des)investeringen '!$B$11:$B$89,'3. Input (des)investeringen '!$E$11:$E$89)</f>
        <v>1</v>
      </c>
      <c r="L145" s="42">
        <f>'8. Input IC huur Gasunie'!J98</f>
        <v>0</v>
      </c>
      <c r="M145" s="42">
        <f>'8. Input IC huur Gasunie'!K98</f>
        <v>0</v>
      </c>
    </row>
    <row r="146" spans="2:13">
      <c r="B146" s="37" t="str">
        <f>'8. Input IC huur Gasunie'!B99</f>
        <v>Asset 88</v>
      </c>
      <c r="F146" s="37" t="str">
        <f>'8. Input IC huur Gasunie'!F99</f>
        <v>08 Inrichting gebouwen</v>
      </c>
      <c r="G146" s="37">
        <f>'8. Input IC huur Gasunie'!G99</f>
        <v>2000</v>
      </c>
      <c r="H146" s="42">
        <f>'8. Input IC huur Gasunie'!H99</f>
        <v>53314.77</v>
      </c>
      <c r="I146" s="37">
        <f>'8. Input IC huur Gasunie'!I99</f>
        <v>2021</v>
      </c>
      <c r="J146" s="42">
        <f>_xlfn.XLOOKUP(F146,'3. Input (des)investeringen '!$B$11:$B$89,'3. Input (des)investeringen '!$D$11:$D$89)</f>
        <v>10</v>
      </c>
      <c r="K146" s="42">
        <f>_xlfn.XLOOKUP(F146,'3. Input (des)investeringen '!$B$11:$B$89,'3. Input (des)investeringen '!$E$11:$E$89)</f>
        <v>0</v>
      </c>
      <c r="L146" s="42">
        <f>'8. Input IC huur Gasunie'!J99</f>
        <v>0</v>
      </c>
      <c r="M146" s="42">
        <f>'8. Input IC huur Gasunie'!K99</f>
        <v>0</v>
      </c>
    </row>
    <row r="147" spans="2:13">
      <c r="B147" s="37" t="str">
        <f>'8. Input IC huur Gasunie'!B100</f>
        <v>Asset 89</v>
      </c>
      <c r="F147" s="37" t="str">
        <f>'8. Input IC huur Gasunie'!F100</f>
        <v>14 Overig rollend materieel</v>
      </c>
      <c r="G147" s="37">
        <f>'8. Input IC huur Gasunie'!G100</f>
        <v>2000</v>
      </c>
      <c r="H147" s="42">
        <f>'8. Input IC huur Gasunie'!H100</f>
        <v>36334.86</v>
      </c>
      <c r="I147" s="37">
        <f>'8. Input IC huur Gasunie'!I100</f>
        <v>2021</v>
      </c>
      <c r="J147" s="42">
        <f>_xlfn.XLOOKUP(F147,'3. Input (des)investeringen '!$B$11:$B$89,'3. Input (des)investeringen '!$D$11:$D$89)</f>
        <v>10</v>
      </c>
      <c r="K147" s="42">
        <f>_xlfn.XLOOKUP(F147,'3. Input (des)investeringen '!$B$11:$B$89,'3. Input (des)investeringen '!$E$11:$E$89)</f>
        <v>1</v>
      </c>
      <c r="L147" s="42">
        <f>'8. Input IC huur Gasunie'!J100</f>
        <v>0</v>
      </c>
      <c r="M147" s="42">
        <f>'8. Input IC huur Gasunie'!K100</f>
        <v>0</v>
      </c>
    </row>
    <row r="148" spans="2:13">
      <c r="B148" s="37" t="str">
        <f>'8. Input IC huur Gasunie'!B101</f>
        <v>Asset 90</v>
      </c>
      <c r="F148" s="37" t="str">
        <f>'8. Input IC huur Gasunie'!F101</f>
        <v>06 Utiliteitsgebouwen</v>
      </c>
      <c r="G148" s="37">
        <f>'8. Input IC huur Gasunie'!G101</f>
        <v>2000</v>
      </c>
      <c r="H148" s="42">
        <f>'8. Input IC huur Gasunie'!H101</f>
        <v>61022.52</v>
      </c>
      <c r="I148" s="37">
        <f>'8. Input IC huur Gasunie'!I101</f>
        <v>2021</v>
      </c>
      <c r="J148" s="42">
        <f>_xlfn.XLOOKUP(F148,'3. Input (des)investeringen '!$B$11:$B$89,'3. Input (des)investeringen '!$D$11:$D$89)</f>
        <v>30</v>
      </c>
      <c r="K148" s="42">
        <f>_xlfn.XLOOKUP(F148,'3. Input (des)investeringen '!$B$11:$B$89,'3. Input (des)investeringen '!$E$11:$E$89)</f>
        <v>0</v>
      </c>
      <c r="L148" s="42">
        <f>'8. Input IC huur Gasunie'!J101</f>
        <v>25541.383007029126</v>
      </c>
      <c r="M148" s="42">
        <f>'8. Input IC huur Gasunie'!K101</f>
        <v>0</v>
      </c>
    </row>
    <row r="149" spans="2:13">
      <c r="B149" s="37" t="str">
        <f>'8. Input IC huur Gasunie'!B102</f>
        <v>Asset 91</v>
      </c>
      <c r="F149" s="37" t="str">
        <f>'8. Input IC huur Gasunie'!F102</f>
        <v>11 Werktuigen</v>
      </c>
      <c r="G149" s="37">
        <f>'8. Input IC huur Gasunie'!G102</f>
        <v>2001</v>
      </c>
      <c r="H149" s="42">
        <f>'8. Input IC huur Gasunie'!H102</f>
        <v>11928.48</v>
      </c>
      <c r="I149" s="37">
        <f>'8. Input IC huur Gasunie'!I102</f>
        <v>2021</v>
      </c>
      <c r="J149" s="42">
        <f>_xlfn.XLOOKUP(F149,'3. Input (des)investeringen '!$B$11:$B$89,'3. Input (des)investeringen '!$D$11:$D$89)</f>
        <v>10</v>
      </c>
      <c r="K149" s="42">
        <f>_xlfn.XLOOKUP(F149,'3. Input (des)investeringen '!$B$11:$B$89,'3. Input (des)investeringen '!$E$11:$E$89)</f>
        <v>1</v>
      </c>
      <c r="L149" s="42">
        <f>'8. Input IC huur Gasunie'!J102</f>
        <v>0</v>
      </c>
      <c r="M149" s="42">
        <f>'8. Input IC huur Gasunie'!K102</f>
        <v>0</v>
      </c>
    </row>
    <row r="150" spans="2:13">
      <c r="B150" s="37" t="str">
        <f>'8. Input IC huur Gasunie'!B103</f>
        <v>Asset 92</v>
      </c>
      <c r="F150" s="37" t="str">
        <f>'8. Input IC huur Gasunie'!F103</f>
        <v>14 Overig rollend materieel</v>
      </c>
      <c r="G150" s="37">
        <f>'8. Input IC huur Gasunie'!G103</f>
        <v>2001</v>
      </c>
      <c r="H150" s="42">
        <f>'8. Input IC huur Gasunie'!H103</f>
        <v>70639.289999999994</v>
      </c>
      <c r="I150" s="37">
        <f>'8. Input IC huur Gasunie'!I103</f>
        <v>2021</v>
      </c>
      <c r="J150" s="42">
        <f>_xlfn.XLOOKUP(F150,'3. Input (des)investeringen '!$B$11:$B$89,'3. Input (des)investeringen '!$D$11:$D$89)</f>
        <v>10</v>
      </c>
      <c r="K150" s="42">
        <f>_xlfn.XLOOKUP(F150,'3. Input (des)investeringen '!$B$11:$B$89,'3. Input (des)investeringen '!$E$11:$E$89)</f>
        <v>1</v>
      </c>
      <c r="L150" s="42">
        <f>'8. Input IC huur Gasunie'!J103</f>
        <v>0</v>
      </c>
      <c r="M150" s="42">
        <f>'8. Input IC huur Gasunie'!K103</f>
        <v>0</v>
      </c>
    </row>
    <row r="151" spans="2:13">
      <c r="B151" s="37" t="str">
        <f>'8. Input IC huur Gasunie'!B104</f>
        <v>Asset 93</v>
      </c>
      <c r="F151" s="37" t="str">
        <f>'8. Input IC huur Gasunie'!F104</f>
        <v>09 Bedrijfsinventaris</v>
      </c>
      <c r="G151" s="37">
        <f>'8. Input IC huur Gasunie'!G104</f>
        <v>2001</v>
      </c>
      <c r="H151" s="42">
        <f>'8. Input IC huur Gasunie'!H104</f>
        <v>55051.729999999996</v>
      </c>
      <c r="I151" s="37">
        <f>'8. Input IC huur Gasunie'!I104</f>
        <v>2021</v>
      </c>
      <c r="J151" s="42">
        <f>_xlfn.XLOOKUP(F151,'3. Input (des)investeringen '!$B$11:$B$89,'3. Input (des)investeringen '!$D$11:$D$89)</f>
        <v>10</v>
      </c>
      <c r="K151" s="42">
        <f>_xlfn.XLOOKUP(F151,'3. Input (des)investeringen '!$B$11:$B$89,'3. Input (des)investeringen '!$E$11:$E$89)</f>
        <v>1</v>
      </c>
      <c r="L151" s="42">
        <f>'8. Input IC huur Gasunie'!J104</f>
        <v>0</v>
      </c>
      <c r="M151" s="42">
        <f>'8. Input IC huur Gasunie'!K104</f>
        <v>0</v>
      </c>
    </row>
    <row r="152" spans="2:13">
      <c r="B152" s="37" t="str">
        <f>'8. Input IC huur Gasunie'!B105</f>
        <v>Asset 94</v>
      </c>
      <c r="F152" s="37" t="str">
        <f>'8. Input IC huur Gasunie'!F105</f>
        <v>10 Gereedschap</v>
      </c>
      <c r="G152" s="37">
        <f>'8. Input IC huur Gasunie'!G105</f>
        <v>2002</v>
      </c>
      <c r="H152" s="42">
        <f>'8. Input IC huur Gasunie'!H105</f>
        <v>26546</v>
      </c>
      <c r="I152" s="37">
        <f>'8. Input IC huur Gasunie'!I105</f>
        <v>2021</v>
      </c>
      <c r="J152" s="42">
        <f>_xlfn.XLOOKUP(F152,'3. Input (des)investeringen '!$B$11:$B$89,'3. Input (des)investeringen '!$D$11:$D$89)</f>
        <v>10</v>
      </c>
      <c r="K152" s="42">
        <f>_xlfn.XLOOKUP(F152,'3. Input (des)investeringen '!$B$11:$B$89,'3. Input (des)investeringen '!$E$11:$E$89)</f>
        <v>1</v>
      </c>
      <c r="L152" s="42">
        <f>'8. Input IC huur Gasunie'!J105</f>
        <v>0</v>
      </c>
      <c r="M152" s="42">
        <f>'8. Input IC huur Gasunie'!K105</f>
        <v>0</v>
      </c>
    </row>
    <row r="153" spans="2:13">
      <c r="B153" s="37" t="str">
        <f>'8. Input IC huur Gasunie'!B106</f>
        <v>Asset 95</v>
      </c>
      <c r="F153" s="37" t="str">
        <f>'8. Input IC huur Gasunie'!F106</f>
        <v>03 Verremeting</v>
      </c>
      <c r="G153" s="37">
        <f>'8. Input IC huur Gasunie'!G106</f>
        <v>2001</v>
      </c>
      <c r="H153" s="42">
        <f>'8. Input IC huur Gasunie'!H106</f>
        <v>16968.61</v>
      </c>
      <c r="I153" s="37">
        <f>'8. Input IC huur Gasunie'!I106</f>
        <v>2021</v>
      </c>
      <c r="J153" s="42">
        <f>_xlfn.XLOOKUP(F153,'3. Input (des)investeringen '!$B$11:$B$89,'3. Input (des)investeringen '!$D$11:$D$89)</f>
        <v>5</v>
      </c>
      <c r="K153" s="42">
        <f>_xlfn.XLOOKUP(F153,'3. Input (des)investeringen '!$B$11:$B$89,'3. Input (des)investeringen '!$E$11:$E$89)</f>
        <v>1</v>
      </c>
      <c r="L153" s="42">
        <f>'8. Input IC huur Gasunie'!J106</f>
        <v>0</v>
      </c>
      <c r="M153" s="42">
        <f>'8. Input IC huur Gasunie'!K106</f>
        <v>0</v>
      </c>
    </row>
    <row r="154" spans="2:13">
      <c r="B154" s="37" t="str">
        <f>'8. Input IC huur Gasunie'!B107</f>
        <v>Asset 96</v>
      </c>
      <c r="F154" s="37" t="str">
        <f>'8. Input IC huur Gasunie'!F107</f>
        <v>08 Inrichting gebouwen</v>
      </c>
      <c r="G154" s="37">
        <f>'8. Input IC huur Gasunie'!G107</f>
        <v>2001</v>
      </c>
      <c r="H154" s="42">
        <f>'8. Input IC huur Gasunie'!H107</f>
        <v>7752.83</v>
      </c>
      <c r="I154" s="37">
        <f>'8. Input IC huur Gasunie'!I107</f>
        <v>2021</v>
      </c>
      <c r="J154" s="42">
        <f>_xlfn.XLOOKUP(F154,'3. Input (des)investeringen '!$B$11:$B$89,'3. Input (des)investeringen '!$D$11:$D$89)</f>
        <v>10</v>
      </c>
      <c r="K154" s="42">
        <f>_xlfn.XLOOKUP(F154,'3. Input (des)investeringen '!$B$11:$B$89,'3. Input (des)investeringen '!$E$11:$E$89)</f>
        <v>0</v>
      </c>
      <c r="L154" s="42">
        <f>'8. Input IC huur Gasunie'!J107</f>
        <v>0</v>
      </c>
      <c r="M154" s="42">
        <f>'8. Input IC huur Gasunie'!K107</f>
        <v>0</v>
      </c>
    </row>
    <row r="155" spans="2:13">
      <c r="B155" s="37" t="str">
        <f>'8. Input IC huur Gasunie'!B108</f>
        <v>Asset 97</v>
      </c>
      <c r="F155" s="37" t="str">
        <f>'8. Input IC huur Gasunie'!F108</f>
        <v>37 ICT middelen 1 (gaschromatografen en comptabele meting)</v>
      </c>
      <c r="G155" s="37">
        <f>'8. Input IC huur Gasunie'!G108</f>
        <v>2001</v>
      </c>
      <c r="H155" s="42">
        <f>'8. Input IC huur Gasunie'!H108</f>
        <v>757040.92</v>
      </c>
      <c r="I155" s="37">
        <f>'8. Input IC huur Gasunie'!I108</f>
        <v>2021</v>
      </c>
      <c r="J155" s="42">
        <f>_xlfn.XLOOKUP(F155,'3. Input (des)investeringen '!$B$11:$B$89,'3. Input (des)investeringen '!$D$11:$D$89)</f>
        <v>5</v>
      </c>
      <c r="K155" s="42">
        <f>_xlfn.XLOOKUP(F155,'3. Input (des)investeringen '!$B$11:$B$89,'3. Input (des)investeringen '!$E$11:$E$89)</f>
        <v>0</v>
      </c>
      <c r="L155" s="42">
        <f>'8. Input IC huur Gasunie'!J108</f>
        <v>0</v>
      </c>
      <c r="M155" s="42">
        <f>'8. Input IC huur Gasunie'!K108</f>
        <v>0</v>
      </c>
    </row>
    <row r="156" spans="2:13">
      <c r="B156" s="37" t="str">
        <f>'8. Input IC huur Gasunie'!B109</f>
        <v>Asset 98</v>
      </c>
      <c r="F156" s="37" t="str">
        <f>'8. Input IC huur Gasunie'!F109</f>
        <v>13 Aanhangwagens</v>
      </c>
      <c r="G156" s="37">
        <f>'8. Input IC huur Gasunie'!G109</f>
        <v>2001</v>
      </c>
      <c r="H156" s="42">
        <f>'8. Input IC huur Gasunie'!H109</f>
        <v>2746.92</v>
      </c>
      <c r="I156" s="37">
        <f>'8. Input IC huur Gasunie'!I109</f>
        <v>2021</v>
      </c>
      <c r="J156" s="42">
        <f>_xlfn.XLOOKUP(F156,'3. Input (des)investeringen '!$B$11:$B$89,'3. Input (des)investeringen '!$D$11:$D$89)</f>
        <v>10</v>
      </c>
      <c r="K156" s="42">
        <f>_xlfn.XLOOKUP(F156,'3. Input (des)investeringen '!$B$11:$B$89,'3. Input (des)investeringen '!$E$11:$E$89)</f>
        <v>1</v>
      </c>
      <c r="L156" s="42">
        <f>'8. Input IC huur Gasunie'!J109</f>
        <v>0</v>
      </c>
      <c r="M156" s="42">
        <f>'8. Input IC huur Gasunie'!K109</f>
        <v>0</v>
      </c>
    </row>
    <row r="157" spans="2:13">
      <c r="B157" s="37" t="str">
        <f>'8. Input IC huur Gasunie'!B110</f>
        <v>Asset 99</v>
      </c>
      <c r="F157" s="37" t="str">
        <f>'8. Input IC huur Gasunie'!F110</f>
        <v>11 Werktuigen</v>
      </c>
      <c r="G157" s="37">
        <f>'8. Input IC huur Gasunie'!G110</f>
        <v>2002</v>
      </c>
      <c r="H157" s="42">
        <f>'8. Input IC huur Gasunie'!H110</f>
        <v>108571.05</v>
      </c>
      <c r="I157" s="37">
        <f>'8. Input IC huur Gasunie'!I110</f>
        <v>2021</v>
      </c>
      <c r="J157" s="42">
        <f>_xlfn.XLOOKUP(F157,'3. Input (des)investeringen '!$B$11:$B$89,'3. Input (des)investeringen '!$D$11:$D$89)</f>
        <v>10</v>
      </c>
      <c r="K157" s="42">
        <f>_xlfn.XLOOKUP(F157,'3. Input (des)investeringen '!$B$11:$B$89,'3. Input (des)investeringen '!$E$11:$E$89)</f>
        <v>1</v>
      </c>
      <c r="L157" s="42">
        <f>'8. Input IC huur Gasunie'!J110</f>
        <v>0</v>
      </c>
      <c r="M157" s="42">
        <f>'8. Input IC huur Gasunie'!K110</f>
        <v>0</v>
      </c>
    </row>
    <row r="158" spans="2:13">
      <c r="B158" s="37" t="str">
        <f>'8. Input IC huur Gasunie'!B111</f>
        <v>Asset 100</v>
      </c>
      <c r="F158" s="37" t="str">
        <f>'8. Input IC huur Gasunie'!F111</f>
        <v>37 ICT middelen 1 (gaschromatografen en comptabele meting)</v>
      </c>
      <c r="G158" s="37">
        <f>'8. Input IC huur Gasunie'!G111</f>
        <v>2002</v>
      </c>
      <c r="H158" s="42">
        <f>'8. Input IC huur Gasunie'!H111</f>
        <v>27589.78</v>
      </c>
      <c r="I158" s="37">
        <f>'8. Input IC huur Gasunie'!I111</f>
        <v>2021</v>
      </c>
      <c r="J158" s="42">
        <f>_xlfn.XLOOKUP(F158,'3. Input (des)investeringen '!$B$11:$B$89,'3. Input (des)investeringen '!$D$11:$D$89)</f>
        <v>5</v>
      </c>
      <c r="K158" s="42">
        <f>_xlfn.XLOOKUP(F158,'3. Input (des)investeringen '!$B$11:$B$89,'3. Input (des)investeringen '!$E$11:$E$89)</f>
        <v>0</v>
      </c>
      <c r="L158" s="42">
        <f>'8. Input IC huur Gasunie'!J111</f>
        <v>0</v>
      </c>
      <c r="M158" s="42">
        <f>'8. Input IC huur Gasunie'!K111</f>
        <v>0</v>
      </c>
    </row>
    <row r="159" spans="2:13">
      <c r="B159" s="37" t="str">
        <f>'8. Input IC huur Gasunie'!B112</f>
        <v>Asset 101</v>
      </c>
      <c r="F159" s="37" t="str">
        <f>'8. Input IC huur Gasunie'!F112</f>
        <v>14 Overig rollend materieel</v>
      </c>
      <c r="G159" s="37">
        <f>'8. Input IC huur Gasunie'!G112</f>
        <v>2002</v>
      </c>
      <c r="H159" s="42">
        <f>'8. Input IC huur Gasunie'!H112</f>
        <v>7905</v>
      </c>
      <c r="I159" s="37">
        <f>'8. Input IC huur Gasunie'!I112</f>
        <v>2021</v>
      </c>
      <c r="J159" s="42">
        <f>_xlfn.XLOOKUP(F159,'3. Input (des)investeringen '!$B$11:$B$89,'3. Input (des)investeringen '!$D$11:$D$89)</f>
        <v>10</v>
      </c>
      <c r="K159" s="42">
        <f>_xlfn.XLOOKUP(F159,'3. Input (des)investeringen '!$B$11:$B$89,'3. Input (des)investeringen '!$E$11:$E$89)</f>
        <v>1</v>
      </c>
      <c r="L159" s="42">
        <f>'8. Input IC huur Gasunie'!J112</f>
        <v>0</v>
      </c>
      <c r="M159" s="42">
        <f>'8. Input IC huur Gasunie'!K112</f>
        <v>0</v>
      </c>
    </row>
    <row r="160" spans="2:13">
      <c r="B160" s="37" t="str">
        <f>'8. Input IC huur Gasunie'!B113</f>
        <v>Asset 102</v>
      </c>
      <c r="F160" s="37" t="str">
        <f>'8. Input IC huur Gasunie'!F113</f>
        <v>13 Aanhangwagens</v>
      </c>
      <c r="G160" s="37">
        <f>'8. Input IC huur Gasunie'!G113</f>
        <v>2002</v>
      </c>
      <c r="H160" s="42">
        <f>'8. Input IC huur Gasunie'!H113</f>
        <v>1243</v>
      </c>
      <c r="I160" s="37">
        <f>'8. Input IC huur Gasunie'!I113</f>
        <v>2021</v>
      </c>
      <c r="J160" s="42">
        <f>_xlfn.XLOOKUP(F160,'3. Input (des)investeringen '!$B$11:$B$89,'3. Input (des)investeringen '!$D$11:$D$89)</f>
        <v>10</v>
      </c>
      <c r="K160" s="42">
        <f>_xlfn.XLOOKUP(F160,'3. Input (des)investeringen '!$B$11:$B$89,'3. Input (des)investeringen '!$E$11:$E$89)</f>
        <v>1</v>
      </c>
      <c r="L160" s="42">
        <f>'8. Input IC huur Gasunie'!J113</f>
        <v>0</v>
      </c>
      <c r="M160" s="42">
        <f>'8. Input IC huur Gasunie'!K113</f>
        <v>0</v>
      </c>
    </row>
    <row r="161" spans="2:13">
      <c r="B161" s="37" t="str">
        <f>'8. Input IC huur Gasunie'!B114</f>
        <v>Asset 103</v>
      </c>
      <c r="F161" s="37" t="str">
        <f>'8. Input IC huur Gasunie'!F114</f>
        <v>06 Utiliteitsgebouwen</v>
      </c>
      <c r="G161" s="37">
        <f>'8. Input IC huur Gasunie'!G114</f>
        <v>2002</v>
      </c>
      <c r="H161" s="42">
        <f>'8. Input IC huur Gasunie'!H114</f>
        <v>68637.27</v>
      </c>
      <c r="I161" s="37">
        <f>'8. Input IC huur Gasunie'!I114</f>
        <v>2021</v>
      </c>
      <c r="J161" s="42">
        <f>_xlfn.XLOOKUP(F161,'3. Input (des)investeringen '!$B$11:$B$89,'3. Input (des)investeringen '!$D$11:$D$89)</f>
        <v>30</v>
      </c>
      <c r="K161" s="42">
        <f>_xlfn.XLOOKUP(F161,'3. Input (des)investeringen '!$B$11:$B$89,'3. Input (des)investeringen '!$E$11:$E$89)</f>
        <v>0</v>
      </c>
      <c r="L161" s="42">
        <f>'8. Input IC huur Gasunie'!J114</f>
        <v>33068.469795601901</v>
      </c>
      <c r="M161" s="42">
        <f>'8. Input IC huur Gasunie'!K114</f>
        <v>0</v>
      </c>
    </row>
    <row r="162" spans="2:13">
      <c r="B162" s="37" t="str">
        <f>'8. Input IC huur Gasunie'!B115</f>
        <v>Asset 104</v>
      </c>
      <c r="F162" s="37" t="str">
        <f>'8. Input IC huur Gasunie'!F115</f>
        <v>09 Bedrijfsinventaris</v>
      </c>
      <c r="G162" s="37">
        <f>'8. Input IC huur Gasunie'!G115</f>
        <v>2003</v>
      </c>
      <c r="H162" s="42">
        <f>'8. Input IC huur Gasunie'!H115</f>
        <v>108222.26</v>
      </c>
      <c r="I162" s="37">
        <f>'8. Input IC huur Gasunie'!I115</f>
        <v>2021</v>
      </c>
      <c r="J162" s="42">
        <f>_xlfn.XLOOKUP(F162,'3. Input (des)investeringen '!$B$11:$B$89,'3. Input (des)investeringen '!$D$11:$D$89)</f>
        <v>10</v>
      </c>
      <c r="K162" s="42">
        <f>_xlfn.XLOOKUP(F162,'3. Input (des)investeringen '!$B$11:$B$89,'3. Input (des)investeringen '!$E$11:$E$89)</f>
        <v>1</v>
      </c>
      <c r="L162" s="42">
        <f>'8. Input IC huur Gasunie'!J115</f>
        <v>0</v>
      </c>
      <c r="M162" s="42">
        <f>'8. Input IC huur Gasunie'!K115</f>
        <v>0</v>
      </c>
    </row>
    <row r="163" spans="2:13">
      <c r="B163" s="37" t="str">
        <f>'8. Input IC huur Gasunie'!B116</f>
        <v>Asset 105</v>
      </c>
      <c r="F163" s="37" t="str">
        <f>'8. Input IC huur Gasunie'!F116</f>
        <v>11 Werktuigen</v>
      </c>
      <c r="G163" s="37">
        <f>'8. Input IC huur Gasunie'!G116</f>
        <v>2003</v>
      </c>
      <c r="H163" s="42">
        <f>'8. Input IC huur Gasunie'!H116</f>
        <v>135681.9</v>
      </c>
      <c r="I163" s="37">
        <f>'8. Input IC huur Gasunie'!I116</f>
        <v>2021</v>
      </c>
      <c r="J163" s="42">
        <f>_xlfn.XLOOKUP(F163,'3. Input (des)investeringen '!$B$11:$B$89,'3. Input (des)investeringen '!$D$11:$D$89)</f>
        <v>10</v>
      </c>
      <c r="K163" s="42">
        <f>_xlfn.XLOOKUP(F163,'3. Input (des)investeringen '!$B$11:$B$89,'3. Input (des)investeringen '!$E$11:$E$89)</f>
        <v>1</v>
      </c>
      <c r="L163" s="42">
        <f>'8. Input IC huur Gasunie'!J116</f>
        <v>0</v>
      </c>
      <c r="M163" s="42">
        <f>'8. Input IC huur Gasunie'!K116</f>
        <v>0</v>
      </c>
    </row>
    <row r="164" spans="2:13">
      <c r="B164" s="37" t="str">
        <f>'8. Input IC huur Gasunie'!B117</f>
        <v>Asset 106</v>
      </c>
      <c r="F164" s="37" t="str">
        <f>'8. Input IC huur Gasunie'!F117</f>
        <v>37 ICT middelen 1</v>
      </c>
      <c r="G164" s="37">
        <f>'8. Input IC huur Gasunie'!G117</f>
        <v>2003</v>
      </c>
      <c r="H164" s="42">
        <f>'8. Input IC huur Gasunie'!H117</f>
        <v>869353.66999999993</v>
      </c>
      <c r="I164" s="37">
        <f>'8. Input IC huur Gasunie'!I117</f>
        <v>2021</v>
      </c>
      <c r="J164" s="42">
        <f>_xlfn.XLOOKUP(F164,'3. Input (des)investeringen '!$B$11:$B$89,'3. Input (des)investeringen '!$D$11:$D$89)</f>
        <v>5</v>
      </c>
      <c r="K164" s="42">
        <f>_xlfn.XLOOKUP(F164,'3. Input (des)investeringen '!$B$11:$B$89,'3. Input (des)investeringen '!$E$11:$E$89)</f>
        <v>1</v>
      </c>
      <c r="L164" s="42">
        <f>'8. Input IC huur Gasunie'!J117</f>
        <v>0</v>
      </c>
      <c r="M164" s="42">
        <f>'8. Input IC huur Gasunie'!K117</f>
        <v>0</v>
      </c>
    </row>
    <row r="165" spans="2:13">
      <c r="B165" s="37" t="str">
        <f>'8. Input IC huur Gasunie'!B118</f>
        <v>Asset 107</v>
      </c>
      <c r="F165" s="37" t="str">
        <f>'8. Input IC huur Gasunie'!F118</f>
        <v>37 ICT middelen 1 (gaschromatografen en comptabele meting)</v>
      </c>
      <c r="G165" s="37">
        <f>'8. Input IC huur Gasunie'!G118</f>
        <v>2003</v>
      </c>
      <c r="H165" s="42">
        <f>'8. Input IC huur Gasunie'!H118</f>
        <v>1210667.97</v>
      </c>
      <c r="I165" s="37">
        <f>'8. Input IC huur Gasunie'!I118</f>
        <v>2021</v>
      </c>
      <c r="J165" s="42">
        <f>_xlfn.XLOOKUP(F165,'3. Input (des)investeringen '!$B$11:$B$89,'3. Input (des)investeringen '!$D$11:$D$89)</f>
        <v>5</v>
      </c>
      <c r="K165" s="42">
        <f>_xlfn.XLOOKUP(F165,'3. Input (des)investeringen '!$B$11:$B$89,'3. Input (des)investeringen '!$E$11:$E$89)</f>
        <v>0</v>
      </c>
      <c r="L165" s="42">
        <f>'8. Input IC huur Gasunie'!J118</f>
        <v>0</v>
      </c>
      <c r="M165" s="42">
        <f>'8. Input IC huur Gasunie'!K118</f>
        <v>0</v>
      </c>
    </row>
    <row r="166" spans="2:13">
      <c r="B166" s="37" t="str">
        <f>'8. Input IC huur Gasunie'!B119</f>
        <v>Asset 108</v>
      </c>
      <c r="F166" s="37" t="str">
        <f>'8. Input IC huur Gasunie'!F119</f>
        <v>10 Gereedschap</v>
      </c>
      <c r="G166" s="37">
        <f>'8. Input IC huur Gasunie'!G119</f>
        <v>2003</v>
      </c>
      <c r="H166" s="42">
        <f>'8. Input IC huur Gasunie'!H119</f>
        <v>62325</v>
      </c>
      <c r="I166" s="37">
        <f>'8. Input IC huur Gasunie'!I119</f>
        <v>2021</v>
      </c>
      <c r="J166" s="42">
        <f>_xlfn.XLOOKUP(F166,'3. Input (des)investeringen '!$B$11:$B$89,'3. Input (des)investeringen '!$D$11:$D$89)</f>
        <v>10</v>
      </c>
      <c r="K166" s="42">
        <f>_xlfn.XLOOKUP(F166,'3. Input (des)investeringen '!$B$11:$B$89,'3. Input (des)investeringen '!$E$11:$E$89)</f>
        <v>1</v>
      </c>
      <c r="L166" s="42">
        <f>'8. Input IC huur Gasunie'!J119</f>
        <v>0</v>
      </c>
      <c r="M166" s="42">
        <f>'8. Input IC huur Gasunie'!K119</f>
        <v>0</v>
      </c>
    </row>
    <row r="167" spans="2:13">
      <c r="B167" s="37" t="str">
        <f>'8. Input IC huur Gasunie'!B120</f>
        <v>Asset 109</v>
      </c>
      <c r="F167" s="37" t="str">
        <f>'8. Input IC huur Gasunie'!F120</f>
        <v>06 Utiliteitsgebouwen</v>
      </c>
      <c r="G167" s="37">
        <f>'8. Input IC huur Gasunie'!G120</f>
        <v>2003</v>
      </c>
      <c r="H167" s="42">
        <f>'8. Input IC huur Gasunie'!H120</f>
        <v>206366.74</v>
      </c>
      <c r="I167" s="37">
        <f>'8. Input IC huur Gasunie'!I120</f>
        <v>2021</v>
      </c>
      <c r="J167" s="42">
        <f>_xlfn.XLOOKUP(F167,'3. Input (des)investeringen '!$B$11:$B$89,'3. Input (des)investeringen '!$D$11:$D$89)</f>
        <v>30</v>
      </c>
      <c r="K167" s="42">
        <f>_xlfn.XLOOKUP(F167,'3. Input (des)investeringen '!$B$11:$B$89,'3. Input (des)investeringen '!$E$11:$E$89)</f>
        <v>0</v>
      </c>
      <c r="L167" s="42">
        <f>'8. Input IC huur Gasunie'!J120</f>
        <v>105414.90479883776</v>
      </c>
      <c r="M167" s="42">
        <f>'8. Input IC huur Gasunie'!K120</f>
        <v>0</v>
      </c>
    </row>
    <row r="168" spans="2:13">
      <c r="B168" s="37" t="str">
        <f>'8. Input IC huur Gasunie'!B121</f>
        <v>Asset 110</v>
      </c>
      <c r="F168" s="37" t="str">
        <f>'8. Input IC huur Gasunie'!F121</f>
        <v>13 Aanhangwagens</v>
      </c>
      <c r="G168" s="37">
        <f>'8. Input IC huur Gasunie'!G121</f>
        <v>2003</v>
      </c>
      <c r="H168" s="42">
        <f>'8. Input IC huur Gasunie'!H121</f>
        <v>1830.54</v>
      </c>
      <c r="I168" s="37">
        <f>'8. Input IC huur Gasunie'!I121</f>
        <v>2021</v>
      </c>
      <c r="J168" s="42">
        <f>_xlfn.XLOOKUP(F168,'3. Input (des)investeringen '!$B$11:$B$89,'3. Input (des)investeringen '!$D$11:$D$89)</f>
        <v>10</v>
      </c>
      <c r="K168" s="42">
        <f>_xlfn.XLOOKUP(F168,'3. Input (des)investeringen '!$B$11:$B$89,'3. Input (des)investeringen '!$E$11:$E$89)</f>
        <v>1</v>
      </c>
      <c r="L168" s="42">
        <f>'8. Input IC huur Gasunie'!J121</f>
        <v>0</v>
      </c>
      <c r="M168" s="42">
        <f>'8. Input IC huur Gasunie'!K121</f>
        <v>0</v>
      </c>
    </row>
    <row r="169" spans="2:13">
      <c r="B169" s="37" t="str">
        <f>'8. Input IC huur Gasunie'!B122</f>
        <v>Asset 111</v>
      </c>
      <c r="F169" s="37" t="str">
        <f>'8. Input IC huur Gasunie'!F122</f>
        <v>37 ICT middelen 1</v>
      </c>
      <c r="G169" s="37">
        <f>'8. Input IC huur Gasunie'!G122</f>
        <v>2004</v>
      </c>
      <c r="H169" s="42">
        <f>'8. Input IC huur Gasunie'!H122</f>
        <v>2583848.4300000002</v>
      </c>
      <c r="I169" s="37">
        <f>'8. Input IC huur Gasunie'!I122</f>
        <v>2021</v>
      </c>
      <c r="J169" s="42">
        <f>_xlfn.XLOOKUP(F169,'3. Input (des)investeringen '!$B$11:$B$89,'3. Input (des)investeringen '!$D$11:$D$89)</f>
        <v>5</v>
      </c>
      <c r="K169" s="42">
        <f>_xlfn.XLOOKUP(F169,'3. Input (des)investeringen '!$B$11:$B$89,'3. Input (des)investeringen '!$E$11:$E$89)</f>
        <v>1</v>
      </c>
      <c r="L169" s="42">
        <f>'8. Input IC huur Gasunie'!J122</f>
        <v>0</v>
      </c>
      <c r="M169" s="42">
        <f>'8. Input IC huur Gasunie'!K122</f>
        <v>0</v>
      </c>
    </row>
    <row r="170" spans="2:13">
      <c r="B170" s="37" t="str">
        <f>'8. Input IC huur Gasunie'!B123</f>
        <v>Asset 112</v>
      </c>
      <c r="F170" s="37" t="str">
        <f>'8. Input IC huur Gasunie'!F123</f>
        <v>37 ICT middelen 1 (gaschromatografen en comptabele meting)</v>
      </c>
      <c r="G170" s="37">
        <f>'8. Input IC huur Gasunie'!G123</f>
        <v>2004</v>
      </c>
      <c r="H170" s="42">
        <f>'8. Input IC huur Gasunie'!H123</f>
        <v>263122.5</v>
      </c>
      <c r="I170" s="37">
        <f>'8. Input IC huur Gasunie'!I123</f>
        <v>2021</v>
      </c>
      <c r="J170" s="42">
        <f>_xlfn.XLOOKUP(F170,'3. Input (des)investeringen '!$B$11:$B$89,'3. Input (des)investeringen '!$D$11:$D$89)</f>
        <v>5</v>
      </c>
      <c r="K170" s="42">
        <f>_xlfn.XLOOKUP(F170,'3. Input (des)investeringen '!$B$11:$B$89,'3. Input (des)investeringen '!$E$11:$E$89)</f>
        <v>0</v>
      </c>
      <c r="L170" s="42">
        <f>'8. Input IC huur Gasunie'!J123</f>
        <v>0</v>
      </c>
      <c r="M170" s="42">
        <f>'8. Input IC huur Gasunie'!K123</f>
        <v>0</v>
      </c>
    </row>
    <row r="171" spans="2:13">
      <c r="B171" s="37" t="str">
        <f>'8. Input IC huur Gasunie'!B124</f>
        <v>Asset 113</v>
      </c>
      <c r="F171" s="37" t="str">
        <f>'8. Input IC huur Gasunie'!F124</f>
        <v>09 Bedrijfsinventaris</v>
      </c>
      <c r="G171" s="37">
        <f>'8. Input IC huur Gasunie'!G124</f>
        <v>2004</v>
      </c>
      <c r="H171" s="42">
        <f>'8. Input IC huur Gasunie'!H124</f>
        <v>142655</v>
      </c>
      <c r="I171" s="37">
        <f>'8. Input IC huur Gasunie'!I124</f>
        <v>2021</v>
      </c>
      <c r="J171" s="42">
        <f>_xlfn.XLOOKUP(F171,'3. Input (des)investeringen '!$B$11:$B$89,'3. Input (des)investeringen '!$D$11:$D$89)</f>
        <v>10</v>
      </c>
      <c r="K171" s="42">
        <f>_xlfn.XLOOKUP(F171,'3. Input (des)investeringen '!$B$11:$B$89,'3. Input (des)investeringen '!$E$11:$E$89)</f>
        <v>1</v>
      </c>
      <c r="L171" s="42">
        <f>'8. Input IC huur Gasunie'!J124</f>
        <v>0</v>
      </c>
      <c r="M171" s="42">
        <f>'8. Input IC huur Gasunie'!K124</f>
        <v>0</v>
      </c>
    </row>
    <row r="172" spans="2:13">
      <c r="B172" s="37" t="str">
        <f>'8. Input IC huur Gasunie'!B125</f>
        <v>Asset 114</v>
      </c>
      <c r="F172" s="37" t="str">
        <f>'8. Input IC huur Gasunie'!F125</f>
        <v>11 Werktuigen</v>
      </c>
      <c r="G172" s="37">
        <f>'8. Input IC huur Gasunie'!G125</f>
        <v>2004</v>
      </c>
      <c r="H172" s="42">
        <f>'8. Input IC huur Gasunie'!H125</f>
        <v>77020.09</v>
      </c>
      <c r="I172" s="37">
        <f>'8. Input IC huur Gasunie'!I125</f>
        <v>2021</v>
      </c>
      <c r="J172" s="42">
        <f>_xlfn.XLOOKUP(F172,'3. Input (des)investeringen '!$B$11:$B$89,'3. Input (des)investeringen '!$D$11:$D$89)</f>
        <v>10</v>
      </c>
      <c r="K172" s="42">
        <f>_xlfn.XLOOKUP(F172,'3. Input (des)investeringen '!$B$11:$B$89,'3. Input (des)investeringen '!$E$11:$E$89)</f>
        <v>1</v>
      </c>
      <c r="L172" s="42">
        <f>'8. Input IC huur Gasunie'!J125</f>
        <v>0</v>
      </c>
      <c r="M172" s="42">
        <f>'8. Input IC huur Gasunie'!K125</f>
        <v>0</v>
      </c>
    </row>
    <row r="173" spans="2:13">
      <c r="B173" s="37" t="str">
        <f>'8. Input IC huur Gasunie'!B126</f>
        <v>Asset 115</v>
      </c>
      <c r="F173" s="37" t="str">
        <f>'8. Input IC huur Gasunie'!F126</f>
        <v>14 Overig rollend materieel</v>
      </c>
      <c r="G173" s="37">
        <f>'8. Input IC huur Gasunie'!G126</f>
        <v>2004</v>
      </c>
      <c r="H173" s="42">
        <f>'8. Input IC huur Gasunie'!H126</f>
        <v>195332.07</v>
      </c>
      <c r="I173" s="37">
        <f>'8. Input IC huur Gasunie'!I126</f>
        <v>2021</v>
      </c>
      <c r="J173" s="42">
        <f>_xlfn.XLOOKUP(F173,'3. Input (des)investeringen '!$B$11:$B$89,'3. Input (des)investeringen '!$D$11:$D$89)</f>
        <v>10</v>
      </c>
      <c r="K173" s="42">
        <f>_xlfn.XLOOKUP(F173,'3. Input (des)investeringen '!$B$11:$B$89,'3. Input (des)investeringen '!$E$11:$E$89)</f>
        <v>1</v>
      </c>
      <c r="L173" s="42">
        <f>'8. Input IC huur Gasunie'!J126</f>
        <v>0</v>
      </c>
      <c r="M173" s="42">
        <f>'8. Input IC huur Gasunie'!K126</f>
        <v>0</v>
      </c>
    </row>
    <row r="174" spans="2:13">
      <c r="B174" s="37" t="str">
        <f>'8. Input IC huur Gasunie'!B127</f>
        <v>Asset 116</v>
      </c>
      <c r="F174" s="37" t="str">
        <f>'8. Input IC huur Gasunie'!F127</f>
        <v>13 Aanhangwagens</v>
      </c>
      <c r="G174" s="37">
        <f>'8. Input IC huur Gasunie'!G127</f>
        <v>2004</v>
      </c>
      <c r="H174" s="42">
        <f>'8. Input IC huur Gasunie'!H127</f>
        <v>1265</v>
      </c>
      <c r="I174" s="37">
        <f>'8. Input IC huur Gasunie'!I127</f>
        <v>2021</v>
      </c>
      <c r="J174" s="42">
        <f>_xlfn.XLOOKUP(F174,'3. Input (des)investeringen '!$B$11:$B$89,'3. Input (des)investeringen '!$D$11:$D$89)</f>
        <v>10</v>
      </c>
      <c r="K174" s="42">
        <f>_xlfn.XLOOKUP(F174,'3. Input (des)investeringen '!$B$11:$B$89,'3. Input (des)investeringen '!$E$11:$E$89)</f>
        <v>1</v>
      </c>
      <c r="L174" s="42">
        <f>'8. Input IC huur Gasunie'!J127</f>
        <v>0</v>
      </c>
      <c r="M174" s="42">
        <f>'8. Input IC huur Gasunie'!K127</f>
        <v>0</v>
      </c>
    </row>
    <row r="175" spans="2:13">
      <c r="B175" s="37" t="str">
        <f>'8. Input IC huur Gasunie'!B128</f>
        <v>Asset 117</v>
      </c>
      <c r="F175" s="37" t="str">
        <f>'8. Input IC huur Gasunie'!F128</f>
        <v>08 Inrichting gebouwen</v>
      </c>
      <c r="G175" s="37">
        <f>'8. Input IC huur Gasunie'!G128</f>
        <v>2004</v>
      </c>
      <c r="H175" s="42">
        <f>'8. Input IC huur Gasunie'!H128</f>
        <v>62865.23</v>
      </c>
      <c r="I175" s="37">
        <f>'8. Input IC huur Gasunie'!I128</f>
        <v>2021</v>
      </c>
      <c r="J175" s="42">
        <f>_xlfn.XLOOKUP(F175,'3. Input (des)investeringen '!$B$11:$B$89,'3. Input (des)investeringen '!$D$11:$D$89)</f>
        <v>10</v>
      </c>
      <c r="K175" s="42">
        <f>_xlfn.XLOOKUP(F175,'3. Input (des)investeringen '!$B$11:$B$89,'3. Input (des)investeringen '!$E$11:$E$89)</f>
        <v>0</v>
      </c>
      <c r="L175" s="42">
        <f>'8. Input IC huur Gasunie'!J128</f>
        <v>0</v>
      </c>
      <c r="M175" s="42">
        <f>'8. Input IC huur Gasunie'!K128</f>
        <v>0</v>
      </c>
    </row>
    <row r="176" spans="2:13">
      <c r="B176" s="37" t="str">
        <f>'8. Input IC huur Gasunie'!B129</f>
        <v>Asset 118</v>
      </c>
      <c r="F176" s="37" t="str">
        <f>'8. Input IC huur Gasunie'!F129</f>
        <v>12 Motorvoertuigen</v>
      </c>
      <c r="G176" s="37">
        <f>'8. Input IC huur Gasunie'!G129</f>
        <v>2004</v>
      </c>
      <c r="H176" s="42">
        <f>'8. Input IC huur Gasunie'!H129</f>
        <v>47369.03</v>
      </c>
      <c r="I176" s="37">
        <f>'8. Input IC huur Gasunie'!I129</f>
        <v>2021</v>
      </c>
      <c r="J176" s="42">
        <f>_xlfn.XLOOKUP(F176,'3. Input (des)investeringen '!$B$11:$B$89,'3. Input (des)investeringen '!$D$11:$D$89)</f>
        <v>10</v>
      </c>
      <c r="K176" s="42">
        <f>_xlfn.XLOOKUP(F176,'3. Input (des)investeringen '!$B$11:$B$89,'3. Input (des)investeringen '!$E$11:$E$89)</f>
        <v>1</v>
      </c>
      <c r="L176" s="42">
        <f>'8. Input IC huur Gasunie'!J129</f>
        <v>0</v>
      </c>
      <c r="M176" s="42">
        <f>'8. Input IC huur Gasunie'!K129</f>
        <v>0</v>
      </c>
    </row>
    <row r="177" spans="2:13">
      <c r="B177" s="37" t="str">
        <f>'8. Input IC huur Gasunie'!B130</f>
        <v>Asset 119</v>
      </c>
      <c r="F177" s="37" t="str">
        <f>'8. Input IC huur Gasunie'!F130</f>
        <v>06 Utiliteitsgebouwen</v>
      </c>
      <c r="G177" s="37">
        <f>'8. Input IC huur Gasunie'!G130</f>
        <v>2005</v>
      </c>
      <c r="H177" s="42">
        <f>'8. Input IC huur Gasunie'!H130</f>
        <v>13716.41</v>
      </c>
      <c r="I177" s="37">
        <f>'8. Input IC huur Gasunie'!I130</f>
        <v>2021</v>
      </c>
      <c r="J177" s="42">
        <f>_xlfn.XLOOKUP(F177,'3. Input (des)investeringen '!$B$11:$B$89,'3. Input (des)investeringen '!$D$11:$D$89)</f>
        <v>30</v>
      </c>
      <c r="K177" s="42">
        <f>_xlfn.XLOOKUP(F177,'3. Input (des)investeringen '!$B$11:$B$89,'3. Input (des)investeringen '!$E$11:$E$89)</f>
        <v>0</v>
      </c>
      <c r="L177" s="42">
        <f>'8. Input IC huur Gasunie'!J130</f>
        <v>7968.2289834864932</v>
      </c>
      <c r="M177" s="42">
        <f>'8. Input IC huur Gasunie'!K130</f>
        <v>0</v>
      </c>
    </row>
    <row r="178" spans="2:13">
      <c r="B178" s="37" t="str">
        <f>'8. Input IC huur Gasunie'!B131</f>
        <v>Asset 120</v>
      </c>
      <c r="F178" s="37" t="str">
        <f>'8. Input IC huur Gasunie'!F131</f>
        <v>13 Aanhangwagens</v>
      </c>
      <c r="G178" s="37">
        <f>'8. Input IC huur Gasunie'!G131</f>
        <v>2005</v>
      </c>
      <c r="H178" s="42">
        <f>'8. Input IC huur Gasunie'!H131</f>
        <v>5690.5</v>
      </c>
      <c r="I178" s="37">
        <f>'8. Input IC huur Gasunie'!I131</f>
        <v>2021</v>
      </c>
      <c r="J178" s="42">
        <f>_xlfn.XLOOKUP(F178,'3. Input (des)investeringen '!$B$11:$B$89,'3. Input (des)investeringen '!$D$11:$D$89)</f>
        <v>10</v>
      </c>
      <c r="K178" s="42">
        <f>_xlfn.XLOOKUP(F178,'3. Input (des)investeringen '!$B$11:$B$89,'3. Input (des)investeringen '!$E$11:$E$89)</f>
        <v>1</v>
      </c>
      <c r="L178" s="42">
        <f>'8. Input IC huur Gasunie'!J131</f>
        <v>0</v>
      </c>
      <c r="M178" s="42">
        <f>'8. Input IC huur Gasunie'!K131</f>
        <v>0</v>
      </c>
    </row>
    <row r="179" spans="2:13">
      <c r="B179" s="37" t="str">
        <f>'8. Input IC huur Gasunie'!B132</f>
        <v>Asset 121</v>
      </c>
      <c r="F179" s="37" t="str">
        <f>'8. Input IC huur Gasunie'!F132</f>
        <v>08 Inrichting gebouwen</v>
      </c>
      <c r="G179" s="37">
        <f>'8. Input IC huur Gasunie'!G132</f>
        <v>2005</v>
      </c>
      <c r="H179" s="42">
        <f>'8. Input IC huur Gasunie'!H132</f>
        <v>149702.98000000001</v>
      </c>
      <c r="I179" s="37">
        <f>'8. Input IC huur Gasunie'!I132</f>
        <v>2021</v>
      </c>
      <c r="J179" s="42">
        <f>_xlfn.XLOOKUP(F179,'3. Input (des)investeringen '!$B$11:$B$89,'3. Input (des)investeringen '!$D$11:$D$89)</f>
        <v>10</v>
      </c>
      <c r="K179" s="42">
        <f>_xlfn.XLOOKUP(F179,'3. Input (des)investeringen '!$B$11:$B$89,'3. Input (des)investeringen '!$E$11:$E$89)</f>
        <v>0</v>
      </c>
      <c r="L179" s="42">
        <f>'8. Input IC huur Gasunie'!J132</f>
        <v>0</v>
      </c>
      <c r="M179" s="42">
        <f>'8. Input IC huur Gasunie'!K132</f>
        <v>0</v>
      </c>
    </row>
    <row r="180" spans="2:13">
      <c r="B180" s="37" t="str">
        <f>'8. Input IC huur Gasunie'!B133</f>
        <v>Asset 122</v>
      </c>
      <c r="F180" s="37" t="str">
        <f>'8. Input IC huur Gasunie'!F133</f>
        <v>12 Motorvoertuigen</v>
      </c>
      <c r="G180" s="37">
        <f>'8. Input IC huur Gasunie'!G133</f>
        <v>2005</v>
      </c>
      <c r="H180" s="42">
        <f>'8. Input IC huur Gasunie'!H133</f>
        <v>144500</v>
      </c>
      <c r="I180" s="37">
        <f>'8. Input IC huur Gasunie'!I133</f>
        <v>2021</v>
      </c>
      <c r="J180" s="42">
        <f>_xlfn.XLOOKUP(F180,'3. Input (des)investeringen '!$B$11:$B$89,'3. Input (des)investeringen '!$D$11:$D$89)</f>
        <v>10</v>
      </c>
      <c r="K180" s="42">
        <f>_xlfn.XLOOKUP(F180,'3. Input (des)investeringen '!$B$11:$B$89,'3. Input (des)investeringen '!$E$11:$E$89)</f>
        <v>1</v>
      </c>
      <c r="L180" s="42">
        <f>'8. Input IC huur Gasunie'!J133</f>
        <v>0</v>
      </c>
      <c r="M180" s="42">
        <f>'8. Input IC huur Gasunie'!K133</f>
        <v>0</v>
      </c>
    </row>
    <row r="181" spans="2:13">
      <c r="B181" s="37" t="str">
        <f>'8. Input IC huur Gasunie'!B134</f>
        <v>Asset 123</v>
      </c>
      <c r="F181" s="37" t="str">
        <f>'8. Input IC huur Gasunie'!F134</f>
        <v>09 Bedrijfsinventaris</v>
      </c>
      <c r="G181" s="37">
        <f>'8. Input IC huur Gasunie'!G134</f>
        <v>2005</v>
      </c>
      <c r="H181" s="42">
        <f>'8. Input IC huur Gasunie'!H134</f>
        <v>22500</v>
      </c>
      <c r="I181" s="37">
        <f>'8. Input IC huur Gasunie'!I134</f>
        <v>2021</v>
      </c>
      <c r="J181" s="42">
        <f>_xlfn.XLOOKUP(F181,'3. Input (des)investeringen '!$B$11:$B$89,'3. Input (des)investeringen '!$D$11:$D$89)</f>
        <v>10</v>
      </c>
      <c r="K181" s="42">
        <f>_xlfn.XLOOKUP(F181,'3. Input (des)investeringen '!$B$11:$B$89,'3. Input (des)investeringen '!$E$11:$E$89)</f>
        <v>1</v>
      </c>
      <c r="L181" s="42">
        <f>'8. Input IC huur Gasunie'!J134</f>
        <v>0</v>
      </c>
      <c r="M181" s="42">
        <f>'8. Input IC huur Gasunie'!K134</f>
        <v>0</v>
      </c>
    </row>
    <row r="182" spans="2:13">
      <c r="B182" s="37" t="str">
        <f>'8. Input IC huur Gasunie'!B135</f>
        <v>Asset 124</v>
      </c>
      <c r="F182" s="37" t="str">
        <f>'8. Input IC huur Gasunie'!F135</f>
        <v>14 Overig rollend materieel</v>
      </c>
      <c r="G182" s="37">
        <f>'8. Input IC huur Gasunie'!G135</f>
        <v>2006</v>
      </c>
      <c r="H182" s="42">
        <f>'8. Input IC huur Gasunie'!H135</f>
        <v>23374</v>
      </c>
      <c r="I182" s="37">
        <f>'8. Input IC huur Gasunie'!I135</f>
        <v>2021</v>
      </c>
      <c r="J182" s="42">
        <f>_xlfn.XLOOKUP(F182,'3. Input (des)investeringen '!$B$11:$B$89,'3. Input (des)investeringen '!$D$11:$D$89)</f>
        <v>10</v>
      </c>
      <c r="K182" s="42">
        <f>_xlfn.XLOOKUP(F182,'3. Input (des)investeringen '!$B$11:$B$89,'3. Input (des)investeringen '!$E$11:$E$89)</f>
        <v>1</v>
      </c>
      <c r="L182" s="42">
        <f>'8. Input IC huur Gasunie'!J135</f>
        <v>0</v>
      </c>
      <c r="M182" s="42">
        <f>'8. Input IC huur Gasunie'!K135</f>
        <v>0</v>
      </c>
    </row>
    <row r="183" spans="2:13">
      <c r="B183" s="37" t="str">
        <f>'8. Input IC huur Gasunie'!B136</f>
        <v>Asset 125</v>
      </c>
      <c r="F183" s="37" t="str">
        <f>'8. Input IC huur Gasunie'!F136</f>
        <v>06 Utiliteitsgebouwen</v>
      </c>
      <c r="G183" s="37">
        <f>'8. Input IC huur Gasunie'!G136</f>
        <v>2006</v>
      </c>
      <c r="H183" s="42">
        <f>'8. Input IC huur Gasunie'!H136</f>
        <v>216791.4</v>
      </c>
      <c r="I183" s="37">
        <f>'8. Input IC huur Gasunie'!I136</f>
        <v>2021</v>
      </c>
      <c r="J183" s="42">
        <f>_xlfn.XLOOKUP(F183,'3. Input (des)investeringen '!$B$11:$B$89,'3. Input (des)investeringen '!$D$11:$D$89)</f>
        <v>30</v>
      </c>
      <c r="K183" s="42">
        <f>_xlfn.XLOOKUP(F183,'3. Input (des)investeringen '!$B$11:$B$89,'3. Input (des)investeringen '!$E$11:$E$89)</f>
        <v>0</v>
      </c>
      <c r="L183" s="42">
        <f>'8. Input IC huur Gasunie'!J136</f>
        <v>132877.0119526372</v>
      </c>
      <c r="M183" s="42">
        <f>'8. Input IC huur Gasunie'!K136</f>
        <v>0</v>
      </c>
    </row>
    <row r="184" spans="2:13">
      <c r="B184" s="37" t="str">
        <f>'8. Input IC huur Gasunie'!B137</f>
        <v>Asset 126</v>
      </c>
      <c r="F184" s="37" t="str">
        <f>'8. Input IC huur Gasunie'!F137</f>
        <v>11 Werktuigen</v>
      </c>
      <c r="G184" s="37">
        <f>'8. Input IC huur Gasunie'!G137</f>
        <v>2006</v>
      </c>
      <c r="H184" s="42">
        <f>'8. Input IC huur Gasunie'!H137</f>
        <v>39984.959999999999</v>
      </c>
      <c r="I184" s="37">
        <f>'8. Input IC huur Gasunie'!I137</f>
        <v>2021</v>
      </c>
      <c r="J184" s="42">
        <f>_xlfn.XLOOKUP(F184,'3. Input (des)investeringen '!$B$11:$B$89,'3. Input (des)investeringen '!$D$11:$D$89)</f>
        <v>10</v>
      </c>
      <c r="K184" s="42">
        <f>_xlfn.XLOOKUP(F184,'3. Input (des)investeringen '!$B$11:$B$89,'3. Input (des)investeringen '!$E$11:$E$89)</f>
        <v>1</v>
      </c>
      <c r="L184" s="42">
        <f>'8. Input IC huur Gasunie'!J137</f>
        <v>0</v>
      </c>
      <c r="M184" s="42">
        <f>'8. Input IC huur Gasunie'!K137</f>
        <v>0</v>
      </c>
    </row>
    <row r="185" spans="2:13">
      <c r="B185" s="37" t="str">
        <f>'8. Input IC huur Gasunie'!B138</f>
        <v>Asset 127</v>
      </c>
      <c r="F185" s="37" t="str">
        <f>'8. Input IC huur Gasunie'!F138</f>
        <v>06 Utiliteitsgebouwen</v>
      </c>
      <c r="G185" s="37">
        <f>'8. Input IC huur Gasunie'!G138</f>
        <v>2007</v>
      </c>
      <c r="H185" s="42">
        <f>'8. Input IC huur Gasunie'!H138</f>
        <v>25858.771191949236</v>
      </c>
      <c r="I185" s="37">
        <f>'8. Input IC huur Gasunie'!I138</f>
        <v>2021</v>
      </c>
      <c r="J185" s="42">
        <f>_xlfn.XLOOKUP(F185,'3. Input (des)investeringen '!$B$11:$B$89,'3. Input (des)investeringen '!$D$11:$D$89)</f>
        <v>30</v>
      </c>
      <c r="K185" s="42">
        <f>_xlfn.XLOOKUP(F185,'3. Input (des)investeringen '!$B$11:$B$89,'3. Input (des)investeringen '!$E$11:$E$89)</f>
        <v>0</v>
      </c>
      <c r="L185" s="42">
        <f>'8. Input IC huur Gasunie'!J138</f>
        <v>16708.652536273155</v>
      </c>
      <c r="M185" s="42">
        <f>'8. Input IC huur Gasunie'!K138</f>
        <v>0</v>
      </c>
    </row>
    <row r="186" spans="2:13">
      <c r="B186" s="37" t="str">
        <f>'8. Input IC huur Gasunie'!B139</f>
        <v>Asset 128</v>
      </c>
      <c r="F186" s="37" t="str">
        <f>'8. Input IC huur Gasunie'!F139</f>
        <v>11 Werktuigen</v>
      </c>
      <c r="G186" s="37">
        <f>'8. Input IC huur Gasunie'!G139</f>
        <v>2007</v>
      </c>
      <c r="H186" s="42">
        <f>'8. Input IC huur Gasunie'!H139</f>
        <v>1088351.8199999998</v>
      </c>
      <c r="I186" s="37">
        <f>'8. Input IC huur Gasunie'!I139</f>
        <v>2021</v>
      </c>
      <c r="J186" s="42">
        <f>_xlfn.XLOOKUP(F186,'3. Input (des)investeringen '!$B$11:$B$89,'3. Input (des)investeringen '!$D$11:$D$89)</f>
        <v>10</v>
      </c>
      <c r="K186" s="42">
        <f>_xlfn.XLOOKUP(F186,'3. Input (des)investeringen '!$B$11:$B$89,'3. Input (des)investeringen '!$E$11:$E$89)</f>
        <v>1</v>
      </c>
      <c r="L186" s="42">
        <f>'8. Input IC huur Gasunie'!J139</f>
        <v>0</v>
      </c>
      <c r="M186" s="42">
        <f>'8. Input IC huur Gasunie'!K139</f>
        <v>0</v>
      </c>
    </row>
    <row r="187" spans="2:13">
      <c r="B187" s="37" t="str">
        <f>'8. Input IC huur Gasunie'!B140</f>
        <v>Asset 129</v>
      </c>
      <c r="F187" s="37" t="str">
        <f>'8. Input IC huur Gasunie'!F140</f>
        <v>14 Overig rollend materieel</v>
      </c>
      <c r="G187" s="37">
        <f>'8. Input IC huur Gasunie'!G140</f>
        <v>2007</v>
      </c>
      <c r="H187" s="42">
        <f>'8. Input IC huur Gasunie'!H140</f>
        <v>661943.85</v>
      </c>
      <c r="I187" s="37">
        <f>'8. Input IC huur Gasunie'!I140</f>
        <v>2021</v>
      </c>
      <c r="J187" s="42">
        <f>_xlfn.XLOOKUP(F187,'3. Input (des)investeringen '!$B$11:$B$89,'3. Input (des)investeringen '!$D$11:$D$89)</f>
        <v>10</v>
      </c>
      <c r="K187" s="42">
        <f>_xlfn.XLOOKUP(F187,'3. Input (des)investeringen '!$B$11:$B$89,'3. Input (des)investeringen '!$E$11:$E$89)</f>
        <v>1</v>
      </c>
      <c r="L187" s="42">
        <f>'8. Input IC huur Gasunie'!J140</f>
        <v>0</v>
      </c>
      <c r="M187" s="42">
        <f>'8. Input IC huur Gasunie'!K140</f>
        <v>0</v>
      </c>
    </row>
    <row r="188" spans="2:13">
      <c r="B188" s="37" t="str">
        <f>'8. Input IC huur Gasunie'!B141</f>
        <v>Asset 130</v>
      </c>
      <c r="F188" s="37" t="str">
        <f>'8. Input IC huur Gasunie'!F141</f>
        <v>12 Motorvoertuigen</v>
      </c>
      <c r="G188" s="37">
        <f>'8. Input IC huur Gasunie'!G141</f>
        <v>2007</v>
      </c>
      <c r="H188" s="42">
        <f>'8. Input IC huur Gasunie'!H141</f>
        <v>154091.65000000002</v>
      </c>
      <c r="I188" s="37">
        <f>'8. Input IC huur Gasunie'!I141</f>
        <v>2021</v>
      </c>
      <c r="J188" s="42">
        <f>_xlfn.XLOOKUP(F188,'3. Input (des)investeringen '!$B$11:$B$89,'3. Input (des)investeringen '!$D$11:$D$89)</f>
        <v>10</v>
      </c>
      <c r="K188" s="42">
        <f>_xlfn.XLOOKUP(F188,'3. Input (des)investeringen '!$B$11:$B$89,'3. Input (des)investeringen '!$E$11:$E$89)</f>
        <v>1</v>
      </c>
      <c r="L188" s="42">
        <f>'8. Input IC huur Gasunie'!J141</f>
        <v>0</v>
      </c>
      <c r="M188" s="42">
        <f>'8. Input IC huur Gasunie'!K141</f>
        <v>0</v>
      </c>
    </row>
    <row r="189" spans="2:13">
      <c r="B189" s="37" t="str">
        <f>'8. Input IC huur Gasunie'!B142</f>
        <v>Asset 131</v>
      </c>
      <c r="F189" s="37" t="str">
        <f>'8. Input IC huur Gasunie'!F142</f>
        <v>05 Wegen en terreinvoorzieningen</v>
      </c>
      <c r="G189" s="37">
        <f>'8. Input IC huur Gasunie'!G142</f>
        <v>2007</v>
      </c>
      <c r="H189" s="42">
        <f>'8. Input IC huur Gasunie'!H142</f>
        <v>79744.08</v>
      </c>
      <c r="I189" s="37">
        <f>'8. Input IC huur Gasunie'!I142</f>
        <v>2021</v>
      </c>
      <c r="J189" s="42">
        <f>_xlfn.XLOOKUP(F189,'3. Input (des)investeringen '!$B$11:$B$89,'3. Input (des)investeringen '!$D$11:$D$89)</f>
        <v>10</v>
      </c>
      <c r="K189" s="42">
        <f>_xlfn.XLOOKUP(F189,'3. Input (des)investeringen '!$B$11:$B$89,'3. Input (des)investeringen '!$E$11:$E$89)</f>
        <v>0</v>
      </c>
      <c r="L189" s="42">
        <f>'8. Input IC huur Gasunie'!J142</f>
        <v>0</v>
      </c>
      <c r="M189" s="42">
        <f>'8. Input IC huur Gasunie'!K142</f>
        <v>0</v>
      </c>
    </row>
    <row r="190" spans="2:13">
      <c r="B190" s="37" t="str">
        <f>'8. Input IC huur Gasunie'!B143</f>
        <v>Asset 132</v>
      </c>
      <c r="F190" s="37" t="str">
        <f>'8. Input IC huur Gasunie'!F143</f>
        <v>20 Kantoorgebouwen</v>
      </c>
      <c r="G190" s="37">
        <f>'8. Input IC huur Gasunie'!G143</f>
        <v>2008</v>
      </c>
      <c r="H190" s="42">
        <f>'8. Input IC huur Gasunie'!H143</f>
        <v>4978200.5000000009</v>
      </c>
      <c r="I190" s="37">
        <f>'8. Input IC huur Gasunie'!I143</f>
        <v>2021</v>
      </c>
      <c r="J190" s="42">
        <f>_xlfn.XLOOKUP(F190,'3. Input (des)investeringen '!$B$11:$B$89,'3. Input (des)investeringen '!$D$11:$D$89)</f>
        <v>30</v>
      </c>
      <c r="K190" s="42">
        <f>_xlfn.XLOOKUP(F190,'3. Input (des)investeringen '!$B$11:$B$89,'3. Input (des)investeringen '!$E$11:$E$89)</f>
        <v>0</v>
      </c>
      <c r="L190" s="42">
        <f>'8. Input IC huur Gasunie'!J143</f>
        <v>3386936.2239016104</v>
      </c>
      <c r="M190" s="42">
        <f>'8. Input IC huur Gasunie'!K143</f>
        <v>0</v>
      </c>
    </row>
    <row r="191" spans="2:13">
      <c r="B191" s="37" t="str">
        <f>'8. Input IC huur Gasunie'!B144</f>
        <v>Asset 133</v>
      </c>
      <c r="F191" s="37" t="str">
        <f>'8. Input IC huur Gasunie'!F144</f>
        <v>06 Utiliteitsgebouwen</v>
      </c>
      <c r="G191" s="37">
        <f>'8. Input IC huur Gasunie'!G144</f>
        <v>2008</v>
      </c>
      <c r="H191" s="42">
        <f>'8. Input IC huur Gasunie'!H144</f>
        <v>233293.04544821067</v>
      </c>
      <c r="I191" s="37">
        <f>'8. Input IC huur Gasunie'!I144</f>
        <v>2021</v>
      </c>
      <c r="J191" s="42">
        <f>_xlfn.XLOOKUP(F191,'3. Input (des)investeringen '!$B$11:$B$89,'3. Input (des)investeringen '!$D$11:$D$89)</f>
        <v>30</v>
      </c>
      <c r="K191" s="42">
        <f>_xlfn.XLOOKUP(F191,'3. Input (des)investeringen '!$B$11:$B$89,'3. Input (des)investeringen '!$E$11:$E$89)</f>
        <v>0</v>
      </c>
      <c r="L191" s="42">
        <f>'8. Input IC huur Gasunie'!J144</f>
        <v>158721.74421517763</v>
      </c>
      <c r="M191" s="42">
        <f>'8. Input IC huur Gasunie'!K144</f>
        <v>0</v>
      </c>
    </row>
    <row r="192" spans="2:13">
      <c r="B192" s="37" t="str">
        <f>'8. Input IC huur Gasunie'!B145</f>
        <v>Asset 134</v>
      </c>
      <c r="F192" s="37" t="str">
        <f>'8. Input IC huur Gasunie'!F145</f>
        <v>10 Gereedschap</v>
      </c>
      <c r="G192" s="37">
        <f>'8. Input IC huur Gasunie'!G145</f>
        <v>2008</v>
      </c>
      <c r="H192" s="42">
        <f>'8. Input IC huur Gasunie'!H145</f>
        <v>178157.88</v>
      </c>
      <c r="I192" s="37">
        <f>'8. Input IC huur Gasunie'!I145</f>
        <v>2021</v>
      </c>
      <c r="J192" s="42">
        <f>_xlfn.XLOOKUP(F192,'3. Input (des)investeringen '!$B$11:$B$89,'3. Input (des)investeringen '!$D$11:$D$89)</f>
        <v>10</v>
      </c>
      <c r="K192" s="42">
        <f>_xlfn.XLOOKUP(F192,'3. Input (des)investeringen '!$B$11:$B$89,'3. Input (des)investeringen '!$E$11:$E$89)</f>
        <v>1</v>
      </c>
      <c r="L192" s="42">
        <f>'8. Input IC huur Gasunie'!J145</f>
        <v>0</v>
      </c>
      <c r="M192" s="42">
        <f>'8. Input IC huur Gasunie'!K145</f>
        <v>0</v>
      </c>
    </row>
    <row r="193" spans="2:13">
      <c r="B193" s="37" t="str">
        <f>'8. Input IC huur Gasunie'!B146</f>
        <v>Asset 135</v>
      </c>
      <c r="F193" s="37" t="str">
        <f>'8. Input IC huur Gasunie'!F146</f>
        <v>14 Overig rollend materieel</v>
      </c>
      <c r="G193" s="37">
        <f>'8. Input IC huur Gasunie'!G146</f>
        <v>2008</v>
      </c>
      <c r="H193" s="42">
        <f>'8. Input IC huur Gasunie'!H146</f>
        <v>1299449.8500000001</v>
      </c>
      <c r="I193" s="37">
        <f>'8. Input IC huur Gasunie'!I146</f>
        <v>2021</v>
      </c>
      <c r="J193" s="42">
        <f>_xlfn.XLOOKUP(F193,'3. Input (des)investeringen '!$B$11:$B$89,'3. Input (des)investeringen '!$D$11:$D$89)</f>
        <v>10</v>
      </c>
      <c r="K193" s="42">
        <f>_xlfn.XLOOKUP(F193,'3. Input (des)investeringen '!$B$11:$B$89,'3. Input (des)investeringen '!$E$11:$E$89)</f>
        <v>1</v>
      </c>
      <c r="L193" s="42">
        <f>'8. Input IC huur Gasunie'!J146</f>
        <v>0</v>
      </c>
      <c r="M193" s="42">
        <f>'8. Input IC huur Gasunie'!K146</f>
        <v>0</v>
      </c>
    </row>
    <row r="194" spans="2:13">
      <c r="B194" s="37" t="str">
        <f>'8. Input IC huur Gasunie'!B147</f>
        <v>Asset 136</v>
      </c>
      <c r="F194" s="37" t="str">
        <f>'8. Input IC huur Gasunie'!F147</f>
        <v>37 ICT middelen 1 (gaschromatografen en comptabele meting)</v>
      </c>
      <c r="G194" s="37">
        <f>'8. Input IC huur Gasunie'!G147</f>
        <v>2008</v>
      </c>
      <c r="H194" s="42">
        <f>'8. Input IC huur Gasunie'!H147</f>
        <v>8310.1200000000008</v>
      </c>
      <c r="I194" s="37">
        <f>'8. Input IC huur Gasunie'!I147</f>
        <v>2021</v>
      </c>
      <c r="J194" s="42">
        <f>_xlfn.XLOOKUP(F194,'3. Input (des)investeringen '!$B$11:$B$89,'3. Input (des)investeringen '!$D$11:$D$89)</f>
        <v>5</v>
      </c>
      <c r="K194" s="42">
        <f>_xlfn.XLOOKUP(F194,'3. Input (des)investeringen '!$B$11:$B$89,'3. Input (des)investeringen '!$E$11:$E$89)</f>
        <v>0</v>
      </c>
      <c r="L194" s="42">
        <f>'8. Input IC huur Gasunie'!J147</f>
        <v>0</v>
      </c>
      <c r="M194" s="42">
        <f>'8. Input IC huur Gasunie'!K147</f>
        <v>0</v>
      </c>
    </row>
    <row r="195" spans="2:13">
      <c r="B195" s="37" t="str">
        <f>'8. Input IC huur Gasunie'!B148</f>
        <v>Asset 137</v>
      </c>
      <c r="F195" s="37" t="str">
        <f>'8. Input IC huur Gasunie'!F148</f>
        <v>11 Werktuigen</v>
      </c>
      <c r="G195" s="37">
        <f>'8. Input IC huur Gasunie'!G148</f>
        <v>2008</v>
      </c>
      <c r="H195" s="42">
        <f>'8. Input IC huur Gasunie'!H148</f>
        <v>427546.18</v>
      </c>
      <c r="I195" s="37">
        <f>'8. Input IC huur Gasunie'!I148</f>
        <v>2021</v>
      </c>
      <c r="J195" s="42">
        <f>_xlfn.XLOOKUP(F195,'3. Input (des)investeringen '!$B$11:$B$89,'3. Input (des)investeringen '!$D$11:$D$89)</f>
        <v>10</v>
      </c>
      <c r="K195" s="42">
        <f>_xlfn.XLOOKUP(F195,'3. Input (des)investeringen '!$B$11:$B$89,'3. Input (des)investeringen '!$E$11:$E$89)</f>
        <v>1</v>
      </c>
      <c r="L195" s="42">
        <f>'8. Input IC huur Gasunie'!J148</f>
        <v>0</v>
      </c>
      <c r="M195" s="42">
        <f>'8. Input IC huur Gasunie'!K148</f>
        <v>0</v>
      </c>
    </row>
    <row r="196" spans="2:13">
      <c r="B196" s="37" t="str">
        <f>'8. Input IC huur Gasunie'!B149</f>
        <v>Asset 138</v>
      </c>
      <c r="F196" s="37" t="str">
        <f>'8. Input IC huur Gasunie'!F149</f>
        <v>08 Inrichting gebouwen</v>
      </c>
      <c r="G196" s="37">
        <f>'8. Input IC huur Gasunie'!G149</f>
        <v>2008</v>
      </c>
      <c r="H196" s="42">
        <f>'8. Input IC huur Gasunie'!H149</f>
        <v>1194171.3899999999</v>
      </c>
      <c r="I196" s="37">
        <f>'8. Input IC huur Gasunie'!I149</f>
        <v>2021</v>
      </c>
      <c r="J196" s="42">
        <f>_xlfn.XLOOKUP(F196,'3. Input (des)investeringen '!$B$11:$B$89,'3. Input (des)investeringen '!$D$11:$D$89)</f>
        <v>10</v>
      </c>
      <c r="K196" s="42">
        <f>_xlfn.XLOOKUP(F196,'3. Input (des)investeringen '!$B$11:$B$89,'3. Input (des)investeringen '!$E$11:$E$89)</f>
        <v>0</v>
      </c>
      <c r="L196" s="42">
        <f>'8. Input IC huur Gasunie'!J149</f>
        <v>0</v>
      </c>
      <c r="M196" s="42">
        <f>'8. Input IC huur Gasunie'!K149</f>
        <v>0</v>
      </c>
    </row>
    <row r="197" spans="2:13">
      <c r="B197" s="37" t="str">
        <f>'8. Input IC huur Gasunie'!B150</f>
        <v>Asset 139</v>
      </c>
      <c r="F197" s="37" t="str">
        <f>'8. Input IC huur Gasunie'!F150</f>
        <v>08 Inrichting gebouwen</v>
      </c>
      <c r="G197" s="37">
        <f>'8. Input IC huur Gasunie'!G150</f>
        <v>2009</v>
      </c>
      <c r="H197" s="42">
        <f>'8. Input IC huur Gasunie'!H150</f>
        <v>124506.82</v>
      </c>
      <c r="I197" s="37">
        <f>'8. Input IC huur Gasunie'!I150</f>
        <v>2021</v>
      </c>
      <c r="J197" s="42">
        <f>_xlfn.XLOOKUP(F197,'3. Input (des)investeringen '!$B$11:$B$89,'3. Input (des)investeringen '!$D$11:$D$89)</f>
        <v>10</v>
      </c>
      <c r="K197" s="42">
        <f>_xlfn.XLOOKUP(F197,'3. Input (des)investeringen '!$B$11:$B$89,'3. Input (des)investeringen '!$E$11:$E$89)</f>
        <v>0</v>
      </c>
      <c r="L197" s="42">
        <f>'8. Input IC huur Gasunie'!J150</f>
        <v>0</v>
      </c>
      <c r="M197" s="42">
        <f>'8. Input IC huur Gasunie'!K150</f>
        <v>0</v>
      </c>
    </row>
    <row r="198" spans="2:13">
      <c r="B198" s="37" t="str">
        <f>'8. Input IC huur Gasunie'!B151</f>
        <v>Asset 140</v>
      </c>
      <c r="F198" s="37" t="str">
        <f>'8. Input IC huur Gasunie'!F151</f>
        <v>14 Overig rollend materieel</v>
      </c>
      <c r="G198" s="37">
        <f>'8. Input IC huur Gasunie'!G151</f>
        <v>2009</v>
      </c>
      <c r="H198" s="42">
        <f>'8. Input IC huur Gasunie'!H151</f>
        <v>285378.59999999998</v>
      </c>
      <c r="I198" s="37">
        <f>'8. Input IC huur Gasunie'!I151</f>
        <v>2021</v>
      </c>
      <c r="J198" s="42">
        <f>_xlfn.XLOOKUP(F198,'3. Input (des)investeringen '!$B$11:$B$89,'3. Input (des)investeringen '!$D$11:$D$89)</f>
        <v>10</v>
      </c>
      <c r="K198" s="42">
        <f>_xlfn.XLOOKUP(F198,'3. Input (des)investeringen '!$B$11:$B$89,'3. Input (des)investeringen '!$E$11:$E$89)</f>
        <v>1</v>
      </c>
      <c r="L198" s="42">
        <f>'8. Input IC huur Gasunie'!J151</f>
        <v>0</v>
      </c>
      <c r="M198" s="42">
        <f>'8. Input IC huur Gasunie'!K151</f>
        <v>0</v>
      </c>
    </row>
    <row r="199" spans="2:13">
      <c r="B199" s="37" t="str">
        <f>'8. Input IC huur Gasunie'!B152</f>
        <v>Asset 141</v>
      </c>
      <c r="F199" s="37" t="str">
        <f>'8. Input IC huur Gasunie'!F152</f>
        <v>06 Utiliteitsgebouwen</v>
      </c>
      <c r="G199" s="37">
        <f>'8. Input IC huur Gasunie'!G152</f>
        <v>2009</v>
      </c>
      <c r="H199" s="42">
        <f>'8. Input IC huur Gasunie'!H152</f>
        <v>35389.120000000003</v>
      </c>
      <c r="I199" s="37">
        <f>'8. Input IC huur Gasunie'!I152</f>
        <v>2021</v>
      </c>
      <c r="J199" s="42">
        <f>_xlfn.XLOOKUP(F199,'3. Input (des)investeringen '!$B$11:$B$89,'3. Input (des)investeringen '!$D$11:$D$89)</f>
        <v>30</v>
      </c>
      <c r="K199" s="42">
        <f>_xlfn.XLOOKUP(F199,'3. Input (des)investeringen '!$B$11:$B$89,'3. Input (des)investeringen '!$E$11:$E$89)</f>
        <v>0</v>
      </c>
      <c r="L199" s="42">
        <f>'8. Input IC huur Gasunie'!J152</f>
        <v>24744.506996892218</v>
      </c>
      <c r="M199" s="42">
        <f>'8. Input IC huur Gasunie'!K152</f>
        <v>0</v>
      </c>
    </row>
    <row r="200" spans="2:13">
      <c r="B200" s="37" t="str">
        <f>'8. Input IC huur Gasunie'!B153</f>
        <v>Asset 142</v>
      </c>
      <c r="F200" s="37" t="str">
        <f>'8. Input IC huur Gasunie'!F153</f>
        <v>09 Bedrijfsinventaris</v>
      </c>
      <c r="G200" s="37">
        <f>'8. Input IC huur Gasunie'!G153</f>
        <v>2009</v>
      </c>
      <c r="H200" s="42">
        <f>'8. Input IC huur Gasunie'!H153</f>
        <v>537011.27</v>
      </c>
      <c r="I200" s="37">
        <f>'8. Input IC huur Gasunie'!I153</f>
        <v>2021</v>
      </c>
      <c r="J200" s="42">
        <f>_xlfn.XLOOKUP(F200,'3. Input (des)investeringen '!$B$11:$B$89,'3. Input (des)investeringen '!$D$11:$D$89)</f>
        <v>10</v>
      </c>
      <c r="K200" s="42">
        <f>_xlfn.XLOOKUP(F200,'3. Input (des)investeringen '!$B$11:$B$89,'3. Input (des)investeringen '!$E$11:$E$89)</f>
        <v>1</v>
      </c>
      <c r="L200" s="42">
        <f>'8. Input IC huur Gasunie'!J153</f>
        <v>0</v>
      </c>
      <c r="M200" s="42">
        <f>'8. Input IC huur Gasunie'!K153</f>
        <v>0</v>
      </c>
    </row>
    <row r="201" spans="2:13">
      <c r="B201" s="37" t="str">
        <f>'8. Input IC huur Gasunie'!B154</f>
        <v>Asset 143</v>
      </c>
      <c r="F201" s="37" t="str">
        <f>'8. Input IC huur Gasunie'!F154</f>
        <v>20 Kantoorgebouwen</v>
      </c>
      <c r="G201" s="37">
        <f>'8. Input IC huur Gasunie'!G154</f>
        <v>2009</v>
      </c>
      <c r="H201" s="42">
        <f>'8. Input IC huur Gasunie'!H154</f>
        <v>2416053.9300000006</v>
      </c>
      <c r="I201" s="37">
        <f>'8. Input IC huur Gasunie'!I154</f>
        <v>2021</v>
      </c>
      <c r="J201" s="42">
        <f>_xlfn.XLOOKUP(F201,'3. Input (des)investeringen '!$B$11:$B$89,'3. Input (des)investeringen '!$D$11:$D$89)</f>
        <v>30</v>
      </c>
      <c r="K201" s="42">
        <f>_xlfn.XLOOKUP(F201,'3. Input (des)investeringen '!$B$11:$B$89,'3. Input (des)investeringen '!$E$11:$E$89)</f>
        <v>0</v>
      </c>
      <c r="L201" s="42">
        <f>'8. Input IC huur Gasunie'!J154</f>
        <v>1689334.5575067692</v>
      </c>
      <c r="M201" s="42">
        <f>'8. Input IC huur Gasunie'!K154</f>
        <v>0</v>
      </c>
    </row>
    <row r="202" spans="2:13">
      <c r="B202" s="37" t="str">
        <f>'8. Input IC huur Gasunie'!B155</f>
        <v>Asset 144</v>
      </c>
      <c r="F202" s="37" t="str">
        <f>'8. Input IC huur Gasunie'!F155</f>
        <v>05 Wegen en terreinvoorzieningen</v>
      </c>
      <c r="G202" s="37">
        <f>'8. Input IC huur Gasunie'!G155</f>
        <v>2009</v>
      </c>
      <c r="H202" s="42">
        <f>'8. Input IC huur Gasunie'!H155</f>
        <v>97690.9</v>
      </c>
      <c r="I202" s="37">
        <f>'8. Input IC huur Gasunie'!I155</f>
        <v>2021</v>
      </c>
      <c r="J202" s="42">
        <f>_xlfn.XLOOKUP(F202,'3. Input (des)investeringen '!$B$11:$B$89,'3. Input (des)investeringen '!$D$11:$D$89)</f>
        <v>10</v>
      </c>
      <c r="K202" s="42">
        <f>_xlfn.XLOOKUP(F202,'3. Input (des)investeringen '!$B$11:$B$89,'3. Input (des)investeringen '!$E$11:$E$89)</f>
        <v>0</v>
      </c>
      <c r="L202" s="42">
        <f>'8. Input IC huur Gasunie'!J155</f>
        <v>0</v>
      </c>
      <c r="M202" s="42">
        <f>'8. Input IC huur Gasunie'!K155</f>
        <v>0</v>
      </c>
    </row>
    <row r="203" spans="2:13">
      <c r="B203" s="37" t="str">
        <f>'8. Input IC huur Gasunie'!B156</f>
        <v>Asset 145</v>
      </c>
      <c r="F203" s="37" t="str">
        <f>'8. Input IC huur Gasunie'!F156</f>
        <v>13 Aanhangwagens</v>
      </c>
      <c r="G203" s="37">
        <f>'8. Input IC huur Gasunie'!G156</f>
        <v>2009</v>
      </c>
      <c r="H203" s="42">
        <f>'8. Input IC huur Gasunie'!H156</f>
        <v>655669.05999999994</v>
      </c>
      <c r="I203" s="37">
        <f>'8. Input IC huur Gasunie'!I156</f>
        <v>2021</v>
      </c>
      <c r="J203" s="42">
        <f>_xlfn.XLOOKUP(F203,'3. Input (des)investeringen '!$B$11:$B$89,'3. Input (des)investeringen '!$D$11:$D$89)</f>
        <v>10</v>
      </c>
      <c r="K203" s="42">
        <f>_xlfn.XLOOKUP(F203,'3. Input (des)investeringen '!$B$11:$B$89,'3. Input (des)investeringen '!$E$11:$E$89)</f>
        <v>1</v>
      </c>
      <c r="L203" s="42">
        <f>'8. Input IC huur Gasunie'!J156</f>
        <v>0</v>
      </c>
      <c r="M203" s="42">
        <f>'8. Input IC huur Gasunie'!K156</f>
        <v>0</v>
      </c>
    </row>
    <row r="204" spans="2:13">
      <c r="B204" s="37" t="str">
        <f>'8. Input IC huur Gasunie'!B157</f>
        <v>Asset 146</v>
      </c>
      <c r="F204" s="37" t="str">
        <f>'8. Input IC huur Gasunie'!F157</f>
        <v>11 Werktuigen</v>
      </c>
      <c r="G204" s="37">
        <f>'8. Input IC huur Gasunie'!G157</f>
        <v>2010</v>
      </c>
      <c r="H204" s="42">
        <f>'8. Input IC huur Gasunie'!H157</f>
        <v>453194.78213502961</v>
      </c>
      <c r="I204" s="37">
        <f>'8. Input IC huur Gasunie'!I157</f>
        <v>2021</v>
      </c>
      <c r="J204" s="42">
        <f>_xlfn.XLOOKUP(F204,'3. Input (des)investeringen '!$B$11:$B$89,'3. Input (des)investeringen '!$D$11:$D$89)</f>
        <v>10</v>
      </c>
      <c r="K204" s="42">
        <f>_xlfn.XLOOKUP(F204,'3. Input (des)investeringen '!$B$11:$B$89,'3. Input (des)investeringen '!$E$11:$E$89)</f>
        <v>1</v>
      </c>
      <c r="L204" s="42">
        <f>'8. Input IC huur Gasunie'!J157</f>
        <v>0</v>
      </c>
      <c r="M204" s="42">
        <f>'8. Input IC huur Gasunie'!K157</f>
        <v>0</v>
      </c>
    </row>
    <row r="205" spans="2:13">
      <c r="B205" s="37" t="str">
        <f>'8. Input IC huur Gasunie'!B158</f>
        <v>Asset 147</v>
      </c>
      <c r="F205" s="37" t="str">
        <f>'8. Input IC huur Gasunie'!F158</f>
        <v>14 Overig rollend materieel</v>
      </c>
      <c r="G205" s="37">
        <f>'8. Input IC huur Gasunie'!G158</f>
        <v>2010</v>
      </c>
      <c r="H205" s="42">
        <f>'8. Input IC huur Gasunie'!H158</f>
        <v>179634.02000000002</v>
      </c>
      <c r="I205" s="37">
        <f>'8. Input IC huur Gasunie'!I158</f>
        <v>2021</v>
      </c>
      <c r="J205" s="42">
        <f>_xlfn.XLOOKUP(F205,'3. Input (des)investeringen '!$B$11:$B$89,'3. Input (des)investeringen '!$D$11:$D$89)</f>
        <v>10</v>
      </c>
      <c r="K205" s="42">
        <f>_xlfn.XLOOKUP(F205,'3. Input (des)investeringen '!$B$11:$B$89,'3. Input (des)investeringen '!$E$11:$E$89)</f>
        <v>1</v>
      </c>
      <c r="L205" s="42">
        <f>'8. Input IC huur Gasunie'!J158</f>
        <v>0</v>
      </c>
      <c r="M205" s="42">
        <f>'8. Input IC huur Gasunie'!K158</f>
        <v>0</v>
      </c>
    </row>
    <row r="206" spans="2:13">
      <c r="B206" s="37" t="str">
        <f>'8. Input IC huur Gasunie'!B159</f>
        <v>Asset 148</v>
      </c>
      <c r="F206" s="37" t="str">
        <f>'8. Input IC huur Gasunie'!F159</f>
        <v>12 Motorvoertuigen</v>
      </c>
      <c r="G206" s="37">
        <f>'8. Input IC huur Gasunie'!G159</f>
        <v>2011</v>
      </c>
      <c r="H206" s="42">
        <f>'8. Input IC huur Gasunie'!H159</f>
        <v>293470.62269139342</v>
      </c>
      <c r="I206" s="37">
        <f>'8. Input IC huur Gasunie'!I159</f>
        <v>2021</v>
      </c>
      <c r="J206" s="42">
        <f>_xlfn.XLOOKUP(F206,'3. Input (des)investeringen '!$B$11:$B$89,'3. Input (des)investeringen '!$D$11:$D$89)</f>
        <v>10</v>
      </c>
      <c r="K206" s="42">
        <f>_xlfn.XLOOKUP(F206,'3. Input (des)investeringen '!$B$11:$B$89,'3. Input (des)investeringen '!$E$11:$E$89)</f>
        <v>1</v>
      </c>
      <c r="L206" s="42">
        <f>'8. Input IC huur Gasunie'!J159</f>
        <v>0</v>
      </c>
      <c r="M206" s="42">
        <f>'8. Input IC huur Gasunie'!K159</f>
        <v>0</v>
      </c>
    </row>
    <row r="207" spans="2:13">
      <c r="B207" s="37" t="str">
        <f>'8. Input IC huur Gasunie'!B160</f>
        <v>Asset 149</v>
      </c>
      <c r="F207" s="37" t="str">
        <f>'8. Input IC huur Gasunie'!F160</f>
        <v>08 Inrichting gebouwen</v>
      </c>
      <c r="G207" s="37">
        <f>'8. Input IC huur Gasunie'!G160</f>
        <v>2011</v>
      </c>
      <c r="H207" s="42">
        <f>'8. Input IC huur Gasunie'!H160</f>
        <v>309147.61872011481</v>
      </c>
      <c r="I207" s="37">
        <f>'8. Input IC huur Gasunie'!I160</f>
        <v>2021</v>
      </c>
      <c r="J207" s="42">
        <f>_xlfn.XLOOKUP(F207,'3. Input (des)investeringen '!$B$11:$B$89,'3. Input (des)investeringen '!$D$11:$D$89)</f>
        <v>10</v>
      </c>
      <c r="K207" s="42">
        <f>_xlfn.XLOOKUP(F207,'3. Input (des)investeringen '!$B$11:$B$89,'3. Input (des)investeringen '!$E$11:$E$89)</f>
        <v>0</v>
      </c>
      <c r="L207" s="42">
        <f>'8. Input IC huur Gasunie'!J160</f>
        <v>0</v>
      </c>
      <c r="M207" s="42">
        <f>'8. Input IC huur Gasunie'!K160</f>
        <v>0</v>
      </c>
    </row>
    <row r="208" spans="2:13">
      <c r="B208" s="37" t="str">
        <f>'8. Input IC huur Gasunie'!B161</f>
        <v>Asset 150</v>
      </c>
      <c r="F208" s="37" t="str">
        <f>'8. Input IC huur Gasunie'!F161</f>
        <v>38 ICT middelen 2</v>
      </c>
      <c r="G208" s="37">
        <f>'8. Input IC huur Gasunie'!G161</f>
        <v>2011</v>
      </c>
      <c r="H208" s="42">
        <f>'8. Input IC huur Gasunie'!H161</f>
        <v>24343500.983545668</v>
      </c>
      <c r="I208" s="37">
        <f>'8. Input IC huur Gasunie'!I161</f>
        <v>2021</v>
      </c>
      <c r="J208" s="42">
        <f>_xlfn.XLOOKUP(F208,'3. Input (des)investeringen '!$B$11:$B$89,'3. Input (des)investeringen '!$D$11:$D$89)</f>
        <v>10</v>
      </c>
      <c r="K208" s="42">
        <f>_xlfn.XLOOKUP(F208,'3. Input (des)investeringen '!$B$11:$B$89,'3. Input (des)investeringen '!$E$11:$E$89)</f>
        <v>1</v>
      </c>
      <c r="L208" s="42">
        <f>'8. Input IC huur Gasunie'!J161</f>
        <v>0</v>
      </c>
      <c r="M208" s="42">
        <f>'8. Input IC huur Gasunie'!K161</f>
        <v>0</v>
      </c>
    </row>
    <row r="209" spans="2:13">
      <c r="B209" s="37" t="str">
        <f>'8. Input IC huur Gasunie'!B162</f>
        <v>Asset 151</v>
      </c>
      <c r="F209" s="37" t="str">
        <f>'8. Input IC huur Gasunie'!F162</f>
        <v>11 Werktuigen</v>
      </c>
      <c r="G209" s="37">
        <f>'8. Input IC huur Gasunie'!G162</f>
        <v>2011</v>
      </c>
      <c r="H209" s="42">
        <f>'8. Input IC huur Gasunie'!H162</f>
        <v>345005.47060998465</v>
      </c>
      <c r="I209" s="37">
        <f>'8. Input IC huur Gasunie'!I162</f>
        <v>2021</v>
      </c>
      <c r="J209" s="42">
        <f>_xlfn.XLOOKUP(F209,'3. Input (des)investeringen '!$B$11:$B$89,'3. Input (des)investeringen '!$D$11:$D$89)</f>
        <v>10</v>
      </c>
      <c r="K209" s="42">
        <f>_xlfn.XLOOKUP(F209,'3. Input (des)investeringen '!$B$11:$B$89,'3. Input (des)investeringen '!$E$11:$E$89)</f>
        <v>1</v>
      </c>
      <c r="L209" s="42">
        <f>'8. Input IC huur Gasunie'!J162</f>
        <v>0</v>
      </c>
      <c r="M209" s="42">
        <f>'8. Input IC huur Gasunie'!K162</f>
        <v>0</v>
      </c>
    </row>
    <row r="210" spans="2:13">
      <c r="B210" s="37" t="str">
        <f>'8. Input IC huur Gasunie'!B163</f>
        <v>Asset 152</v>
      </c>
      <c r="F210" s="37" t="str">
        <f>'8. Input IC huur Gasunie'!F163</f>
        <v>13 Aanhangwagens</v>
      </c>
      <c r="G210" s="37">
        <f>'8. Input IC huur Gasunie'!G163</f>
        <v>2011</v>
      </c>
      <c r="H210" s="42">
        <f>'8. Input IC huur Gasunie'!H163</f>
        <v>10931.96</v>
      </c>
      <c r="I210" s="37">
        <f>'8. Input IC huur Gasunie'!I163</f>
        <v>2021</v>
      </c>
      <c r="J210" s="42">
        <f>_xlfn.XLOOKUP(F210,'3. Input (des)investeringen '!$B$11:$B$89,'3. Input (des)investeringen '!$D$11:$D$89)</f>
        <v>10</v>
      </c>
      <c r="K210" s="42">
        <f>_xlfn.XLOOKUP(F210,'3. Input (des)investeringen '!$B$11:$B$89,'3. Input (des)investeringen '!$E$11:$E$89)</f>
        <v>1</v>
      </c>
      <c r="L210" s="42">
        <f>'8. Input IC huur Gasunie'!J163</f>
        <v>0</v>
      </c>
      <c r="M210" s="42">
        <f>'8. Input IC huur Gasunie'!K163</f>
        <v>0</v>
      </c>
    </row>
    <row r="211" spans="2:13">
      <c r="B211" s="37" t="str">
        <f>'8. Input IC huur Gasunie'!B164</f>
        <v>Asset 153</v>
      </c>
      <c r="F211" s="37" t="str">
        <f>'8. Input IC huur Gasunie'!F164</f>
        <v>37 ICT middelen 1 (transparency)</v>
      </c>
      <c r="G211" s="37">
        <f>'8. Input IC huur Gasunie'!G164</f>
        <v>2012</v>
      </c>
      <c r="H211" s="42">
        <f>'8. Input IC huur Gasunie'!H164</f>
        <v>817297.73457401327</v>
      </c>
      <c r="I211" s="37">
        <f>'8. Input IC huur Gasunie'!I164</f>
        <v>2021</v>
      </c>
      <c r="J211" s="42">
        <f>_xlfn.XLOOKUP(F211,'3. Input (des)investeringen '!$B$11:$B$89,'3. Input (des)investeringen '!$D$11:$D$89)</f>
        <v>5</v>
      </c>
      <c r="K211" s="42">
        <f>_xlfn.XLOOKUP(F211,'3. Input (des)investeringen '!$B$11:$B$89,'3. Input (des)investeringen '!$E$11:$E$89)</f>
        <v>0</v>
      </c>
      <c r="L211" s="42">
        <f>'8. Input IC huur Gasunie'!J164</f>
        <v>0</v>
      </c>
      <c r="M211" s="42">
        <f>'8. Input IC huur Gasunie'!K164</f>
        <v>0</v>
      </c>
    </row>
    <row r="212" spans="2:13">
      <c r="B212" s="37" t="str">
        <f>'8. Input IC huur Gasunie'!B165</f>
        <v>Asset 154</v>
      </c>
      <c r="F212" s="37" t="str">
        <f>'8. Input IC huur Gasunie'!F165</f>
        <v>11 Werktuigen</v>
      </c>
      <c r="G212" s="37">
        <f>'8. Input IC huur Gasunie'!G165</f>
        <v>2012</v>
      </c>
      <c r="H212" s="42">
        <f>'8. Input IC huur Gasunie'!H165</f>
        <v>237528.30775638262</v>
      </c>
      <c r="I212" s="37">
        <f>'8. Input IC huur Gasunie'!I165</f>
        <v>2021</v>
      </c>
      <c r="J212" s="42">
        <f>_xlfn.XLOOKUP(F212,'3. Input (des)investeringen '!$B$11:$B$89,'3. Input (des)investeringen '!$D$11:$D$89)</f>
        <v>10</v>
      </c>
      <c r="K212" s="42">
        <f>_xlfn.XLOOKUP(F212,'3. Input (des)investeringen '!$B$11:$B$89,'3. Input (des)investeringen '!$E$11:$E$89)</f>
        <v>1</v>
      </c>
      <c r="L212" s="42">
        <f>'8. Input IC huur Gasunie'!J165</f>
        <v>13628.978016883706</v>
      </c>
      <c r="M212" s="42">
        <f>'8. Input IC huur Gasunie'!K165</f>
        <v>0</v>
      </c>
    </row>
    <row r="213" spans="2:13">
      <c r="B213" s="37" t="str">
        <f>'8. Input IC huur Gasunie'!B166</f>
        <v>Asset 155</v>
      </c>
      <c r="F213" s="37" t="str">
        <f>'8. Input IC huur Gasunie'!F166</f>
        <v>13 Aanhangwagens</v>
      </c>
      <c r="G213" s="37">
        <f>'8. Input IC huur Gasunie'!G166</f>
        <v>2012</v>
      </c>
      <c r="H213" s="42">
        <f>'8. Input IC huur Gasunie'!H166</f>
        <v>20000</v>
      </c>
      <c r="I213" s="37">
        <f>'8. Input IC huur Gasunie'!I166</f>
        <v>2021</v>
      </c>
      <c r="J213" s="42">
        <f>_xlfn.XLOOKUP(F213,'3. Input (des)investeringen '!$B$11:$B$89,'3. Input (des)investeringen '!$D$11:$D$89)</f>
        <v>10</v>
      </c>
      <c r="K213" s="42">
        <f>_xlfn.XLOOKUP(F213,'3. Input (des)investeringen '!$B$11:$B$89,'3. Input (des)investeringen '!$E$11:$E$89)</f>
        <v>1</v>
      </c>
      <c r="L213" s="42">
        <f>'8. Input IC huur Gasunie'!J166</f>
        <v>1147.5666328463135</v>
      </c>
      <c r="M213" s="42">
        <f>'8. Input IC huur Gasunie'!K166</f>
        <v>0</v>
      </c>
    </row>
    <row r="214" spans="2:13">
      <c r="B214" s="37" t="str">
        <f>'8. Input IC huur Gasunie'!B167</f>
        <v>Asset 156</v>
      </c>
      <c r="F214" s="37" t="str">
        <f>'8. Input IC huur Gasunie'!F167</f>
        <v>20 Kantoorgebouwen</v>
      </c>
      <c r="G214" s="37">
        <f>'8. Input IC huur Gasunie'!G167</f>
        <v>2012</v>
      </c>
      <c r="H214" s="42">
        <f>'8. Input IC huur Gasunie'!H167</f>
        <v>701380.67501665035</v>
      </c>
      <c r="I214" s="37">
        <f>'8. Input IC huur Gasunie'!I167</f>
        <v>2021</v>
      </c>
      <c r="J214" s="42">
        <f>_xlfn.XLOOKUP(F214,'3. Input (des)investeringen '!$B$11:$B$89,'3. Input (des)investeringen '!$D$11:$D$89)</f>
        <v>30</v>
      </c>
      <c r="K214" s="42">
        <f>_xlfn.XLOOKUP(F214,'3. Input (des)investeringen '!$B$11:$B$89,'3. Input (des)investeringen '!$E$11:$E$89)</f>
        <v>0</v>
      </c>
      <c r="L214" s="42">
        <f>'8. Input IC huur Gasunie'!J167</f>
        <v>550002.05737442558</v>
      </c>
      <c r="M214" s="42">
        <f>'8. Input IC huur Gasunie'!K167</f>
        <v>0</v>
      </c>
    </row>
    <row r="215" spans="2:13">
      <c r="B215" s="37" t="str">
        <f>'8. Input IC huur Gasunie'!B168</f>
        <v>Asset 157</v>
      </c>
      <c r="F215" s="37" t="str">
        <f>'8. Input IC huur Gasunie'!F168</f>
        <v>10 Gereedschap</v>
      </c>
      <c r="G215" s="37">
        <f>'8. Input IC huur Gasunie'!G168</f>
        <v>2012</v>
      </c>
      <c r="H215" s="42">
        <f>'8. Input IC huur Gasunie'!H168</f>
        <v>102288.01000000001</v>
      </c>
      <c r="I215" s="37">
        <f>'8. Input IC huur Gasunie'!I168</f>
        <v>2021</v>
      </c>
      <c r="J215" s="42">
        <f>_xlfn.XLOOKUP(F215,'3. Input (des)investeringen '!$B$11:$B$89,'3. Input (des)investeringen '!$D$11:$D$89)</f>
        <v>10</v>
      </c>
      <c r="K215" s="42">
        <f>_xlfn.XLOOKUP(F215,'3. Input (des)investeringen '!$B$11:$B$89,'3. Input (des)investeringen '!$E$11:$E$89)</f>
        <v>1</v>
      </c>
      <c r="L215" s="42">
        <f>'8. Input IC huur Gasunie'!J168</f>
        <v>5869.1153608124732</v>
      </c>
      <c r="M215" s="42">
        <f>'8. Input IC huur Gasunie'!K168</f>
        <v>0</v>
      </c>
    </row>
    <row r="216" spans="2:13">
      <c r="B216" s="37" t="str">
        <f>'8. Input IC huur Gasunie'!B169</f>
        <v>Asset 158</v>
      </c>
      <c r="F216" s="37" t="str">
        <f>'8. Input IC huur Gasunie'!F169</f>
        <v>09 Bedrijfsinventaris</v>
      </c>
      <c r="G216" s="37">
        <f>'8. Input IC huur Gasunie'!G169</f>
        <v>2012</v>
      </c>
      <c r="H216" s="42">
        <f>'8. Input IC huur Gasunie'!H169</f>
        <v>321753.96830222307</v>
      </c>
      <c r="I216" s="37">
        <f>'8. Input IC huur Gasunie'!I169</f>
        <v>2021</v>
      </c>
      <c r="J216" s="42">
        <f>_xlfn.XLOOKUP(F216,'3. Input (des)investeringen '!$B$11:$B$89,'3. Input (des)investeringen '!$D$11:$D$89)</f>
        <v>10</v>
      </c>
      <c r="K216" s="42">
        <f>_xlfn.XLOOKUP(F216,'3. Input (des)investeringen '!$B$11:$B$89,'3. Input (des)investeringen '!$E$11:$E$89)</f>
        <v>1</v>
      </c>
      <c r="L216" s="42">
        <f>'8. Input IC huur Gasunie'!J169</f>
        <v>18461.705900476001</v>
      </c>
      <c r="M216" s="42">
        <f>'8. Input IC huur Gasunie'!K169</f>
        <v>0</v>
      </c>
    </row>
    <row r="217" spans="2:13">
      <c r="B217" s="37" t="str">
        <f>'8. Input IC huur Gasunie'!B170</f>
        <v>Asset 159</v>
      </c>
      <c r="F217" s="37" t="str">
        <f>'8. Input IC huur Gasunie'!F170</f>
        <v>14 Overig rollend materieel</v>
      </c>
      <c r="G217" s="37">
        <f>'8. Input IC huur Gasunie'!G170</f>
        <v>2012</v>
      </c>
      <c r="H217" s="42">
        <f>'8. Input IC huur Gasunie'!H170</f>
        <v>341738.83030935976</v>
      </c>
      <c r="I217" s="37">
        <f>'8. Input IC huur Gasunie'!I170</f>
        <v>2021</v>
      </c>
      <c r="J217" s="42">
        <f>_xlfn.XLOOKUP(F217,'3. Input (des)investeringen '!$B$11:$B$89,'3. Input (des)investeringen '!$D$11:$D$89)</f>
        <v>10</v>
      </c>
      <c r="K217" s="42">
        <f>_xlfn.XLOOKUP(F217,'3. Input (des)investeringen '!$B$11:$B$89,'3. Input (des)investeringen '!$E$11:$E$89)</f>
        <v>1</v>
      </c>
      <c r="L217" s="42">
        <f>'8. Input IC huur Gasunie'!J170</f>
        <v>19608.403940547396</v>
      </c>
      <c r="M217" s="42">
        <f>'8. Input IC huur Gasunie'!K170</f>
        <v>0</v>
      </c>
    </row>
    <row r="218" spans="2:13">
      <c r="B218" s="37" t="str">
        <f>'8. Input IC huur Gasunie'!B171</f>
        <v>Asset 160</v>
      </c>
      <c r="F218" s="37" t="str">
        <f>'8. Input IC huur Gasunie'!F171</f>
        <v>08 Inrichting gebouwen</v>
      </c>
      <c r="G218" s="37">
        <f>'8. Input IC huur Gasunie'!G171</f>
        <v>2012</v>
      </c>
      <c r="H218" s="42">
        <f>'8. Input IC huur Gasunie'!H171</f>
        <v>737114.28212566266</v>
      </c>
      <c r="I218" s="37">
        <f>'8. Input IC huur Gasunie'!I171</f>
        <v>2021</v>
      </c>
      <c r="J218" s="42">
        <f>_xlfn.XLOOKUP(F218,'3. Input (des)investeringen '!$B$11:$B$89,'3. Input (des)investeringen '!$D$11:$D$89)</f>
        <v>10</v>
      </c>
      <c r="K218" s="42">
        <f>_xlfn.XLOOKUP(F218,'3. Input (des)investeringen '!$B$11:$B$89,'3. Input (des)investeringen '!$E$11:$E$89)</f>
        <v>0</v>
      </c>
      <c r="L218" s="42">
        <f>'8. Input IC huur Gasunie'!J171</f>
        <v>42294.387738093574</v>
      </c>
      <c r="M218" s="42">
        <f>'8. Input IC huur Gasunie'!K171</f>
        <v>0</v>
      </c>
    </row>
    <row r="219" spans="2:13">
      <c r="B219" s="37" t="str">
        <f>'8. Input IC huur Gasunie'!B172</f>
        <v>Asset 161</v>
      </c>
      <c r="F219" s="37" t="str">
        <f>'8. Input IC huur Gasunie'!F172</f>
        <v>11 Werktuigen</v>
      </c>
      <c r="G219" s="37">
        <f>'8. Input IC huur Gasunie'!G172</f>
        <v>2013</v>
      </c>
      <c r="H219" s="42">
        <f>'8. Input IC huur Gasunie'!H172</f>
        <v>5005059.40396435</v>
      </c>
      <c r="I219" s="37">
        <f>'8. Input IC huur Gasunie'!I172</f>
        <v>2021</v>
      </c>
      <c r="J219" s="42">
        <f>_xlfn.XLOOKUP(F219,'3. Input (des)investeringen '!$B$11:$B$89,'3. Input (des)investeringen '!$D$11:$D$89)</f>
        <v>10</v>
      </c>
      <c r="K219" s="42">
        <f>_xlfn.XLOOKUP(F219,'3. Input (des)investeringen '!$B$11:$B$89,'3. Input (des)investeringen '!$E$11:$E$89)</f>
        <v>1</v>
      </c>
      <c r="L219" s="42">
        <f>'8. Input IC huur Gasunie'!J172</f>
        <v>842175.83099752699</v>
      </c>
      <c r="M219" s="42">
        <f>'8. Input IC huur Gasunie'!K172</f>
        <v>0</v>
      </c>
    </row>
    <row r="220" spans="2:13">
      <c r="B220" s="37" t="str">
        <f>'8. Input IC huur Gasunie'!B173</f>
        <v>Asset 162</v>
      </c>
      <c r="F220" s="37" t="str">
        <f>'8. Input IC huur Gasunie'!F173</f>
        <v>20 Kantoorgebouwen</v>
      </c>
      <c r="G220" s="37">
        <f>'8. Input IC huur Gasunie'!G173</f>
        <v>2013</v>
      </c>
      <c r="H220" s="42">
        <f>'8. Input IC huur Gasunie'!H173</f>
        <v>1237826.9064472313</v>
      </c>
      <c r="I220" s="37">
        <f>'8. Input IC huur Gasunie'!I173</f>
        <v>2021</v>
      </c>
      <c r="J220" s="42">
        <f>_xlfn.XLOOKUP(F220,'3. Input (des)investeringen '!$B$11:$B$89,'3. Input (des)investeringen '!$D$11:$D$89)</f>
        <v>30</v>
      </c>
      <c r="K220" s="42">
        <f>_xlfn.XLOOKUP(F220,'3. Input (des)investeringen '!$B$11:$B$89,'3. Input (des)investeringen '!$E$11:$E$89)</f>
        <v>0</v>
      </c>
      <c r="L220" s="42">
        <f>'8. Input IC huur Gasunie'!J173</f>
        <v>995129.04477620148</v>
      </c>
      <c r="M220" s="42">
        <f>'8. Input IC huur Gasunie'!K173</f>
        <v>0</v>
      </c>
    </row>
    <row r="221" spans="2:13">
      <c r="B221" s="37" t="str">
        <f>'8. Input IC huur Gasunie'!B174</f>
        <v>Asset 163</v>
      </c>
      <c r="F221" s="37" t="str">
        <f>'8. Input IC huur Gasunie'!F174</f>
        <v>09 Bedrijfsinventaris</v>
      </c>
      <c r="G221" s="37">
        <f>'8. Input IC huur Gasunie'!G174</f>
        <v>2013</v>
      </c>
      <c r="H221" s="42">
        <f>'8. Input IC huur Gasunie'!H174</f>
        <v>292655.61609467439</v>
      </c>
      <c r="I221" s="37">
        <f>'8. Input IC huur Gasunie'!I174</f>
        <v>2021</v>
      </c>
      <c r="J221" s="42">
        <f>_xlfn.XLOOKUP(F221,'3. Input (des)investeringen '!$B$11:$B$89,'3. Input (des)investeringen '!$D$11:$D$89)</f>
        <v>10</v>
      </c>
      <c r="K221" s="42">
        <f>_xlfn.XLOOKUP(F221,'3. Input (des)investeringen '!$B$11:$B$89,'3. Input (des)investeringen '!$E$11:$E$89)</f>
        <v>1</v>
      </c>
      <c r="L221" s="42">
        <f>'8. Input IC huur Gasunie'!J174</f>
        <v>49243.668613684422</v>
      </c>
      <c r="M221" s="42">
        <f>'8. Input IC huur Gasunie'!K174</f>
        <v>0</v>
      </c>
    </row>
    <row r="222" spans="2:13">
      <c r="B222" s="37" t="str">
        <f>'8. Input IC huur Gasunie'!B175</f>
        <v>Asset 164</v>
      </c>
      <c r="F222" s="37" t="str">
        <f>'8. Input IC huur Gasunie'!F175</f>
        <v>20 Kantoorgebouwen</v>
      </c>
      <c r="G222" s="37">
        <f>'8. Input IC huur Gasunie'!G175</f>
        <v>2014</v>
      </c>
      <c r="H222" s="42">
        <f>'8. Input IC huur Gasunie'!H175</f>
        <v>4973944.9463818558</v>
      </c>
      <c r="I222" s="37">
        <f>'8. Input IC huur Gasunie'!I175</f>
        <v>2021</v>
      </c>
      <c r="J222" s="42">
        <f>_xlfn.XLOOKUP(F222,'3. Input (des)investeringen '!$B$11:$B$89,'3. Input (des)investeringen '!$D$11:$D$89)</f>
        <v>30</v>
      </c>
      <c r="K222" s="42">
        <f>_xlfn.XLOOKUP(F222,'3. Input (des)investeringen '!$B$11:$B$89,'3. Input (des)investeringen '!$E$11:$E$89)</f>
        <v>0</v>
      </c>
      <c r="L222" s="42">
        <f>'8. Input IC huur Gasunie'!J175</f>
        <v>4070721.5945336674</v>
      </c>
      <c r="M222" s="42">
        <f>'8. Input IC huur Gasunie'!K175</f>
        <v>0</v>
      </c>
    </row>
    <row r="223" spans="2:13">
      <c r="B223" s="37" t="str">
        <f>'8. Input IC huur Gasunie'!B176</f>
        <v>Asset 165</v>
      </c>
      <c r="F223" s="37" t="str">
        <f>'8. Input IC huur Gasunie'!F176</f>
        <v>09 Bedrijfsinventaris</v>
      </c>
      <c r="G223" s="37">
        <f>'8. Input IC huur Gasunie'!G176</f>
        <v>2014</v>
      </c>
      <c r="H223" s="42">
        <f>'8. Input IC huur Gasunie'!H176</f>
        <v>332895.6529706032</v>
      </c>
      <c r="I223" s="37">
        <f>'8. Input IC huur Gasunie'!I176</f>
        <v>2021</v>
      </c>
      <c r="J223" s="42">
        <f>_xlfn.XLOOKUP(F223,'3. Input (des)investeringen '!$B$11:$B$89,'3. Input (des)investeringen '!$D$11:$D$89)</f>
        <v>10</v>
      </c>
      <c r="K223" s="42">
        <f>_xlfn.XLOOKUP(F223,'3. Input (des)investeringen '!$B$11:$B$89,'3. Input (des)investeringen '!$E$11:$E$89)</f>
        <v>1</v>
      </c>
      <c r="L223" s="42">
        <f>'8. Input IC huur Gasunie'!J176</f>
        <v>90814.939173486709</v>
      </c>
      <c r="M223" s="42">
        <f>'8. Input IC huur Gasunie'!K176</f>
        <v>0</v>
      </c>
    </row>
    <row r="224" spans="2:13">
      <c r="B224" s="37" t="str">
        <f>'8. Input IC huur Gasunie'!B177</f>
        <v>Asset 166</v>
      </c>
      <c r="F224" s="37" t="str">
        <f>'8. Input IC huur Gasunie'!F177</f>
        <v>10 Gereedschap</v>
      </c>
      <c r="G224" s="37">
        <f>'8. Input IC huur Gasunie'!G177</f>
        <v>2014</v>
      </c>
      <c r="H224" s="42">
        <f>'8. Input IC huur Gasunie'!H177</f>
        <v>294123.8734031191</v>
      </c>
      <c r="I224" s="37">
        <f>'8. Input IC huur Gasunie'!I177</f>
        <v>2021</v>
      </c>
      <c r="J224" s="42">
        <f>_xlfn.XLOOKUP(F224,'3. Input (des)investeringen '!$B$11:$B$89,'3. Input (des)investeringen '!$D$11:$D$89)</f>
        <v>10</v>
      </c>
      <c r="K224" s="42">
        <f>_xlfn.XLOOKUP(F224,'3. Input (des)investeringen '!$B$11:$B$89,'3. Input (des)investeringen '!$E$11:$E$89)</f>
        <v>1</v>
      </c>
      <c r="L224" s="42">
        <f>'8. Input IC huur Gasunie'!J177</f>
        <v>80237.880651848885</v>
      </c>
      <c r="M224" s="42">
        <f>'8. Input IC huur Gasunie'!K177</f>
        <v>0</v>
      </c>
    </row>
    <row r="225" spans="2:13">
      <c r="B225" s="37" t="str">
        <f>'8. Input IC huur Gasunie'!B178</f>
        <v>Asset 167</v>
      </c>
      <c r="F225" s="37" t="str">
        <f>'8. Input IC huur Gasunie'!F178</f>
        <v>13 Aanhangwagens</v>
      </c>
      <c r="G225" s="37">
        <f>'8. Input IC huur Gasunie'!G178</f>
        <v>2014</v>
      </c>
      <c r="H225" s="42">
        <f>'8. Input IC huur Gasunie'!H178</f>
        <v>24919.261718386999</v>
      </c>
      <c r="I225" s="37">
        <f>'8. Input IC huur Gasunie'!I178</f>
        <v>2021</v>
      </c>
      <c r="J225" s="42">
        <f>_xlfn.XLOOKUP(F225,'3. Input (des)investeringen '!$B$11:$B$89,'3. Input (des)investeringen '!$D$11:$D$89)</f>
        <v>10</v>
      </c>
      <c r="K225" s="42">
        <f>_xlfn.XLOOKUP(F225,'3. Input (des)investeringen '!$B$11:$B$89,'3. Input (des)investeringen '!$E$11:$E$89)</f>
        <v>1</v>
      </c>
      <c r="L225" s="42">
        <f>'8. Input IC huur Gasunie'!J178</f>
        <v>6798.0498303573586</v>
      </c>
      <c r="M225" s="42">
        <f>'8. Input IC huur Gasunie'!K178</f>
        <v>0</v>
      </c>
    </row>
    <row r="226" spans="2:13">
      <c r="B226" s="37" t="str">
        <f>'8. Input IC huur Gasunie'!B179</f>
        <v>Asset 168</v>
      </c>
      <c r="F226" s="37" t="str">
        <f>'8. Input IC huur Gasunie'!F179</f>
        <v>11 Werktuigen</v>
      </c>
      <c r="G226" s="37">
        <f>'8. Input IC huur Gasunie'!G179</f>
        <v>2014</v>
      </c>
      <c r="H226" s="42">
        <f>'8. Input IC huur Gasunie'!H179</f>
        <v>264974.99557180319</v>
      </c>
      <c r="I226" s="37">
        <f>'8. Input IC huur Gasunie'!I179</f>
        <v>2021</v>
      </c>
      <c r="J226" s="42">
        <f>_xlfn.XLOOKUP(F226,'3. Input (des)investeringen '!$B$11:$B$89,'3. Input (des)investeringen '!$D$11:$D$89)</f>
        <v>10</v>
      </c>
      <c r="K226" s="42">
        <f>_xlfn.XLOOKUP(F226,'3. Input (des)investeringen '!$B$11:$B$89,'3. Input (des)investeringen '!$E$11:$E$89)</f>
        <v>1</v>
      </c>
      <c r="L226" s="42">
        <f>'8. Input IC huur Gasunie'!J179</f>
        <v>72285.978776277945</v>
      </c>
      <c r="M226" s="42">
        <f>'8. Input IC huur Gasunie'!K179</f>
        <v>0</v>
      </c>
    </row>
    <row r="227" spans="2:13">
      <c r="B227" s="37" t="str">
        <f>'8. Input IC huur Gasunie'!B180</f>
        <v>Asset 169</v>
      </c>
      <c r="F227" s="37" t="str">
        <f>'8. Input IC huur Gasunie'!F180</f>
        <v>08 Inrichting gebouwen</v>
      </c>
      <c r="G227" s="37">
        <f>'8. Input IC huur Gasunie'!G180</f>
        <v>2014</v>
      </c>
      <c r="H227" s="42">
        <f>'8. Input IC huur Gasunie'!H180</f>
        <v>724167.86511950963</v>
      </c>
      <c r="I227" s="37">
        <f>'8. Input IC huur Gasunie'!I180</f>
        <v>2021</v>
      </c>
      <c r="J227" s="42">
        <f>_xlfn.XLOOKUP(F227,'3. Input (des)investeringen '!$B$11:$B$89,'3. Input (des)investeringen '!$D$11:$D$89)</f>
        <v>10</v>
      </c>
      <c r="K227" s="42">
        <f>_xlfn.XLOOKUP(F227,'3. Input (des)investeringen '!$B$11:$B$89,'3. Input (des)investeringen '!$E$11:$E$89)</f>
        <v>0</v>
      </c>
      <c r="L227" s="42">
        <f>'8. Input IC huur Gasunie'!J180</f>
        <v>197555.1799351057</v>
      </c>
      <c r="M227" s="42">
        <f>'8. Input IC huur Gasunie'!K180</f>
        <v>0</v>
      </c>
    </row>
    <row r="228" spans="2:13">
      <c r="B228" s="37" t="str">
        <f>'8. Input IC huur Gasunie'!B181</f>
        <v>Asset 170</v>
      </c>
      <c r="F228" s="37" t="str">
        <f>'8. Input IC huur Gasunie'!F181</f>
        <v>14 Overig rollend materieel (odorisatie)</v>
      </c>
      <c r="G228" s="37">
        <f>'8. Input IC huur Gasunie'!G181</f>
        <v>2014</v>
      </c>
      <c r="H228" s="42">
        <f>'8. Input IC huur Gasunie'!H181</f>
        <v>1415.9999999999968</v>
      </c>
      <c r="I228" s="37">
        <f>'8. Input IC huur Gasunie'!I181</f>
        <v>2021</v>
      </c>
      <c r="J228" s="42">
        <f>_xlfn.XLOOKUP(F228,'3. Input (des)investeringen '!$B$11:$B$89,'3. Input (des)investeringen '!$D$11:$D$89)</f>
        <v>10</v>
      </c>
      <c r="K228" s="42">
        <f>_xlfn.XLOOKUP(F228,'3. Input (des)investeringen '!$B$11:$B$89,'3. Input (des)investeringen '!$E$11:$E$89)</f>
        <v>0</v>
      </c>
      <c r="L228" s="42">
        <f>'8. Input IC huur Gasunie'!J181</f>
        <v>386.28907503641284</v>
      </c>
      <c r="M228" s="42">
        <f>'8. Input IC huur Gasunie'!K181</f>
        <v>0</v>
      </c>
    </row>
    <row r="229" spans="2:13">
      <c r="B229" s="37" t="str">
        <f>'8. Input IC huur Gasunie'!B182</f>
        <v>Asset 171</v>
      </c>
      <c r="F229" s="37" t="str">
        <f>'8. Input IC huur Gasunie'!F182</f>
        <v>14 Overig rollend materieel (odorisatie)</v>
      </c>
      <c r="G229" s="37">
        <f>'8. Input IC huur Gasunie'!G182</f>
        <v>2015</v>
      </c>
      <c r="H229" s="42">
        <f>'8. Input IC huur Gasunie'!H182</f>
        <v>43315.304046858677</v>
      </c>
      <c r="I229" s="37">
        <f>'8. Input IC huur Gasunie'!I182</f>
        <v>2021</v>
      </c>
      <c r="J229" s="42">
        <f>_xlfn.XLOOKUP(F229,'3. Input (des)investeringen '!$B$11:$B$89,'3. Input (des)investeringen '!$D$11:$D$89)</f>
        <v>10</v>
      </c>
      <c r="K229" s="42">
        <f>_xlfn.XLOOKUP(F229,'3. Input (des)investeringen '!$B$11:$B$89,'3. Input (des)investeringen '!$E$11:$E$89)</f>
        <v>0</v>
      </c>
      <c r="L229" s="42">
        <f>'8. Input IC huur Gasunie'!J182</f>
        <v>16379.370300704035</v>
      </c>
      <c r="M229" s="42">
        <f>'8. Input IC huur Gasunie'!K182</f>
        <v>0</v>
      </c>
    </row>
    <row r="230" spans="2:13">
      <c r="B230" s="37" t="str">
        <f>'8. Input IC huur Gasunie'!B183</f>
        <v>Asset 172</v>
      </c>
      <c r="F230" s="37" t="str">
        <f>'8. Input IC huur Gasunie'!F183</f>
        <v>13 Aanhangwagens</v>
      </c>
      <c r="G230" s="37">
        <f>'8. Input IC huur Gasunie'!G183</f>
        <v>2015</v>
      </c>
      <c r="H230" s="42">
        <f>'8. Input IC huur Gasunie'!H183</f>
        <v>78424.550748692549</v>
      </c>
      <c r="I230" s="37">
        <f>'8. Input IC huur Gasunie'!I183</f>
        <v>2021</v>
      </c>
      <c r="J230" s="42">
        <f>_xlfn.XLOOKUP(F230,'3. Input (des)investeringen '!$B$11:$B$89,'3. Input (des)investeringen '!$D$11:$D$89)</f>
        <v>10</v>
      </c>
      <c r="K230" s="42">
        <f>_xlfn.XLOOKUP(F230,'3. Input (des)investeringen '!$B$11:$B$89,'3. Input (des)investeringen '!$E$11:$E$89)</f>
        <v>1</v>
      </c>
      <c r="L230" s="42">
        <f>'8. Input IC huur Gasunie'!J183</f>
        <v>29655.679110310892</v>
      </c>
      <c r="M230" s="42">
        <f>'8. Input IC huur Gasunie'!K183</f>
        <v>0</v>
      </c>
    </row>
    <row r="231" spans="2:13">
      <c r="B231" s="37" t="str">
        <f>'8. Input IC huur Gasunie'!B184</f>
        <v>Asset 173</v>
      </c>
      <c r="F231" s="37" t="str">
        <f>'8. Input IC huur Gasunie'!F184</f>
        <v>11 Werktuigen</v>
      </c>
      <c r="G231" s="37">
        <f>'8. Input IC huur Gasunie'!G184</f>
        <v>2015</v>
      </c>
      <c r="H231" s="42">
        <f>'8. Input IC huur Gasunie'!H184</f>
        <v>481116.61247078225</v>
      </c>
      <c r="I231" s="37">
        <f>'8. Input IC huur Gasunie'!I184</f>
        <v>2021</v>
      </c>
      <c r="J231" s="42">
        <f>_xlfn.XLOOKUP(F231,'3. Input (des)investeringen '!$B$11:$B$89,'3. Input (des)investeringen '!$D$11:$D$89)</f>
        <v>10</v>
      </c>
      <c r="K231" s="42">
        <f>_xlfn.XLOOKUP(F231,'3. Input (des)investeringen '!$B$11:$B$89,'3. Input (des)investeringen '!$E$11:$E$89)</f>
        <v>1</v>
      </c>
      <c r="L231" s="42">
        <f>'8. Input IC huur Gasunie'!J184</f>
        <v>181930.78236168518</v>
      </c>
      <c r="M231" s="42">
        <f>'8. Input IC huur Gasunie'!K184</f>
        <v>0</v>
      </c>
    </row>
    <row r="232" spans="2:13">
      <c r="B232" s="37" t="str">
        <f>'8. Input IC huur Gasunie'!B185</f>
        <v>Asset 174</v>
      </c>
      <c r="F232" s="37" t="str">
        <f>'8. Input IC huur Gasunie'!F185</f>
        <v>39 ICT middelen 3</v>
      </c>
      <c r="G232" s="37">
        <f>'8. Input IC huur Gasunie'!G185</f>
        <v>2015</v>
      </c>
      <c r="H232" s="42">
        <f>'8. Input IC huur Gasunie'!H185</f>
        <v>13785822.782425826</v>
      </c>
      <c r="I232" s="37">
        <f>'8. Input IC huur Gasunie'!I185</f>
        <v>2021</v>
      </c>
      <c r="J232" s="42">
        <f>_xlfn.XLOOKUP(F232,'3. Input (des)investeringen '!$B$11:$B$89,'3. Input (des)investeringen '!$D$11:$D$89)</f>
        <v>15</v>
      </c>
      <c r="K232" s="42">
        <f>_xlfn.XLOOKUP(F232,'3. Input (des)investeringen '!$B$11:$B$89,'3. Input (des)investeringen '!$E$11:$E$89)</f>
        <v>1</v>
      </c>
      <c r="L232" s="42">
        <f>'8. Input IC huur Gasunie'!J185</f>
        <v>8440110.7970265597</v>
      </c>
      <c r="M232" s="42">
        <f>'8. Input IC huur Gasunie'!K185</f>
        <v>0</v>
      </c>
    </row>
    <row r="233" spans="2:13">
      <c r="B233" s="37" t="str">
        <f>'8. Input IC huur Gasunie'!B186</f>
        <v>Asset 175</v>
      </c>
      <c r="F233" s="37" t="str">
        <f>'8. Input IC huur Gasunie'!F186</f>
        <v>12 Motorvoertuigen</v>
      </c>
      <c r="G233" s="37">
        <f>'8. Input IC huur Gasunie'!G186</f>
        <v>2015</v>
      </c>
      <c r="H233" s="42">
        <f>'8. Input IC huur Gasunie'!H186</f>
        <v>43877.173224174046</v>
      </c>
      <c r="I233" s="37">
        <f>'8. Input IC huur Gasunie'!I186</f>
        <v>2021</v>
      </c>
      <c r="J233" s="42">
        <f>_xlfn.XLOOKUP(F233,'3. Input (des)investeringen '!$B$11:$B$89,'3. Input (des)investeringen '!$D$11:$D$89)</f>
        <v>10</v>
      </c>
      <c r="K233" s="42">
        <f>_xlfn.XLOOKUP(F233,'3. Input (des)investeringen '!$B$11:$B$89,'3. Input (des)investeringen '!$E$11:$E$89)</f>
        <v>1</v>
      </c>
      <c r="L233" s="42">
        <f>'8. Input IC huur Gasunie'!J186</f>
        <v>16591.837083941773</v>
      </c>
      <c r="M233" s="42">
        <f>'8. Input IC huur Gasunie'!K186</f>
        <v>0</v>
      </c>
    </row>
    <row r="234" spans="2:13">
      <c r="B234" s="37" t="str">
        <f>'8. Input IC huur Gasunie'!B187</f>
        <v>Asset 176</v>
      </c>
      <c r="F234" s="37" t="str">
        <f>'8. Input IC huur Gasunie'!F187</f>
        <v>09 Bedrijfsinventaris</v>
      </c>
      <c r="G234" s="37">
        <f>'8. Input IC huur Gasunie'!G187</f>
        <v>2015</v>
      </c>
      <c r="H234" s="42">
        <f>'8. Input IC huur Gasunie'!H187</f>
        <v>153470.91831934603</v>
      </c>
      <c r="I234" s="37">
        <f>'8. Input IC huur Gasunie'!I187</f>
        <v>2021</v>
      </c>
      <c r="J234" s="42">
        <f>_xlfn.XLOOKUP(F234,'3. Input (des)investeringen '!$B$11:$B$89,'3. Input (des)investeringen '!$D$11:$D$89)</f>
        <v>10</v>
      </c>
      <c r="K234" s="42">
        <f>_xlfn.XLOOKUP(F234,'3. Input (des)investeringen '!$B$11:$B$89,'3. Input (des)investeringen '!$E$11:$E$89)</f>
        <v>1</v>
      </c>
      <c r="L234" s="42">
        <f>'8. Input IC huur Gasunie'!J187</f>
        <v>58033.922579009974</v>
      </c>
      <c r="M234" s="42">
        <f>'8. Input IC huur Gasunie'!K187</f>
        <v>0</v>
      </c>
    </row>
    <row r="235" spans="2:13">
      <c r="B235" s="37" t="str">
        <f>'8. Input IC huur Gasunie'!B188</f>
        <v>Asset 177</v>
      </c>
      <c r="F235" s="37" t="str">
        <f>'8. Input IC huur Gasunie'!F188</f>
        <v>20 Kantoorgebouwen</v>
      </c>
      <c r="G235" s="37">
        <f>'8. Input IC huur Gasunie'!G188</f>
        <v>2015</v>
      </c>
      <c r="H235" s="42">
        <f>'8. Input IC huur Gasunie'!H188</f>
        <v>2375369.7957282378</v>
      </c>
      <c r="I235" s="37">
        <f>'8. Input IC huur Gasunie'!I188</f>
        <v>2021</v>
      </c>
      <c r="J235" s="42">
        <f>_xlfn.XLOOKUP(F235,'3. Input (des)investeringen '!$B$11:$B$89,'3. Input (des)investeringen '!$D$11:$D$89)</f>
        <v>30</v>
      </c>
      <c r="K235" s="42">
        <f>_xlfn.XLOOKUP(F235,'3. Input (des)investeringen '!$B$11:$B$89,'3. Input (des)investeringen '!$E$11:$E$89)</f>
        <v>0</v>
      </c>
      <c r="L235" s="42">
        <f>'8. Input IC huur Gasunie'!J188</f>
        <v>2010322.0086927759</v>
      </c>
      <c r="M235" s="42">
        <f>'8. Input IC huur Gasunie'!K188</f>
        <v>0</v>
      </c>
    </row>
    <row r="236" spans="2:13">
      <c r="B236" s="37" t="str">
        <f>'8. Input IC huur Gasunie'!B189</f>
        <v>Asset 178</v>
      </c>
      <c r="F236" s="37" t="str">
        <f>'8. Input IC huur Gasunie'!F189</f>
        <v>06 Utiliteitsgebouwen</v>
      </c>
      <c r="G236" s="37">
        <f>'8. Input IC huur Gasunie'!G189</f>
        <v>2015</v>
      </c>
      <c r="H236" s="42">
        <f>'8. Input IC huur Gasunie'!H189</f>
        <v>516544.29057147249</v>
      </c>
      <c r="I236" s="37">
        <f>'8. Input IC huur Gasunie'!I189</f>
        <v>2021</v>
      </c>
      <c r="J236" s="42">
        <f>_xlfn.XLOOKUP(F236,'3. Input (des)investeringen '!$B$11:$B$89,'3. Input (des)investeringen '!$D$11:$D$89)</f>
        <v>30</v>
      </c>
      <c r="K236" s="42">
        <f>_xlfn.XLOOKUP(F236,'3. Input (des)investeringen '!$B$11:$B$89,'3. Input (des)investeringen '!$E$11:$E$89)</f>
        <v>0</v>
      </c>
      <c r="L236" s="42">
        <f>'8. Input IC huur Gasunie'!J189</f>
        <v>437161.55592610373</v>
      </c>
      <c r="M236" s="42">
        <f>'8. Input IC huur Gasunie'!K189</f>
        <v>0</v>
      </c>
    </row>
    <row r="237" spans="2:13">
      <c r="B237" s="37" t="str">
        <f>'8. Input IC huur Gasunie'!B190</f>
        <v>Asset 179</v>
      </c>
      <c r="F237" s="37" t="str">
        <f>'8. Input IC huur Gasunie'!F190</f>
        <v>08 Inrichting gebouwen</v>
      </c>
      <c r="G237" s="37">
        <f>'8. Input IC huur Gasunie'!G190</f>
        <v>2015</v>
      </c>
      <c r="H237" s="42">
        <f>'8. Input IC huur Gasunie'!H190</f>
        <v>406758.82739129546</v>
      </c>
      <c r="I237" s="37">
        <f>'8. Input IC huur Gasunie'!I190</f>
        <v>2021</v>
      </c>
      <c r="J237" s="42">
        <f>_xlfn.XLOOKUP(F237,'3. Input (des)investeringen '!$B$11:$B$89,'3. Input (des)investeringen '!$D$11:$D$89)</f>
        <v>10</v>
      </c>
      <c r="K237" s="42">
        <f>_xlfn.XLOOKUP(F237,'3. Input (des)investeringen '!$B$11:$B$89,'3. Input (des)investeringen '!$E$11:$E$89)</f>
        <v>0</v>
      </c>
      <c r="L237" s="42">
        <f>'8. Input IC huur Gasunie'!J190</f>
        <v>153812.9214033616</v>
      </c>
      <c r="M237" s="42">
        <f>'8. Input IC huur Gasunie'!K190</f>
        <v>0</v>
      </c>
    </row>
    <row r="238" spans="2:13">
      <c r="B238" s="37" t="str">
        <f>'8. Input IC huur Gasunie'!B191</f>
        <v>Asset 180</v>
      </c>
      <c r="F238" s="37" t="str">
        <f>'8. Input IC huur Gasunie'!F191</f>
        <v>20 Kantoorgebouwen</v>
      </c>
      <c r="G238" s="37">
        <f>'8. Input IC huur Gasunie'!G191</f>
        <v>2016</v>
      </c>
      <c r="H238" s="42">
        <f>'8. Input IC huur Gasunie'!H191</f>
        <v>229380.26938547671</v>
      </c>
      <c r="I238" s="37">
        <f>'8. Input IC huur Gasunie'!I191</f>
        <v>2021</v>
      </c>
      <c r="J238" s="42">
        <f>_xlfn.XLOOKUP(F238,'3. Input (des)investeringen '!$B$11:$B$89,'3. Input (des)investeringen '!$D$11:$D$89)</f>
        <v>30</v>
      </c>
      <c r="K238" s="42">
        <f>_xlfn.XLOOKUP(F238,'3. Input (des)investeringen '!$B$11:$B$89,'3. Input (des)investeringen '!$E$11:$E$89)</f>
        <v>0</v>
      </c>
      <c r="L238" s="42">
        <f>'8. Input IC huur Gasunie'!J191</f>
        <v>200783.5579674957</v>
      </c>
      <c r="M238" s="42">
        <f>'8. Input IC huur Gasunie'!K191</f>
        <v>0</v>
      </c>
    </row>
    <row r="239" spans="2:13">
      <c r="B239" s="37" t="str">
        <f>'8. Input IC huur Gasunie'!B192</f>
        <v>Asset 181</v>
      </c>
      <c r="F239" s="37" t="str">
        <f>'8. Input IC huur Gasunie'!F192</f>
        <v>39 ICT middelen 3</v>
      </c>
      <c r="G239" s="37">
        <f>'8. Input IC huur Gasunie'!G192</f>
        <v>2016</v>
      </c>
      <c r="H239" s="42">
        <f>'8. Input IC huur Gasunie'!H192</f>
        <v>529286.5107518764</v>
      </c>
      <c r="I239" s="37">
        <f>'8. Input IC huur Gasunie'!I192</f>
        <v>2021</v>
      </c>
      <c r="J239" s="42">
        <f>_xlfn.XLOOKUP(F239,'3. Input (des)investeringen '!$B$11:$B$89,'3. Input (des)investeringen '!$D$11:$D$89)</f>
        <v>15</v>
      </c>
      <c r="K239" s="42">
        <f>_xlfn.XLOOKUP(F239,'3. Input (des)investeringen '!$B$11:$B$89,'3. Input (des)investeringen '!$E$11:$E$89)</f>
        <v>1</v>
      </c>
      <c r="L239" s="42">
        <f>'8. Input IC huur Gasunie'!J192</f>
        <v>359294.38470756344</v>
      </c>
      <c r="M239" s="42">
        <f>'8. Input IC huur Gasunie'!K192</f>
        <v>0</v>
      </c>
    </row>
    <row r="240" spans="2:13">
      <c r="B240" s="37" t="str">
        <f>'8. Input IC huur Gasunie'!B193</f>
        <v>Asset 182</v>
      </c>
      <c r="F240" s="37" t="str">
        <f>'8. Input IC huur Gasunie'!F193</f>
        <v>12 Motorvoertuigen</v>
      </c>
      <c r="G240" s="37">
        <f>'8. Input IC huur Gasunie'!G193</f>
        <v>2016</v>
      </c>
      <c r="H240" s="42">
        <f>'8. Input IC huur Gasunie'!H193</f>
        <v>28567.827468907908</v>
      </c>
      <c r="I240" s="37">
        <f>'8. Input IC huur Gasunie'!I193</f>
        <v>2021</v>
      </c>
      <c r="J240" s="42">
        <f>_xlfn.XLOOKUP(F240,'3. Input (des)investeringen '!$B$11:$B$89,'3. Input (des)investeringen '!$D$11:$D$89)</f>
        <v>10</v>
      </c>
      <c r="K240" s="42">
        <f>_xlfn.XLOOKUP(F240,'3. Input (des)investeringen '!$B$11:$B$89,'3. Input (des)investeringen '!$E$11:$E$89)</f>
        <v>1</v>
      </c>
      <c r="L240" s="42">
        <f>'8. Input IC huur Gasunie'!J193</f>
        <v>13778.977338155324</v>
      </c>
      <c r="M240" s="42">
        <f>'8. Input IC huur Gasunie'!K193</f>
        <v>0</v>
      </c>
    </row>
    <row r="241" spans="2:13">
      <c r="B241" s="37" t="str">
        <f>'8. Input IC huur Gasunie'!B194</f>
        <v>Asset 183</v>
      </c>
      <c r="F241" s="37" t="str">
        <f>'8. Input IC huur Gasunie'!F194</f>
        <v>06 Utiliteitsgebouwen</v>
      </c>
      <c r="G241" s="37">
        <f>'8. Input IC huur Gasunie'!G194</f>
        <v>2016</v>
      </c>
      <c r="H241" s="42">
        <f>'8. Input IC huur Gasunie'!H194</f>
        <v>69569.550579382194</v>
      </c>
      <c r="I241" s="37">
        <f>'8. Input IC huur Gasunie'!I194</f>
        <v>2021</v>
      </c>
      <c r="J241" s="42">
        <f>_xlfn.XLOOKUP(F241,'3. Input (des)investeringen '!$B$11:$B$89,'3. Input (des)investeringen '!$D$11:$D$89)</f>
        <v>30</v>
      </c>
      <c r="K241" s="42">
        <f>_xlfn.XLOOKUP(F241,'3. Input (des)investeringen '!$B$11:$B$89,'3. Input (des)investeringen '!$E$11:$E$89)</f>
        <v>0</v>
      </c>
      <c r="L241" s="42">
        <f>'8. Input IC huur Gasunie'!J194</f>
        <v>60896.353156050573</v>
      </c>
      <c r="M241" s="42">
        <f>'8. Input IC huur Gasunie'!K194</f>
        <v>0</v>
      </c>
    </row>
    <row r="242" spans="2:13">
      <c r="B242" s="37" t="str">
        <f>'8. Input IC huur Gasunie'!B195</f>
        <v>Asset 184</v>
      </c>
      <c r="F242" s="37" t="str">
        <f>'8. Input IC huur Gasunie'!F195</f>
        <v>09 Bedrijfsinventaris</v>
      </c>
      <c r="G242" s="37">
        <f>'8. Input IC huur Gasunie'!G195</f>
        <v>2016</v>
      </c>
      <c r="H242" s="42">
        <f>'8. Input IC huur Gasunie'!H195</f>
        <v>285684.31746031862</v>
      </c>
      <c r="I242" s="37">
        <f>'8. Input IC huur Gasunie'!I195</f>
        <v>2021</v>
      </c>
      <c r="J242" s="42">
        <f>_xlfn.XLOOKUP(F242,'3. Input (des)investeringen '!$B$11:$B$89,'3. Input (des)investeringen '!$D$11:$D$89)</f>
        <v>10</v>
      </c>
      <c r="K242" s="42">
        <f>_xlfn.XLOOKUP(F242,'3. Input (des)investeringen '!$B$11:$B$89,'3. Input (des)investeringen '!$E$11:$E$89)</f>
        <v>1</v>
      </c>
      <c r="L242" s="42">
        <f>'8. Input IC huur Gasunie'!J195</f>
        <v>137792.68796118168</v>
      </c>
      <c r="M242" s="42">
        <f>'8. Input IC huur Gasunie'!K195</f>
        <v>0</v>
      </c>
    </row>
    <row r="243" spans="2:13">
      <c r="B243" s="37" t="str">
        <f>'8. Input IC huur Gasunie'!B196</f>
        <v>Asset 185</v>
      </c>
      <c r="F243" s="37" t="str">
        <f>'8. Input IC huur Gasunie'!F196</f>
        <v>08 Inrichting gebouwen</v>
      </c>
      <c r="G243" s="37">
        <f>'8. Input IC huur Gasunie'!G196</f>
        <v>2016</v>
      </c>
      <c r="H243" s="42">
        <f>'8. Input IC huur Gasunie'!H196</f>
        <v>23169.006741347624</v>
      </c>
      <c r="I243" s="37">
        <f>'8. Input IC huur Gasunie'!I196</f>
        <v>2021</v>
      </c>
      <c r="J243" s="42">
        <f>_xlfn.XLOOKUP(F243,'3. Input (des)investeringen '!$B$11:$B$89,'3. Input (des)investeringen '!$D$11:$D$89)</f>
        <v>10</v>
      </c>
      <c r="K243" s="42">
        <f>_xlfn.XLOOKUP(F243,'3. Input (des)investeringen '!$B$11:$B$89,'3. Input (des)investeringen '!$E$11:$E$89)</f>
        <v>0</v>
      </c>
      <c r="L243" s="42">
        <f>'8. Input IC huur Gasunie'!J196</f>
        <v>11174.991139387506</v>
      </c>
      <c r="M243" s="42">
        <f>'8. Input IC huur Gasunie'!K196</f>
        <v>0</v>
      </c>
    </row>
    <row r="244" spans="2:13">
      <c r="B244" s="37" t="str">
        <f>'8. Input IC huur Gasunie'!B197</f>
        <v>Asset 186</v>
      </c>
      <c r="F244" s="37" t="str">
        <f>'8. Input IC huur Gasunie'!F197</f>
        <v>11 Werktuigen (KC)</v>
      </c>
      <c r="G244" s="37">
        <f>'8. Input IC huur Gasunie'!G197</f>
        <v>2017</v>
      </c>
      <c r="H244" s="42">
        <f>'8. Input IC huur Gasunie'!H197</f>
        <v>42505.139899436123</v>
      </c>
      <c r="I244" s="37">
        <f>'8. Input IC huur Gasunie'!I197</f>
        <v>2021</v>
      </c>
      <c r="J244" s="42">
        <f>_xlfn.XLOOKUP(F244,'3. Input (des)investeringen '!$B$11:$B$89,'3. Input (des)investeringen '!$D$11:$D$89)</f>
        <v>10</v>
      </c>
      <c r="K244" s="42">
        <f>_xlfn.XLOOKUP(F244,'3. Input (des)investeringen '!$B$11:$B$89,'3. Input (des)investeringen '!$E$11:$E$89)</f>
        <v>0</v>
      </c>
      <c r="L244" s="42">
        <f>'8. Input IC huur Gasunie'!J197</f>
        <v>25007.119857240814</v>
      </c>
      <c r="M244" s="42">
        <f>'8. Input IC huur Gasunie'!K197</f>
        <v>0</v>
      </c>
    </row>
    <row r="245" spans="2:13">
      <c r="B245" s="37" t="str">
        <f>'8. Input IC huur Gasunie'!B198</f>
        <v>Asset 187</v>
      </c>
      <c r="F245" s="37" t="str">
        <f>'8. Input IC huur Gasunie'!F198</f>
        <v>10 Gereedschap</v>
      </c>
      <c r="G245" s="37">
        <f>'8. Input IC huur Gasunie'!G198</f>
        <v>2017</v>
      </c>
      <c r="H245" s="42">
        <f>'8. Input IC huur Gasunie'!H198</f>
        <v>283180.78041617683</v>
      </c>
      <c r="I245" s="37">
        <f>'8. Input IC huur Gasunie'!I198</f>
        <v>2021</v>
      </c>
      <c r="J245" s="42">
        <f>_xlfn.XLOOKUP(F245,'3. Input (des)investeringen '!$B$11:$B$89,'3. Input (des)investeringen '!$D$11:$D$89)</f>
        <v>10</v>
      </c>
      <c r="K245" s="42">
        <f>_xlfn.XLOOKUP(F245,'3. Input (des)investeringen '!$B$11:$B$89,'3. Input (des)investeringen '!$E$11:$E$89)</f>
        <v>1</v>
      </c>
      <c r="L245" s="42">
        <f>'8. Input IC huur Gasunie'!J198</f>
        <v>166604.2208986652</v>
      </c>
      <c r="M245" s="42">
        <f>'8. Input IC huur Gasunie'!K198</f>
        <v>0</v>
      </c>
    </row>
    <row r="246" spans="2:13">
      <c r="B246" s="37" t="str">
        <f>'8. Input IC huur Gasunie'!B199</f>
        <v>Asset 188</v>
      </c>
      <c r="F246" s="37" t="str">
        <f>'8. Input IC huur Gasunie'!F199</f>
        <v>10 Gereedschap</v>
      </c>
      <c r="G246" s="37">
        <f>'8. Input IC huur Gasunie'!G199</f>
        <v>2016</v>
      </c>
      <c r="H246" s="42">
        <f>'8. Input IC huur Gasunie'!H199</f>
        <v>59355.750635093973</v>
      </c>
      <c r="I246" s="37">
        <f>'8. Input IC huur Gasunie'!I199</f>
        <v>2021</v>
      </c>
      <c r="J246" s="42">
        <f>_xlfn.XLOOKUP(F246,'3. Input (des)investeringen '!$B$11:$B$89,'3. Input (des)investeringen '!$D$11:$D$89)</f>
        <v>10</v>
      </c>
      <c r="K246" s="42">
        <f>_xlfn.XLOOKUP(F246,'3. Input (des)investeringen '!$B$11:$B$89,'3. Input (des)investeringen '!$E$11:$E$89)</f>
        <v>1</v>
      </c>
      <c r="L246" s="42">
        <f>'8. Input IC huur Gasunie'!J199</f>
        <v>28628.76232994219</v>
      </c>
      <c r="M246" s="42">
        <f>'8. Input IC huur Gasunie'!K199</f>
        <v>0</v>
      </c>
    </row>
    <row r="247" spans="2:13">
      <c r="B247" s="37" t="str">
        <f>'8. Input IC huur Gasunie'!B200</f>
        <v>Asset 189</v>
      </c>
      <c r="F247" s="37" t="str">
        <f>'8. Input IC huur Gasunie'!F200</f>
        <v>20 Kantoorgebouwen</v>
      </c>
      <c r="G247" s="37">
        <f>'8. Input IC huur Gasunie'!G200</f>
        <v>2017</v>
      </c>
      <c r="H247" s="42">
        <f>'8. Input IC huur Gasunie'!H200</f>
        <v>1235103.6006231268</v>
      </c>
      <c r="I247" s="37">
        <f>'8. Input IC huur Gasunie'!I200</f>
        <v>2021</v>
      </c>
      <c r="J247" s="42">
        <f>_xlfn.XLOOKUP(F247,'3. Input (des)investeringen '!$B$11:$B$89,'3. Input (des)investeringen '!$D$11:$D$89)</f>
        <v>30</v>
      </c>
      <c r="K247" s="42">
        <f>_xlfn.XLOOKUP(F247,'3. Input (des)investeringen '!$B$11:$B$89,'3. Input (des)investeringen '!$E$11:$E$89)</f>
        <v>0</v>
      </c>
      <c r="L247" s="42">
        <f>'8. Input IC huur Gasunie'!J200</f>
        <v>1123005.4133120223</v>
      </c>
      <c r="M247" s="42">
        <f>'8. Input IC huur Gasunie'!K200</f>
        <v>0</v>
      </c>
    </row>
    <row r="248" spans="2:13">
      <c r="B248" s="37" t="str">
        <f>'8. Input IC huur Gasunie'!B201</f>
        <v>Asset 190</v>
      </c>
      <c r="F248" s="37" t="str">
        <f>'8. Input IC huur Gasunie'!F201</f>
        <v>13 Aanhangwagens</v>
      </c>
      <c r="G248" s="37">
        <f>'8. Input IC huur Gasunie'!G201</f>
        <v>2017</v>
      </c>
      <c r="H248" s="42">
        <f>'8. Input IC huur Gasunie'!H201</f>
        <v>251242.94461834809</v>
      </c>
      <c r="I248" s="37">
        <f>'8. Input IC huur Gasunie'!I201</f>
        <v>2021</v>
      </c>
      <c r="J248" s="42">
        <f>_xlfn.XLOOKUP(F248,'3. Input (des)investeringen '!$B$11:$B$89,'3. Input (des)investeringen '!$D$11:$D$89)</f>
        <v>10</v>
      </c>
      <c r="K248" s="42">
        <f>_xlfn.XLOOKUP(F248,'3. Input (des)investeringen '!$B$11:$B$89,'3. Input (des)investeringen '!$E$11:$E$89)</f>
        <v>1</v>
      </c>
      <c r="L248" s="42">
        <f>'8. Input IC huur Gasunie'!J201</f>
        <v>147814.18069019204</v>
      </c>
      <c r="M248" s="42">
        <f>'8. Input IC huur Gasunie'!K201</f>
        <v>0</v>
      </c>
    </row>
    <row r="249" spans="2:13">
      <c r="B249" s="37" t="str">
        <f>'8. Input IC huur Gasunie'!B202</f>
        <v>Asset 191</v>
      </c>
      <c r="F249" s="37" t="str">
        <f>'8. Input IC huur Gasunie'!F202</f>
        <v>12 Motorvoertuigen</v>
      </c>
      <c r="G249" s="37">
        <f>'8. Input IC huur Gasunie'!G202</f>
        <v>2017</v>
      </c>
      <c r="H249" s="42">
        <f>'8. Input IC huur Gasunie'!H202</f>
        <v>342149.84909853589</v>
      </c>
      <c r="I249" s="37">
        <f>'8. Input IC huur Gasunie'!I202</f>
        <v>2021</v>
      </c>
      <c r="J249" s="42">
        <f>_xlfn.XLOOKUP(F249,'3. Input (des)investeringen '!$B$11:$B$89,'3. Input (des)investeringen '!$D$11:$D$89)</f>
        <v>10</v>
      </c>
      <c r="K249" s="42">
        <f>_xlfn.XLOOKUP(F249,'3. Input (des)investeringen '!$B$11:$B$89,'3. Input (des)investeringen '!$E$11:$E$89)</f>
        <v>1</v>
      </c>
      <c r="L249" s="42">
        <f>'8. Input IC huur Gasunie'!J202</f>
        <v>201297.59143922853</v>
      </c>
      <c r="M249" s="42">
        <f>'8. Input IC huur Gasunie'!K202</f>
        <v>0</v>
      </c>
    </row>
    <row r="250" spans="2:13">
      <c r="B250" s="37" t="str">
        <f>'8. Input IC huur Gasunie'!B203</f>
        <v>Asset 192</v>
      </c>
      <c r="F250" s="37" t="str">
        <f>'8. Input IC huur Gasunie'!F203</f>
        <v>10 Gereedschap (gaschromatografen en comptabele meters)</v>
      </c>
      <c r="G250" s="37">
        <f>'8. Input IC huur Gasunie'!G203</f>
        <v>2017</v>
      </c>
      <c r="H250" s="42">
        <f>'8. Input IC huur Gasunie'!H203</f>
        <v>492613.45921199484</v>
      </c>
      <c r="I250" s="37">
        <f>'8. Input IC huur Gasunie'!I203</f>
        <v>2021</v>
      </c>
      <c r="J250" s="42">
        <f>_xlfn.XLOOKUP(F250,'3. Input (des)investeringen '!$B$11:$B$89,'3. Input (des)investeringen '!$D$11:$D$89)</f>
        <v>10</v>
      </c>
      <c r="K250" s="42">
        <f>_xlfn.XLOOKUP(F250,'3. Input (des)investeringen '!$B$11:$B$89,'3. Input (des)investeringen '!$E$11:$E$89)</f>
        <v>0</v>
      </c>
      <c r="L250" s="42">
        <f>'8. Input IC huur Gasunie'!J203</f>
        <v>289820.09815635922</v>
      </c>
      <c r="M250" s="42">
        <f>'8. Input IC huur Gasunie'!K203</f>
        <v>0</v>
      </c>
    </row>
    <row r="251" spans="2:13">
      <c r="B251" s="37" t="str">
        <f>'8. Input IC huur Gasunie'!B204</f>
        <v>Asset 193</v>
      </c>
      <c r="F251" s="37" t="str">
        <f>'8. Input IC huur Gasunie'!F204</f>
        <v>11 Werktuigen</v>
      </c>
      <c r="G251" s="37">
        <f>'8. Input IC huur Gasunie'!G204</f>
        <v>2017</v>
      </c>
      <c r="H251" s="42">
        <f>'8. Input IC huur Gasunie'!H204</f>
        <v>2185364.6124668787</v>
      </c>
      <c r="I251" s="37">
        <f>'8. Input IC huur Gasunie'!I204</f>
        <v>2021</v>
      </c>
      <c r="J251" s="42">
        <f>_xlfn.XLOOKUP(F251,'3. Input (des)investeringen '!$B$11:$B$89,'3. Input (des)investeringen '!$D$11:$D$89)</f>
        <v>10</v>
      </c>
      <c r="K251" s="42">
        <f>_xlfn.XLOOKUP(F251,'3. Input (des)investeringen '!$B$11:$B$89,'3. Input (des)investeringen '!$E$11:$E$89)</f>
        <v>1</v>
      </c>
      <c r="L251" s="42">
        <f>'8. Input IC huur Gasunie'!J204</f>
        <v>1285719.20772473</v>
      </c>
      <c r="M251" s="42">
        <f>'8. Input IC huur Gasunie'!K204</f>
        <v>0</v>
      </c>
    </row>
    <row r="252" spans="2:13">
      <c r="B252" s="37" t="str">
        <f>'8. Input IC huur Gasunie'!B205</f>
        <v>Asset 194</v>
      </c>
      <c r="F252" s="37" t="str">
        <f>'8. Input IC huur Gasunie'!F205</f>
        <v>14 Overig rollend materieel</v>
      </c>
      <c r="G252" s="37">
        <f>'8. Input IC huur Gasunie'!G205</f>
        <v>2017</v>
      </c>
      <c r="H252" s="42">
        <f>'8. Input IC huur Gasunie'!H205</f>
        <v>68624.022512808762</v>
      </c>
      <c r="I252" s="37">
        <f>'8. Input IC huur Gasunie'!I205</f>
        <v>2021</v>
      </c>
      <c r="J252" s="42">
        <f>_xlfn.XLOOKUP(F252,'3. Input (des)investeringen '!$B$11:$B$89,'3. Input (des)investeringen '!$D$11:$D$89)</f>
        <v>10</v>
      </c>
      <c r="K252" s="42">
        <f>_xlfn.XLOOKUP(F252,'3. Input (des)investeringen '!$B$11:$B$89,'3. Input (des)investeringen '!$E$11:$E$89)</f>
        <v>1</v>
      </c>
      <c r="L252" s="42">
        <f>'8. Input IC huur Gasunie'!J205</f>
        <v>40373.685632465487</v>
      </c>
      <c r="M252" s="42">
        <f>'8. Input IC huur Gasunie'!K205</f>
        <v>0</v>
      </c>
    </row>
    <row r="253" spans="2:13">
      <c r="B253" s="37" t="str">
        <f>'8. Input IC huur Gasunie'!B206</f>
        <v>Asset 195</v>
      </c>
      <c r="F253" s="37" t="str">
        <f>'8. Input IC huur Gasunie'!F206</f>
        <v>09 Bedrijfsinventaris</v>
      </c>
      <c r="G253" s="37">
        <f>'8. Input IC huur Gasunie'!G206</f>
        <v>2017</v>
      </c>
      <c r="H253" s="42">
        <f>'8. Input IC huur Gasunie'!H206</f>
        <v>75086.588886849713</v>
      </c>
      <c r="I253" s="37">
        <f>'8. Input IC huur Gasunie'!I206</f>
        <v>2021</v>
      </c>
      <c r="J253" s="42">
        <f>_xlfn.XLOOKUP(F253,'3. Input (des)investeringen '!$B$11:$B$89,'3. Input (des)investeringen '!$D$11:$D$89)</f>
        <v>10</v>
      </c>
      <c r="K253" s="42">
        <f>_xlfn.XLOOKUP(F253,'3. Input (des)investeringen '!$B$11:$B$89,'3. Input (des)investeringen '!$E$11:$E$89)</f>
        <v>1</v>
      </c>
      <c r="L253" s="42">
        <f>'8. Input IC huur Gasunie'!J206</f>
        <v>44175.81808711389</v>
      </c>
      <c r="M253" s="42">
        <f>'8. Input IC huur Gasunie'!K206</f>
        <v>0</v>
      </c>
    </row>
    <row r="254" spans="2:13">
      <c r="B254" s="37" t="str">
        <f>'8. Input IC huur Gasunie'!B207</f>
        <v>Asset 196</v>
      </c>
      <c r="F254" s="37" t="str">
        <f>'8. Input IC huur Gasunie'!F207</f>
        <v>08 Inrichting gebouwen</v>
      </c>
      <c r="G254" s="37">
        <f>'8. Input IC huur Gasunie'!G207</f>
        <v>2017</v>
      </c>
      <c r="H254" s="42">
        <f>'8. Input IC huur Gasunie'!H207</f>
        <v>894081.48176313401</v>
      </c>
      <c r="I254" s="37">
        <f>'8. Input IC huur Gasunie'!I207</f>
        <v>2021</v>
      </c>
      <c r="J254" s="42">
        <f>_xlfn.XLOOKUP(F254,'3. Input (des)investeringen '!$B$11:$B$89,'3. Input (des)investeringen '!$D$11:$D$89)</f>
        <v>10</v>
      </c>
      <c r="K254" s="42">
        <f>_xlfn.XLOOKUP(F254,'3. Input (des)investeringen '!$B$11:$B$89,'3. Input (des)investeringen '!$E$11:$E$89)</f>
        <v>0</v>
      </c>
      <c r="L254" s="42">
        <f>'8. Input IC huur Gasunie'!J207</f>
        <v>526016.44952794898</v>
      </c>
      <c r="M254" s="42">
        <f>'8. Input IC huur Gasunie'!K207</f>
        <v>0</v>
      </c>
    </row>
    <row r="255" spans="2:13">
      <c r="B255" s="37" t="str">
        <f>'8. Input IC huur Gasunie'!B208</f>
        <v>Asset 197</v>
      </c>
      <c r="F255" s="37" t="str">
        <f>'8. Input IC huur Gasunie'!F208</f>
        <v>09 Bedrijfsinventaris</v>
      </c>
      <c r="G255" s="37">
        <f>'8. Input IC huur Gasunie'!G208</f>
        <v>2018</v>
      </c>
      <c r="H255" s="42">
        <f>'8. Input IC huur Gasunie'!H208</f>
        <v>490885.08786120504</v>
      </c>
      <c r="I255" s="37">
        <f>'8. Input IC huur Gasunie'!I208</f>
        <v>2021</v>
      </c>
      <c r="J255" s="42">
        <f>_xlfn.XLOOKUP(F255,'3. Input (des)investeringen '!$B$11:$B$89,'3. Input (des)investeringen '!$D$11:$D$89)</f>
        <v>10</v>
      </c>
      <c r="K255" s="42">
        <f>_xlfn.XLOOKUP(F255,'3. Input (des)investeringen '!$B$11:$B$89,'3. Input (des)investeringen '!$E$11:$E$89)</f>
        <v>1</v>
      </c>
      <c r="L255" s="42">
        <f>'8. Input IC huur Gasunie'!J208</f>
        <v>336600.51580018562</v>
      </c>
      <c r="M255" s="42">
        <f>'8. Input IC huur Gasunie'!K208</f>
        <v>0</v>
      </c>
    </row>
    <row r="256" spans="2:13">
      <c r="B256" s="37" t="str">
        <f>'8. Input IC huur Gasunie'!B209</f>
        <v>Asset 198</v>
      </c>
      <c r="F256" s="37" t="str">
        <f>'8. Input IC huur Gasunie'!F209</f>
        <v>08 Inrichting gebouwen</v>
      </c>
      <c r="G256" s="37">
        <f>'8. Input IC huur Gasunie'!G209</f>
        <v>2018</v>
      </c>
      <c r="H256" s="42">
        <f>'8. Input IC huur Gasunie'!H209</f>
        <v>533703.76265516167</v>
      </c>
      <c r="I256" s="37">
        <f>'8. Input IC huur Gasunie'!I209</f>
        <v>2021</v>
      </c>
      <c r="J256" s="42">
        <f>_xlfn.XLOOKUP(F256,'3. Input (des)investeringen '!$B$11:$B$89,'3. Input (des)investeringen '!$D$11:$D$89)</f>
        <v>10</v>
      </c>
      <c r="K256" s="42">
        <f>_xlfn.XLOOKUP(F256,'3. Input (des)investeringen '!$B$11:$B$89,'3. Input (des)investeringen '!$E$11:$E$89)</f>
        <v>0</v>
      </c>
      <c r="L256" s="42">
        <f>'8. Input IC huur Gasunie'!J209</f>
        <v>365961.33440708811</v>
      </c>
      <c r="M256" s="42">
        <f>'8. Input IC huur Gasunie'!K209</f>
        <v>0</v>
      </c>
    </row>
    <row r="257" spans="2:13">
      <c r="B257" s="37" t="str">
        <f>'8. Input IC huur Gasunie'!B210</f>
        <v>Asset 199</v>
      </c>
      <c r="F257" s="37" t="str">
        <f>'8. Input IC huur Gasunie'!F210</f>
        <v>11 Werktuigen</v>
      </c>
      <c r="G257" s="37">
        <f>'8. Input IC huur Gasunie'!G210</f>
        <v>2018</v>
      </c>
      <c r="H257" s="42">
        <f>'8. Input IC huur Gasunie'!H210</f>
        <v>2619455.826851733</v>
      </c>
      <c r="I257" s="37">
        <f>'8. Input IC huur Gasunie'!I210</f>
        <v>2021</v>
      </c>
      <c r="J257" s="42">
        <f>_xlfn.XLOOKUP(F257,'3. Input (des)investeringen '!$B$11:$B$89,'3. Input (des)investeringen '!$D$11:$D$89)</f>
        <v>10</v>
      </c>
      <c r="K257" s="42">
        <f>_xlfn.XLOOKUP(F257,'3. Input (des)investeringen '!$B$11:$B$89,'3. Input (des)investeringen '!$E$11:$E$89)</f>
        <v>1</v>
      </c>
      <c r="L257" s="42">
        <f>'8. Input IC huur Gasunie'!J210</f>
        <v>1796164.1211708463</v>
      </c>
      <c r="M257" s="42">
        <f>'8. Input IC huur Gasunie'!K210</f>
        <v>0</v>
      </c>
    </row>
    <row r="258" spans="2:13">
      <c r="B258" s="37" t="str">
        <f>'8. Input IC huur Gasunie'!B211</f>
        <v>Asset 200</v>
      </c>
      <c r="F258" s="37" t="str">
        <f>'8. Input IC huur Gasunie'!F211</f>
        <v>10 Gereedschap</v>
      </c>
      <c r="G258" s="37">
        <f>'8. Input IC huur Gasunie'!G211</f>
        <v>2018</v>
      </c>
      <c r="H258" s="42">
        <f>'8. Input IC huur Gasunie'!H211</f>
        <v>252164.79428194632</v>
      </c>
      <c r="I258" s="37">
        <f>'8. Input IC huur Gasunie'!I211</f>
        <v>2021</v>
      </c>
      <c r="J258" s="42">
        <f>_xlfn.XLOOKUP(F258,'3. Input (des)investeringen '!$B$11:$B$89,'3. Input (des)investeringen '!$D$11:$D$89)</f>
        <v>10</v>
      </c>
      <c r="K258" s="42">
        <f>_xlfn.XLOOKUP(F258,'3. Input (des)investeringen '!$B$11:$B$89,'3. Input (des)investeringen '!$E$11:$E$89)</f>
        <v>1</v>
      </c>
      <c r="L258" s="42">
        <f>'8. Input IC huur Gasunie'!J211</f>
        <v>172909.7133338665</v>
      </c>
      <c r="M258" s="42">
        <f>'8. Input IC huur Gasunie'!K211</f>
        <v>0</v>
      </c>
    </row>
    <row r="259" spans="2:13">
      <c r="B259" s="37" t="str">
        <f>'8. Input IC huur Gasunie'!B212</f>
        <v>Asset 201</v>
      </c>
      <c r="F259" s="37" t="str">
        <f>'8. Input IC huur Gasunie'!F212</f>
        <v>11 Werktuigen (KC)</v>
      </c>
      <c r="G259" s="37">
        <f>'8. Input IC huur Gasunie'!G212</f>
        <v>2018</v>
      </c>
      <c r="H259" s="42">
        <f>'8. Input IC huur Gasunie'!H212</f>
        <v>13021546.318391869</v>
      </c>
      <c r="I259" s="37">
        <f>'8. Input IC huur Gasunie'!I212</f>
        <v>2021</v>
      </c>
      <c r="J259" s="42">
        <f>_xlfn.XLOOKUP(F259,'3. Input (des)investeringen '!$B$11:$B$89,'3. Input (des)investeringen '!$D$11:$D$89)</f>
        <v>10</v>
      </c>
      <c r="K259" s="42">
        <f>_xlfn.XLOOKUP(F259,'3. Input (des)investeringen '!$B$11:$B$89,'3. Input (des)investeringen '!$E$11:$E$89)</f>
        <v>0</v>
      </c>
      <c r="L259" s="42">
        <f>'8. Input IC huur Gasunie'!J212</f>
        <v>8928890.519742161</v>
      </c>
      <c r="M259" s="42">
        <f>'8. Input IC huur Gasunie'!K212</f>
        <v>0</v>
      </c>
    </row>
    <row r="260" spans="2:13">
      <c r="B260" s="37" t="str">
        <f>'8. Input IC huur Gasunie'!B213</f>
        <v>Asset 202</v>
      </c>
      <c r="F260" s="37" t="str">
        <f>'8. Input IC huur Gasunie'!F213</f>
        <v>20 Kantoorgebouwen</v>
      </c>
      <c r="G260" s="37">
        <f>'8. Input IC huur Gasunie'!G213</f>
        <v>2018</v>
      </c>
      <c r="H260" s="42">
        <f>'8. Input IC huur Gasunie'!H213</f>
        <v>5158473.573657441</v>
      </c>
      <c r="I260" s="37">
        <f>'8. Input IC huur Gasunie'!I213</f>
        <v>2021</v>
      </c>
      <c r="J260" s="42">
        <f>_xlfn.XLOOKUP(F260,'3. Input (des)investeringen '!$B$11:$B$89,'3. Input (des)investeringen '!$D$11:$D$89)</f>
        <v>30</v>
      </c>
      <c r="K260" s="42">
        <f>_xlfn.XLOOKUP(F260,'3. Input (des)investeringen '!$B$11:$B$89,'3. Input (des)investeringen '!$E$11:$E$89)</f>
        <v>0</v>
      </c>
      <c r="L260" s="42">
        <f>'8. Input IC huur Gasunie'!J213</f>
        <v>4806925.7125234623</v>
      </c>
      <c r="M260" s="42">
        <f>'8. Input IC huur Gasunie'!K213</f>
        <v>0</v>
      </c>
    </row>
    <row r="261" spans="2:13">
      <c r="B261" s="37" t="str">
        <f>'8. Input IC huur Gasunie'!B214</f>
        <v>Asset 203</v>
      </c>
      <c r="F261" s="37" t="str">
        <f>'8. Input IC huur Gasunie'!F214</f>
        <v>39 ICT middelen 3 (KC)</v>
      </c>
      <c r="G261" s="37">
        <f>'8. Input IC huur Gasunie'!G214</f>
        <v>2018</v>
      </c>
      <c r="H261" s="42">
        <f>'8. Input IC huur Gasunie'!H214</f>
        <v>21147142.000000007</v>
      </c>
      <c r="I261" s="37">
        <f>'8. Input IC huur Gasunie'!I214</f>
        <v>2021</v>
      </c>
      <c r="J261" s="42">
        <f>_xlfn.XLOOKUP(F261,'3. Input (des)investeringen '!$B$11:$B$89,'3. Input (des)investeringen '!$D$11:$D$89)</f>
        <v>15</v>
      </c>
      <c r="K261" s="42">
        <f>_xlfn.XLOOKUP(F261,'3. Input (des)investeringen '!$B$11:$B$89,'3. Input (des)investeringen '!$E$11:$E$89)</f>
        <v>0</v>
      </c>
      <c r="L261" s="42">
        <f>'8. Input IC huur Gasunie'!J214</f>
        <v>17103297.263965867</v>
      </c>
      <c r="M261" s="42">
        <f>'8. Input IC huur Gasunie'!K214</f>
        <v>0</v>
      </c>
    </row>
    <row r="262" spans="2:13">
      <c r="B262" s="37" t="str">
        <f>'8. Input IC huur Gasunie'!B215</f>
        <v>Asset 204</v>
      </c>
      <c r="F262" s="37" t="str">
        <f>'8. Input IC huur Gasunie'!F215</f>
        <v>37 ICT middelen 1 (KC)</v>
      </c>
      <c r="G262" s="37">
        <f>'8. Input IC huur Gasunie'!G215</f>
        <v>2018</v>
      </c>
      <c r="H262" s="42">
        <f>'8. Input IC huur Gasunie'!H215</f>
        <v>1669649.9999999995</v>
      </c>
      <c r="I262" s="37">
        <f>'8. Input IC huur Gasunie'!I215</f>
        <v>2021</v>
      </c>
      <c r="J262" s="42">
        <f>_xlfn.XLOOKUP(F262,'3. Input (des)investeringen '!$B$11:$B$89,'3. Input (des)investeringen '!$D$11:$D$89)</f>
        <v>5</v>
      </c>
      <c r="K262" s="42">
        <f>_xlfn.XLOOKUP(F262,'3. Input (des)investeringen '!$B$11:$B$89,'3. Input (des)investeringen '!$E$11:$E$89)</f>
        <v>0</v>
      </c>
      <c r="L262" s="42">
        <f>'8. Input IC huur Gasunie'!J215</f>
        <v>528406.65386783984</v>
      </c>
      <c r="M262" s="42">
        <f>'8. Input IC huur Gasunie'!K215</f>
        <v>0</v>
      </c>
    </row>
    <row r="263" spans="2:13">
      <c r="B263" s="37" t="str">
        <f>'8. Input IC huur Gasunie'!B216</f>
        <v>Asset 205</v>
      </c>
      <c r="F263" s="37" t="str">
        <f>'8. Input IC huur Gasunie'!F216</f>
        <v>05 Wegen en terreinvoorzieningen</v>
      </c>
      <c r="G263" s="37">
        <f>'8. Input IC huur Gasunie'!G216</f>
        <v>2017</v>
      </c>
      <c r="H263" s="42">
        <f>'8. Input IC huur Gasunie'!H216</f>
        <v>41129.587663444909</v>
      </c>
      <c r="I263" s="37">
        <f>'8. Input IC huur Gasunie'!I216</f>
        <v>2021</v>
      </c>
      <c r="J263" s="42">
        <f>_xlfn.XLOOKUP(F263,'3. Input (des)investeringen '!$B$11:$B$89,'3. Input (des)investeringen '!$D$11:$D$89)</f>
        <v>10</v>
      </c>
      <c r="K263" s="42">
        <f>_xlfn.XLOOKUP(F263,'3. Input (des)investeringen '!$B$11:$B$89,'3. Input (des)investeringen '!$E$11:$E$89)</f>
        <v>0</v>
      </c>
      <c r="L263" s="42">
        <f>'8. Input IC huur Gasunie'!J216</f>
        <v>24197.83891576614</v>
      </c>
      <c r="M263" s="42">
        <f>'8. Input IC huur Gasunie'!K216</f>
        <v>0</v>
      </c>
    </row>
    <row r="264" spans="2:13">
      <c r="B264" s="37" t="str">
        <f>'8. Input IC huur Gasunie'!B217</f>
        <v>Asset 206</v>
      </c>
      <c r="F264" s="37" t="str">
        <f>'8. Input IC huur Gasunie'!F217</f>
        <v>06 Utiliteitsgebouwen</v>
      </c>
      <c r="G264" s="37">
        <f>'8. Input IC huur Gasunie'!G217</f>
        <v>2018</v>
      </c>
      <c r="H264" s="42">
        <f>'8. Input IC huur Gasunie'!H217</f>
        <v>1769813.2968497979</v>
      </c>
      <c r="I264" s="37">
        <f>'8. Input IC huur Gasunie'!I217</f>
        <v>2021</v>
      </c>
      <c r="J264" s="42">
        <f>_xlfn.XLOOKUP(F264,'3. Input (des)investeringen '!$B$11:$B$89,'3. Input (des)investeringen '!$D$11:$D$89)</f>
        <v>30</v>
      </c>
      <c r="K264" s="42">
        <f>_xlfn.XLOOKUP(F264,'3. Input (des)investeringen '!$B$11:$B$89,'3. Input (des)investeringen '!$E$11:$E$89)</f>
        <v>0</v>
      </c>
      <c r="L264" s="42">
        <f>'8. Input IC huur Gasunie'!J217</f>
        <v>1649201.2455850111</v>
      </c>
      <c r="M264" s="42">
        <f>'8. Input IC huur Gasunie'!K217</f>
        <v>0</v>
      </c>
    </row>
    <row r="265" spans="2:13">
      <c r="B265" s="37" t="str">
        <f>'8. Input IC huur Gasunie'!B218</f>
        <v>Asset 207</v>
      </c>
      <c r="F265" s="37" t="str">
        <f>'8. Input IC huur Gasunie'!F218</f>
        <v>14 Overig rollend materieel</v>
      </c>
      <c r="G265" s="37">
        <f>'8. Input IC huur Gasunie'!G218</f>
        <v>2018</v>
      </c>
      <c r="H265" s="42">
        <f>'8. Input IC huur Gasunie'!H218</f>
        <v>20291.448993786991</v>
      </c>
      <c r="I265" s="37">
        <f>'8. Input IC huur Gasunie'!I218</f>
        <v>2021</v>
      </c>
      <c r="J265" s="42">
        <f>_xlfn.XLOOKUP(F265,'3. Input (des)investeringen '!$B$11:$B$89,'3. Input (des)investeringen '!$D$11:$D$89)</f>
        <v>10</v>
      </c>
      <c r="K265" s="42">
        <f>_xlfn.XLOOKUP(F265,'3. Input (des)investeringen '!$B$11:$B$89,'3. Input (des)investeringen '!$E$11:$E$89)</f>
        <v>1</v>
      </c>
      <c r="L265" s="42">
        <f>'8. Input IC huur Gasunie'!J218</f>
        <v>13913.871833835448</v>
      </c>
      <c r="M265" s="42">
        <f>'8. Input IC huur Gasunie'!K218</f>
        <v>0</v>
      </c>
    </row>
    <row r="266" spans="2:13">
      <c r="B266" s="37" t="str">
        <f>'8. Input IC huur Gasunie'!B219</f>
        <v>Asset 208</v>
      </c>
      <c r="F266" s="37" t="str">
        <f>'8. Input IC huur Gasunie'!F219</f>
        <v>10 Gereedschap (odorisatie)</v>
      </c>
      <c r="G266" s="37">
        <f>'8. Input IC huur Gasunie'!G219</f>
        <v>2018</v>
      </c>
      <c r="H266" s="42">
        <f>'8. Input IC huur Gasunie'!H219</f>
        <v>59796.38767845487</v>
      </c>
      <c r="I266" s="37">
        <f>'8. Input IC huur Gasunie'!I219</f>
        <v>2021</v>
      </c>
      <c r="J266" s="42">
        <f>_xlfn.XLOOKUP(F266,'3. Input (des)investeringen '!$B$11:$B$89,'3. Input (des)investeringen '!$D$11:$D$89)</f>
        <v>10</v>
      </c>
      <c r="K266" s="42">
        <f>_xlfn.XLOOKUP(F266,'3. Input (des)investeringen '!$B$11:$B$89,'3. Input (des)investeringen '!$E$11:$E$89)</f>
        <v>0</v>
      </c>
      <c r="L266" s="42">
        <f>'8. Input IC huur Gasunie'!J219</f>
        <v>41002.457465659885</v>
      </c>
      <c r="M266" s="42">
        <f>'8. Input IC huur Gasunie'!K219</f>
        <v>0</v>
      </c>
    </row>
    <row r="267" spans="2:13">
      <c r="B267" s="37" t="str">
        <f>'8. Input IC huur Gasunie'!B220</f>
        <v>Asset 209</v>
      </c>
      <c r="F267" s="37" t="str">
        <f>'8. Input IC huur Gasunie'!F220</f>
        <v>05 Wegen en terreinvoorzieningen</v>
      </c>
      <c r="G267" s="37">
        <f>'8. Input IC huur Gasunie'!G220</f>
        <v>2018</v>
      </c>
      <c r="H267" s="42">
        <f>'8. Input IC huur Gasunie'!H220</f>
        <v>70537.619152208252</v>
      </c>
      <c r="I267" s="37">
        <f>'8. Input IC huur Gasunie'!I220</f>
        <v>2021</v>
      </c>
      <c r="J267" s="42">
        <f>_xlfn.XLOOKUP(F267,'3. Input (des)investeringen '!$B$11:$B$89,'3. Input (des)investeringen '!$D$11:$D$89)</f>
        <v>10</v>
      </c>
      <c r="K267" s="42">
        <f>_xlfn.XLOOKUP(F267,'3. Input (des)investeringen '!$B$11:$B$89,'3. Input (des)investeringen '!$E$11:$E$89)</f>
        <v>0</v>
      </c>
      <c r="L267" s="42">
        <f>'8. Input IC huur Gasunie'!J220</f>
        <v>48367.733257897518</v>
      </c>
      <c r="M267" s="42">
        <f>'8. Input IC huur Gasunie'!K220</f>
        <v>0</v>
      </c>
    </row>
    <row r="268" spans="2:13">
      <c r="B268" s="37" t="str">
        <f>'8. Input IC huur Gasunie'!B221</f>
        <v>Asset 210</v>
      </c>
      <c r="F268" s="37" t="str">
        <f>'8. Input IC huur Gasunie'!F221</f>
        <v>37 ICT middelen 1 (balancering)</v>
      </c>
      <c r="G268" s="37">
        <f>'8. Input IC huur Gasunie'!G221</f>
        <v>2018</v>
      </c>
      <c r="H268" s="42">
        <f>'8. Input IC huur Gasunie'!H221</f>
        <v>1033593</v>
      </c>
      <c r="I268" s="37">
        <f>'8. Input IC huur Gasunie'!I221</f>
        <v>2021</v>
      </c>
      <c r="J268" s="42">
        <f>_xlfn.XLOOKUP(F268,'3. Input (des)investeringen '!$B$11:$B$89,'3. Input (des)investeringen '!$D$11:$D$89)</f>
        <v>5</v>
      </c>
      <c r="K268" s="42">
        <f>_xlfn.XLOOKUP(F268,'3. Input (des)investeringen '!$B$11:$B$89,'3. Input (des)investeringen '!$E$11:$E$89)</f>
        <v>0</v>
      </c>
      <c r="L268" s="42">
        <f>'8. Input IC huur Gasunie'!J221</f>
        <v>327108.92617687664</v>
      </c>
      <c r="M268" s="42">
        <f>'8. Input IC huur Gasunie'!K221</f>
        <v>0</v>
      </c>
    </row>
    <row r="269" spans="2:13">
      <c r="B269" s="37" t="str">
        <f>'8. Input IC huur Gasunie'!B222</f>
        <v>Asset 211</v>
      </c>
      <c r="F269" s="37" t="str">
        <f>'8. Input IC huur Gasunie'!F222</f>
        <v>37 ICT middelen 1</v>
      </c>
      <c r="G269" s="37">
        <f>'8. Input IC huur Gasunie'!G222</f>
        <v>2019</v>
      </c>
      <c r="H269" s="42">
        <f>'8. Input IC huur Gasunie'!H222</f>
        <v>7023542.7917365544</v>
      </c>
      <c r="I269" s="37">
        <f>'8. Input IC huur Gasunie'!I222</f>
        <v>2021</v>
      </c>
      <c r="J269" s="42">
        <f>_xlfn.XLOOKUP(F269,'3. Input (des)investeringen '!$B$11:$B$89,'3. Input (des)investeringen '!$D$11:$D$89)</f>
        <v>5</v>
      </c>
      <c r="K269" s="42">
        <f>_xlfn.XLOOKUP(F269,'3. Input (des)investeringen '!$B$11:$B$89,'3. Input (des)investeringen '!$E$11:$E$89)</f>
        <v>1</v>
      </c>
      <c r="L269" s="42">
        <f>'8. Input IC huur Gasunie'!J222</f>
        <v>3660726.6913954271</v>
      </c>
      <c r="M269" s="42">
        <f>'8. Input IC huur Gasunie'!K222</f>
        <v>0</v>
      </c>
    </row>
    <row r="270" spans="2:13">
      <c r="B270" s="37" t="str">
        <f>'8. Input IC huur Gasunie'!B223</f>
        <v>Asset 212</v>
      </c>
      <c r="F270" s="37" t="str">
        <f>'8. Input IC huur Gasunie'!F223</f>
        <v>14 Overig rollend materieel</v>
      </c>
      <c r="G270" s="37">
        <f>'8. Input IC huur Gasunie'!G223</f>
        <v>2019</v>
      </c>
      <c r="H270" s="42">
        <f>'8. Input IC huur Gasunie'!H223</f>
        <v>857388.09237261105</v>
      </c>
      <c r="I270" s="37">
        <f>'8. Input IC huur Gasunie'!I223</f>
        <v>2021</v>
      </c>
      <c r="J270" s="42">
        <f>_xlfn.XLOOKUP(F270,'3. Input (des)investeringen '!$B$11:$B$89,'3. Input (des)investeringen '!$D$11:$D$89)</f>
        <v>10</v>
      </c>
      <c r="K270" s="42">
        <f>_xlfn.XLOOKUP(F270,'3. Input (des)investeringen '!$B$11:$B$89,'3. Input (des)investeringen '!$E$11:$E$89)</f>
        <v>1</v>
      </c>
      <c r="L270" s="42">
        <f>'8. Input IC huur Gasunie'!J223</f>
        <v>670316.29927401594</v>
      </c>
      <c r="M270" s="42">
        <f>'8. Input IC huur Gasunie'!K223</f>
        <v>0</v>
      </c>
    </row>
    <row r="271" spans="2:13">
      <c r="B271" s="37" t="str">
        <f>'8. Input IC huur Gasunie'!B224</f>
        <v>Asset 213</v>
      </c>
      <c r="F271" s="37" t="str">
        <f>'8. Input IC huur Gasunie'!F224</f>
        <v>08 Inrichting gebouwen</v>
      </c>
      <c r="G271" s="37">
        <f>'8. Input IC huur Gasunie'!G224</f>
        <v>2019</v>
      </c>
      <c r="H271" s="42">
        <f>'8. Input IC huur Gasunie'!H224</f>
        <v>460067.29247706069</v>
      </c>
      <c r="I271" s="37">
        <f>'8. Input IC huur Gasunie'!I224</f>
        <v>2021</v>
      </c>
      <c r="J271" s="42">
        <f>_xlfn.XLOOKUP(F271,'3. Input (des)investeringen '!$B$11:$B$89,'3. Input (des)investeringen '!$D$11:$D$89)</f>
        <v>10</v>
      </c>
      <c r="K271" s="42">
        <f>_xlfn.XLOOKUP(F271,'3. Input (des)investeringen '!$B$11:$B$89,'3. Input (des)investeringen '!$E$11:$E$89)</f>
        <v>0</v>
      </c>
      <c r="L271" s="42">
        <f>'8. Input IC huur Gasunie'!J224</f>
        <v>359686.13006607577</v>
      </c>
      <c r="M271" s="42">
        <f>'8. Input IC huur Gasunie'!K224</f>
        <v>0</v>
      </c>
    </row>
    <row r="272" spans="2:13">
      <c r="B272" s="37" t="str">
        <f>'8. Input IC huur Gasunie'!B225</f>
        <v>Asset 214</v>
      </c>
      <c r="F272" s="37" t="str">
        <f>'8. Input IC huur Gasunie'!F225</f>
        <v>37 ICT middelen 1 (KC)</v>
      </c>
      <c r="G272" s="37">
        <f>'8. Input IC huur Gasunie'!G225</f>
        <v>2019</v>
      </c>
      <c r="H272" s="42">
        <f>'8. Input IC huur Gasunie'!H225</f>
        <v>119060</v>
      </c>
      <c r="I272" s="37">
        <f>'8. Input IC huur Gasunie'!I225</f>
        <v>2021</v>
      </c>
      <c r="J272" s="42">
        <f>_xlfn.XLOOKUP(F272,'3. Input (des)investeringen '!$B$11:$B$89,'3. Input (des)investeringen '!$D$11:$D$89)</f>
        <v>5</v>
      </c>
      <c r="K272" s="42">
        <f>_xlfn.XLOOKUP(F272,'3. Input (des)investeringen '!$B$11:$B$89,'3. Input (des)investeringen '!$E$11:$E$89)</f>
        <v>0</v>
      </c>
      <c r="L272" s="42">
        <f>'8. Input IC huur Gasunie'!J225</f>
        <v>62055.024479999985</v>
      </c>
      <c r="M272" s="42">
        <f>'8. Input IC huur Gasunie'!K225</f>
        <v>0</v>
      </c>
    </row>
    <row r="273" spans="2:13">
      <c r="B273" s="37" t="str">
        <f>'8. Input IC huur Gasunie'!B226</f>
        <v>Asset 215</v>
      </c>
      <c r="F273" s="37" t="str">
        <f>'8. Input IC huur Gasunie'!F226</f>
        <v>11 Werktuigen</v>
      </c>
      <c r="G273" s="37">
        <f>'8. Input IC huur Gasunie'!G226</f>
        <v>2019</v>
      </c>
      <c r="H273" s="42">
        <f>'8. Input IC huur Gasunie'!H226</f>
        <v>288666.6970011855</v>
      </c>
      <c r="I273" s="37">
        <f>'8. Input IC huur Gasunie'!I226</f>
        <v>2021</v>
      </c>
      <c r="J273" s="42">
        <f>_xlfn.XLOOKUP(F273,'3. Input (des)investeringen '!$B$11:$B$89,'3. Input (des)investeringen '!$D$11:$D$89)</f>
        <v>10</v>
      </c>
      <c r="K273" s="42">
        <f>_xlfn.XLOOKUP(F273,'3. Input (des)investeringen '!$B$11:$B$89,'3. Input (des)investeringen '!$E$11:$E$89)</f>
        <v>1</v>
      </c>
      <c r="L273" s="42">
        <f>'8. Input IC huur Gasunie'!J226</f>
        <v>225683.08771589081</v>
      </c>
      <c r="M273" s="42">
        <f>'8. Input IC huur Gasunie'!K226</f>
        <v>0</v>
      </c>
    </row>
    <row r="274" spans="2:13">
      <c r="B274" s="37" t="str">
        <f>'8. Input IC huur Gasunie'!B227</f>
        <v>Asset 216</v>
      </c>
      <c r="F274" s="37" t="str">
        <f>'8. Input IC huur Gasunie'!F227</f>
        <v>20 Kantoorgebouwen</v>
      </c>
      <c r="G274" s="37">
        <f>'8. Input IC huur Gasunie'!G227</f>
        <v>2019</v>
      </c>
      <c r="H274" s="42">
        <f>'8. Input IC huur Gasunie'!H227</f>
        <v>1170372.8470650064</v>
      </c>
      <c r="I274" s="37">
        <f>'8. Input IC huur Gasunie'!I227</f>
        <v>2021</v>
      </c>
      <c r="J274" s="42">
        <f>_xlfn.XLOOKUP(F274,'3. Input (des)investeringen '!$B$11:$B$89,'3. Input (des)investeringen '!$D$11:$D$89)</f>
        <v>30</v>
      </c>
      <c r="K274" s="42">
        <f>_xlfn.XLOOKUP(F274,'3. Input (des)investeringen '!$B$11:$B$89,'3. Input (des)investeringen '!$E$11:$E$89)</f>
        <v>0</v>
      </c>
      <c r="L274" s="42">
        <f>'8. Input IC huur Gasunie'!J227</f>
        <v>1118347.433267273</v>
      </c>
      <c r="M274" s="42">
        <f>'8. Input IC huur Gasunie'!K227</f>
        <v>0</v>
      </c>
    </row>
    <row r="275" spans="2:13">
      <c r="B275" s="37" t="str">
        <f>'8. Input IC huur Gasunie'!B228</f>
        <v>Asset 217</v>
      </c>
      <c r="F275" s="37" t="str">
        <f>'8. Input IC huur Gasunie'!F228</f>
        <v>37 ICT middelen 1 (balancering)</v>
      </c>
      <c r="G275" s="37">
        <f>'8. Input IC huur Gasunie'!G228</f>
        <v>2019</v>
      </c>
      <c r="H275" s="42">
        <f>'8. Input IC huur Gasunie'!H228</f>
        <v>73704</v>
      </c>
      <c r="I275" s="37">
        <f>'8. Input IC huur Gasunie'!I228</f>
        <v>2021</v>
      </c>
      <c r="J275" s="42">
        <f>_xlfn.XLOOKUP(F275,'3. Input (des)investeringen '!$B$11:$B$89,'3. Input (des)investeringen '!$D$11:$D$89)</f>
        <v>5</v>
      </c>
      <c r="K275" s="42">
        <f>_xlfn.XLOOKUP(F275,'3. Input (des)investeringen '!$B$11:$B$89,'3. Input (des)investeringen '!$E$11:$E$89)</f>
        <v>0</v>
      </c>
      <c r="L275" s="42">
        <f>'8. Input IC huur Gasunie'!J228</f>
        <v>38415.114431999995</v>
      </c>
      <c r="M275" s="42">
        <f>'8. Input IC huur Gasunie'!K228</f>
        <v>0</v>
      </c>
    </row>
    <row r="276" spans="2:13">
      <c r="B276" s="37" t="str">
        <f>'8. Input IC huur Gasunie'!B229</f>
        <v>Asset 218</v>
      </c>
      <c r="F276" s="37" t="str">
        <f>'8. Input IC huur Gasunie'!F229</f>
        <v>37 ICT middelen 1 (gaschromatografen en comptabele meting)</v>
      </c>
      <c r="G276" s="37">
        <f>'8. Input IC huur Gasunie'!G229</f>
        <v>2019</v>
      </c>
      <c r="H276" s="42">
        <f>'8. Input IC huur Gasunie'!H229</f>
        <v>138775.45971332947</v>
      </c>
      <c r="I276" s="37">
        <f>'8. Input IC huur Gasunie'!I229</f>
        <v>2021</v>
      </c>
      <c r="J276" s="42">
        <f>_xlfn.XLOOKUP(F276,'3. Input (des)investeringen '!$B$11:$B$89,'3. Input (des)investeringen '!$D$11:$D$89)</f>
        <v>5</v>
      </c>
      <c r="K276" s="42">
        <f>_xlfn.XLOOKUP(F276,'3. Input (des)investeringen '!$B$11:$B$89,'3. Input (des)investeringen '!$E$11:$E$89)</f>
        <v>0</v>
      </c>
      <c r="L276" s="42">
        <f>'8. Input IC huur Gasunie'!J229</f>
        <v>72330.879806265031</v>
      </c>
      <c r="M276" s="42">
        <f>'8. Input IC huur Gasunie'!K229</f>
        <v>0</v>
      </c>
    </row>
    <row r="277" spans="2:13">
      <c r="B277" s="37" t="str">
        <f>'8. Input IC huur Gasunie'!B230</f>
        <v>Asset 219</v>
      </c>
      <c r="F277" s="37" t="str">
        <f>'8. Input IC huur Gasunie'!F230</f>
        <v>10 Gereedschap</v>
      </c>
      <c r="G277" s="37">
        <f>'8. Input IC huur Gasunie'!G230</f>
        <v>2019</v>
      </c>
      <c r="H277" s="42">
        <f>'8. Input IC huur Gasunie'!H230</f>
        <v>142771.1801450084</v>
      </c>
      <c r="I277" s="37">
        <f>'8. Input IC huur Gasunie'!I230</f>
        <v>2021</v>
      </c>
      <c r="J277" s="42">
        <f>_xlfn.XLOOKUP(F277,'3. Input (des)investeringen '!$B$11:$B$89,'3. Input (des)investeringen '!$D$11:$D$89)</f>
        <v>10</v>
      </c>
      <c r="K277" s="42">
        <f>_xlfn.XLOOKUP(F277,'3. Input (des)investeringen '!$B$11:$B$89,'3. Input (des)investeringen '!$E$11:$E$89)</f>
        <v>1</v>
      </c>
      <c r="L277" s="42">
        <f>'8. Input IC huur Gasunie'!J230</f>
        <v>111620.22189152931</v>
      </c>
      <c r="M277" s="42">
        <f>'8. Input IC huur Gasunie'!K230</f>
        <v>0</v>
      </c>
    </row>
    <row r="278" spans="2:13">
      <c r="B278" s="37" t="str">
        <f>'8. Input IC huur Gasunie'!B231</f>
        <v>Asset 220</v>
      </c>
      <c r="F278" s="37" t="str">
        <f>'8. Input IC huur Gasunie'!F231</f>
        <v>39 ICT middelen 3</v>
      </c>
      <c r="G278" s="37">
        <f>'8. Input IC huur Gasunie'!G231</f>
        <v>2018</v>
      </c>
      <c r="H278" s="42">
        <f>'8. Input IC huur Gasunie'!H231</f>
        <v>66462443.599999994</v>
      </c>
      <c r="I278" s="37">
        <f>'8. Input IC huur Gasunie'!I231</f>
        <v>2021</v>
      </c>
      <c r="J278" s="42">
        <f>_xlfn.XLOOKUP(F278,'3. Input (des)investeringen '!$B$11:$B$89,'3. Input (des)investeringen '!$D$11:$D$89)</f>
        <v>15</v>
      </c>
      <c r="K278" s="42">
        <f>_xlfn.XLOOKUP(F278,'3. Input (des)investeringen '!$B$11:$B$89,'3. Input (des)investeringen '!$E$11:$E$89)</f>
        <v>1</v>
      </c>
      <c r="L278" s="42">
        <f>'8. Input IC huur Gasunie'!J231</f>
        <v>53753217.800323352</v>
      </c>
      <c r="M278" s="42">
        <f>'8. Input IC huur Gasunie'!K231</f>
        <v>0</v>
      </c>
    </row>
    <row r="279" spans="2:13">
      <c r="B279" s="37" t="str">
        <f>'8. Input IC huur Gasunie'!B232</f>
        <v>Asset 221</v>
      </c>
      <c r="F279" s="37" t="str">
        <f>'8. Input IC huur Gasunie'!F232</f>
        <v>39 ICT middelen 3 (balancering)</v>
      </c>
      <c r="G279" s="37">
        <f>'8. Input IC huur Gasunie'!G232</f>
        <v>2018</v>
      </c>
      <c r="H279" s="42">
        <f>'8. Input IC huur Gasunie'!H232</f>
        <v>13091088</v>
      </c>
      <c r="I279" s="37">
        <f>'8. Input IC huur Gasunie'!I232</f>
        <v>2021</v>
      </c>
      <c r="J279" s="42">
        <f>_xlfn.XLOOKUP(F279,'3. Input (des)investeringen '!$B$11:$B$89,'3. Input (des)investeringen '!$D$11:$D$89)</f>
        <v>15</v>
      </c>
      <c r="K279" s="42">
        <f>_xlfn.XLOOKUP(F279,'3. Input (des)investeringen '!$B$11:$B$89,'3. Input (des)investeringen '!$E$11:$E$89)</f>
        <v>0</v>
      </c>
      <c r="L279" s="42">
        <f>'8. Input IC huur Gasunie'!J232</f>
        <v>10587755.526147995</v>
      </c>
      <c r="M279" s="42">
        <f>'8. Input IC huur Gasunie'!K232</f>
        <v>0</v>
      </c>
    </row>
    <row r="280" spans="2:13">
      <c r="B280" s="37" t="str">
        <f>'8. Input IC huur Gasunie'!B233</f>
        <v>Asset 222</v>
      </c>
      <c r="F280" s="37" t="str">
        <f>'8. Input IC huur Gasunie'!F233</f>
        <v>39 ICT middelen 3 (KC)</v>
      </c>
      <c r="G280" s="37">
        <f>'8. Input IC huur Gasunie'!G233</f>
        <v>2019</v>
      </c>
      <c r="H280" s="42">
        <f>'8. Input IC huur Gasunie'!H233</f>
        <v>510273.00000000006</v>
      </c>
      <c r="I280" s="37">
        <f>'8. Input IC huur Gasunie'!I233</f>
        <v>2021</v>
      </c>
      <c r="J280" s="42">
        <f>_xlfn.XLOOKUP(F280,'3. Input (des)investeringen '!$B$11:$B$89,'3. Input (des)investeringen '!$D$11:$D$89)</f>
        <v>15</v>
      </c>
      <c r="K280" s="42">
        <f>_xlfn.XLOOKUP(F280,'3. Input (des)investeringen '!$B$11:$B$89,'3. Input (des)investeringen '!$E$11:$E$89)</f>
        <v>0</v>
      </c>
      <c r="L280" s="42">
        <f>'8. Input IC huur Gasunie'!J233</f>
        <v>443263.94964000006</v>
      </c>
      <c r="M280" s="42">
        <f>'8. Input IC huur Gasunie'!K233</f>
        <v>0</v>
      </c>
    </row>
    <row r="281" spans="2:13">
      <c r="B281" s="37" t="str">
        <f>'8. Input IC huur Gasunie'!B234</f>
        <v>Asset 223</v>
      </c>
      <c r="F281" s="37" t="str">
        <f>'8. Input IC huur Gasunie'!F234</f>
        <v>37 ICT middelen 1</v>
      </c>
      <c r="G281" s="37">
        <f>'8. Input IC huur Gasunie'!G234</f>
        <v>2020</v>
      </c>
      <c r="H281" s="42">
        <f>'8. Input IC huur Gasunie'!H234</f>
        <v>4054436.8604233577</v>
      </c>
      <c r="I281" s="37">
        <f>'8. Input IC huur Gasunie'!I234</f>
        <v>2021</v>
      </c>
      <c r="J281" s="42">
        <f>_xlfn.XLOOKUP(F281,'3. Input (des)investeringen '!$B$11:$B$89,'3. Input (des)investeringen '!$D$11:$D$89)</f>
        <v>5</v>
      </c>
      <c r="K281" s="42">
        <f>_xlfn.XLOOKUP(F281,'3. Input (des)investeringen '!$B$11:$B$89,'3. Input (des)investeringen '!$E$11:$E$89)</f>
        <v>1</v>
      </c>
      <c r="L281" s="42">
        <f>'8. Input IC huur Gasunie'!J234</f>
        <v>2883515.4951330922</v>
      </c>
      <c r="M281" s="42">
        <f>'8. Input IC huur Gasunie'!K234</f>
        <v>0</v>
      </c>
    </row>
    <row r="282" spans="2:13">
      <c r="B282" s="37" t="str">
        <f>'8. Input IC huur Gasunie'!B235</f>
        <v>Asset 224</v>
      </c>
      <c r="F282" s="37" t="str">
        <f>'8. Input IC huur Gasunie'!F235</f>
        <v>11 Werktuigen</v>
      </c>
      <c r="G282" s="37">
        <f>'8. Input IC huur Gasunie'!G235</f>
        <v>2021</v>
      </c>
      <c r="H282" s="42">
        <f>'8. Input IC huur Gasunie'!H235</f>
        <v>2667062.5363170211</v>
      </c>
      <c r="I282" s="37">
        <f>'8. Input IC huur Gasunie'!I235</f>
        <v>2021</v>
      </c>
      <c r="J282" s="42">
        <f>_xlfn.XLOOKUP(F282,'3. Input (des)investeringen '!$B$11:$B$89,'3. Input (des)investeringen '!$D$11:$D$89)</f>
        <v>10</v>
      </c>
      <c r="K282" s="42">
        <f>_xlfn.XLOOKUP(F282,'3. Input (des)investeringen '!$B$11:$B$89,'3. Input (des)investeringen '!$E$11:$E$89)</f>
        <v>1</v>
      </c>
      <c r="L282" s="42">
        <f>'8. Input IC huur Gasunie'!J235</f>
        <v>2533709.4095011703</v>
      </c>
      <c r="M282" s="42">
        <f>'8. Input IC huur Gasunie'!K235</f>
        <v>0</v>
      </c>
    </row>
    <row r="283" spans="2:13">
      <c r="B283" s="37" t="str">
        <f>'8. Input IC huur Gasunie'!B236</f>
        <v>Asset 225</v>
      </c>
      <c r="F283" s="37" t="str">
        <f>'8. Input IC huur Gasunie'!F236</f>
        <v>10 Gereedschap</v>
      </c>
      <c r="G283" s="37">
        <f>'8. Input IC huur Gasunie'!G236</f>
        <v>2021</v>
      </c>
      <c r="H283" s="42">
        <f>'8. Input IC huur Gasunie'!H236</f>
        <v>467492.45719026914</v>
      </c>
      <c r="I283" s="37">
        <f>'8. Input IC huur Gasunie'!I236</f>
        <v>2021</v>
      </c>
      <c r="J283" s="42">
        <f>_xlfn.XLOOKUP(F283,'3. Input (des)investeringen '!$B$11:$B$89,'3. Input (des)investeringen '!$D$11:$D$89)</f>
        <v>10</v>
      </c>
      <c r="K283" s="42">
        <f>_xlfn.XLOOKUP(F283,'3. Input (des)investeringen '!$B$11:$B$89,'3. Input (des)investeringen '!$E$11:$E$89)</f>
        <v>1</v>
      </c>
      <c r="L283" s="42">
        <f>'8. Input IC huur Gasunie'!J236</f>
        <v>444117.83433075569</v>
      </c>
      <c r="M283" s="42">
        <f>'8. Input IC huur Gasunie'!K236</f>
        <v>0</v>
      </c>
    </row>
    <row r="284" spans="2:13">
      <c r="B284" s="37" t="str">
        <f>'8. Input IC huur Gasunie'!B237</f>
        <v>Asset 226</v>
      </c>
      <c r="F284" s="37" t="str">
        <f>'8. Input IC huur Gasunie'!F237</f>
        <v>38 ICT middelen 2</v>
      </c>
      <c r="G284" s="37">
        <f>'8. Input IC huur Gasunie'!G237</f>
        <v>2021</v>
      </c>
      <c r="H284" s="42">
        <f>'8. Input IC huur Gasunie'!H237</f>
        <v>3432262.7310020467</v>
      </c>
      <c r="I284" s="37">
        <f>'8. Input IC huur Gasunie'!I237</f>
        <v>2021</v>
      </c>
      <c r="J284" s="42">
        <f>_xlfn.XLOOKUP(F284,'3. Input (des)investeringen '!$B$11:$B$89,'3. Input (des)investeringen '!$D$11:$D$89)</f>
        <v>10</v>
      </c>
      <c r="K284" s="42">
        <f>_xlfn.XLOOKUP(F284,'3. Input (des)investeringen '!$B$11:$B$89,'3. Input (des)investeringen '!$E$11:$E$89)</f>
        <v>1</v>
      </c>
      <c r="L284" s="42">
        <f>'8. Input IC huur Gasunie'!J237</f>
        <v>3260649.5944519443</v>
      </c>
      <c r="M284" s="42">
        <f>'8. Input IC huur Gasunie'!K237</f>
        <v>0</v>
      </c>
    </row>
    <row r="285" spans="2:13">
      <c r="B285" s="37" t="str">
        <f>'8. Input IC huur Gasunie'!B238</f>
        <v>Asset 227</v>
      </c>
      <c r="F285" s="37" t="str">
        <f>'8. Input IC huur Gasunie'!F238</f>
        <v>37 ICT middelen 1</v>
      </c>
      <c r="G285" s="37">
        <f>'8. Input IC huur Gasunie'!G238</f>
        <v>2021</v>
      </c>
      <c r="H285" s="42">
        <f>'8. Input IC huur Gasunie'!H238</f>
        <v>8176022.700880779</v>
      </c>
      <c r="I285" s="37">
        <f>'8. Input IC huur Gasunie'!I238</f>
        <v>2021</v>
      </c>
      <c r="J285" s="42">
        <f>_xlfn.XLOOKUP(F285,'3. Input (des)investeringen '!$B$11:$B$89,'3. Input (des)investeringen '!$D$11:$D$89)</f>
        <v>5</v>
      </c>
      <c r="K285" s="42">
        <f>_xlfn.XLOOKUP(F285,'3. Input (des)investeringen '!$B$11:$B$89,'3. Input (des)investeringen '!$E$11:$E$89)</f>
        <v>1</v>
      </c>
      <c r="L285" s="42">
        <f>'8. Input IC huur Gasunie'!J238</f>
        <v>7358420.4307927005</v>
      </c>
      <c r="M285" s="42">
        <f>'8. Input IC huur Gasunie'!K238</f>
        <v>0</v>
      </c>
    </row>
    <row r="286" spans="2:13">
      <c r="B286" s="37" t="str">
        <f>'8. Input IC huur Gasunie'!B239</f>
        <v>Asset 228</v>
      </c>
      <c r="F286" s="37" t="str">
        <f>'8. Input IC huur Gasunie'!F239</f>
        <v>39 ICT middelen 3</v>
      </c>
      <c r="G286" s="37">
        <f>'8. Input IC huur Gasunie'!G239</f>
        <v>2019</v>
      </c>
      <c r="H286" s="42">
        <f>'8. Input IC huur Gasunie'!H239</f>
        <v>1603714.1720507673</v>
      </c>
      <c r="I286" s="37">
        <f>'8. Input IC huur Gasunie'!I239</f>
        <v>2021</v>
      </c>
      <c r="J286" s="42">
        <f>_xlfn.XLOOKUP(F286,'3. Input (des)investeringen '!$B$11:$B$89,'3. Input (des)investeringen '!$D$11:$D$89)</f>
        <v>15</v>
      </c>
      <c r="K286" s="42">
        <f>_xlfn.XLOOKUP(F286,'3. Input (des)investeringen '!$B$11:$B$89,'3. Input (des)investeringen '!$E$11:$E$89)</f>
        <v>1</v>
      </c>
      <c r="L286" s="42">
        <f>'8. Input IC huur Gasunie'!J239</f>
        <v>1393114.426977061</v>
      </c>
      <c r="M286" s="42">
        <f>'8. Input IC huur Gasunie'!K239</f>
        <v>0</v>
      </c>
    </row>
    <row r="287" spans="2:13">
      <c r="B287" s="37" t="str">
        <f>'8. Input IC huur Gasunie'!B240</f>
        <v>Asset 229</v>
      </c>
      <c r="F287" s="37" t="str">
        <f>'8. Input IC huur Gasunie'!F240</f>
        <v>39 ICT middelen 3 (balancering)</v>
      </c>
      <c r="G287" s="37">
        <f>'8. Input IC huur Gasunie'!G240</f>
        <v>2019</v>
      </c>
      <c r="H287" s="42">
        <f>'8. Input IC huur Gasunie'!H240</f>
        <v>315883</v>
      </c>
      <c r="I287" s="37">
        <f>'8. Input IC huur Gasunie'!I240</f>
        <v>2021</v>
      </c>
      <c r="J287" s="42">
        <f>_xlfn.XLOOKUP(F287,'3. Input (des)investeringen '!$B$11:$B$89,'3. Input (des)investeringen '!$D$11:$D$89)</f>
        <v>15</v>
      </c>
      <c r="K287" s="42">
        <f>_xlfn.XLOOKUP(F287,'3. Input (des)investeringen '!$B$11:$B$89,'3. Input (des)investeringen '!$E$11:$E$89)</f>
        <v>0</v>
      </c>
      <c r="L287" s="42">
        <f>'8. Input IC huur Gasunie'!J240</f>
        <v>274401.24443999998</v>
      </c>
      <c r="M287" s="42">
        <f>'8. Input IC huur Gasunie'!K240</f>
        <v>0</v>
      </c>
    </row>
    <row r="288" spans="2:13">
      <c r="B288" s="37" t="str">
        <f>'8. Input IC huur Gasunie'!B241</f>
        <v>Asset 230</v>
      </c>
      <c r="F288" s="37" t="str">
        <f>'8. Input IC huur Gasunie'!F241</f>
        <v>39 ICT middelen 3</v>
      </c>
      <c r="G288" s="37">
        <f>'8. Input IC huur Gasunie'!G241</f>
        <v>2020</v>
      </c>
      <c r="H288" s="42">
        <f>'8. Input IC huur Gasunie'!H241</f>
        <v>437.7361508808076</v>
      </c>
      <c r="I288" s="37">
        <f>'8. Input IC huur Gasunie'!I241</f>
        <v>2021</v>
      </c>
      <c r="J288" s="42">
        <f>_xlfn.XLOOKUP(F288,'3. Input (des)investeringen '!$B$11:$B$89,'3. Input (des)investeringen '!$D$11:$D$89)</f>
        <v>15</v>
      </c>
      <c r="K288" s="42">
        <f>_xlfn.XLOOKUP(F288,'3. Input (des)investeringen '!$B$11:$B$89,'3. Input (des)investeringen '!$E$11:$E$89)</f>
        <v>1</v>
      </c>
      <c r="L288" s="42">
        <f>'8. Input IC huur Gasunie'!J241</f>
        <v>400.26593636541048</v>
      </c>
      <c r="M288" s="42">
        <f>'8. Input IC huur Gasunie'!K241</f>
        <v>0</v>
      </c>
    </row>
    <row r="289" spans="2:36">
      <c r="B289" s="37" t="str">
        <f>'8. Input IC huur Gasunie'!B242</f>
        <v>Asset 231</v>
      </c>
      <c r="F289" s="37" t="str">
        <f>'8. Input IC huur Gasunie'!F242</f>
        <v>05 Wegen en terreinvoorzieningen</v>
      </c>
      <c r="G289" s="37">
        <f>'8. Input IC huur Gasunie'!G242</f>
        <v>2020</v>
      </c>
      <c r="H289" s="42">
        <f>'8. Input IC huur Gasunie'!H242</f>
        <v>274981.09053004743</v>
      </c>
      <c r="I289" s="37">
        <f>'8. Input IC huur Gasunie'!I242</f>
        <v>2021</v>
      </c>
      <c r="J289" s="42">
        <f>_xlfn.XLOOKUP(F289,'3. Input (des)investeringen '!$B$11:$B$89,'3. Input (des)investeringen '!$D$11:$D$89)</f>
        <v>10</v>
      </c>
      <c r="K289" s="42">
        <f>_xlfn.XLOOKUP(F289,'3. Input (des)investeringen '!$B$11:$B$89,'3. Input (des)investeringen '!$E$11:$E$89)</f>
        <v>0</v>
      </c>
      <c r="L289" s="42">
        <f>'8. Input IC huur Gasunie'!J242</f>
        <v>237473.66978174893</v>
      </c>
      <c r="M289" s="42">
        <f>'8. Input IC huur Gasunie'!K242</f>
        <v>0</v>
      </c>
    </row>
    <row r="290" spans="2:36">
      <c r="B290" s="37" t="str">
        <f>'8. Input IC huur Gasunie'!B243</f>
        <v>Asset 232</v>
      </c>
      <c r="F290" s="37" t="str">
        <f>'8. Input IC huur Gasunie'!F243</f>
        <v>04 Terreinen</v>
      </c>
      <c r="G290" s="37">
        <f>'8. Input IC huur Gasunie'!G243</f>
        <v>2020</v>
      </c>
      <c r="H290" s="42">
        <f>'8. Input IC huur Gasunie'!H243</f>
        <v>1155506.2616599156</v>
      </c>
      <c r="I290" s="37">
        <f>'8. Input IC huur Gasunie'!I243</f>
        <v>2021</v>
      </c>
      <c r="J290" s="42">
        <f>_xlfn.XLOOKUP(F290,'3. Input (des)investeringen '!$B$11:$B$89,'3. Input (des)investeringen '!$D$11:$D$89)</f>
        <v>0</v>
      </c>
      <c r="K290" s="42">
        <f>_xlfn.XLOOKUP(F290,'3. Input (des)investeringen '!$B$11:$B$89,'3. Input (des)investeringen '!$E$11:$E$89)</f>
        <v>0</v>
      </c>
      <c r="L290" s="42">
        <f>'8. Input IC huur Gasunie'!J243</f>
        <v>1173994.3618464742</v>
      </c>
      <c r="M290" s="42">
        <f>'8. Input IC huur Gasunie'!K243</f>
        <v>0</v>
      </c>
    </row>
    <row r="291" spans="2:36">
      <c r="B291" s="37" t="str">
        <f>'8. Input IC huur Gasunie'!B244</f>
        <v>Asset 233</v>
      </c>
      <c r="F291" s="37" t="str">
        <f>'8. Input IC huur Gasunie'!F244</f>
        <v>08 Inrichting gebouwen</v>
      </c>
      <c r="G291" s="37">
        <f>'8. Input IC huur Gasunie'!G244</f>
        <v>2020</v>
      </c>
      <c r="H291" s="42">
        <f>'8. Input IC huur Gasunie'!H244</f>
        <v>227204.18889764068</v>
      </c>
      <c r="I291" s="37">
        <f>'8. Input IC huur Gasunie'!I244</f>
        <v>2021</v>
      </c>
      <c r="J291" s="42">
        <f>_xlfn.XLOOKUP(F291,'3. Input (des)investeringen '!$B$11:$B$89,'3. Input (des)investeringen '!$D$11:$D$89)</f>
        <v>10</v>
      </c>
      <c r="K291" s="42">
        <f>_xlfn.XLOOKUP(F291,'3. Input (des)investeringen '!$B$11:$B$89,'3. Input (des)investeringen '!$E$11:$E$89)</f>
        <v>0</v>
      </c>
      <c r="L291" s="42">
        <f>'8. Input IC huur Gasunie'!J244</f>
        <v>196213.53753200249</v>
      </c>
      <c r="M291" s="42">
        <f>'8. Input IC huur Gasunie'!K244</f>
        <v>0</v>
      </c>
    </row>
    <row r="292" spans="2:36">
      <c r="B292" s="37" t="str">
        <f>'8. Input IC huur Gasunie'!B245</f>
        <v>Asset 234</v>
      </c>
      <c r="F292" s="37" t="str">
        <f>'8. Input IC huur Gasunie'!F245</f>
        <v>11 Werktuigen</v>
      </c>
      <c r="G292" s="37">
        <f>'8. Input IC huur Gasunie'!G245</f>
        <v>2020</v>
      </c>
      <c r="H292" s="42">
        <f>'8. Input IC huur Gasunie'!H245</f>
        <v>880855.41897943604</v>
      </c>
      <c r="I292" s="37">
        <f>'8. Input IC huur Gasunie'!I245</f>
        <v>2021</v>
      </c>
      <c r="J292" s="42">
        <f>_xlfn.XLOOKUP(F292,'3. Input (des)investeringen '!$B$11:$B$89,'3. Input (des)investeringen '!$D$11:$D$89)</f>
        <v>10</v>
      </c>
      <c r="K292" s="42">
        <f>_xlfn.XLOOKUP(F292,'3. Input (des)investeringen '!$B$11:$B$89,'3. Input (des)investeringen '!$E$11:$E$89)</f>
        <v>1</v>
      </c>
      <c r="L292" s="42">
        <f>'8. Input IC huur Gasunie'!J245</f>
        <v>760706.73983064084</v>
      </c>
      <c r="M292" s="42">
        <f>'8. Input IC huur Gasunie'!K245</f>
        <v>0</v>
      </c>
    </row>
    <row r="293" spans="2:36">
      <c r="B293" s="37" t="str">
        <f>'8. Input IC huur Gasunie'!B246</f>
        <v>Asset 235</v>
      </c>
      <c r="F293" s="37" t="str">
        <f>'8. Input IC huur Gasunie'!F246</f>
        <v>14 Overig rollend materieel</v>
      </c>
      <c r="G293" s="37">
        <f>'8. Input IC huur Gasunie'!G246</f>
        <v>2020</v>
      </c>
      <c r="H293" s="42">
        <f>'8. Input IC huur Gasunie'!H246</f>
        <v>111163.8757407683</v>
      </c>
      <c r="I293" s="37">
        <f>'8. Input IC huur Gasunie'!I246</f>
        <v>2021</v>
      </c>
      <c r="J293" s="42">
        <f>_xlfn.XLOOKUP(F293,'3. Input (des)investeringen '!$B$11:$B$89,'3. Input (des)investeringen '!$D$11:$D$89)</f>
        <v>10</v>
      </c>
      <c r="K293" s="42">
        <f>_xlfn.XLOOKUP(F293,'3. Input (des)investeringen '!$B$11:$B$89,'3. Input (des)investeringen '!$E$11:$E$89)</f>
        <v>1</v>
      </c>
      <c r="L293" s="42">
        <f>'8. Input IC huur Gasunie'!J246</f>
        <v>96001.123089727509</v>
      </c>
      <c r="M293" s="42">
        <f>'8. Input IC huur Gasunie'!K246</f>
        <v>0</v>
      </c>
    </row>
    <row r="294" spans="2:36">
      <c r="B294" s="37" t="str">
        <f>'8. Input IC huur Gasunie'!B247</f>
        <v>Asset 236</v>
      </c>
      <c r="F294" s="37" t="str">
        <f>'8. Input IC huur Gasunie'!F247</f>
        <v>38 ICT middelen 2</v>
      </c>
      <c r="G294" s="37">
        <f>'8. Input IC huur Gasunie'!G247</f>
        <v>2020</v>
      </c>
      <c r="H294" s="42">
        <f>'8. Input IC huur Gasunie'!H247</f>
        <v>2253829.6322485749</v>
      </c>
      <c r="I294" s="37">
        <f>'8. Input IC huur Gasunie'!I247</f>
        <v>2021</v>
      </c>
      <c r="J294" s="42">
        <f>_xlfn.XLOOKUP(F294,'3. Input (des)investeringen '!$B$11:$B$89,'3. Input (des)investeringen '!$D$11:$D$89)</f>
        <v>10</v>
      </c>
      <c r="K294" s="42">
        <f>_xlfn.XLOOKUP(F294,'3. Input (des)investeringen '!$B$11:$B$89,'3. Input (des)investeringen '!$E$11:$E$89)</f>
        <v>1</v>
      </c>
      <c r="L294" s="42">
        <f>'8. Input IC huur Gasunie'!J247</f>
        <v>1946407.2704098693</v>
      </c>
      <c r="M294" s="42">
        <f>'8. Input IC huur Gasunie'!K247</f>
        <v>0</v>
      </c>
    </row>
    <row r="295" spans="2:36">
      <c r="B295" s="37" t="str">
        <f>'8. Input IC huur Gasunie'!B248</f>
        <v>Asset 237</v>
      </c>
      <c r="F295" s="37" t="str">
        <f>'8. Input IC huur Gasunie'!F248</f>
        <v>20 Kantoorgebouwen</v>
      </c>
      <c r="G295" s="37">
        <f>'8. Input IC huur Gasunie'!G248</f>
        <v>2020</v>
      </c>
      <c r="H295" s="42">
        <f>'8. Input IC huur Gasunie'!H248</f>
        <v>715175.01653112471</v>
      </c>
      <c r="I295" s="37">
        <f>'8. Input IC huur Gasunie'!I248</f>
        <v>2021</v>
      </c>
      <c r="J295" s="42">
        <f>_xlfn.XLOOKUP(F295,'3. Input (des)investeringen '!$B$11:$B$89,'3. Input (des)investeringen '!$D$11:$D$89)</f>
        <v>30</v>
      </c>
      <c r="K295" s="42">
        <f>_xlfn.XLOOKUP(F295,'3. Input (des)investeringen '!$B$11:$B$89,'3. Input (des)investeringen '!$E$11:$E$89)</f>
        <v>0</v>
      </c>
      <c r="L295" s="42">
        <f>'8. Input IC huur Gasunie'!J248</f>
        <v>690286.92595584155</v>
      </c>
      <c r="M295" s="42">
        <f>'8. Input IC huur Gasunie'!K248</f>
        <v>0</v>
      </c>
    </row>
    <row r="296" spans="2:36">
      <c r="B296" s="37" t="str">
        <f>'8. Input IC huur Gasunie'!B249</f>
        <v>Asset 238</v>
      </c>
      <c r="F296" s="37" t="str">
        <f>'8. Input IC huur Gasunie'!F249</f>
        <v>06 Utiliteitsgebouwen</v>
      </c>
      <c r="G296" s="37">
        <f>'8. Input IC huur Gasunie'!G249</f>
        <v>2020</v>
      </c>
      <c r="H296" s="42">
        <f>'8. Input IC huur Gasunie'!H249</f>
        <v>611310.12783119339</v>
      </c>
      <c r="I296" s="37">
        <f>'8. Input IC huur Gasunie'!I249</f>
        <v>2021</v>
      </c>
      <c r="J296" s="42">
        <f>_xlfn.XLOOKUP(F296,'3. Input (des)investeringen '!$B$11:$B$89,'3. Input (des)investeringen '!$D$11:$D$89)</f>
        <v>30</v>
      </c>
      <c r="K296" s="42">
        <f>_xlfn.XLOOKUP(F296,'3. Input (des)investeringen '!$B$11:$B$89,'3. Input (des)investeringen '!$E$11:$E$89)</f>
        <v>0</v>
      </c>
      <c r="L296" s="42">
        <f>'8. Input IC huur Gasunie'!J249</f>
        <v>590036.53538266791</v>
      </c>
      <c r="M296" s="42">
        <f>'8. Input IC huur Gasunie'!K249</f>
        <v>0</v>
      </c>
    </row>
    <row r="297" spans="2:36">
      <c r="B297" s="37" t="str">
        <f>'8. Input IC huur Gasunie'!B250</f>
        <v>Asset 239</v>
      </c>
      <c r="F297" s="37" t="str">
        <f>'8. Input IC huur Gasunie'!F250</f>
        <v>08 Inrichting gebouwen</v>
      </c>
      <c r="G297" s="37">
        <f>'8. Input IC huur Gasunie'!G250</f>
        <v>2021</v>
      </c>
      <c r="H297" s="42">
        <f>'8. Input IC huur Gasunie'!H250</f>
        <v>384242.51972392667</v>
      </c>
      <c r="I297" s="37">
        <f>'8. Input IC huur Gasunie'!I250</f>
        <v>2021</v>
      </c>
      <c r="J297" s="42">
        <f>_xlfn.XLOOKUP(F297,'3. Input (des)investeringen '!$B$11:$B$89,'3. Input (des)investeringen '!$D$11:$D$89)</f>
        <v>10</v>
      </c>
      <c r="K297" s="42">
        <f>_xlfn.XLOOKUP(F297,'3. Input (des)investeringen '!$B$11:$B$89,'3. Input (des)investeringen '!$E$11:$E$89)</f>
        <v>0</v>
      </c>
      <c r="L297" s="42">
        <f>'8. Input IC huur Gasunie'!J250</f>
        <v>365030.39373773034</v>
      </c>
      <c r="M297" s="42">
        <f>'8. Input IC huur Gasunie'!K250</f>
        <v>0</v>
      </c>
    </row>
    <row r="298" spans="2:36">
      <c r="B298" s="37" t="str">
        <f>'8. Input IC huur Gasunie'!B251</f>
        <v>Asset 240</v>
      </c>
      <c r="F298" s="37" t="str">
        <f>'8. Input IC huur Gasunie'!F251</f>
        <v>20 Kantoorgebouwen</v>
      </c>
      <c r="G298" s="37">
        <f>'8. Input IC huur Gasunie'!G251</f>
        <v>2021</v>
      </c>
      <c r="H298" s="42">
        <f>'8. Input IC huur Gasunie'!H251</f>
        <v>1098657.1778898467</v>
      </c>
      <c r="I298" s="37">
        <f>'8. Input IC huur Gasunie'!I251</f>
        <v>2021</v>
      </c>
      <c r="J298" s="42">
        <f>_xlfn.XLOOKUP(F298,'3. Input (des)investeringen '!$B$11:$B$89,'3. Input (des)investeringen '!$D$11:$D$89)</f>
        <v>30</v>
      </c>
      <c r="K298" s="42">
        <f>_xlfn.XLOOKUP(F298,'3. Input (des)investeringen '!$B$11:$B$89,'3. Input (des)investeringen '!$E$11:$E$89)</f>
        <v>0</v>
      </c>
      <c r="L298" s="42">
        <f>'8. Input IC huur Gasunie'!J251</f>
        <v>1080346.2249250161</v>
      </c>
      <c r="M298" s="42">
        <f>'8. Input IC huur Gasunie'!K251</f>
        <v>0</v>
      </c>
    </row>
    <row r="299" spans="2:36">
      <c r="B299" s="37" t="str">
        <f>'8. Input IC huur Gasunie'!B252</f>
        <v>Asset 241</v>
      </c>
      <c r="F299" s="37" t="str">
        <f>'8. Input IC huur Gasunie'!F252</f>
        <v>03 Verremeting</v>
      </c>
      <c r="G299" s="37">
        <f>'8. Input IC huur Gasunie'!G252</f>
        <v>1993</v>
      </c>
      <c r="H299" s="42">
        <f>'8. Input IC huur Gasunie'!H252</f>
        <v>27208128.690000001</v>
      </c>
      <c r="I299" s="37">
        <f>'8. Input IC huur Gasunie'!I252</f>
        <v>2021</v>
      </c>
      <c r="J299" s="42">
        <f>_xlfn.XLOOKUP(F299,'3. Input (des)investeringen '!$B$11:$B$89,'3. Input (des)investeringen '!$D$11:$D$89)</f>
        <v>5</v>
      </c>
      <c r="K299" s="42">
        <f>_xlfn.XLOOKUP(F299,'3. Input (des)investeringen '!$B$11:$B$89,'3. Input (des)investeringen '!$E$11:$E$89)</f>
        <v>1</v>
      </c>
      <c r="L299" s="42">
        <f>'8. Input IC huur Gasunie'!J252</f>
        <v>0</v>
      </c>
      <c r="M299" s="42">
        <f>'8. Input IC huur Gasunie'!K252</f>
        <v>0</v>
      </c>
    </row>
    <row r="300" spans="2:36">
      <c r="B300" s="37" t="str">
        <f>'8. Input IC huur Gasunie'!B253</f>
        <v>Asset 242</v>
      </c>
      <c r="F300" s="37" t="str">
        <f>'8. Input IC huur Gasunie'!F253</f>
        <v>06 Utiliteitsgebouwen</v>
      </c>
      <c r="G300" s="37">
        <f>'8. Input IC huur Gasunie'!G253</f>
        <v>2021</v>
      </c>
      <c r="H300" s="42">
        <f>'8. Input IC huur Gasunie'!H253</f>
        <v>114485.52709029273</v>
      </c>
      <c r="I300" s="37">
        <f>'8. Input IC huur Gasunie'!I253</f>
        <v>2021</v>
      </c>
      <c r="J300" s="42">
        <f>_xlfn.XLOOKUP(F300,'3. Input (des)investeringen '!$B$11:$B$89,'3. Input (des)investeringen '!$D$11:$D$89)</f>
        <v>30</v>
      </c>
      <c r="K300" s="42">
        <f>_xlfn.XLOOKUP(F300,'3. Input (des)investeringen '!$B$11:$B$89,'3. Input (des)investeringen '!$E$11:$E$89)</f>
        <v>0</v>
      </c>
      <c r="L300" s="42">
        <f>'8. Input IC huur Gasunie'!J253</f>
        <v>112577.43497212119</v>
      </c>
      <c r="M300" s="42">
        <f>'8. Input IC huur Gasunie'!K253</f>
        <v>0</v>
      </c>
    </row>
    <row r="301" spans="2:36">
      <c r="B301" s="37" t="str">
        <f>'8. Input IC huur Gasunie'!B254</f>
        <v>Asset 243</v>
      </c>
      <c r="F301" s="37" t="str">
        <f>'8. Input IC huur Gasunie'!F254</f>
        <v>38 ICT middelen 2</v>
      </c>
      <c r="G301" s="37">
        <f>'8. Input IC huur Gasunie'!G254</f>
        <v>2019</v>
      </c>
      <c r="H301" s="42">
        <f>'8. Input IC huur Gasunie'!H254</f>
        <v>5155994.869123158</v>
      </c>
      <c r="I301" s="37">
        <f>'8. Input IC huur Gasunie'!I254</f>
        <v>2021</v>
      </c>
      <c r="J301" s="42">
        <f>_xlfn.XLOOKUP(F301,'3. Input (des)investeringen '!$B$11:$B$89,'3. Input (des)investeringen '!$D$11:$D$89)</f>
        <v>10</v>
      </c>
      <c r="K301" s="42">
        <f>_xlfn.XLOOKUP(F301,'3. Input (des)investeringen '!$B$11:$B$89,'3. Input (des)investeringen '!$E$11:$E$89)</f>
        <v>1</v>
      </c>
      <c r="L301" s="42">
        <f>'8. Input IC huur Gasunie'!J254</f>
        <v>4031018.6606189152</v>
      </c>
      <c r="M301" s="42">
        <f>'8. Input IC huur Gasunie'!K254</f>
        <v>0</v>
      </c>
    </row>
    <row r="302" spans="2:36">
      <c r="L302" s="88"/>
    </row>
    <row r="303" spans="2:36" s="33" customFormat="1">
      <c r="B303" s="33" t="s">
        <v>1075</v>
      </c>
    </row>
    <row r="304" spans="2:36" s="36" customFormat="1">
      <c r="R304" s="36" t="s">
        <v>911</v>
      </c>
      <c r="X304" s="36" t="s">
        <v>912</v>
      </c>
      <c r="AD304" s="36" t="s">
        <v>914</v>
      </c>
      <c r="AJ304" s="36" t="s">
        <v>915</v>
      </c>
    </row>
    <row r="305" spans="2:40" s="39" customFormat="1">
      <c r="B305" s="39" t="s">
        <v>1076</v>
      </c>
      <c r="F305" s="39" t="s">
        <v>920</v>
      </c>
      <c r="G305" s="39" t="s">
        <v>576</v>
      </c>
      <c r="H305" s="39" t="s">
        <v>1077</v>
      </c>
      <c r="I305" s="39" t="s">
        <v>1078</v>
      </c>
      <c r="J305" s="39" t="s">
        <v>303</v>
      </c>
      <c r="K305" s="39" t="s">
        <v>1073</v>
      </c>
      <c r="L305" s="39" t="s">
        <v>579</v>
      </c>
      <c r="N305" s="39" t="s">
        <v>1079</v>
      </c>
      <c r="P305" s="39" t="s">
        <v>956</v>
      </c>
      <c r="R305" s="45">
        <v>2022</v>
      </c>
      <c r="S305" s="45">
        <v>2023</v>
      </c>
      <c r="T305" s="45">
        <v>2024</v>
      </c>
      <c r="U305" s="45">
        <v>2025</v>
      </c>
      <c r="V305" s="45">
        <v>2026</v>
      </c>
      <c r="X305" s="45">
        <v>2022</v>
      </c>
      <c r="Y305" s="45">
        <v>2023</v>
      </c>
      <c r="Z305" s="45">
        <v>2024</v>
      </c>
      <c r="AA305" s="45">
        <v>2025</v>
      </c>
      <c r="AB305" s="45">
        <v>2026</v>
      </c>
      <c r="AD305" s="45">
        <v>2022</v>
      </c>
      <c r="AE305" s="45">
        <v>2023</v>
      </c>
      <c r="AF305" s="45">
        <v>2024</v>
      </c>
      <c r="AG305" s="45">
        <v>2025</v>
      </c>
      <c r="AH305" s="45">
        <v>2026</v>
      </c>
      <c r="AJ305" s="45">
        <v>2022</v>
      </c>
      <c r="AK305" s="45">
        <v>2023</v>
      </c>
      <c r="AL305" s="45">
        <v>2024</v>
      </c>
      <c r="AM305" s="45">
        <v>2025</v>
      </c>
      <c r="AN305" s="45">
        <v>2026</v>
      </c>
    </row>
    <row r="307" spans="2:40">
      <c r="B307" s="37" t="str">
        <f>B59</f>
        <v>Asset 1</v>
      </c>
      <c r="F307" s="37" t="str">
        <f t="shared" ref="F307:L308" si="0">F59</f>
        <v>05 Wegen en terreinvoorzieningen</v>
      </c>
      <c r="G307" s="37">
        <f t="shared" si="0"/>
        <v>1971</v>
      </c>
      <c r="H307" s="52">
        <f t="shared" si="0"/>
        <v>47083.78</v>
      </c>
      <c r="I307" s="37">
        <f t="shared" si="0"/>
        <v>2021</v>
      </c>
      <c r="J307" s="52">
        <f t="shared" si="0"/>
        <v>10</v>
      </c>
      <c r="K307" s="175">
        <f t="shared" si="0"/>
        <v>0</v>
      </c>
      <c r="L307" s="52">
        <f t="shared" si="0"/>
        <v>0</v>
      </c>
      <c r="N307" s="43">
        <f>L307*IF(K307=1,$F$19,1)</f>
        <v>0</v>
      </c>
      <c r="P307" s="38">
        <f>MAX(0,IF(G307&lt;=2021, J307-2021+G307-0.5,J307))</f>
        <v>0</v>
      </c>
      <c r="R307" s="43">
        <f t="shared" ref="R307:V316" si="1">IF(R$305&lt;=$G307+$J307,VDB($L307*(1-$F$25),0,$P307,R$305-2022,MIN(R$305-2021,$P307),$F$22),0)</f>
        <v>0</v>
      </c>
      <c r="S307" s="43">
        <f t="shared" si="1"/>
        <v>0</v>
      </c>
      <c r="T307" s="43">
        <f t="shared" si="1"/>
        <v>0</v>
      </c>
      <c r="U307" s="43">
        <f t="shared" si="1"/>
        <v>0</v>
      </c>
      <c r="V307" s="43">
        <f t="shared" si="1"/>
        <v>0</v>
      </c>
      <c r="X307" s="43">
        <f t="shared" ref="X307:AB316" si="2">IF(X$305&lt;=$G307+$J307,VDB($L307*$F$25,0,$P307,X$305-2022,MIN(X$305-2021,$P307),1),0)</f>
        <v>0</v>
      </c>
      <c r="Y307" s="43">
        <f t="shared" si="2"/>
        <v>0</v>
      </c>
      <c r="Z307" s="43">
        <f t="shared" si="2"/>
        <v>0</v>
      </c>
      <c r="AA307" s="43">
        <f t="shared" si="2"/>
        <v>0</v>
      </c>
      <c r="AB307" s="43">
        <f t="shared" si="2"/>
        <v>0</v>
      </c>
      <c r="AD307" s="43">
        <f>IF(OR(AD$305&lt;=$G307+$J307,$J307=0),IF(AC307=0,$L307,AC307)-R307-X307,0)</f>
        <v>0</v>
      </c>
      <c r="AE307" s="43">
        <f t="shared" ref="AE307:AH307" si="3">IF(OR(AE$305&lt;=$G307+$J307,$J307=0),IF(AD307=0,$L307,AD307)-S307-Y307,0)</f>
        <v>0</v>
      </c>
      <c r="AF307" s="43">
        <f t="shared" si="3"/>
        <v>0</v>
      </c>
      <c r="AG307" s="43">
        <f t="shared" si="3"/>
        <v>0</v>
      </c>
      <c r="AH307" s="43">
        <f t="shared" si="3"/>
        <v>0</v>
      </c>
      <c r="AJ307" s="43">
        <f>(R307+X307+AD307*I$16)*IF($K307=1,$F$19,1)</f>
        <v>0</v>
      </c>
      <c r="AK307" s="43">
        <f t="shared" ref="AK307:AN307" si="4">(S307+Y307+AE307*J$16)*IF($K307=1,$F$19,1)</f>
        <v>0</v>
      </c>
      <c r="AL307" s="43">
        <f t="shared" si="4"/>
        <v>0</v>
      </c>
      <c r="AM307" s="43">
        <f t="shared" si="4"/>
        <v>0</v>
      </c>
      <c r="AN307" s="43">
        <f t="shared" si="4"/>
        <v>0</v>
      </c>
    </row>
    <row r="308" spans="2:40">
      <c r="B308" s="37" t="str">
        <f t="shared" ref="B308:B371" si="5">B60</f>
        <v>Asset 2</v>
      </c>
      <c r="F308" s="37" t="str">
        <f t="shared" si="0"/>
        <v>06 Utiliteitsgebouwen</v>
      </c>
      <c r="G308" s="37">
        <f t="shared" si="0"/>
        <v>1961</v>
      </c>
      <c r="H308" s="52">
        <f t="shared" si="0"/>
        <v>50334.43</v>
      </c>
      <c r="I308" s="37">
        <f t="shared" si="0"/>
        <v>2021</v>
      </c>
      <c r="J308" s="52">
        <f t="shared" si="0"/>
        <v>30</v>
      </c>
      <c r="K308" s="175">
        <f t="shared" si="0"/>
        <v>0</v>
      </c>
      <c r="L308" s="52">
        <f t="shared" si="0"/>
        <v>0</v>
      </c>
      <c r="N308" s="43">
        <f t="shared" ref="N308:N310" si="6">L308*IF(K308=1,$F$19,1)</f>
        <v>0</v>
      </c>
      <c r="P308" s="38">
        <f t="shared" ref="P308:P371" si="7">MAX(0,IF(G308&lt;=2021, J308-2021+G308-0.5,J308))</f>
        <v>0</v>
      </c>
      <c r="R308" s="43">
        <f t="shared" si="1"/>
        <v>0</v>
      </c>
      <c r="S308" s="43">
        <f t="shared" si="1"/>
        <v>0</v>
      </c>
      <c r="T308" s="43">
        <f t="shared" si="1"/>
        <v>0</v>
      </c>
      <c r="U308" s="43">
        <f t="shared" si="1"/>
        <v>0</v>
      </c>
      <c r="V308" s="43">
        <f t="shared" si="1"/>
        <v>0</v>
      </c>
      <c r="X308" s="43">
        <f t="shared" si="2"/>
        <v>0</v>
      </c>
      <c r="Y308" s="43">
        <f t="shared" si="2"/>
        <v>0</v>
      </c>
      <c r="Z308" s="43">
        <f t="shared" si="2"/>
        <v>0</v>
      </c>
      <c r="AA308" s="43">
        <f t="shared" si="2"/>
        <v>0</v>
      </c>
      <c r="AB308" s="43">
        <f t="shared" si="2"/>
        <v>0</v>
      </c>
      <c r="AD308" s="43">
        <f t="shared" ref="AD308:AD310" si="8">IF(OR(AD$305&lt;=$G308+$J308,$J308=0),IF(AC308=0,$L308,AC308)-R308-X308,0)</f>
        <v>0</v>
      </c>
      <c r="AE308" s="43">
        <f t="shared" ref="AE308:AE310" si="9">IF(OR(AE$305&lt;=$G308+$J308,$J308=0),IF(AD308=0,$L308,AD308)-S308-Y308,0)</f>
        <v>0</v>
      </c>
      <c r="AF308" s="43">
        <f t="shared" ref="AF308:AF310" si="10">IF(OR(AF$305&lt;=$G308+$J308,$J308=0),IF(AE308=0,$L308,AE308)-T308-Z308,0)</f>
        <v>0</v>
      </c>
      <c r="AG308" s="43">
        <f t="shared" ref="AG308:AG310" si="11">IF(OR(AG$305&lt;=$G308+$J308,$J308=0),IF(AF308=0,$L308,AF308)-U308-AA308,0)</f>
        <v>0</v>
      </c>
      <c r="AH308" s="43">
        <f t="shared" ref="AH308:AH310" si="12">IF(OR(AH$305&lt;=$G308+$J308,$J308=0),IF(AG308=0,$L308,AG308)-V308-AB308,0)</f>
        <v>0</v>
      </c>
      <c r="AJ308" s="43">
        <f t="shared" ref="AJ308:AJ371" si="13">(R308+X308+AD308*I$16)*IF($K308=1,$F$19,1)</f>
        <v>0</v>
      </c>
      <c r="AK308" s="43">
        <f t="shared" ref="AK308:AK371" si="14">(S308+Y308+AE308*J$16)*IF($K308=1,$F$19,1)</f>
        <v>0</v>
      </c>
      <c r="AL308" s="43">
        <f t="shared" ref="AL308:AL371" si="15">(T308+Z308+AF308*K$16)*IF($K308=1,$F$19,1)</f>
        <v>0</v>
      </c>
      <c r="AM308" s="43">
        <f t="shared" ref="AM308:AM371" si="16">(U308+AA308+AG308*L$16)*IF($K308=1,$F$19,1)</f>
        <v>0</v>
      </c>
      <c r="AN308" s="43">
        <f t="shared" ref="AN308:AN371" si="17">(V308+AB308+AH308*M$16)*IF($K308=1,$F$19,1)</f>
        <v>0</v>
      </c>
    </row>
    <row r="309" spans="2:40">
      <c r="B309" s="37" t="str">
        <f t="shared" si="5"/>
        <v>Asset 3</v>
      </c>
      <c r="F309" s="37" t="str">
        <f t="shared" ref="F309:L309" si="18">F61</f>
        <v>06 Utiliteitsgebouwen</v>
      </c>
      <c r="G309" s="37">
        <f t="shared" si="18"/>
        <v>1972</v>
      </c>
      <c r="H309" s="52">
        <f t="shared" si="18"/>
        <v>2621.49</v>
      </c>
      <c r="I309" s="37">
        <f t="shared" si="18"/>
        <v>2021</v>
      </c>
      <c r="J309" s="52">
        <f t="shared" si="18"/>
        <v>30</v>
      </c>
      <c r="K309" s="175">
        <f t="shared" si="18"/>
        <v>0</v>
      </c>
      <c r="L309" s="52">
        <f t="shared" si="18"/>
        <v>0</v>
      </c>
      <c r="N309" s="43">
        <f t="shared" si="6"/>
        <v>0</v>
      </c>
      <c r="P309" s="38">
        <f t="shared" si="7"/>
        <v>0</v>
      </c>
      <c r="R309" s="43">
        <f t="shared" si="1"/>
        <v>0</v>
      </c>
      <c r="S309" s="43">
        <f t="shared" si="1"/>
        <v>0</v>
      </c>
      <c r="T309" s="43">
        <f t="shared" si="1"/>
        <v>0</v>
      </c>
      <c r="U309" s="43">
        <f t="shared" si="1"/>
        <v>0</v>
      </c>
      <c r="V309" s="43">
        <f t="shared" si="1"/>
        <v>0</v>
      </c>
      <c r="X309" s="43">
        <f t="shared" si="2"/>
        <v>0</v>
      </c>
      <c r="Y309" s="43">
        <f t="shared" si="2"/>
        <v>0</v>
      </c>
      <c r="Z309" s="43">
        <f t="shared" si="2"/>
        <v>0</v>
      </c>
      <c r="AA309" s="43">
        <f t="shared" si="2"/>
        <v>0</v>
      </c>
      <c r="AB309" s="43">
        <f t="shared" si="2"/>
        <v>0</v>
      </c>
      <c r="AD309" s="43">
        <f t="shared" si="8"/>
        <v>0</v>
      </c>
      <c r="AE309" s="43">
        <f t="shared" si="9"/>
        <v>0</v>
      </c>
      <c r="AF309" s="43">
        <f t="shared" si="10"/>
        <v>0</v>
      </c>
      <c r="AG309" s="43">
        <f t="shared" si="11"/>
        <v>0</v>
      </c>
      <c r="AH309" s="43">
        <f t="shared" si="12"/>
        <v>0</v>
      </c>
      <c r="AJ309" s="43">
        <f t="shared" si="13"/>
        <v>0</v>
      </c>
      <c r="AK309" s="43">
        <f t="shared" si="14"/>
        <v>0</v>
      </c>
      <c r="AL309" s="43">
        <f t="shared" si="15"/>
        <v>0</v>
      </c>
      <c r="AM309" s="43">
        <f t="shared" si="16"/>
        <v>0</v>
      </c>
      <c r="AN309" s="43">
        <f t="shared" si="17"/>
        <v>0</v>
      </c>
    </row>
    <row r="310" spans="2:40">
      <c r="B310" s="37" t="str">
        <f t="shared" si="5"/>
        <v>Asset 4</v>
      </c>
      <c r="F310" s="37" t="str">
        <f t="shared" ref="F310:L310" si="19">F62</f>
        <v>08 Inrichting gebouwen</v>
      </c>
      <c r="G310" s="37">
        <f t="shared" si="19"/>
        <v>1997</v>
      </c>
      <c r="H310" s="52">
        <f t="shared" si="19"/>
        <v>151227.48000000004</v>
      </c>
      <c r="I310" s="37">
        <f t="shared" si="19"/>
        <v>2021</v>
      </c>
      <c r="J310" s="52">
        <f t="shared" si="19"/>
        <v>10</v>
      </c>
      <c r="K310" s="175">
        <f t="shared" si="19"/>
        <v>0</v>
      </c>
      <c r="L310" s="52">
        <f t="shared" si="19"/>
        <v>0</v>
      </c>
      <c r="N310" s="43">
        <f t="shared" si="6"/>
        <v>0</v>
      </c>
      <c r="P310" s="38">
        <f t="shared" si="7"/>
        <v>0</v>
      </c>
      <c r="R310" s="43">
        <f t="shared" si="1"/>
        <v>0</v>
      </c>
      <c r="S310" s="43">
        <f t="shared" si="1"/>
        <v>0</v>
      </c>
      <c r="T310" s="43">
        <f t="shared" si="1"/>
        <v>0</v>
      </c>
      <c r="U310" s="43">
        <f t="shared" si="1"/>
        <v>0</v>
      </c>
      <c r="V310" s="43">
        <f t="shared" si="1"/>
        <v>0</v>
      </c>
      <c r="X310" s="43">
        <f t="shared" si="2"/>
        <v>0</v>
      </c>
      <c r="Y310" s="43">
        <f t="shared" si="2"/>
        <v>0</v>
      </c>
      <c r="Z310" s="43">
        <f t="shared" si="2"/>
        <v>0</v>
      </c>
      <c r="AA310" s="43">
        <f t="shared" si="2"/>
        <v>0</v>
      </c>
      <c r="AB310" s="43">
        <f t="shared" si="2"/>
        <v>0</v>
      </c>
      <c r="AD310" s="43">
        <f t="shared" si="8"/>
        <v>0</v>
      </c>
      <c r="AE310" s="43">
        <f t="shared" si="9"/>
        <v>0</v>
      </c>
      <c r="AF310" s="43">
        <f t="shared" si="10"/>
        <v>0</v>
      </c>
      <c r="AG310" s="43">
        <f t="shared" si="11"/>
        <v>0</v>
      </c>
      <c r="AH310" s="43">
        <f t="shared" si="12"/>
        <v>0</v>
      </c>
      <c r="AJ310" s="43">
        <f t="shared" si="13"/>
        <v>0</v>
      </c>
      <c r="AK310" s="43">
        <f t="shared" si="14"/>
        <v>0</v>
      </c>
      <c r="AL310" s="43">
        <f t="shared" si="15"/>
        <v>0</v>
      </c>
      <c r="AM310" s="43">
        <f t="shared" si="16"/>
        <v>0</v>
      </c>
      <c r="AN310" s="43">
        <f t="shared" si="17"/>
        <v>0</v>
      </c>
    </row>
    <row r="311" spans="2:40">
      <c r="B311" s="37" t="str">
        <f t="shared" si="5"/>
        <v>Asset 5</v>
      </c>
      <c r="F311" s="37" t="str">
        <f t="shared" ref="F311:L311" si="20">F63</f>
        <v>11 Werktuigen</v>
      </c>
      <c r="G311" s="37">
        <f t="shared" si="20"/>
        <v>2009</v>
      </c>
      <c r="H311" s="52">
        <f t="shared" si="20"/>
        <v>1313895.18</v>
      </c>
      <c r="I311" s="37">
        <f t="shared" si="20"/>
        <v>2021</v>
      </c>
      <c r="J311" s="52">
        <f t="shared" si="20"/>
        <v>10</v>
      </c>
      <c r="K311" s="175">
        <f t="shared" si="20"/>
        <v>1</v>
      </c>
      <c r="L311" s="52">
        <f t="shared" si="20"/>
        <v>0</v>
      </c>
      <c r="N311" s="43">
        <f t="shared" ref="N311:N374" si="21">L311*IF(K311=1,$F$19,1)</f>
        <v>0</v>
      </c>
      <c r="P311" s="38">
        <f t="shared" si="7"/>
        <v>0</v>
      </c>
      <c r="R311" s="43">
        <f t="shared" si="1"/>
        <v>0</v>
      </c>
      <c r="S311" s="43">
        <f t="shared" si="1"/>
        <v>0</v>
      </c>
      <c r="T311" s="43">
        <f t="shared" si="1"/>
        <v>0</v>
      </c>
      <c r="U311" s="43">
        <f t="shared" si="1"/>
        <v>0</v>
      </c>
      <c r="V311" s="43">
        <f t="shared" si="1"/>
        <v>0</v>
      </c>
      <c r="X311" s="43">
        <f t="shared" si="2"/>
        <v>0</v>
      </c>
      <c r="Y311" s="43">
        <f t="shared" si="2"/>
        <v>0</v>
      </c>
      <c r="Z311" s="43">
        <f t="shared" si="2"/>
        <v>0</v>
      </c>
      <c r="AA311" s="43">
        <f t="shared" si="2"/>
        <v>0</v>
      </c>
      <c r="AB311" s="43">
        <f t="shared" si="2"/>
        <v>0</v>
      </c>
      <c r="AD311" s="43">
        <f t="shared" ref="AD311:AD374" si="22">IF(OR(AD$305&lt;=$G311+$J311,$J311=0),IF(AC311=0,$L311,AC311)-R311-X311,0)</f>
        <v>0</v>
      </c>
      <c r="AE311" s="43">
        <f t="shared" ref="AE311:AE374" si="23">IF(OR(AE$305&lt;=$G311+$J311,$J311=0),IF(AD311=0,$L311,AD311)-S311-Y311,0)</f>
        <v>0</v>
      </c>
      <c r="AF311" s="43">
        <f t="shared" ref="AF311:AF374" si="24">IF(OR(AF$305&lt;=$G311+$J311,$J311=0),IF(AE311=0,$L311,AE311)-T311-Z311,0)</f>
        <v>0</v>
      </c>
      <c r="AG311" s="43">
        <f t="shared" ref="AG311:AG374" si="25">IF(OR(AG$305&lt;=$G311+$J311,$J311=0),IF(AF311=0,$L311,AF311)-U311-AA311,0)</f>
        <v>0</v>
      </c>
      <c r="AH311" s="43">
        <f t="shared" ref="AH311:AH374" si="26">IF(OR(AH$305&lt;=$G311+$J311,$J311=0),IF(AG311=0,$L311,AG311)-V311-AB311,0)</f>
        <v>0</v>
      </c>
      <c r="AJ311" s="43">
        <f t="shared" si="13"/>
        <v>0</v>
      </c>
      <c r="AK311" s="43">
        <f t="shared" si="14"/>
        <v>0</v>
      </c>
      <c r="AL311" s="43">
        <f t="shared" si="15"/>
        <v>0</v>
      </c>
      <c r="AM311" s="43">
        <f t="shared" si="16"/>
        <v>0</v>
      </c>
      <c r="AN311" s="43">
        <f t="shared" si="17"/>
        <v>0</v>
      </c>
    </row>
    <row r="312" spans="2:40">
      <c r="B312" s="37" t="str">
        <f t="shared" si="5"/>
        <v>Asset 6</v>
      </c>
      <c r="F312" s="37" t="str">
        <f t="shared" ref="F312:L312" si="27">F64</f>
        <v>37 ICT middelen 1</v>
      </c>
      <c r="G312" s="37">
        <f t="shared" si="27"/>
        <v>2009</v>
      </c>
      <c r="H312" s="52">
        <f t="shared" si="27"/>
        <v>3658553.4539964925</v>
      </c>
      <c r="I312" s="37">
        <f t="shared" si="27"/>
        <v>2021</v>
      </c>
      <c r="J312" s="52">
        <f t="shared" si="27"/>
        <v>5</v>
      </c>
      <c r="K312" s="175">
        <f t="shared" si="27"/>
        <v>1</v>
      </c>
      <c r="L312" s="52">
        <f t="shared" si="27"/>
        <v>0</v>
      </c>
      <c r="N312" s="43">
        <f t="shared" si="21"/>
        <v>0</v>
      </c>
      <c r="P312" s="38">
        <f t="shared" si="7"/>
        <v>0</v>
      </c>
      <c r="R312" s="43">
        <f t="shared" si="1"/>
        <v>0</v>
      </c>
      <c r="S312" s="43">
        <f t="shared" si="1"/>
        <v>0</v>
      </c>
      <c r="T312" s="43">
        <f t="shared" si="1"/>
        <v>0</v>
      </c>
      <c r="U312" s="43">
        <f t="shared" si="1"/>
        <v>0</v>
      </c>
      <c r="V312" s="43">
        <f t="shared" si="1"/>
        <v>0</v>
      </c>
      <c r="X312" s="43">
        <f t="shared" si="2"/>
        <v>0</v>
      </c>
      <c r="Y312" s="43">
        <f t="shared" si="2"/>
        <v>0</v>
      </c>
      <c r="Z312" s="43">
        <f t="shared" si="2"/>
        <v>0</v>
      </c>
      <c r="AA312" s="43">
        <f t="shared" si="2"/>
        <v>0</v>
      </c>
      <c r="AB312" s="43">
        <f t="shared" si="2"/>
        <v>0</v>
      </c>
      <c r="AD312" s="43">
        <f t="shared" si="22"/>
        <v>0</v>
      </c>
      <c r="AE312" s="43">
        <f t="shared" si="23"/>
        <v>0</v>
      </c>
      <c r="AF312" s="43">
        <f t="shared" si="24"/>
        <v>0</v>
      </c>
      <c r="AG312" s="43">
        <f t="shared" si="25"/>
        <v>0</v>
      </c>
      <c r="AH312" s="43">
        <f t="shared" si="26"/>
        <v>0</v>
      </c>
      <c r="AJ312" s="43">
        <f t="shared" si="13"/>
        <v>0</v>
      </c>
      <c r="AK312" s="43">
        <f t="shared" si="14"/>
        <v>0</v>
      </c>
      <c r="AL312" s="43">
        <f t="shared" si="15"/>
        <v>0</v>
      </c>
      <c r="AM312" s="43">
        <f t="shared" si="16"/>
        <v>0</v>
      </c>
      <c r="AN312" s="43">
        <f t="shared" si="17"/>
        <v>0</v>
      </c>
    </row>
    <row r="313" spans="2:40">
      <c r="B313" s="37" t="str">
        <f t="shared" si="5"/>
        <v>Asset 7</v>
      </c>
      <c r="F313" s="37" t="str">
        <f t="shared" ref="F313:L313" si="28">F65</f>
        <v>37 ICT middelen 1</v>
      </c>
      <c r="G313" s="37">
        <f t="shared" si="28"/>
        <v>2010</v>
      </c>
      <c r="H313" s="52">
        <f t="shared" si="28"/>
        <v>17379179.522018339</v>
      </c>
      <c r="I313" s="37">
        <f t="shared" si="28"/>
        <v>2021</v>
      </c>
      <c r="J313" s="52">
        <f t="shared" si="28"/>
        <v>5</v>
      </c>
      <c r="K313" s="175">
        <f t="shared" si="28"/>
        <v>1</v>
      </c>
      <c r="L313" s="52">
        <f t="shared" si="28"/>
        <v>0</v>
      </c>
      <c r="N313" s="43">
        <f t="shared" si="21"/>
        <v>0</v>
      </c>
      <c r="P313" s="38">
        <f t="shared" si="7"/>
        <v>0</v>
      </c>
      <c r="R313" s="43">
        <f t="shared" si="1"/>
        <v>0</v>
      </c>
      <c r="S313" s="43">
        <f t="shared" si="1"/>
        <v>0</v>
      </c>
      <c r="T313" s="43">
        <f t="shared" si="1"/>
        <v>0</v>
      </c>
      <c r="U313" s="43">
        <f t="shared" si="1"/>
        <v>0</v>
      </c>
      <c r="V313" s="43">
        <f t="shared" si="1"/>
        <v>0</v>
      </c>
      <c r="X313" s="43">
        <f t="shared" si="2"/>
        <v>0</v>
      </c>
      <c r="Y313" s="43">
        <f t="shared" si="2"/>
        <v>0</v>
      </c>
      <c r="Z313" s="43">
        <f t="shared" si="2"/>
        <v>0</v>
      </c>
      <c r="AA313" s="43">
        <f t="shared" si="2"/>
        <v>0</v>
      </c>
      <c r="AB313" s="43">
        <f t="shared" si="2"/>
        <v>0</v>
      </c>
      <c r="AD313" s="43">
        <f t="shared" si="22"/>
        <v>0</v>
      </c>
      <c r="AE313" s="43">
        <f t="shared" si="23"/>
        <v>0</v>
      </c>
      <c r="AF313" s="43">
        <f t="shared" si="24"/>
        <v>0</v>
      </c>
      <c r="AG313" s="43">
        <f t="shared" si="25"/>
        <v>0</v>
      </c>
      <c r="AH313" s="43">
        <f t="shared" si="26"/>
        <v>0</v>
      </c>
      <c r="AJ313" s="43">
        <f t="shared" si="13"/>
        <v>0</v>
      </c>
      <c r="AK313" s="43">
        <f t="shared" si="14"/>
        <v>0</v>
      </c>
      <c r="AL313" s="43">
        <f t="shared" si="15"/>
        <v>0</v>
      </c>
      <c r="AM313" s="43">
        <f t="shared" si="16"/>
        <v>0</v>
      </c>
      <c r="AN313" s="43">
        <f t="shared" si="17"/>
        <v>0</v>
      </c>
    </row>
    <row r="314" spans="2:40">
      <c r="B314" s="37" t="str">
        <f t="shared" si="5"/>
        <v>Asset 8</v>
      </c>
      <c r="F314" s="37" t="str">
        <f t="shared" ref="F314:L314" si="29">F66</f>
        <v>10 Gereedschap</v>
      </c>
      <c r="G314" s="37">
        <f t="shared" si="29"/>
        <v>2010</v>
      </c>
      <c r="H314" s="52">
        <f t="shared" si="29"/>
        <v>2369604.1752097155</v>
      </c>
      <c r="I314" s="37">
        <f t="shared" si="29"/>
        <v>2021</v>
      </c>
      <c r="J314" s="52">
        <f t="shared" si="29"/>
        <v>10</v>
      </c>
      <c r="K314" s="175">
        <f t="shared" si="29"/>
        <v>1</v>
      </c>
      <c r="L314" s="52">
        <f t="shared" si="29"/>
        <v>0</v>
      </c>
      <c r="N314" s="43">
        <f t="shared" si="21"/>
        <v>0</v>
      </c>
      <c r="P314" s="38">
        <f t="shared" si="7"/>
        <v>0</v>
      </c>
      <c r="R314" s="43">
        <f t="shared" si="1"/>
        <v>0</v>
      </c>
      <c r="S314" s="43">
        <f t="shared" si="1"/>
        <v>0</v>
      </c>
      <c r="T314" s="43">
        <f t="shared" si="1"/>
        <v>0</v>
      </c>
      <c r="U314" s="43">
        <f t="shared" si="1"/>
        <v>0</v>
      </c>
      <c r="V314" s="43">
        <f t="shared" si="1"/>
        <v>0</v>
      </c>
      <c r="X314" s="43">
        <f t="shared" si="2"/>
        <v>0</v>
      </c>
      <c r="Y314" s="43">
        <f t="shared" si="2"/>
        <v>0</v>
      </c>
      <c r="Z314" s="43">
        <f t="shared" si="2"/>
        <v>0</v>
      </c>
      <c r="AA314" s="43">
        <f t="shared" si="2"/>
        <v>0</v>
      </c>
      <c r="AB314" s="43">
        <f t="shared" si="2"/>
        <v>0</v>
      </c>
      <c r="AD314" s="43">
        <f t="shared" si="22"/>
        <v>0</v>
      </c>
      <c r="AE314" s="43">
        <f t="shared" si="23"/>
        <v>0</v>
      </c>
      <c r="AF314" s="43">
        <f t="shared" si="24"/>
        <v>0</v>
      </c>
      <c r="AG314" s="43">
        <f t="shared" si="25"/>
        <v>0</v>
      </c>
      <c r="AH314" s="43">
        <f t="shared" si="26"/>
        <v>0</v>
      </c>
      <c r="AJ314" s="43">
        <f t="shared" si="13"/>
        <v>0</v>
      </c>
      <c r="AK314" s="43">
        <f t="shared" si="14"/>
        <v>0</v>
      </c>
      <c r="AL314" s="43">
        <f t="shared" si="15"/>
        <v>0</v>
      </c>
      <c r="AM314" s="43">
        <f t="shared" si="16"/>
        <v>0</v>
      </c>
      <c r="AN314" s="43">
        <f t="shared" si="17"/>
        <v>0</v>
      </c>
    </row>
    <row r="315" spans="2:40">
      <c r="B315" s="37" t="str">
        <f t="shared" si="5"/>
        <v>Asset 9</v>
      </c>
      <c r="F315" s="37" t="str">
        <f t="shared" ref="F315:L315" si="30">F67</f>
        <v>37 ICT middelen 1 (transparency)</v>
      </c>
      <c r="G315" s="37">
        <f t="shared" si="30"/>
        <v>2010</v>
      </c>
      <c r="H315" s="52">
        <f t="shared" si="30"/>
        <v>137063.35897796138</v>
      </c>
      <c r="I315" s="37">
        <f t="shared" si="30"/>
        <v>2021</v>
      </c>
      <c r="J315" s="52">
        <f t="shared" si="30"/>
        <v>5</v>
      </c>
      <c r="K315" s="175">
        <f t="shared" si="30"/>
        <v>0</v>
      </c>
      <c r="L315" s="52">
        <f t="shared" si="30"/>
        <v>0</v>
      </c>
      <c r="N315" s="43">
        <f t="shared" si="21"/>
        <v>0</v>
      </c>
      <c r="P315" s="38">
        <f t="shared" si="7"/>
        <v>0</v>
      </c>
      <c r="R315" s="43">
        <f t="shared" si="1"/>
        <v>0</v>
      </c>
      <c r="S315" s="43">
        <f t="shared" si="1"/>
        <v>0</v>
      </c>
      <c r="T315" s="43">
        <f t="shared" si="1"/>
        <v>0</v>
      </c>
      <c r="U315" s="43">
        <f t="shared" si="1"/>
        <v>0</v>
      </c>
      <c r="V315" s="43">
        <f t="shared" si="1"/>
        <v>0</v>
      </c>
      <c r="X315" s="43">
        <f t="shared" si="2"/>
        <v>0</v>
      </c>
      <c r="Y315" s="43">
        <f t="shared" si="2"/>
        <v>0</v>
      </c>
      <c r="Z315" s="43">
        <f t="shared" si="2"/>
        <v>0</v>
      </c>
      <c r="AA315" s="43">
        <f t="shared" si="2"/>
        <v>0</v>
      </c>
      <c r="AB315" s="43">
        <f t="shared" si="2"/>
        <v>0</v>
      </c>
      <c r="AD315" s="43">
        <f t="shared" si="22"/>
        <v>0</v>
      </c>
      <c r="AE315" s="43">
        <f t="shared" si="23"/>
        <v>0</v>
      </c>
      <c r="AF315" s="43">
        <f t="shared" si="24"/>
        <v>0</v>
      </c>
      <c r="AG315" s="43">
        <f t="shared" si="25"/>
        <v>0</v>
      </c>
      <c r="AH315" s="43">
        <f t="shared" si="26"/>
        <v>0</v>
      </c>
      <c r="AJ315" s="43">
        <f t="shared" si="13"/>
        <v>0</v>
      </c>
      <c r="AK315" s="43">
        <f t="shared" si="14"/>
        <v>0</v>
      </c>
      <c r="AL315" s="43">
        <f t="shared" si="15"/>
        <v>0</v>
      </c>
      <c r="AM315" s="43">
        <f t="shared" si="16"/>
        <v>0</v>
      </c>
      <c r="AN315" s="43">
        <f t="shared" si="17"/>
        <v>0</v>
      </c>
    </row>
    <row r="316" spans="2:40">
      <c r="B316" s="37" t="str">
        <f t="shared" si="5"/>
        <v>Asset 10</v>
      </c>
      <c r="F316" s="37" t="str">
        <f t="shared" ref="F316:L316" si="31">F68</f>
        <v>11 Werktuigen (gaschromatografen en comptabele meters)</v>
      </c>
      <c r="G316" s="37">
        <f t="shared" si="31"/>
        <v>2011</v>
      </c>
      <c r="H316" s="52">
        <f t="shared" si="31"/>
        <v>852201.48356837523</v>
      </c>
      <c r="I316" s="37">
        <f t="shared" si="31"/>
        <v>2021</v>
      </c>
      <c r="J316" s="52">
        <f t="shared" si="31"/>
        <v>10</v>
      </c>
      <c r="K316" s="175">
        <f t="shared" si="31"/>
        <v>0</v>
      </c>
      <c r="L316" s="52">
        <f t="shared" si="31"/>
        <v>0</v>
      </c>
      <c r="N316" s="43">
        <f t="shared" si="21"/>
        <v>0</v>
      </c>
      <c r="P316" s="38">
        <f t="shared" si="7"/>
        <v>0</v>
      </c>
      <c r="R316" s="43">
        <f t="shared" si="1"/>
        <v>0</v>
      </c>
      <c r="S316" s="43">
        <f t="shared" si="1"/>
        <v>0</v>
      </c>
      <c r="T316" s="43">
        <f t="shared" si="1"/>
        <v>0</v>
      </c>
      <c r="U316" s="43">
        <f t="shared" si="1"/>
        <v>0</v>
      </c>
      <c r="V316" s="43">
        <f t="shared" si="1"/>
        <v>0</v>
      </c>
      <c r="X316" s="43">
        <f t="shared" si="2"/>
        <v>0</v>
      </c>
      <c r="Y316" s="43">
        <f t="shared" si="2"/>
        <v>0</v>
      </c>
      <c r="Z316" s="43">
        <f t="shared" si="2"/>
        <v>0</v>
      </c>
      <c r="AA316" s="43">
        <f t="shared" si="2"/>
        <v>0</v>
      </c>
      <c r="AB316" s="43">
        <f t="shared" si="2"/>
        <v>0</v>
      </c>
      <c r="AD316" s="43">
        <f t="shared" si="22"/>
        <v>0</v>
      </c>
      <c r="AE316" s="43">
        <f t="shared" si="23"/>
        <v>0</v>
      </c>
      <c r="AF316" s="43">
        <f t="shared" si="24"/>
        <v>0</v>
      </c>
      <c r="AG316" s="43">
        <f t="shared" si="25"/>
        <v>0</v>
      </c>
      <c r="AH316" s="43">
        <f t="shared" si="26"/>
        <v>0</v>
      </c>
      <c r="AJ316" s="43">
        <f t="shared" si="13"/>
        <v>0</v>
      </c>
      <c r="AK316" s="43">
        <f t="shared" si="14"/>
        <v>0</v>
      </c>
      <c r="AL316" s="43">
        <f t="shared" si="15"/>
        <v>0</v>
      </c>
      <c r="AM316" s="43">
        <f t="shared" si="16"/>
        <v>0</v>
      </c>
      <c r="AN316" s="43">
        <f t="shared" si="17"/>
        <v>0</v>
      </c>
    </row>
    <row r="317" spans="2:40">
      <c r="B317" s="37" t="str">
        <f t="shared" si="5"/>
        <v>Asset 11</v>
      </c>
      <c r="F317" s="37" t="str">
        <f t="shared" ref="F317:L317" si="32">F69</f>
        <v>20 Kantoorgebouwen</v>
      </c>
      <c r="G317" s="37">
        <f t="shared" si="32"/>
        <v>2011</v>
      </c>
      <c r="H317" s="52">
        <f t="shared" si="32"/>
        <v>3100554.2541983742</v>
      </c>
      <c r="I317" s="37">
        <f t="shared" si="32"/>
        <v>2021</v>
      </c>
      <c r="J317" s="52">
        <f t="shared" si="32"/>
        <v>30</v>
      </c>
      <c r="K317" s="175">
        <f t="shared" si="32"/>
        <v>0</v>
      </c>
      <c r="L317" s="52">
        <f t="shared" si="32"/>
        <v>2372891.9585730941</v>
      </c>
      <c r="N317" s="43">
        <f t="shared" si="21"/>
        <v>2372891.9585730941</v>
      </c>
      <c r="P317" s="38">
        <f t="shared" si="7"/>
        <v>19.5</v>
      </c>
      <c r="R317" s="43">
        <f t="shared" ref="R317:V326" si="33">IF(R$305&lt;=$G317+$J317,VDB($L317*(1-$F$25),0,$P317,R$305-2022,MIN(R$305-2021,$P317),$F$22),0)</f>
        <v>142373.51751438566</v>
      </c>
      <c r="S317" s="43">
        <f t="shared" si="33"/>
        <v>132881.94968009327</v>
      </c>
      <c r="T317" s="43">
        <f t="shared" si="33"/>
        <v>124023.15303475372</v>
      </c>
      <c r="U317" s="43">
        <f t="shared" si="33"/>
        <v>115754.94283243682</v>
      </c>
      <c r="V317" s="43">
        <f t="shared" si="33"/>
        <v>108037.94664360769</v>
      </c>
      <c r="X317" s="43">
        <f t="shared" ref="X317:AB326" si="34">IF(X$305&lt;=$G317+$J317,VDB($L317*$F$25,0,$P317,X$305-2022,MIN(X$305-2021,$P317),1),0)</f>
        <v>12168.676710631253</v>
      </c>
      <c r="Y317" s="43">
        <f t="shared" si="34"/>
        <v>12168.676710631253</v>
      </c>
      <c r="Z317" s="43">
        <f t="shared" si="34"/>
        <v>12168.676710631253</v>
      </c>
      <c r="AA317" s="43">
        <f t="shared" si="34"/>
        <v>12168.676710631253</v>
      </c>
      <c r="AB317" s="43">
        <f t="shared" si="34"/>
        <v>12168.676710631253</v>
      </c>
      <c r="AD317" s="43">
        <f t="shared" si="22"/>
        <v>2218349.7643480771</v>
      </c>
      <c r="AE317" s="43">
        <f t="shared" si="23"/>
        <v>2073299.1379573527</v>
      </c>
      <c r="AF317" s="43">
        <f t="shared" si="24"/>
        <v>1937107.3082119678</v>
      </c>
      <c r="AG317" s="43">
        <f t="shared" si="25"/>
        <v>1809183.6886688997</v>
      </c>
      <c r="AH317" s="43">
        <f t="shared" si="26"/>
        <v>1688977.0653146608</v>
      </c>
      <c r="AJ317" s="43">
        <f>(R317+X317+AD317*I$16)*IF($K317=1,$F$19,1)</f>
        <v>229966.08621285154</v>
      </c>
      <c r="AK317" s="43">
        <f t="shared" si="14"/>
        <v>213469.49794331717</v>
      </c>
      <c r="AL317" s="43">
        <f t="shared" si="15"/>
        <v>209801.90745743975</v>
      </c>
      <c r="AM317" s="43">
        <f t="shared" si="16"/>
        <v>196672.59971248626</v>
      </c>
      <c r="AN317" s="43">
        <f t="shared" si="17"/>
        <v>184387.75183619605</v>
      </c>
    </row>
    <row r="318" spans="2:40">
      <c r="B318" s="37" t="str">
        <f t="shared" si="5"/>
        <v>Asset 12</v>
      </c>
      <c r="F318" s="37" t="str">
        <f t="shared" ref="F318:L318" si="35">F70</f>
        <v>37 ICT middelen 1</v>
      </c>
      <c r="G318" s="37">
        <f t="shared" si="35"/>
        <v>2011</v>
      </c>
      <c r="H318" s="52">
        <f t="shared" si="35"/>
        <v>30115806.268534236</v>
      </c>
      <c r="I318" s="37">
        <f t="shared" si="35"/>
        <v>2021</v>
      </c>
      <c r="J318" s="52">
        <f t="shared" si="35"/>
        <v>5</v>
      </c>
      <c r="K318" s="175">
        <f t="shared" si="35"/>
        <v>1</v>
      </c>
      <c r="L318" s="52">
        <f t="shared" si="35"/>
        <v>0</v>
      </c>
      <c r="N318" s="43">
        <f t="shared" si="21"/>
        <v>0</v>
      </c>
      <c r="P318" s="38">
        <f t="shared" si="7"/>
        <v>0</v>
      </c>
      <c r="R318" s="43">
        <f t="shared" si="33"/>
        <v>0</v>
      </c>
      <c r="S318" s="43">
        <f t="shared" si="33"/>
        <v>0</v>
      </c>
      <c r="T318" s="43">
        <f t="shared" si="33"/>
        <v>0</v>
      </c>
      <c r="U318" s="43">
        <f t="shared" si="33"/>
        <v>0</v>
      </c>
      <c r="V318" s="43">
        <f t="shared" si="33"/>
        <v>0</v>
      </c>
      <c r="X318" s="43">
        <f t="shared" si="34"/>
        <v>0</v>
      </c>
      <c r="Y318" s="43">
        <f t="shared" si="34"/>
        <v>0</v>
      </c>
      <c r="Z318" s="43">
        <f t="shared" si="34"/>
        <v>0</v>
      </c>
      <c r="AA318" s="43">
        <f t="shared" si="34"/>
        <v>0</v>
      </c>
      <c r="AB318" s="43">
        <f t="shared" si="34"/>
        <v>0</v>
      </c>
      <c r="AD318" s="43">
        <f t="shared" si="22"/>
        <v>0</v>
      </c>
      <c r="AE318" s="43">
        <f t="shared" si="23"/>
        <v>0</v>
      </c>
      <c r="AF318" s="43">
        <f t="shared" si="24"/>
        <v>0</v>
      </c>
      <c r="AG318" s="43">
        <f t="shared" si="25"/>
        <v>0</v>
      </c>
      <c r="AH318" s="43">
        <f t="shared" si="26"/>
        <v>0</v>
      </c>
      <c r="AJ318" s="43">
        <f t="shared" si="13"/>
        <v>0</v>
      </c>
      <c r="AK318" s="43">
        <f t="shared" si="14"/>
        <v>0</v>
      </c>
      <c r="AL318" s="43">
        <f t="shared" si="15"/>
        <v>0</v>
      </c>
      <c r="AM318" s="43">
        <f t="shared" si="16"/>
        <v>0</v>
      </c>
      <c r="AN318" s="43">
        <f t="shared" si="17"/>
        <v>0</v>
      </c>
    </row>
    <row r="319" spans="2:40">
      <c r="B319" s="37" t="str">
        <f t="shared" si="5"/>
        <v>Asset 13</v>
      </c>
      <c r="F319" s="37" t="str">
        <f t="shared" ref="F319:L319" si="36">F71</f>
        <v>06 Utiliteitsgebouwen</v>
      </c>
      <c r="G319" s="37">
        <f t="shared" si="36"/>
        <v>2011</v>
      </c>
      <c r="H319" s="52">
        <f t="shared" si="36"/>
        <v>2437521.6070272112</v>
      </c>
      <c r="I319" s="37">
        <f t="shared" si="36"/>
        <v>2021</v>
      </c>
      <c r="J319" s="52">
        <f t="shared" si="36"/>
        <v>30</v>
      </c>
      <c r="K319" s="175">
        <f t="shared" si="36"/>
        <v>0</v>
      </c>
      <c r="L319" s="52">
        <f t="shared" si="36"/>
        <v>1865464.9930189459</v>
      </c>
      <c r="N319" s="43">
        <f t="shared" si="21"/>
        <v>1865464.9930189459</v>
      </c>
      <c r="P319" s="38">
        <f t="shared" si="7"/>
        <v>19.5</v>
      </c>
      <c r="R319" s="43">
        <f t="shared" si="33"/>
        <v>111927.89958113675</v>
      </c>
      <c r="S319" s="43">
        <f t="shared" si="33"/>
        <v>104466.03960906097</v>
      </c>
      <c r="T319" s="43">
        <f t="shared" si="33"/>
        <v>97501.636968456922</v>
      </c>
      <c r="U319" s="43">
        <f t="shared" si="33"/>
        <v>91001.527837226458</v>
      </c>
      <c r="V319" s="43">
        <f t="shared" si="33"/>
        <v>84934.759314744704</v>
      </c>
      <c r="X319" s="43">
        <f t="shared" si="34"/>
        <v>9566.4871436869016</v>
      </c>
      <c r="Y319" s="43">
        <f t="shared" si="34"/>
        <v>9566.4871436869016</v>
      </c>
      <c r="Z319" s="43">
        <f t="shared" si="34"/>
        <v>9566.4871436869016</v>
      </c>
      <c r="AA319" s="43">
        <f t="shared" si="34"/>
        <v>9566.4871436869016</v>
      </c>
      <c r="AB319" s="43">
        <f t="shared" si="34"/>
        <v>9566.4871436869016</v>
      </c>
      <c r="AD319" s="43">
        <f t="shared" si="22"/>
        <v>1743970.6062941223</v>
      </c>
      <c r="AE319" s="43">
        <f t="shared" si="23"/>
        <v>1629938.0795413745</v>
      </c>
      <c r="AF319" s="43">
        <f t="shared" si="24"/>
        <v>1522869.9554292306</v>
      </c>
      <c r="AG319" s="43">
        <f t="shared" si="25"/>
        <v>1422301.9404483172</v>
      </c>
      <c r="AH319" s="43">
        <f t="shared" si="26"/>
        <v>1327800.6939898855</v>
      </c>
      <c r="AJ319" s="43">
        <f t="shared" si="13"/>
        <v>180789.38733882381</v>
      </c>
      <c r="AK319" s="43">
        <f t="shared" si="14"/>
        <v>167820.48337761324</v>
      </c>
      <c r="AL319" s="43">
        <f t="shared" si="15"/>
        <v>164937.18241845458</v>
      </c>
      <c r="AM319" s="43">
        <f t="shared" si="16"/>
        <v>154615.48871794943</v>
      </c>
      <c r="AN319" s="43">
        <f t="shared" si="17"/>
        <v>144957.67283004726</v>
      </c>
    </row>
    <row r="320" spans="2:40">
      <c r="B320" s="37" t="str">
        <f t="shared" si="5"/>
        <v>Asset 14</v>
      </c>
      <c r="F320" s="37" t="str">
        <f t="shared" ref="F320:L320" si="37">F72</f>
        <v>10 Gereedschap</v>
      </c>
      <c r="G320" s="37">
        <f t="shared" si="37"/>
        <v>2011</v>
      </c>
      <c r="H320" s="52">
        <f t="shared" si="37"/>
        <v>322323.48030063207</v>
      </c>
      <c r="I320" s="37">
        <f t="shared" si="37"/>
        <v>2021</v>
      </c>
      <c r="J320" s="52">
        <f t="shared" si="37"/>
        <v>10</v>
      </c>
      <c r="K320" s="175">
        <f t="shared" si="37"/>
        <v>1</v>
      </c>
      <c r="L320" s="52">
        <f t="shared" si="37"/>
        <v>0</v>
      </c>
      <c r="N320" s="43">
        <f t="shared" si="21"/>
        <v>0</v>
      </c>
      <c r="P320" s="38">
        <f t="shared" si="7"/>
        <v>0</v>
      </c>
      <c r="R320" s="43">
        <f t="shared" si="33"/>
        <v>0</v>
      </c>
      <c r="S320" s="43">
        <f t="shared" si="33"/>
        <v>0</v>
      </c>
      <c r="T320" s="43">
        <f t="shared" si="33"/>
        <v>0</v>
      </c>
      <c r="U320" s="43">
        <f t="shared" si="33"/>
        <v>0</v>
      </c>
      <c r="V320" s="43">
        <f t="shared" si="33"/>
        <v>0</v>
      </c>
      <c r="X320" s="43">
        <f t="shared" si="34"/>
        <v>0</v>
      </c>
      <c r="Y320" s="43">
        <f t="shared" si="34"/>
        <v>0</v>
      </c>
      <c r="Z320" s="43">
        <f t="shared" si="34"/>
        <v>0</v>
      </c>
      <c r="AA320" s="43">
        <f t="shared" si="34"/>
        <v>0</v>
      </c>
      <c r="AB320" s="43">
        <f t="shared" si="34"/>
        <v>0</v>
      </c>
      <c r="AD320" s="43">
        <f t="shared" si="22"/>
        <v>0</v>
      </c>
      <c r="AE320" s="43">
        <f t="shared" si="23"/>
        <v>0</v>
      </c>
      <c r="AF320" s="43">
        <f t="shared" si="24"/>
        <v>0</v>
      </c>
      <c r="AG320" s="43">
        <f t="shared" si="25"/>
        <v>0</v>
      </c>
      <c r="AH320" s="43">
        <f t="shared" si="26"/>
        <v>0</v>
      </c>
      <c r="AJ320" s="43">
        <f t="shared" si="13"/>
        <v>0</v>
      </c>
      <c r="AK320" s="43">
        <f t="shared" si="14"/>
        <v>0</v>
      </c>
      <c r="AL320" s="43">
        <f t="shared" si="15"/>
        <v>0</v>
      </c>
      <c r="AM320" s="43">
        <f t="shared" si="16"/>
        <v>0</v>
      </c>
      <c r="AN320" s="43">
        <f t="shared" si="17"/>
        <v>0</v>
      </c>
    </row>
    <row r="321" spans="2:40">
      <c r="B321" s="37" t="str">
        <f t="shared" si="5"/>
        <v>Asset 15</v>
      </c>
      <c r="F321" s="37" t="str">
        <f t="shared" ref="F321:L321" si="38">F73</f>
        <v>14 Overig rollend materieel</v>
      </c>
      <c r="G321" s="37">
        <f t="shared" si="38"/>
        <v>2011</v>
      </c>
      <c r="H321" s="52">
        <f t="shared" si="38"/>
        <v>4126005.7948834877</v>
      </c>
      <c r="I321" s="37">
        <f t="shared" si="38"/>
        <v>2021</v>
      </c>
      <c r="J321" s="52">
        <f t="shared" si="38"/>
        <v>10</v>
      </c>
      <c r="K321" s="175">
        <f t="shared" si="38"/>
        <v>1</v>
      </c>
      <c r="L321" s="52">
        <f t="shared" si="38"/>
        <v>0</v>
      </c>
      <c r="N321" s="43">
        <f t="shared" si="21"/>
        <v>0</v>
      </c>
      <c r="P321" s="38">
        <f t="shared" si="7"/>
        <v>0</v>
      </c>
      <c r="R321" s="43">
        <f t="shared" si="33"/>
        <v>0</v>
      </c>
      <c r="S321" s="43">
        <f t="shared" si="33"/>
        <v>0</v>
      </c>
      <c r="T321" s="43">
        <f t="shared" si="33"/>
        <v>0</v>
      </c>
      <c r="U321" s="43">
        <f t="shared" si="33"/>
        <v>0</v>
      </c>
      <c r="V321" s="43">
        <f t="shared" si="33"/>
        <v>0</v>
      </c>
      <c r="X321" s="43">
        <f t="shared" si="34"/>
        <v>0</v>
      </c>
      <c r="Y321" s="43">
        <f t="shared" si="34"/>
        <v>0</v>
      </c>
      <c r="Z321" s="43">
        <f t="shared" si="34"/>
        <v>0</v>
      </c>
      <c r="AA321" s="43">
        <f t="shared" si="34"/>
        <v>0</v>
      </c>
      <c r="AB321" s="43">
        <f t="shared" si="34"/>
        <v>0</v>
      </c>
      <c r="AD321" s="43">
        <f t="shared" si="22"/>
        <v>0</v>
      </c>
      <c r="AE321" s="43">
        <f t="shared" si="23"/>
        <v>0</v>
      </c>
      <c r="AF321" s="43">
        <f t="shared" si="24"/>
        <v>0</v>
      </c>
      <c r="AG321" s="43">
        <f t="shared" si="25"/>
        <v>0</v>
      </c>
      <c r="AH321" s="43">
        <f t="shared" si="26"/>
        <v>0</v>
      </c>
      <c r="AJ321" s="43">
        <f t="shared" si="13"/>
        <v>0</v>
      </c>
      <c r="AK321" s="43">
        <f t="shared" si="14"/>
        <v>0</v>
      </c>
      <c r="AL321" s="43">
        <f t="shared" si="15"/>
        <v>0</v>
      </c>
      <c r="AM321" s="43">
        <f t="shared" si="16"/>
        <v>0</v>
      </c>
      <c r="AN321" s="43">
        <f t="shared" si="17"/>
        <v>0</v>
      </c>
    </row>
    <row r="322" spans="2:40">
      <c r="B322" s="37" t="str">
        <f t="shared" si="5"/>
        <v>Asset 16</v>
      </c>
      <c r="F322" s="37" t="str">
        <f t="shared" ref="F322:L322" si="39">F74</f>
        <v>37 ICT middelen 1</v>
      </c>
      <c r="G322" s="37">
        <f t="shared" si="39"/>
        <v>2012</v>
      </c>
      <c r="H322" s="52">
        <f t="shared" si="39"/>
        <v>22695798.709637098</v>
      </c>
      <c r="I322" s="37">
        <f t="shared" si="39"/>
        <v>2021</v>
      </c>
      <c r="J322" s="52">
        <f t="shared" si="39"/>
        <v>5</v>
      </c>
      <c r="K322" s="175">
        <f t="shared" si="39"/>
        <v>1</v>
      </c>
      <c r="L322" s="52">
        <f t="shared" si="39"/>
        <v>0</v>
      </c>
      <c r="N322" s="43">
        <f t="shared" si="21"/>
        <v>0</v>
      </c>
      <c r="P322" s="38">
        <f t="shared" si="7"/>
        <v>0</v>
      </c>
      <c r="R322" s="43">
        <f t="shared" si="33"/>
        <v>0</v>
      </c>
      <c r="S322" s="43">
        <f t="shared" si="33"/>
        <v>0</v>
      </c>
      <c r="T322" s="43">
        <f t="shared" si="33"/>
        <v>0</v>
      </c>
      <c r="U322" s="43">
        <f t="shared" si="33"/>
        <v>0</v>
      </c>
      <c r="V322" s="43">
        <f t="shared" si="33"/>
        <v>0</v>
      </c>
      <c r="X322" s="43">
        <f t="shared" si="34"/>
        <v>0</v>
      </c>
      <c r="Y322" s="43">
        <f t="shared" si="34"/>
        <v>0</v>
      </c>
      <c r="Z322" s="43">
        <f t="shared" si="34"/>
        <v>0</v>
      </c>
      <c r="AA322" s="43">
        <f t="shared" si="34"/>
        <v>0</v>
      </c>
      <c r="AB322" s="43">
        <f t="shared" si="34"/>
        <v>0</v>
      </c>
      <c r="AD322" s="43">
        <f t="shared" si="22"/>
        <v>0</v>
      </c>
      <c r="AE322" s="43">
        <f t="shared" si="23"/>
        <v>0</v>
      </c>
      <c r="AF322" s="43">
        <f t="shared" si="24"/>
        <v>0</v>
      </c>
      <c r="AG322" s="43">
        <f t="shared" si="25"/>
        <v>0</v>
      </c>
      <c r="AH322" s="43">
        <f t="shared" si="26"/>
        <v>0</v>
      </c>
      <c r="AJ322" s="43">
        <f t="shared" si="13"/>
        <v>0</v>
      </c>
      <c r="AK322" s="43">
        <f t="shared" si="14"/>
        <v>0</v>
      </c>
      <c r="AL322" s="43">
        <f t="shared" si="15"/>
        <v>0</v>
      </c>
      <c r="AM322" s="43">
        <f t="shared" si="16"/>
        <v>0</v>
      </c>
      <c r="AN322" s="43">
        <f t="shared" si="17"/>
        <v>0</v>
      </c>
    </row>
    <row r="323" spans="2:40">
      <c r="B323" s="37" t="str">
        <f t="shared" si="5"/>
        <v>Asset 17</v>
      </c>
      <c r="F323" s="37" t="str">
        <f t="shared" ref="F323:L323" si="40">F75</f>
        <v>37 ICT middelen 1</v>
      </c>
      <c r="G323" s="37">
        <f t="shared" si="40"/>
        <v>2013</v>
      </c>
      <c r="H323" s="52">
        <f t="shared" si="40"/>
        <v>18719949.80436749</v>
      </c>
      <c r="I323" s="37">
        <f t="shared" si="40"/>
        <v>2021</v>
      </c>
      <c r="J323" s="52">
        <f t="shared" si="40"/>
        <v>5</v>
      </c>
      <c r="K323" s="175">
        <f t="shared" si="40"/>
        <v>1</v>
      </c>
      <c r="L323" s="52">
        <f t="shared" si="40"/>
        <v>0</v>
      </c>
      <c r="N323" s="43">
        <f t="shared" si="21"/>
        <v>0</v>
      </c>
      <c r="P323" s="38">
        <f t="shared" si="7"/>
        <v>0</v>
      </c>
      <c r="R323" s="43">
        <f t="shared" si="33"/>
        <v>0</v>
      </c>
      <c r="S323" s="43">
        <f t="shared" si="33"/>
        <v>0</v>
      </c>
      <c r="T323" s="43">
        <f t="shared" si="33"/>
        <v>0</v>
      </c>
      <c r="U323" s="43">
        <f t="shared" si="33"/>
        <v>0</v>
      </c>
      <c r="V323" s="43">
        <f t="shared" si="33"/>
        <v>0</v>
      </c>
      <c r="X323" s="43">
        <f t="shared" si="34"/>
        <v>0</v>
      </c>
      <c r="Y323" s="43">
        <f t="shared" si="34"/>
        <v>0</v>
      </c>
      <c r="Z323" s="43">
        <f t="shared" si="34"/>
        <v>0</v>
      </c>
      <c r="AA323" s="43">
        <f t="shared" si="34"/>
        <v>0</v>
      </c>
      <c r="AB323" s="43">
        <f t="shared" si="34"/>
        <v>0</v>
      </c>
      <c r="AD323" s="43">
        <f t="shared" si="22"/>
        <v>0</v>
      </c>
      <c r="AE323" s="43">
        <f t="shared" si="23"/>
        <v>0</v>
      </c>
      <c r="AF323" s="43">
        <f t="shared" si="24"/>
        <v>0</v>
      </c>
      <c r="AG323" s="43">
        <f t="shared" si="25"/>
        <v>0</v>
      </c>
      <c r="AH323" s="43">
        <f t="shared" si="26"/>
        <v>0</v>
      </c>
      <c r="AJ323" s="43">
        <f t="shared" si="13"/>
        <v>0</v>
      </c>
      <c r="AK323" s="43">
        <f t="shared" si="14"/>
        <v>0</v>
      </c>
      <c r="AL323" s="43">
        <f t="shared" si="15"/>
        <v>0</v>
      </c>
      <c r="AM323" s="43">
        <f t="shared" si="16"/>
        <v>0</v>
      </c>
      <c r="AN323" s="43">
        <f t="shared" si="17"/>
        <v>0</v>
      </c>
    </row>
    <row r="324" spans="2:40">
      <c r="B324" s="37" t="str">
        <f t="shared" si="5"/>
        <v>Asset 18</v>
      </c>
      <c r="F324" s="37" t="str">
        <f t="shared" ref="F324:L324" si="41">F76</f>
        <v>14 Overig rollend materieel</v>
      </c>
      <c r="G324" s="37">
        <f t="shared" si="41"/>
        <v>2013</v>
      </c>
      <c r="H324" s="52">
        <f t="shared" si="41"/>
        <v>14233.766853302437</v>
      </c>
      <c r="I324" s="37">
        <f t="shared" si="41"/>
        <v>2021</v>
      </c>
      <c r="J324" s="52">
        <f t="shared" si="41"/>
        <v>10</v>
      </c>
      <c r="K324" s="175">
        <f t="shared" si="41"/>
        <v>1</v>
      </c>
      <c r="L324" s="52">
        <f t="shared" si="41"/>
        <v>2395.0433871794298</v>
      </c>
      <c r="N324" s="43">
        <f t="shared" si="21"/>
        <v>2395.0433871794298</v>
      </c>
      <c r="P324" s="38">
        <f t="shared" si="7"/>
        <v>1.5</v>
      </c>
      <c r="R324" s="43">
        <f t="shared" si="33"/>
        <v>1868.1338419999554</v>
      </c>
      <c r="S324" s="43">
        <f t="shared" si="33"/>
        <v>287.40520646153141</v>
      </c>
      <c r="T324" s="43">
        <f t="shared" si="33"/>
        <v>0</v>
      </c>
      <c r="U324" s="43">
        <f t="shared" si="33"/>
        <v>0</v>
      </c>
      <c r="V324" s="43">
        <f t="shared" si="33"/>
        <v>0</v>
      </c>
      <c r="X324" s="43">
        <f t="shared" si="34"/>
        <v>159.66955914529532</v>
      </c>
      <c r="Y324" s="43">
        <f t="shared" si="34"/>
        <v>79.834779572647676</v>
      </c>
      <c r="Z324" s="43">
        <f t="shared" si="34"/>
        <v>0</v>
      </c>
      <c r="AA324" s="43">
        <f t="shared" si="34"/>
        <v>0</v>
      </c>
      <c r="AB324" s="43">
        <f t="shared" si="34"/>
        <v>0</v>
      </c>
      <c r="AD324" s="43">
        <f t="shared" si="22"/>
        <v>367.23998603417908</v>
      </c>
      <c r="AE324" s="43">
        <f t="shared" si="23"/>
        <v>0</v>
      </c>
      <c r="AF324" s="43">
        <f t="shared" si="24"/>
        <v>0</v>
      </c>
      <c r="AG324" s="43">
        <f t="shared" si="25"/>
        <v>0</v>
      </c>
      <c r="AH324" s="43">
        <f t="shared" si="26"/>
        <v>0</v>
      </c>
      <c r="AJ324" s="43">
        <f t="shared" si="13"/>
        <v>2040.2895606704128</v>
      </c>
      <c r="AK324" s="43">
        <f t="shared" si="14"/>
        <v>367.23998603417908</v>
      </c>
      <c r="AL324" s="43">
        <f t="shared" si="15"/>
        <v>0</v>
      </c>
      <c r="AM324" s="43">
        <f t="shared" si="16"/>
        <v>0</v>
      </c>
      <c r="AN324" s="43">
        <f t="shared" si="17"/>
        <v>0</v>
      </c>
    </row>
    <row r="325" spans="2:40">
      <c r="B325" s="37" t="str">
        <f t="shared" si="5"/>
        <v>Asset 19</v>
      </c>
      <c r="F325" s="37" t="str">
        <f t="shared" ref="F325:L325" si="42">F77</f>
        <v>10 Gereedschap</v>
      </c>
      <c r="G325" s="37">
        <f t="shared" si="42"/>
        <v>2013</v>
      </c>
      <c r="H325" s="52">
        <f t="shared" si="42"/>
        <v>717715.3058753697</v>
      </c>
      <c r="I325" s="37">
        <f t="shared" si="42"/>
        <v>2021</v>
      </c>
      <c r="J325" s="52">
        <f t="shared" si="42"/>
        <v>10</v>
      </c>
      <c r="K325" s="175">
        <f t="shared" si="42"/>
        <v>1</v>
      </c>
      <c r="L325" s="52">
        <f t="shared" si="42"/>
        <v>120766.29573396736</v>
      </c>
      <c r="N325" s="43">
        <f t="shared" si="21"/>
        <v>120766.29573396736</v>
      </c>
      <c r="P325" s="38">
        <f t="shared" si="7"/>
        <v>1.5</v>
      </c>
      <c r="R325" s="43">
        <f t="shared" si="33"/>
        <v>94197.710672494548</v>
      </c>
      <c r="S325" s="43">
        <f t="shared" si="33"/>
        <v>14491.955488076084</v>
      </c>
      <c r="T325" s="43">
        <f t="shared" si="33"/>
        <v>0</v>
      </c>
      <c r="U325" s="43">
        <f t="shared" si="33"/>
        <v>0</v>
      </c>
      <c r="V325" s="43">
        <f t="shared" si="33"/>
        <v>0</v>
      </c>
      <c r="X325" s="43">
        <f t="shared" si="34"/>
        <v>8051.0863822644906</v>
      </c>
      <c r="Y325" s="43">
        <f t="shared" si="34"/>
        <v>4025.5431911322457</v>
      </c>
      <c r="Z325" s="43">
        <f t="shared" si="34"/>
        <v>0</v>
      </c>
      <c r="AA325" s="43">
        <f t="shared" si="34"/>
        <v>0</v>
      </c>
      <c r="AB325" s="43">
        <f t="shared" si="34"/>
        <v>0</v>
      </c>
      <c r="AD325" s="43">
        <f t="shared" si="22"/>
        <v>18517.498679208322</v>
      </c>
      <c r="AE325" s="43">
        <f t="shared" si="23"/>
        <v>-8.1854523159563541E-12</v>
      </c>
      <c r="AF325" s="43">
        <f t="shared" si="24"/>
        <v>0</v>
      </c>
      <c r="AG325" s="43">
        <f t="shared" si="25"/>
        <v>0</v>
      </c>
      <c r="AH325" s="43">
        <f t="shared" si="26"/>
        <v>0</v>
      </c>
      <c r="AJ325" s="43">
        <f t="shared" si="13"/>
        <v>102878.39200985212</v>
      </c>
      <c r="AK325" s="43">
        <f t="shared" si="14"/>
        <v>18517.498679208329</v>
      </c>
      <c r="AL325" s="43">
        <f t="shared" si="15"/>
        <v>0</v>
      </c>
      <c r="AM325" s="43">
        <f t="shared" si="16"/>
        <v>0</v>
      </c>
      <c r="AN325" s="43">
        <f t="shared" si="17"/>
        <v>0</v>
      </c>
    </row>
    <row r="326" spans="2:40">
      <c r="B326" s="37" t="str">
        <f t="shared" si="5"/>
        <v>Asset 20</v>
      </c>
      <c r="F326" s="37" t="str">
        <f t="shared" ref="F326:L326" si="43">F78</f>
        <v>37 ICT middelen 1</v>
      </c>
      <c r="G326" s="37">
        <f t="shared" si="43"/>
        <v>2014</v>
      </c>
      <c r="H326" s="52">
        <f t="shared" si="43"/>
        <v>29278944.009914741</v>
      </c>
      <c r="I326" s="37">
        <f t="shared" si="43"/>
        <v>2021</v>
      </c>
      <c r="J326" s="52">
        <f t="shared" si="43"/>
        <v>5</v>
      </c>
      <c r="K326" s="175">
        <f t="shared" si="43"/>
        <v>1</v>
      </c>
      <c r="L326" s="52">
        <f t="shared" si="43"/>
        <v>0</v>
      </c>
      <c r="N326" s="43">
        <f t="shared" si="21"/>
        <v>0</v>
      </c>
      <c r="P326" s="38">
        <f t="shared" si="7"/>
        <v>0</v>
      </c>
      <c r="R326" s="43">
        <f t="shared" si="33"/>
        <v>0</v>
      </c>
      <c r="S326" s="43">
        <f t="shared" si="33"/>
        <v>0</v>
      </c>
      <c r="T326" s="43">
        <f t="shared" si="33"/>
        <v>0</v>
      </c>
      <c r="U326" s="43">
        <f t="shared" si="33"/>
        <v>0</v>
      </c>
      <c r="V326" s="43">
        <f t="shared" si="33"/>
        <v>0</v>
      </c>
      <c r="X326" s="43">
        <f t="shared" si="34"/>
        <v>0</v>
      </c>
      <c r="Y326" s="43">
        <f t="shared" si="34"/>
        <v>0</v>
      </c>
      <c r="Z326" s="43">
        <f t="shared" si="34"/>
        <v>0</v>
      </c>
      <c r="AA326" s="43">
        <f t="shared" si="34"/>
        <v>0</v>
      </c>
      <c r="AB326" s="43">
        <f t="shared" si="34"/>
        <v>0</v>
      </c>
      <c r="AD326" s="43">
        <f t="shared" si="22"/>
        <v>0</v>
      </c>
      <c r="AE326" s="43">
        <f t="shared" si="23"/>
        <v>0</v>
      </c>
      <c r="AF326" s="43">
        <f t="shared" si="24"/>
        <v>0</v>
      </c>
      <c r="AG326" s="43">
        <f t="shared" si="25"/>
        <v>0</v>
      </c>
      <c r="AH326" s="43">
        <f t="shared" si="26"/>
        <v>0</v>
      </c>
      <c r="AJ326" s="43">
        <f t="shared" si="13"/>
        <v>0</v>
      </c>
      <c r="AK326" s="43">
        <f t="shared" si="14"/>
        <v>0</v>
      </c>
      <c r="AL326" s="43">
        <f t="shared" si="15"/>
        <v>0</v>
      </c>
      <c r="AM326" s="43">
        <f t="shared" si="16"/>
        <v>0</v>
      </c>
      <c r="AN326" s="43">
        <f t="shared" si="17"/>
        <v>0</v>
      </c>
    </row>
    <row r="327" spans="2:40">
      <c r="B327" s="37" t="str">
        <f t="shared" si="5"/>
        <v>Asset 21</v>
      </c>
      <c r="F327" s="37" t="str">
        <f t="shared" ref="F327:L327" si="44">F79</f>
        <v>38 ICT middelen 2</v>
      </c>
      <c r="G327" s="37">
        <f t="shared" si="44"/>
        <v>2014</v>
      </c>
      <c r="H327" s="52">
        <f t="shared" si="44"/>
        <v>149619.99545874962</v>
      </c>
      <c r="I327" s="37">
        <f t="shared" si="44"/>
        <v>2021</v>
      </c>
      <c r="J327" s="52">
        <f t="shared" si="44"/>
        <v>10</v>
      </c>
      <c r="K327" s="175">
        <f t="shared" si="44"/>
        <v>1</v>
      </c>
      <c r="L327" s="52">
        <f t="shared" si="44"/>
        <v>40816.786477904512</v>
      </c>
      <c r="N327" s="43">
        <f t="shared" si="21"/>
        <v>40816.786477904512</v>
      </c>
      <c r="P327" s="38">
        <f t="shared" si="7"/>
        <v>2.5</v>
      </c>
      <c r="R327" s="43">
        <f t="shared" ref="R327:V336" si="45">IF(R$305&lt;=$G327+$J327,VDB($L327*(1-$F$25),0,$P327,R$305-2022,MIN(R$305-2021,$P327),$F$22),0)</f>
        <v>19102.256071659311</v>
      </c>
      <c r="S327" s="43">
        <f t="shared" si="45"/>
        <v>11755.234505636499</v>
      </c>
      <c r="T327" s="43">
        <f t="shared" si="45"/>
        <v>5877.6172528182497</v>
      </c>
      <c r="U327" s="43">
        <f t="shared" si="45"/>
        <v>0</v>
      </c>
      <c r="V327" s="43">
        <f t="shared" si="45"/>
        <v>0</v>
      </c>
      <c r="X327" s="43">
        <f t="shared" ref="X327:AB336" si="46">IF(X$305&lt;=$G327+$J327,VDB($L327*$F$25,0,$P327,X$305-2022,MIN(X$305-2021,$P327),1),0)</f>
        <v>1632.6714591161808</v>
      </c>
      <c r="Y327" s="43">
        <f t="shared" si="46"/>
        <v>1632.6714591161806</v>
      </c>
      <c r="Z327" s="43">
        <f t="shared" si="46"/>
        <v>816.33572955809029</v>
      </c>
      <c r="AA327" s="43">
        <f t="shared" si="46"/>
        <v>0</v>
      </c>
      <c r="AB327" s="43">
        <f t="shared" si="46"/>
        <v>0</v>
      </c>
      <c r="AD327" s="43">
        <f t="shared" si="22"/>
        <v>20081.858947129022</v>
      </c>
      <c r="AE327" s="43">
        <f t="shared" si="23"/>
        <v>6693.9529823763414</v>
      </c>
      <c r="AF327" s="43">
        <f t="shared" si="24"/>
        <v>1.4779288903810084E-12</v>
      </c>
      <c r="AG327" s="43">
        <f t="shared" si="25"/>
        <v>0</v>
      </c>
      <c r="AH327" s="43">
        <f t="shared" si="26"/>
        <v>0</v>
      </c>
      <c r="AJ327" s="43">
        <f t="shared" si="13"/>
        <v>21417.710734977878</v>
      </c>
      <c r="AK327" s="43">
        <f t="shared" si="14"/>
        <v>13608.806413171098</v>
      </c>
      <c r="AL327" s="43">
        <f t="shared" si="15"/>
        <v>6693.9529823763396</v>
      </c>
      <c r="AM327" s="43">
        <f t="shared" si="16"/>
        <v>0</v>
      </c>
      <c r="AN327" s="43">
        <f t="shared" si="17"/>
        <v>0</v>
      </c>
    </row>
    <row r="328" spans="2:40">
      <c r="B328" s="37" t="str">
        <f t="shared" si="5"/>
        <v>Asset 22</v>
      </c>
      <c r="F328" s="37" t="str">
        <f t="shared" ref="F328:L328" si="47">F80</f>
        <v>37 ICT middelen 1 (transparency)</v>
      </c>
      <c r="G328" s="37">
        <f t="shared" si="47"/>
        <v>2014</v>
      </c>
      <c r="H328" s="52">
        <f t="shared" si="47"/>
        <v>180341</v>
      </c>
      <c r="I328" s="37">
        <f t="shared" si="47"/>
        <v>2021</v>
      </c>
      <c r="J328" s="52">
        <f t="shared" si="47"/>
        <v>5</v>
      </c>
      <c r="K328" s="175">
        <f t="shared" si="47"/>
        <v>0</v>
      </c>
      <c r="L328" s="52">
        <f t="shared" si="47"/>
        <v>0</v>
      </c>
      <c r="N328" s="43">
        <f t="shared" si="21"/>
        <v>0</v>
      </c>
      <c r="P328" s="38">
        <f t="shared" si="7"/>
        <v>0</v>
      </c>
      <c r="R328" s="43">
        <f t="shared" si="45"/>
        <v>0</v>
      </c>
      <c r="S328" s="43">
        <f t="shared" si="45"/>
        <v>0</v>
      </c>
      <c r="T328" s="43">
        <f t="shared" si="45"/>
        <v>0</v>
      </c>
      <c r="U328" s="43">
        <f t="shared" si="45"/>
        <v>0</v>
      </c>
      <c r="V328" s="43">
        <f t="shared" si="45"/>
        <v>0</v>
      </c>
      <c r="X328" s="43">
        <f t="shared" si="46"/>
        <v>0</v>
      </c>
      <c r="Y328" s="43">
        <f t="shared" si="46"/>
        <v>0</v>
      </c>
      <c r="Z328" s="43">
        <f t="shared" si="46"/>
        <v>0</v>
      </c>
      <c r="AA328" s="43">
        <f t="shared" si="46"/>
        <v>0</v>
      </c>
      <c r="AB328" s="43">
        <f t="shared" si="46"/>
        <v>0</v>
      </c>
      <c r="AD328" s="43">
        <f t="shared" si="22"/>
        <v>0</v>
      </c>
      <c r="AE328" s="43">
        <f t="shared" si="23"/>
        <v>0</v>
      </c>
      <c r="AF328" s="43">
        <f t="shared" si="24"/>
        <v>0</v>
      </c>
      <c r="AG328" s="43">
        <f t="shared" si="25"/>
        <v>0</v>
      </c>
      <c r="AH328" s="43">
        <f t="shared" si="26"/>
        <v>0</v>
      </c>
      <c r="AJ328" s="43">
        <f t="shared" si="13"/>
        <v>0</v>
      </c>
      <c r="AK328" s="43">
        <f t="shared" si="14"/>
        <v>0</v>
      </c>
      <c r="AL328" s="43">
        <f t="shared" si="15"/>
        <v>0</v>
      </c>
      <c r="AM328" s="43">
        <f t="shared" si="16"/>
        <v>0</v>
      </c>
      <c r="AN328" s="43">
        <f t="shared" si="17"/>
        <v>0</v>
      </c>
    </row>
    <row r="329" spans="2:40">
      <c r="B329" s="37" t="str">
        <f t="shared" si="5"/>
        <v>Asset 23</v>
      </c>
      <c r="F329" s="37" t="str">
        <f t="shared" ref="F329:L329" si="48">F81</f>
        <v>37 ICT middelen 1</v>
      </c>
      <c r="G329" s="37">
        <f t="shared" si="48"/>
        <v>2015</v>
      </c>
      <c r="H329" s="52">
        <f t="shared" si="48"/>
        <v>16219637.049707994</v>
      </c>
      <c r="I329" s="37">
        <f t="shared" si="48"/>
        <v>2021</v>
      </c>
      <c r="J329" s="52">
        <f t="shared" si="48"/>
        <v>5</v>
      </c>
      <c r="K329" s="175">
        <f t="shared" si="48"/>
        <v>1</v>
      </c>
      <c r="L329" s="52">
        <f t="shared" si="48"/>
        <v>0</v>
      </c>
      <c r="N329" s="43">
        <f t="shared" si="21"/>
        <v>0</v>
      </c>
      <c r="P329" s="38">
        <f t="shared" si="7"/>
        <v>0</v>
      </c>
      <c r="R329" s="43">
        <f t="shared" si="45"/>
        <v>0</v>
      </c>
      <c r="S329" s="43">
        <f t="shared" si="45"/>
        <v>0</v>
      </c>
      <c r="T329" s="43">
        <f t="shared" si="45"/>
        <v>0</v>
      </c>
      <c r="U329" s="43">
        <f t="shared" si="45"/>
        <v>0</v>
      </c>
      <c r="V329" s="43">
        <f t="shared" si="45"/>
        <v>0</v>
      </c>
      <c r="X329" s="43">
        <f t="shared" si="46"/>
        <v>0</v>
      </c>
      <c r="Y329" s="43">
        <f t="shared" si="46"/>
        <v>0</v>
      </c>
      <c r="Z329" s="43">
        <f t="shared" si="46"/>
        <v>0</v>
      </c>
      <c r="AA329" s="43">
        <f t="shared" si="46"/>
        <v>0</v>
      </c>
      <c r="AB329" s="43">
        <f t="shared" si="46"/>
        <v>0</v>
      </c>
      <c r="AD329" s="43">
        <f t="shared" si="22"/>
        <v>0</v>
      </c>
      <c r="AE329" s="43">
        <f t="shared" si="23"/>
        <v>0</v>
      </c>
      <c r="AF329" s="43">
        <f t="shared" si="24"/>
        <v>0</v>
      </c>
      <c r="AG329" s="43">
        <f t="shared" si="25"/>
        <v>0</v>
      </c>
      <c r="AH329" s="43">
        <f t="shared" si="26"/>
        <v>0</v>
      </c>
      <c r="AJ329" s="43">
        <f t="shared" si="13"/>
        <v>0</v>
      </c>
      <c r="AK329" s="43">
        <f t="shared" si="14"/>
        <v>0</v>
      </c>
      <c r="AL329" s="43">
        <f t="shared" si="15"/>
        <v>0</v>
      </c>
      <c r="AM329" s="43">
        <f t="shared" si="16"/>
        <v>0</v>
      </c>
      <c r="AN329" s="43">
        <f t="shared" si="17"/>
        <v>0</v>
      </c>
    </row>
    <row r="330" spans="2:40">
      <c r="B330" s="37" t="str">
        <f t="shared" si="5"/>
        <v>Asset 24</v>
      </c>
      <c r="F330" s="37" t="str">
        <f t="shared" ref="F330:L330" si="49">F82</f>
        <v>14 Overig rollend materieel</v>
      </c>
      <c r="G330" s="37">
        <f t="shared" si="49"/>
        <v>2015</v>
      </c>
      <c r="H330" s="52">
        <f t="shared" si="49"/>
        <v>9111235.8707030155</v>
      </c>
      <c r="I330" s="37">
        <f t="shared" si="49"/>
        <v>2021</v>
      </c>
      <c r="J330" s="52">
        <f t="shared" si="49"/>
        <v>10</v>
      </c>
      <c r="K330" s="175">
        <f t="shared" si="49"/>
        <v>1</v>
      </c>
      <c r="L330" s="52">
        <f t="shared" si="49"/>
        <v>3445348.23215965</v>
      </c>
      <c r="N330" s="43">
        <f t="shared" si="21"/>
        <v>3445348.23215965</v>
      </c>
      <c r="P330" s="38">
        <f t="shared" si="7"/>
        <v>3.5</v>
      </c>
      <c r="R330" s="43">
        <f t="shared" si="45"/>
        <v>1151730.6947505118</v>
      </c>
      <c r="S330" s="43">
        <f t="shared" si="45"/>
        <v>779633.08567726938</v>
      </c>
      <c r="T330" s="43">
        <f t="shared" si="45"/>
        <v>779633.08567726938</v>
      </c>
      <c r="U330" s="43">
        <f t="shared" si="45"/>
        <v>389816.54283863469</v>
      </c>
      <c r="V330" s="43">
        <f t="shared" si="45"/>
        <v>0</v>
      </c>
      <c r="X330" s="43">
        <f t="shared" si="46"/>
        <v>98438.520918847149</v>
      </c>
      <c r="Y330" s="43">
        <f t="shared" si="46"/>
        <v>98438.520918847149</v>
      </c>
      <c r="Z330" s="43">
        <f t="shared" si="46"/>
        <v>98438.520918847149</v>
      </c>
      <c r="AA330" s="43">
        <f t="shared" si="46"/>
        <v>49219.260459423575</v>
      </c>
      <c r="AB330" s="43">
        <f t="shared" si="46"/>
        <v>0</v>
      </c>
      <c r="AD330" s="43">
        <f t="shared" si="22"/>
        <v>2195179.0164902909</v>
      </c>
      <c r="AE330" s="43">
        <f t="shared" si="23"/>
        <v>1317107.4098941744</v>
      </c>
      <c r="AF330" s="43">
        <f t="shared" si="24"/>
        <v>439035.80329805787</v>
      </c>
      <c r="AG330" s="43">
        <f t="shared" si="25"/>
        <v>-3.92901711165905E-10</v>
      </c>
      <c r="AH330" s="43">
        <f t="shared" si="26"/>
        <v>0</v>
      </c>
      <c r="AJ330" s="43">
        <f t="shared" si="13"/>
        <v>1324805.3022300287</v>
      </c>
      <c r="AK330" s="43">
        <f t="shared" si="14"/>
        <v>921536.15112262429</v>
      </c>
      <c r="AL330" s="43">
        <f t="shared" si="15"/>
        <v>894754.96712144278</v>
      </c>
      <c r="AM330" s="43">
        <f t="shared" si="16"/>
        <v>439035.80329805828</v>
      </c>
      <c r="AN330" s="43">
        <f t="shared" si="17"/>
        <v>0</v>
      </c>
    </row>
    <row r="331" spans="2:40">
      <c r="B331" s="37" t="str">
        <f t="shared" si="5"/>
        <v>Asset 25</v>
      </c>
      <c r="F331" s="37" t="str">
        <f t="shared" ref="F331:L331" si="50">F83</f>
        <v>10 Gereedschap</v>
      </c>
      <c r="G331" s="37">
        <f t="shared" si="50"/>
        <v>2015</v>
      </c>
      <c r="H331" s="52">
        <f t="shared" si="50"/>
        <v>1215996.3265953835</v>
      </c>
      <c r="I331" s="37">
        <f t="shared" si="50"/>
        <v>2021</v>
      </c>
      <c r="J331" s="52">
        <f t="shared" si="50"/>
        <v>10</v>
      </c>
      <c r="K331" s="175">
        <f t="shared" si="50"/>
        <v>1</v>
      </c>
      <c r="L331" s="52">
        <f t="shared" si="50"/>
        <v>459820.25420057232</v>
      </c>
      <c r="N331" s="43">
        <f t="shared" si="21"/>
        <v>459820.25420057232</v>
      </c>
      <c r="P331" s="38">
        <f t="shared" si="7"/>
        <v>3.5</v>
      </c>
      <c r="R331" s="43">
        <f t="shared" si="45"/>
        <v>153711.34211847704</v>
      </c>
      <c r="S331" s="43">
        <f t="shared" si="45"/>
        <v>104050.75466481522</v>
      </c>
      <c r="T331" s="43">
        <f t="shared" si="45"/>
        <v>104050.75466481522</v>
      </c>
      <c r="U331" s="43">
        <f t="shared" si="45"/>
        <v>52025.37733240761</v>
      </c>
      <c r="V331" s="43">
        <f t="shared" si="45"/>
        <v>0</v>
      </c>
      <c r="X331" s="43">
        <f t="shared" si="46"/>
        <v>13137.721548587782</v>
      </c>
      <c r="Y331" s="43">
        <f t="shared" si="46"/>
        <v>13137.721548587782</v>
      </c>
      <c r="Z331" s="43">
        <f t="shared" si="46"/>
        <v>13137.721548587782</v>
      </c>
      <c r="AA331" s="43">
        <f t="shared" si="46"/>
        <v>6568.8607742938912</v>
      </c>
      <c r="AB331" s="43">
        <f t="shared" si="46"/>
        <v>0</v>
      </c>
      <c r="AD331" s="43">
        <f t="shared" si="22"/>
        <v>292971.1905335075</v>
      </c>
      <c r="AE331" s="43">
        <f t="shared" si="23"/>
        <v>175782.71432010451</v>
      </c>
      <c r="AF331" s="43">
        <f t="shared" si="24"/>
        <v>58594.238106701509</v>
      </c>
      <c r="AG331" s="43">
        <f t="shared" si="25"/>
        <v>7.2759576141834259E-12</v>
      </c>
      <c r="AH331" s="43">
        <f t="shared" si="26"/>
        <v>0</v>
      </c>
      <c r="AJ331" s="43">
        <f t="shared" si="13"/>
        <v>176810.08414520408</v>
      </c>
      <c r="AK331" s="43">
        <f t="shared" si="14"/>
        <v>122989.30578596646</v>
      </c>
      <c r="AL331" s="43">
        <f t="shared" si="15"/>
        <v>119415.05726145767</v>
      </c>
      <c r="AM331" s="43">
        <f t="shared" si="16"/>
        <v>58594.238106701501</v>
      </c>
      <c r="AN331" s="43">
        <f t="shared" si="17"/>
        <v>0</v>
      </c>
    </row>
    <row r="332" spans="2:40">
      <c r="B332" s="37" t="str">
        <f t="shared" si="5"/>
        <v>Asset 26</v>
      </c>
      <c r="F332" s="37" t="str">
        <f t="shared" ref="F332:L332" si="51">F84</f>
        <v>13 Aanhangwagens (gaschromatografen en comptabele meters)</v>
      </c>
      <c r="G332" s="37">
        <f t="shared" si="51"/>
        <v>2015</v>
      </c>
      <c r="H332" s="52">
        <f t="shared" si="51"/>
        <v>7968.6502792695001</v>
      </c>
      <c r="I332" s="37">
        <f t="shared" si="51"/>
        <v>2021</v>
      </c>
      <c r="J332" s="52">
        <f t="shared" si="51"/>
        <v>10</v>
      </c>
      <c r="K332" s="175">
        <f t="shared" si="51"/>
        <v>0</v>
      </c>
      <c r="L332" s="52">
        <f t="shared" si="51"/>
        <v>3013.2877188110033</v>
      </c>
      <c r="N332" s="43">
        <f t="shared" si="21"/>
        <v>3013.2877188110033</v>
      </c>
      <c r="P332" s="38">
        <f t="shared" si="7"/>
        <v>3.5</v>
      </c>
      <c r="R332" s="43">
        <f t="shared" si="45"/>
        <v>1007.2990374311069</v>
      </c>
      <c r="S332" s="43">
        <f t="shared" si="45"/>
        <v>681.8639637995185</v>
      </c>
      <c r="T332" s="43">
        <f t="shared" si="45"/>
        <v>681.8639637995185</v>
      </c>
      <c r="U332" s="43">
        <f t="shared" si="45"/>
        <v>340.93198189975925</v>
      </c>
      <c r="V332" s="43">
        <f t="shared" si="45"/>
        <v>0</v>
      </c>
      <c r="X332" s="43">
        <f t="shared" si="46"/>
        <v>86.093934823171523</v>
      </c>
      <c r="Y332" s="43">
        <f t="shared" si="46"/>
        <v>86.093934823171523</v>
      </c>
      <c r="Z332" s="43">
        <f t="shared" si="46"/>
        <v>86.093934823171523</v>
      </c>
      <c r="AA332" s="43">
        <f t="shared" si="46"/>
        <v>43.046967411585761</v>
      </c>
      <c r="AB332" s="43">
        <f t="shared" si="46"/>
        <v>0</v>
      </c>
      <c r="AD332" s="43">
        <f t="shared" si="22"/>
        <v>1919.8947465567248</v>
      </c>
      <c r="AE332" s="43">
        <f t="shared" si="23"/>
        <v>1151.9368479340349</v>
      </c>
      <c r="AF332" s="43">
        <f t="shared" si="24"/>
        <v>383.97894931134482</v>
      </c>
      <c r="AG332" s="43">
        <f t="shared" si="25"/>
        <v>-1.9184653865522705E-13</v>
      </c>
      <c r="AH332" s="43">
        <f t="shared" si="26"/>
        <v>0</v>
      </c>
      <c r="AJ332" s="43">
        <f t="shared" si="13"/>
        <v>1158.6693936372071</v>
      </c>
      <c r="AK332" s="43">
        <f t="shared" si="14"/>
        <v>805.97181460451316</v>
      </c>
      <c r="AL332" s="43">
        <f t="shared" si="15"/>
        <v>782.54909869652113</v>
      </c>
      <c r="AM332" s="43">
        <f t="shared" si="16"/>
        <v>383.97894931134499</v>
      </c>
      <c r="AN332" s="43">
        <f t="shared" si="17"/>
        <v>0</v>
      </c>
    </row>
    <row r="333" spans="2:40">
      <c r="B333" s="37" t="str">
        <f t="shared" si="5"/>
        <v>Asset 27</v>
      </c>
      <c r="F333" s="37" t="str">
        <f t="shared" ref="F333:L333" si="52">F85</f>
        <v>37 ICT middelen 1</v>
      </c>
      <c r="G333" s="37">
        <f t="shared" si="52"/>
        <v>2016</v>
      </c>
      <c r="H333" s="52">
        <f t="shared" si="52"/>
        <v>15289349.60564645</v>
      </c>
      <c r="I333" s="37">
        <f t="shared" si="52"/>
        <v>2021</v>
      </c>
      <c r="J333" s="52">
        <f t="shared" si="52"/>
        <v>5</v>
      </c>
      <c r="K333" s="175">
        <f t="shared" si="52"/>
        <v>1</v>
      </c>
      <c r="L333" s="52">
        <f t="shared" si="52"/>
        <v>0</v>
      </c>
      <c r="N333" s="43">
        <f t="shared" si="21"/>
        <v>0</v>
      </c>
      <c r="P333" s="38">
        <f t="shared" si="7"/>
        <v>0</v>
      </c>
      <c r="R333" s="43">
        <f t="shared" si="45"/>
        <v>0</v>
      </c>
      <c r="S333" s="43">
        <f t="shared" si="45"/>
        <v>0</v>
      </c>
      <c r="T333" s="43">
        <f t="shared" si="45"/>
        <v>0</v>
      </c>
      <c r="U333" s="43">
        <f t="shared" si="45"/>
        <v>0</v>
      </c>
      <c r="V333" s="43">
        <f t="shared" si="45"/>
        <v>0</v>
      </c>
      <c r="X333" s="43">
        <f t="shared" si="46"/>
        <v>0</v>
      </c>
      <c r="Y333" s="43">
        <f t="shared" si="46"/>
        <v>0</v>
      </c>
      <c r="Z333" s="43">
        <f t="shared" si="46"/>
        <v>0</v>
      </c>
      <c r="AA333" s="43">
        <f t="shared" si="46"/>
        <v>0</v>
      </c>
      <c r="AB333" s="43">
        <f t="shared" si="46"/>
        <v>0</v>
      </c>
      <c r="AD333" s="43">
        <f t="shared" si="22"/>
        <v>0</v>
      </c>
      <c r="AE333" s="43">
        <f t="shared" si="23"/>
        <v>0</v>
      </c>
      <c r="AF333" s="43">
        <f t="shared" si="24"/>
        <v>0</v>
      </c>
      <c r="AG333" s="43">
        <f t="shared" si="25"/>
        <v>0</v>
      </c>
      <c r="AH333" s="43">
        <f t="shared" si="26"/>
        <v>0</v>
      </c>
      <c r="AJ333" s="43">
        <f t="shared" si="13"/>
        <v>0</v>
      </c>
      <c r="AK333" s="43">
        <f t="shared" si="14"/>
        <v>0</v>
      </c>
      <c r="AL333" s="43">
        <f t="shared" si="15"/>
        <v>0</v>
      </c>
      <c r="AM333" s="43">
        <f t="shared" si="16"/>
        <v>0</v>
      </c>
      <c r="AN333" s="43">
        <f t="shared" si="17"/>
        <v>0</v>
      </c>
    </row>
    <row r="334" spans="2:40">
      <c r="B334" s="37" t="str">
        <f t="shared" si="5"/>
        <v>Asset 28</v>
      </c>
      <c r="F334" s="37" t="str">
        <f t="shared" ref="F334:L334" si="53">F86</f>
        <v>11 Werktuigen</v>
      </c>
      <c r="G334" s="37">
        <f t="shared" si="53"/>
        <v>2016</v>
      </c>
      <c r="H334" s="52">
        <f t="shared" si="53"/>
        <v>1481397.6896878041</v>
      </c>
      <c r="I334" s="37">
        <f t="shared" si="53"/>
        <v>2021</v>
      </c>
      <c r="J334" s="52">
        <f t="shared" si="53"/>
        <v>10</v>
      </c>
      <c r="K334" s="175">
        <f t="shared" si="53"/>
        <v>1</v>
      </c>
      <c r="L334" s="52">
        <f t="shared" si="53"/>
        <v>714515.13830443297</v>
      </c>
      <c r="N334" s="43">
        <f t="shared" si="21"/>
        <v>714515.13830443297</v>
      </c>
      <c r="P334" s="38">
        <f t="shared" si="7"/>
        <v>4.5</v>
      </c>
      <c r="R334" s="43">
        <f t="shared" si="45"/>
        <v>185773.93595915259</v>
      </c>
      <c r="S334" s="43">
        <f t="shared" si="45"/>
        <v>132105.91001539741</v>
      </c>
      <c r="T334" s="43">
        <f t="shared" si="45"/>
        <v>130073.51139977589</v>
      </c>
      <c r="U334" s="43">
        <f t="shared" si="45"/>
        <v>130073.51139977589</v>
      </c>
      <c r="V334" s="43">
        <f t="shared" si="45"/>
        <v>65036.755699887945</v>
      </c>
      <c r="X334" s="43">
        <f t="shared" si="46"/>
        <v>15878.114184542957</v>
      </c>
      <c r="Y334" s="43">
        <f t="shared" si="46"/>
        <v>15878.114184542957</v>
      </c>
      <c r="Z334" s="43">
        <f t="shared" si="46"/>
        <v>15878.114184542957</v>
      </c>
      <c r="AA334" s="43">
        <f t="shared" si="46"/>
        <v>15878.114184542957</v>
      </c>
      <c r="AB334" s="43">
        <f t="shared" si="46"/>
        <v>7939.0570922714787</v>
      </c>
      <c r="AD334" s="43">
        <f t="shared" si="22"/>
        <v>512863.08816073748</v>
      </c>
      <c r="AE334" s="43">
        <f t="shared" si="23"/>
        <v>364879.0639607971</v>
      </c>
      <c r="AF334" s="43">
        <f t="shared" si="24"/>
        <v>218927.43837647824</v>
      </c>
      <c r="AG334" s="43">
        <f t="shared" si="25"/>
        <v>72975.812792159399</v>
      </c>
      <c r="AH334" s="43">
        <f t="shared" si="26"/>
        <v>-2.4556356947869062E-11</v>
      </c>
      <c r="AJ334" s="43">
        <f t="shared" si="13"/>
        <v>219089.39514116064</v>
      </c>
      <c r="AK334" s="43">
        <f t="shared" si="14"/>
        <v>160025.03331064669</v>
      </c>
      <c r="AL334" s="43">
        <f t="shared" si="15"/>
        <v>154270.86824262503</v>
      </c>
      <c r="AM334" s="43">
        <f t="shared" si="16"/>
        <v>148724.7064704209</v>
      </c>
      <c r="AN334" s="43">
        <f t="shared" si="17"/>
        <v>72975.812792159428</v>
      </c>
    </row>
    <row r="335" spans="2:40">
      <c r="B335" s="37" t="str">
        <f t="shared" si="5"/>
        <v>Asset 29</v>
      </c>
      <c r="F335" s="37" t="str">
        <f t="shared" ref="F335:L335" si="54">F87</f>
        <v>14 Overig rollend materieel</v>
      </c>
      <c r="G335" s="37">
        <f t="shared" si="54"/>
        <v>2016</v>
      </c>
      <c r="H335" s="52">
        <f t="shared" si="54"/>
        <v>5338260.5379699524</v>
      </c>
      <c r="I335" s="37">
        <f t="shared" si="54"/>
        <v>2021</v>
      </c>
      <c r="J335" s="52">
        <f t="shared" si="54"/>
        <v>10</v>
      </c>
      <c r="K335" s="175">
        <f t="shared" si="54"/>
        <v>1</v>
      </c>
      <c r="L335" s="52">
        <f t="shared" si="54"/>
        <v>2574776.5054207225</v>
      </c>
      <c r="N335" s="43">
        <f t="shared" si="21"/>
        <v>2574776.5054207225</v>
      </c>
      <c r="P335" s="38">
        <f t="shared" si="7"/>
        <v>4.5</v>
      </c>
      <c r="R335" s="43">
        <f t="shared" si="45"/>
        <v>669441.89140938804</v>
      </c>
      <c r="S335" s="43">
        <f t="shared" si="45"/>
        <v>476047.56722445367</v>
      </c>
      <c r="T335" s="43">
        <f t="shared" si="45"/>
        <v>468723.7584979235</v>
      </c>
      <c r="U335" s="43">
        <f t="shared" si="45"/>
        <v>468723.7584979235</v>
      </c>
      <c r="V335" s="43">
        <f t="shared" si="45"/>
        <v>234361.87924896175</v>
      </c>
      <c r="X335" s="43">
        <f t="shared" si="46"/>
        <v>57217.255676016059</v>
      </c>
      <c r="Y335" s="43">
        <f t="shared" si="46"/>
        <v>57217.255676016059</v>
      </c>
      <c r="Z335" s="43">
        <f t="shared" si="46"/>
        <v>57217.255676016059</v>
      </c>
      <c r="AA335" s="43">
        <f t="shared" si="46"/>
        <v>57217.255676016059</v>
      </c>
      <c r="AB335" s="43">
        <f t="shared" si="46"/>
        <v>28608.627838008029</v>
      </c>
      <c r="AD335" s="43">
        <f t="shared" si="22"/>
        <v>1848117.3583353185</v>
      </c>
      <c r="AE335" s="43">
        <f t="shared" si="23"/>
        <v>1314852.5354348489</v>
      </c>
      <c r="AF335" s="43">
        <f t="shared" si="24"/>
        <v>788911.52126090927</v>
      </c>
      <c r="AG335" s="43">
        <f t="shared" si="25"/>
        <v>262970.50708696974</v>
      </c>
      <c r="AH335" s="43">
        <f t="shared" si="26"/>
        <v>-4.0017766878008842E-11</v>
      </c>
      <c r="AJ335" s="43">
        <f t="shared" si="13"/>
        <v>789495.13726880495</v>
      </c>
      <c r="AK335" s="43">
        <f t="shared" si="14"/>
        <v>576654.95656981983</v>
      </c>
      <c r="AL335" s="43">
        <f t="shared" si="15"/>
        <v>555919.65198185411</v>
      </c>
      <c r="AM335" s="43">
        <f t="shared" si="16"/>
        <v>535933.89344324439</v>
      </c>
      <c r="AN335" s="43">
        <f t="shared" si="17"/>
        <v>262970.5070869698</v>
      </c>
    </row>
    <row r="336" spans="2:40">
      <c r="B336" s="37" t="str">
        <f t="shared" si="5"/>
        <v>Asset 30</v>
      </c>
      <c r="F336" s="37" t="str">
        <f t="shared" ref="F336:L336" si="55">F88</f>
        <v>37 ICT middelen 1</v>
      </c>
      <c r="G336" s="37">
        <f t="shared" si="55"/>
        <v>2017</v>
      </c>
      <c r="H336" s="52">
        <f t="shared" si="55"/>
        <v>17348227.126304951</v>
      </c>
      <c r="I336" s="37">
        <f t="shared" si="55"/>
        <v>2021</v>
      </c>
      <c r="J336" s="52">
        <f t="shared" si="55"/>
        <v>5</v>
      </c>
      <c r="K336" s="175">
        <f t="shared" si="55"/>
        <v>1</v>
      </c>
      <c r="L336" s="52">
        <f t="shared" si="55"/>
        <v>1855729.3459505453</v>
      </c>
      <c r="N336" s="43">
        <f t="shared" si="21"/>
        <v>1855729.3459505453</v>
      </c>
      <c r="P336" s="38">
        <f t="shared" si="7"/>
        <v>0.5</v>
      </c>
      <c r="R336" s="43">
        <f t="shared" si="45"/>
        <v>1670156.4113554908</v>
      </c>
      <c r="S336" s="43">
        <f t="shared" si="45"/>
        <v>0</v>
      </c>
      <c r="T336" s="43">
        <f t="shared" si="45"/>
        <v>0</v>
      </c>
      <c r="U336" s="43">
        <f t="shared" si="45"/>
        <v>0</v>
      </c>
      <c r="V336" s="43">
        <f t="shared" si="45"/>
        <v>0</v>
      </c>
      <c r="X336" s="43">
        <f t="shared" si="46"/>
        <v>185572.93459505454</v>
      </c>
      <c r="Y336" s="43">
        <f t="shared" si="46"/>
        <v>0</v>
      </c>
      <c r="Z336" s="43">
        <f t="shared" si="46"/>
        <v>0</v>
      </c>
      <c r="AA336" s="43">
        <f t="shared" si="46"/>
        <v>0</v>
      </c>
      <c r="AB336" s="43">
        <f t="shared" si="46"/>
        <v>0</v>
      </c>
      <c r="AD336" s="43">
        <f t="shared" si="22"/>
        <v>-5.8207660913467407E-11</v>
      </c>
      <c r="AE336" s="43">
        <f t="shared" si="23"/>
        <v>0</v>
      </c>
      <c r="AF336" s="43">
        <f t="shared" si="24"/>
        <v>0</v>
      </c>
      <c r="AG336" s="43">
        <f t="shared" si="25"/>
        <v>0</v>
      </c>
      <c r="AH336" s="43">
        <f t="shared" si="26"/>
        <v>0</v>
      </c>
      <c r="AJ336" s="43">
        <f t="shared" si="13"/>
        <v>1855729.3459505453</v>
      </c>
      <c r="AK336" s="43">
        <f t="shared" si="14"/>
        <v>0</v>
      </c>
      <c r="AL336" s="43">
        <f t="shared" si="15"/>
        <v>0</v>
      </c>
      <c r="AM336" s="43">
        <f t="shared" si="16"/>
        <v>0</v>
      </c>
      <c r="AN336" s="43">
        <f t="shared" si="17"/>
        <v>0</v>
      </c>
    </row>
    <row r="337" spans="2:40">
      <c r="B337" s="37" t="str">
        <f t="shared" si="5"/>
        <v>Asset 31</v>
      </c>
      <c r="F337" s="37" t="str">
        <f t="shared" ref="F337:L337" si="56">F89</f>
        <v>05 Wegen en terreinvoorzieningen</v>
      </c>
      <c r="G337" s="37">
        <f t="shared" si="56"/>
        <v>2012</v>
      </c>
      <c r="H337" s="52">
        <f t="shared" si="56"/>
        <v>56189.23</v>
      </c>
      <c r="I337" s="37">
        <f t="shared" si="56"/>
        <v>2021</v>
      </c>
      <c r="J337" s="52">
        <f t="shared" si="56"/>
        <v>10</v>
      </c>
      <c r="K337" s="175">
        <f t="shared" si="56"/>
        <v>0</v>
      </c>
      <c r="L337" s="52">
        <f t="shared" si="56"/>
        <v>3224.0442736663617</v>
      </c>
      <c r="N337" s="43">
        <f t="shared" si="21"/>
        <v>3224.0442736663617</v>
      </c>
      <c r="P337" s="38">
        <f t="shared" si="7"/>
        <v>0.5</v>
      </c>
      <c r="R337" s="43">
        <f t="shared" ref="R337:V346" si="57">IF(R$305&lt;=$G337+$J337,VDB($L337*(1-$F$25),0,$P337,R$305-2022,MIN(R$305-2021,$P337),$F$22),0)</f>
        <v>2901.6398462997258</v>
      </c>
      <c r="S337" s="43">
        <f t="shared" si="57"/>
        <v>0</v>
      </c>
      <c r="T337" s="43">
        <f t="shared" si="57"/>
        <v>0</v>
      </c>
      <c r="U337" s="43">
        <f t="shared" si="57"/>
        <v>0</v>
      </c>
      <c r="V337" s="43">
        <f t="shared" si="57"/>
        <v>0</v>
      </c>
      <c r="X337" s="43">
        <f t="shared" ref="X337:AB346" si="58">IF(X$305&lt;=$G337+$J337,VDB($L337*$F$25,0,$P337,X$305-2022,MIN(X$305-2021,$P337),1),0)</f>
        <v>322.40442736663618</v>
      </c>
      <c r="Y337" s="43">
        <f t="shared" si="58"/>
        <v>0</v>
      </c>
      <c r="Z337" s="43">
        <f t="shared" si="58"/>
        <v>0</v>
      </c>
      <c r="AA337" s="43">
        <f t="shared" si="58"/>
        <v>0</v>
      </c>
      <c r="AB337" s="43">
        <f t="shared" si="58"/>
        <v>0</v>
      </c>
      <c r="AD337" s="43">
        <f t="shared" si="22"/>
        <v>-2.8421709430404007E-13</v>
      </c>
      <c r="AE337" s="43">
        <f t="shared" si="23"/>
        <v>0</v>
      </c>
      <c r="AF337" s="43">
        <f t="shared" si="24"/>
        <v>0</v>
      </c>
      <c r="AG337" s="43">
        <f t="shared" si="25"/>
        <v>0</v>
      </c>
      <c r="AH337" s="43">
        <f t="shared" si="26"/>
        <v>0</v>
      </c>
      <c r="AJ337" s="43">
        <f t="shared" si="13"/>
        <v>3224.0442736663622</v>
      </c>
      <c r="AK337" s="43">
        <f t="shared" si="14"/>
        <v>0</v>
      </c>
      <c r="AL337" s="43">
        <f t="shared" si="15"/>
        <v>0</v>
      </c>
      <c r="AM337" s="43">
        <f t="shared" si="16"/>
        <v>0</v>
      </c>
      <c r="AN337" s="43">
        <f t="shared" si="17"/>
        <v>0</v>
      </c>
    </row>
    <row r="338" spans="2:40">
      <c r="B338" s="37" t="str">
        <f t="shared" si="5"/>
        <v>Asset 32</v>
      </c>
      <c r="F338" s="37" t="str">
        <f t="shared" ref="F338:L338" si="59">F90</f>
        <v>37 ICT middelen 1</v>
      </c>
      <c r="G338" s="37">
        <f t="shared" si="59"/>
        <v>2018</v>
      </c>
      <c r="H338" s="52">
        <f t="shared" si="59"/>
        <v>20811887.293785572</v>
      </c>
      <c r="I338" s="37">
        <f t="shared" si="59"/>
        <v>2021</v>
      </c>
      <c r="J338" s="52">
        <f t="shared" si="59"/>
        <v>5</v>
      </c>
      <c r="K338" s="175">
        <f t="shared" si="59"/>
        <v>1</v>
      </c>
      <c r="L338" s="52">
        <f t="shared" si="59"/>
        <v>6586494.0110704908</v>
      </c>
      <c r="N338" s="43">
        <f t="shared" si="21"/>
        <v>6586494.0110704908</v>
      </c>
      <c r="P338" s="38">
        <f t="shared" si="7"/>
        <v>1.5</v>
      </c>
      <c r="R338" s="43">
        <f t="shared" si="57"/>
        <v>5137465.3286349839</v>
      </c>
      <c r="S338" s="43">
        <f t="shared" si="57"/>
        <v>790379.28132845834</v>
      </c>
      <c r="T338" s="43">
        <f t="shared" si="57"/>
        <v>0</v>
      </c>
      <c r="U338" s="43">
        <f t="shared" si="57"/>
        <v>0</v>
      </c>
      <c r="V338" s="43">
        <f t="shared" si="57"/>
        <v>0</v>
      </c>
      <c r="X338" s="43">
        <f t="shared" si="58"/>
        <v>439099.60073803272</v>
      </c>
      <c r="Y338" s="43">
        <f t="shared" si="58"/>
        <v>219549.80036901636</v>
      </c>
      <c r="Z338" s="43">
        <f t="shared" si="58"/>
        <v>0</v>
      </c>
      <c r="AA338" s="43">
        <f t="shared" si="58"/>
        <v>0</v>
      </c>
      <c r="AB338" s="43">
        <f t="shared" si="58"/>
        <v>0</v>
      </c>
      <c r="AD338" s="43">
        <f t="shared" si="22"/>
        <v>1009929.0816974742</v>
      </c>
      <c r="AE338" s="43">
        <f t="shared" si="23"/>
        <v>-4.6566128730773926E-10</v>
      </c>
      <c r="AF338" s="43">
        <f t="shared" si="24"/>
        <v>0</v>
      </c>
      <c r="AG338" s="43">
        <f t="shared" si="25"/>
        <v>0</v>
      </c>
      <c r="AH338" s="43">
        <f t="shared" si="26"/>
        <v>0</v>
      </c>
      <c r="AJ338" s="43">
        <f t="shared" si="13"/>
        <v>5610902.518150731</v>
      </c>
      <c r="AK338" s="43">
        <f t="shared" si="14"/>
        <v>1009929.0816974747</v>
      </c>
      <c r="AL338" s="43">
        <f t="shared" si="15"/>
        <v>0</v>
      </c>
      <c r="AM338" s="43">
        <f t="shared" si="16"/>
        <v>0</v>
      </c>
      <c r="AN338" s="43">
        <f t="shared" si="17"/>
        <v>0</v>
      </c>
    </row>
    <row r="339" spans="2:40">
      <c r="B339" s="37" t="str">
        <f t="shared" si="5"/>
        <v>Asset 33</v>
      </c>
      <c r="F339" s="37" t="str">
        <f t="shared" ref="F339:L339" si="60">F91</f>
        <v>37 ICT middelen 1</v>
      </c>
      <c r="G339" s="37">
        <f t="shared" si="60"/>
        <v>2005</v>
      </c>
      <c r="H339" s="52">
        <f t="shared" si="60"/>
        <v>3284081.86</v>
      </c>
      <c r="I339" s="37">
        <f t="shared" si="60"/>
        <v>2021</v>
      </c>
      <c r="J339" s="52">
        <f t="shared" si="60"/>
        <v>5</v>
      </c>
      <c r="K339" s="175">
        <f t="shared" si="60"/>
        <v>1</v>
      </c>
      <c r="L339" s="52">
        <f t="shared" si="60"/>
        <v>0</v>
      </c>
      <c r="N339" s="43">
        <f t="shared" si="21"/>
        <v>0</v>
      </c>
      <c r="P339" s="38">
        <f t="shared" si="7"/>
        <v>0</v>
      </c>
      <c r="R339" s="43">
        <f t="shared" si="57"/>
        <v>0</v>
      </c>
      <c r="S339" s="43">
        <f t="shared" si="57"/>
        <v>0</v>
      </c>
      <c r="T339" s="43">
        <f t="shared" si="57"/>
        <v>0</v>
      </c>
      <c r="U339" s="43">
        <f t="shared" si="57"/>
        <v>0</v>
      </c>
      <c r="V339" s="43">
        <f t="shared" si="57"/>
        <v>0</v>
      </c>
      <c r="X339" s="43">
        <f t="shared" si="58"/>
        <v>0</v>
      </c>
      <c r="Y339" s="43">
        <f t="shared" si="58"/>
        <v>0</v>
      </c>
      <c r="Z339" s="43">
        <f t="shared" si="58"/>
        <v>0</v>
      </c>
      <c r="AA339" s="43">
        <f t="shared" si="58"/>
        <v>0</v>
      </c>
      <c r="AB339" s="43">
        <f t="shared" si="58"/>
        <v>0</v>
      </c>
      <c r="AD339" s="43">
        <f t="shared" si="22"/>
        <v>0</v>
      </c>
      <c r="AE339" s="43">
        <f t="shared" si="23"/>
        <v>0</v>
      </c>
      <c r="AF339" s="43">
        <f t="shared" si="24"/>
        <v>0</v>
      </c>
      <c r="AG339" s="43">
        <f t="shared" si="25"/>
        <v>0</v>
      </c>
      <c r="AH339" s="43">
        <f t="shared" si="26"/>
        <v>0</v>
      </c>
      <c r="AJ339" s="43">
        <f t="shared" si="13"/>
        <v>0</v>
      </c>
      <c r="AK339" s="43">
        <f t="shared" si="14"/>
        <v>0</v>
      </c>
      <c r="AL339" s="43">
        <f t="shared" si="15"/>
        <v>0</v>
      </c>
      <c r="AM339" s="43">
        <f t="shared" si="16"/>
        <v>0</v>
      </c>
      <c r="AN339" s="43">
        <f t="shared" si="17"/>
        <v>0</v>
      </c>
    </row>
    <row r="340" spans="2:40">
      <c r="B340" s="37" t="str">
        <f t="shared" si="5"/>
        <v>Asset 34</v>
      </c>
      <c r="F340" s="37" t="str">
        <f t="shared" ref="F340:L340" si="61">F92</f>
        <v>14 Overig rollend materieel</v>
      </c>
      <c r="G340" s="37">
        <f t="shared" si="61"/>
        <v>2005</v>
      </c>
      <c r="H340" s="52">
        <f t="shared" si="61"/>
        <v>1438517.3199999998</v>
      </c>
      <c r="I340" s="37">
        <f t="shared" si="61"/>
        <v>2021</v>
      </c>
      <c r="J340" s="52">
        <f t="shared" si="61"/>
        <v>10</v>
      </c>
      <c r="K340" s="175">
        <f t="shared" si="61"/>
        <v>1</v>
      </c>
      <c r="L340" s="52">
        <f t="shared" si="61"/>
        <v>0</v>
      </c>
      <c r="N340" s="43">
        <f t="shared" si="21"/>
        <v>0</v>
      </c>
      <c r="P340" s="38">
        <f t="shared" si="7"/>
        <v>0</v>
      </c>
      <c r="R340" s="43">
        <f t="shared" si="57"/>
        <v>0</v>
      </c>
      <c r="S340" s="43">
        <f t="shared" si="57"/>
        <v>0</v>
      </c>
      <c r="T340" s="43">
        <f t="shared" si="57"/>
        <v>0</v>
      </c>
      <c r="U340" s="43">
        <f t="shared" si="57"/>
        <v>0</v>
      </c>
      <c r="V340" s="43">
        <f t="shared" si="57"/>
        <v>0</v>
      </c>
      <c r="X340" s="43">
        <f t="shared" si="58"/>
        <v>0</v>
      </c>
      <c r="Y340" s="43">
        <f t="shared" si="58"/>
        <v>0</v>
      </c>
      <c r="Z340" s="43">
        <f t="shared" si="58"/>
        <v>0</v>
      </c>
      <c r="AA340" s="43">
        <f t="shared" si="58"/>
        <v>0</v>
      </c>
      <c r="AB340" s="43">
        <f t="shared" si="58"/>
        <v>0</v>
      </c>
      <c r="AD340" s="43">
        <f t="shared" si="22"/>
        <v>0</v>
      </c>
      <c r="AE340" s="43">
        <f t="shared" si="23"/>
        <v>0</v>
      </c>
      <c r="AF340" s="43">
        <f t="shared" si="24"/>
        <v>0</v>
      </c>
      <c r="AG340" s="43">
        <f t="shared" si="25"/>
        <v>0</v>
      </c>
      <c r="AH340" s="43">
        <f t="shared" si="26"/>
        <v>0</v>
      </c>
      <c r="AJ340" s="43">
        <f t="shared" si="13"/>
        <v>0</v>
      </c>
      <c r="AK340" s="43">
        <f t="shared" si="14"/>
        <v>0</v>
      </c>
      <c r="AL340" s="43">
        <f t="shared" si="15"/>
        <v>0</v>
      </c>
      <c r="AM340" s="43">
        <f t="shared" si="16"/>
        <v>0</v>
      </c>
      <c r="AN340" s="43">
        <f t="shared" si="17"/>
        <v>0</v>
      </c>
    </row>
    <row r="341" spans="2:40">
      <c r="B341" s="37" t="str">
        <f t="shared" si="5"/>
        <v>Asset 35</v>
      </c>
      <c r="F341" s="37" t="str">
        <f t="shared" ref="F341:L341" si="62">F93</f>
        <v>11 Werktuigen</v>
      </c>
      <c r="G341" s="37">
        <f t="shared" si="62"/>
        <v>2005</v>
      </c>
      <c r="H341" s="52">
        <f t="shared" si="62"/>
        <v>499809.02999999997</v>
      </c>
      <c r="I341" s="37">
        <f t="shared" si="62"/>
        <v>2021</v>
      </c>
      <c r="J341" s="52">
        <f t="shared" si="62"/>
        <v>10</v>
      </c>
      <c r="K341" s="175">
        <f t="shared" si="62"/>
        <v>1</v>
      </c>
      <c r="L341" s="52">
        <f t="shared" si="62"/>
        <v>0</v>
      </c>
      <c r="N341" s="43">
        <f t="shared" si="21"/>
        <v>0</v>
      </c>
      <c r="P341" s="38">
        <f t="shared" si="7"/>
        <v>0</v>
      </c>
      <c r="R341" s="43">
        <f t="shared" si="57"/>
        <v>0</v>
      </c>
      <c r="S341" s="43">
        <f t="shared" si="57"/>
        <v>0</v>
      </c>
      <c r="T341" s="43">
        <f t="shared" si="57"/>
        <v>0</v>
      </c>
      <c r="U341" s="43">
        <f t="shared" si="57"/>
        <v>0</v>
      </c>
      <c r="V341" s="43">
        <f t="shared" si="57"/>
        <v>0</v>
      </c>
      <c r="X341" s="43">
        <f t="shared" si="58"/>
        <v>0</v>
      </c>
      <c r="Y341" s="43">
        <f t="shared" si="58"/>
        <v>0</v>
      </c>
      <c r="Z341" s="43">
        <f t="shared" si="58"/>
        <v>0</v>
      </c>
      <c r="AA341" s="43">
        <f t="shared" si="58"/>
        <v>0</v>
      </c>
      <c r="AB341" s="43">
        <f t="shared" si="58"/>
        <v>0</v>
      </c>
      <c r="AD341" s="43">
        <f t="shared" si="22"/>
        <v>0</v>
      </c>
      <c r="AE341" s="43">
        <f t="shared" si="23"/>
        <v>0</v>
      </c>
      <c r="AF341" s="43">
        <f t="shared" si="24"/>
        <v>0</v>
      </c>
      <c r="AG341" s="43">
        <f t="shared" si="25"/>
        <v>0</v>
      </c>
      <c r="AH341" s="43">
        <f t="shared" si="26"/>
        <v>0</v>
      </c>
      <c r="AJ341" s="43">
        <f t="shared" si="13"/>
        <v>0</v>
      </c>
      <c r="AK341" s="43">
        <f t="shared" si="14"/>
        <v>0</v>
      </c>
      <c r="AL341" s="43">
        <f t="shared" si="15"/>
        <v>0</v>
      </c>
      <c r="AM341" s="43">
        <f t="shared" si="16"/>
        <v>0</v>
      </c>
      <c r="AN341" s="43">
        <f t="shared" si="17"/>
        <v>0</v>
      </c>
    </row>
    <row r="342" spans="2:40">
      <c r="B342" s="37" t="str">
        <f t="shared" si="5"/>
        <v>Asset 36</v>
      </c>
      <c r="F342" s="37" t="str">
        <f t="shared" ref="F342:L342" si="63">F94</f>
        <v>14 Overig rollend materieel (odorisatie)</v>
      </c>
      <c r="G342" s="37">
        <f t="shared" si="63"/>
        <v>2005</v>
      </c>
      <c r="H342" s="52">
        <f t="shared" si="63"/>
        <v>245809.3</v>
      </c>
      <c r="I342" s="37">
        <f t="shared" si="63"/>
        <v>2021</v>
      </c>
      <c r="J342" s="52">
        <f t="shared" si="63"/>
        <v>10</v>
      </c>
      <c r="K342" s="175">
        <f t="shared" si="63"/>
        <v>0</v>
      </c>
      <c r="L342" s="52">
        <f t="shared" si="63"/>
        <v>0</v>
      </c>
      <c r="N342" s="43">
        <f t="shared" si="21"/>
        <v>0</v>
      </c>
      <c r="P342" s="38">
        <f t="shared" si="7"/>
        <v>0</v>
      </c>
      <c r="R342" s="43">
        <f t="shared" si="57"/>
        <v>0</v>
      </c>
      <c r="S342" s="43">
        <f t="shared" si="57"/>
        <v>0</v>
      </c>
      <c r="T342" s="43">
        <f t="shared" si="57"/>
        <v>0</v>
      </c>
      <c r="U342" s="43">
        <f t="shared" si="57"/>
        <v>0</v>
      </c>
      <c r="V342" s="43">
        <f t="shared" si="57"/>
        <v>0</v>
      </c>
      <c r="X342" s="43">
        <f t="shared" si="58"/>
        <v>0</v>
      </c>
      <c r="Y342" s="43">
        <f t="shared" si="58"/>
        <v>0</v>
      </c>
      <c r="Z342" s="43">
        <f t="shared" si="58"/>
        <v>0</v>
      </c>
      <c r="AA342" s="43">
        <f t="shared" si="58"/>
        <v>0</v>
      </c>
      <c r="AB342" s="43">
        <f t="shared" si="58"/>
        <v>0</v>
      </c>
      <c r="AD342" s="43">
        <f t="shared" si="22"/>
        <v>0</v>
      </c>
      <c r="AE342" s="43">
        <f t="shared" si="23"/>
        <v>0</v>
      </c>
      <c r="AF342" s="43">
        <f t="shared" si="24"/>
        <v>0</v>
      </c>
      <c r="AG342" s="43">
        <f t="shared" si="25"/>
        <v>0</v>
      </c>
      <c r="AH342" s="43">
        <f t="shared" si="26"/>
        <v>0</v>
      </c>
      <c r="AJ342" s="43">
        <f t="shared" si="13"/>
        <v>0</v>
      </c>
      <c r="AK342" s="43">
        <f t="shared" si="14"/>
        <v>0</v>
      </c>
      <c r="AL342" s="43">
        <f t="shared" si="15"/>
        <v>0</v>
      </c>
      <c r="AM342" s="43">
        <f t="shared" si="16"/>
        <v>0</v>
      </c>
      <c r="AN342" s="43">
        <f t="shared" si="17"/>
        <v>0</v>
      </c>
    </row>
    <row r="343" spans="2:40">
      <c r="B343" s="37" t="str">
        <f t="shared" si="5"/>
        <v>Asset 37</v>
      </c>
      <c r="F343" s="37" t="str">
        <f t="shared" ref="F343:L343" si="64">F95</f>
        <v>10 Gereedschap</v>
      </c>
      <c r="G343" s="37">
        <f t="shared" si="64"/>
        <v>2005</v>
      </c>
      <c r="H343" s="52">
        <f t="shared" si="64"/>
        <v>58217.59</v>
      </c>
      <c r="I343" s="37">
        <f t="shared" si="64"/>
        <v>2021</v>
      </c>
      <c r="J343" s="52">
        <f t="shared" si="64"/>
        <v>10</v>
      </c>
      <c r="K343" s="175">
        <f t="shared" si="64"/>
        <v>1</v>
      </c>
      <c r="L343" s="52">
        <f t="shared" si="64"/>
        <v>0</v>
      </c>
      <c r="N343" s="43">
        <f t="shared" si="21"/>
        <v>0</v>
      </c>
      <c r="P343" s="38">
        <f t="shared" si="7"/>
        <v>0</v>
      </c>
      <c r="R343" s="43">
        <f t="shared" si="57"/>
        <v>0</v>
      </c>
      <c r="S343" s="43">
        <f t="shared" si="57"/>
        <v>0</v>
      </c>
      <c r="T343" s="43">
        <f t="shared" si="57"/>
        <v>0</v>
      </c>
      <c r="U343" s="43">
        <f t="shared" si="57"/>
        <v>0</v>
      </c>
      <c r="V343" s="43">
        <f t="shared" si="57"/>
        <v>0</v>
      </c>
      <c r="X343" s="43">
        <f t="shared" si="58"/>
        <v>0</v>
      </c>
      <c r="Y343" s="43">
        <f t="shared" si="58"/>
        <v>0</v>
      </c>
      <c r="Z343" s="43">
        <f t="shared" si="58"/>
        <v>0</v>
      </c>
      <c r="AA343" s="43">
        <f t="shared" si="58"/>
        <v>0</v>
      </c>
      <c r="AB343" s="43">
        <f t="shared" si="58"/>
        <v>0</v>
      </c>
      <c r="AD343" s="43">
        <f t="shared" si="22"/>
        <v>0</v>
      </c>
      <c r="AE343" s="43">
        <f t="shared" si="23"/>
        <v>0</v>
      </c>
      <c r="AF343" s="43">
        <f t="shared" si="24"/>
        <v>0</v>
      </c>
      <c r="AG343" s="43">
        <f t="shared" si="25"/>
        <v>0</v>
      </c>
      <c r="AH343" s="43">
        <f t="shared" si="26"/>
        <v>0</v>
      </c>
      <c r="AJ343" s="43">
        <f t="shared" si="13"/>
        <v>0</v>
      </c>
      <c r="AK343" s="43">
        <f t="shared" si="14"/>
        <v>0</v>
      </c>
      <c r="AL343" s="43">
        <f t="shared" si="15"/>
        <v>0</v>
      </c>
      <c r="AM343" s="43">
        <f t="shared" si="16"/>
        <v>0</v>
      </c>
      <c r="AN343" s="43">
        <f t="shared" si="17"/>
        <v>0</v>
      </c>
    </row>
    <row r="344" spans="2:40">
      <c r="B344" s="37" t="str">
        <f t="shared" si="5"/>
        <v>Asset 38</v>
      </c>
      <c r="F344" s="37" t="str">
        <f t="shared" ref="F344:L344" si="65">F96</f>
        <v>37 ICT middelen 1</v>
      </c>
      <c r="G344" s="37">
        <f t="shared" si="65"/>
        <v>2006</v>
      </c>
      <c r="H344" s="52">
        <f t="shared" si="65"/>
        <v>4639319.7116944697</v>
      </c>
      <c r="I344" s="37">
        <f t="shared" si="65"/>
        <v>2021</v>
      </c>
      <c r="J344" s="52">
        <f t="shared" si="65"/>
        <v>5</v>
      </c>
      <c r="K344" s="175">
        <f t="shared" si="65"/>
        <v>1</v>
      </c>
      <c r="L344" s="52">
        <f t="shared" si="65"/>
        <v>0</v>
      </c>
      <c r="N344" s="43">
        <f t="shared" si="21"/>
        <v>0</v>
      </c>
      <c r="P344" s="38">
        <f t="shared" si="7"/>
        <v>0</v>
      </c>
      <c r="R344" s="43">
        <f t="shared" si="57"/>
        <v>0</v>
      </c>
      <c r="S344" s="43">
        <f t="shared" si="57"/>
        <v>0</v>
      </c>
      <c r="T344" s="43">
        <f t="shared" si="57"/>
        <v>0</v>
      </c>
      <c r="U344" s="43">
        <f t="shared" si="57"/>
        <v>0</v>
      </c>
      <c r="V344" s="43">
        <f t="shared" si="57"/>
        <v>0</v>
      </c>
      <c r="X344" s="43">
        <f t="shared" si="58"/>
        <v>0</v>
      </c>
      <c r="Y344" s="43">
        <f t="shared" si="58"/>
        <v>0</v>
      </c>
      <c r="Z344" s="43">
        <f t="shared" si="58"/>
        <v>0</v>
      </c>
      <c r="AA344" s="43">
        <f t="shared" si="58"/>
        <v>0</v>
      </c>
      <c r="AB344" s="43">
        <f t="shared" si="58"/>
        <v>0</v>
      </c>
      <c r="AD344" s="43">
        <f t="shared" si="22"/>
        <v>0</v>
      </c>
      <c r="AE344" s="43">
        <f t="shared" si="23"/>
        <v>0</v>
      </c>
      <c r="AF344" s="43">
        <f t="shared" si="24"/>
        <v>0</v>
      </c>
      <c r="AG344" s="43">
        <f t="shared" si="25"/>
        <v>0</v>
      </c>
      <c r="AH344" s="43">
        <f t="shared" si="26"/>
        <v>0</v>
      </c>
      <c r="AJ344" s="43">
        <f t="shared" si="13"/>
        <v>0</v>
      </c>
      <c r="AK344" s="43">
        <f t="shared" si="14"/>
        <v>0</v>
      </c>
      <c r="AL344" s="43">
        <f t="shared" si="15"/>
        <v>0</v>
      </c>
      <c r="AM344" s="43">
        <f t="shared" si="16"/>
        <v>0</v>
      </c>
      <c r="AN344" s="43">
        <f t="shared" si="17"/>
        <v>0</v>
      </c>
    </row>
    <row r="345" spans="2:40">
      <c r="B345" s="37" t="str">
        <f t="shared" si="5"/>
        <v>Asset 39</v>
      </c>
      <c r="F345" s="37" t="str">
        <f t="shared" ref="F345:L345" si="66">F97</f>
        <v>08 Inrichting gebouwen</v>
      </c>
      <c r="G345" s="37">
        <f t="shared" si="66"/>
        <v>2006</v>
      </c>
      <c r="H345" s="52">
        <f t="shared" si="66"/>
        <v>68586.959999999992</v>
      </c>
      <c r="I345" s="37">
        <f t="shared" si="66"/>
        <v>2021</v>
      </c>
      <c r="J345" s="52">
        <f t="shared" si="66"/>
        <v>10</v>
      </c>
      <c r="K345" s="175">
        <f t="shared" si="66"/>
        <v>0</v>
      </c>
      <c r="L345" s="52">
        <f t="shared" si="66"/>
        <v>0</v>
      </c>
      <c r="N345" s="43">
        <f t="shared" si="21"/>
        <v>0</v>
      </c>
      <c r="P345" s="38">
        <f t="shared" si="7"/>
        <v>0</v>
      </c>
      <c r="R345" s="43">
        <f t="shared" si="57"/>
        <v>0</v>
      </c>
      <c r="S345" s="43">
        <f t="shared" si="57"/>
        <v>0</v>
      </c>
      <c r="T345" s="43">
        <f t="shared" si="57"/>
        <v>0</v>
      </c>
      <c r="U345" s="43">
        <f t="shared" si="57"/>
        <v>0</v>
      </c>
      <c r="V345" s="43">
        <f t="shared" si="57"/>
        <v>0</v>
      </c>
      <c r="X345" s="43">
        <f t="shared" si="58"/>
        <v>0</v>
      </c>
      <c r="Y345" s="43">
        <f t="shared" si="58"/>
        <v>0</v>
      </c>
      <c r="Z345" s="43">
        <f t="shared" si="58"/>
        <v>0</v>
      </c>
      <c r="AA345" s="43">
        <f t="shared" si="58"/>
        <v>0</v>
      </c>
      <c r="AB345" s="43">
        <f t="shared" si="58"/>
        <v>0</v>
      </c>
      <c r="AD345" s="43">
        <f t="shared" si="22"/>
        <v>0</v>
      </c>
      <c r="AE345" s="43">
        <f t="shared" si="23"/>
        <v>0</v>
      </c>
      <c r="AF345" s="43">
        <f t="shared" si="24"/>
        <v>0</v>
      </c>
      <c r="AG345" s="43">
        <f t="shared" si="25"/>
        <v>0</v>
      </c>
      <c r="AH345" s="43">
        <f t="shared" si="26"/>
        <v>0</v>
      </c>
      <c r="AJ345" s="43">
        <f t="shared" si="13"/>
        <v>0</v>
      </c>
      <c r="AK345" s="43">
        <f t="shared" si="14"/>
        <v>0</v>
      </c>
      <c r="AL345" s="43">
        <f t="shared" si="15"/>
        <v>0</v>
      </c>
      <c r="AM345" s="43">
        <f t="shared" si="16"/>
        <v>0</v>
      </c>
      <c r="AN345" s="43">
        <f t="shared" si="17"/>
        <v>0</v>
      </c>
    </row>
    <row r="346" spans="2:40">
      <c r="B346" s="37" t="str">
        <f t="shared" si="5"/>
        <v>Asset 40</v>
      </c>
      <c r="F346" s="37" t="str">
        <f t="shared" ref="F346:L346" si="67">F98</f>
        <v>20 Kantoorgebouwen</v>
      </c>
      <c r="G346" s="37">
        <f t="shared" si="67"/>
        <v>2006</v>
      </c>
      <c r="H346" s="52">
        <f t="shared" si="67"/>
        <v>104600</v>
      </c>
      <c r="I346" s="37">
        <f t="shared" si="67"/>
        <v>2021</v>
      </c>
      <c r="J346" s="52">
        <f t="shared" si="67"/>
        <v>30</v>
      </c>
      <c r="K346" s="175">
        <f t="shared" si="67"/>
        <v>0</v>
      </c>
      <c r="L346" s="52">
        <f t="shared" si="67"/>
        <v>64112.024048213396</v>
      </c>
      <c r="N346" s="43">
        <f t="shared" si="21"/>
        <v>64112.024048213396</v>
      </c>
      <c r="P346" s="38">
        <f t="shared" si="7"/>
        <v>14.5</v>
      </c>
      <c r="R346" s="43">
        <f t="shared" si="57"/>
        <v>5173.1771128558403</v>
      </c>
      <c r="S346" s="43">
        <f t="shared" si="57"/>
        <v>4709.3750268756612</v>
      </c>
      <c r="T346" s="43">
        <f t="shared" si="57"/>
        <v>4287.1551968799122</v>
      </c>
      <c r="U346" s="43">
        <f t="shared" si="57"/>
        <v>3902.7895585389547</v>
      </c>
      <c r="V346" s="43">
        <f t="shared" si="57"/>
        <v>3774.1261664992089</v>
      </c>
      <c r="X346" s="43">
        <f t="shared" si="58"/>
        <v>442.1518899876786</v>
      </c>
      <c r="Y346" s="43">
        <f t="shared" si="58"/>
        <v>442.15188998767866</v>
      </c>
      <c r="Z346" s="43">
        <f t="shared" si="58"/>
        <v>442.15188998767866</v>
      </c>
      <c r="AA346" s="43">
        <f t="shared" si="58"/>
        <v>442.15188998767866</v>
      </c>
      <c r="AB346" s="43">
        <f t="shared" si="58"/>
        <v>442.15188998767866</v>
      </c>
      <c r="AD346" s="43">
        <f t="shared" si="22"/>
        <v>58496.695045369881</v>
      </c>
      <c r="AE346" s="43">
        <f t="shared" si="23"/>
        <v>53345.168128506542</v>
      </c>
      <c r="AF346" s="43">
        <f t="shared" si="24"/>
        <v>48615.861041638957</v>
      </c>
      <c r="AG346" s="43">
        <f t="shared" si="25"/>
        <v>44270.919593112325</v>
      </c>
      <c r="AH346" s="43">
        <f t="shared" si="26"/>
        <v>40054.641536625444</v>
      </c>
      <c r="AJ346" s="43">
        <f t="shared" si="13"/>
        <v>7604.2166343860945</v>
      </c>
      <c r="AK346" s="43">
        <f t="shared" si="14"/>
        <v>6911.9174651040557</v>
      </c>
      <c r="AL346" s="43">
        <f t="shared" si="15"/>
        <v>6576.7098064498705</v>
      </c>
      <c r="AM346" s="43">
        <f t="shared" si="16"/>
        <v>6027.2363930649017</v>
      </c>
      <c r="AN346" s="43">
        <f t="shared" si="17"/>
        <v>5738.3544348786545</v>
      </c>
    </row>
    <row r="347" spans="2:40">
      <c r="B347" s="37" t="str">
        <f t="shared" si="5"/>
        <v>Asset 41</v>
      </c>
      <c r="F347" s="37" t="str">
        <f t="shared" ref="F347:L347" si="68">F99</f>
        <v>09 Bedrijfsinventaris</v>
      </c>
      <c r="G347" s="37">
        <f t="shared" si="68"/>
        <v>2006</v>
      </c>
      <c r="H347" s="52">
        <f t="shared" si="68"/>
        <v>243251.93</v>
      </c>
      <c r="I347" s="37">
        <f t="shared" si="68"/>
        <v>2021</v>
      </c>
      <c r="J347" s="52">
        <f t="shared" si="68"/>
        <v>10</v>
      </c>
      <c r="K347" s="175">
        <f t="shared" si="68"/>
        <v>1</v>
      </c>
      <c r="L347" s="52">
        <f t="shared" si="68"/>
        <v>0</v>
      </c>
      <c r="N347" s="43">
        <f t="shared" si="21"/>
        <v>0</v>
      </c>
      <c r="P347" s="38">
        <f t="shared" si="7"/>
        <v>0</v>
      </c>
      <c r="R347" s="43">
        <f t="shared" ref="R347:V356" si="69">IF(R$305&lt;=$G347+$J347,VDB($L347*(1-$F$25),0,$P347,R$305-2022,MIN(R$305-2021,$P347),$F$22),0)</f>
        <v>0</v>
      </c>
      <c r="S347" s="43">
        <f t="shared" si="69"/>
        <v>0</v>
      </c>
      <c r="T347" s="43">
        <f t="shared" si="69"/>
        <v>0</v>
      </c>
      <c r="U347" s="43">
        <f t="shared" si="69"/>
        <v>0</v>
      </c>
      <c r="V347" s="43">
        <f t="shared" si="69"/>
        <v>0</v>
      </c>
      <c r="X347" s="43">
        <f t="shared" ref="X347:AB356" si="70">IF(X$305&lt;=$G347+$J347,VDB($L347*$F$25,0,$P347,X$305-2022,MIN(X$305-2021,$P347),1),0)</f>
        <v>0</v>
      </c>
      <c r="Y347" s="43">
        <f t="shared" si="70"/>
        <v>0</v>
      </c>
      <c r="Z347" s="43">
        <f t="shared" si="70"/>
        <v>0</v>
      </c>
      <c r="AA347" s="43">
        <f t="shared" si="70"/>
        <v>0</v>
      </c>
      <c r="AB347" s="43">
        <f t="shared" si="70"/>
        <v>0</v>
      </c>
      <c r="AD347" s="43">
        <f t="shared" si="22"/>
        <v>0</v>
      </c>
      <c r="AE347" s="43">
        <f t="shared" si="23"/>
        <v>0</v>
      </c>
      <c r="AF347" s="43">
        <f t="shared" si="24"/>
        <v>0</v>
      </c>
      <c r="AG347" s="43">
        <f t="shared" si="25"/>
        <v>0</v>
      </c>
      <c r="AH347" s="43">
        <f t="shared" si="26"/>
        <v>0</v>
      </c>
      <c r="AJ347" s="43">
        <f t="shared" si="13"/>
        <v>0</v>
      </c>
      <c r="AK347" s="43">
        <f t="shared" si="14"/>
        <v>0</v>
      </c>
      <c r="AL347" s="43">
        <f t="shared" si="15"/>
        <v>0</v>
      </c>
      <c r="AM347" s="43">
        <f t="shared" si="16"/>
        <v>0</v>
      </c>
      <c r="AN347" s="43">
        <f t="shared" si="17"/>
        <v>0</v>
      </c>
    </row>
    <row r="348" spans="2:40">
      <c r="B348" s="37" t="str">
        <f t="shared" si="5"/>
        <v>Asset 42</v>
      </c>
      <c r="F348" s="37" t="str">
        <f t="shared" ref="F348:L348" si="71">F100</f>
        <v>10 Gereedschap</v>
      </c>
      <c r="G348" s="37">
        <f t="shared" si="71"/>
        <v>2006</v>
      </c>
      <c r="H348" s="52">
        <f t="shared" si="71"/>
        <v>585474.13</v>
      </c>
      <c r="I348" s="37">
        <f t="shared" si="71"/>
        <v>2021</v>
      </c>
      <c r="J348" s="52">
        <f t="shared" si="71"/>
        <v>10</v>
      </c>
      <c r="K348" s="175">
        <f t="shared" si="71"/>
        <v>1</v>
      </c>
      <c r="L348" s="52">
        <f t="shared" si="71"/>
        <v>0</v>
      </c>
      <c r="N348" s="43">
        <f t="shared" si="21"/>
        <v>0</v>
      </c>
      <c r="P348" s="38">
        <f t="shared" si="7"/>
        <v>0</v>
      </c>
      <c r="R348" s="43">
        <f t="shared" si="69"/>
        <v>0</v>
      </c>
      <c r="S348" s="43">
        <f t="shared" si="69"/>
        <v>0</v>
      </c>
      <c r="T348" s="43">
        <f t="shared" si="69"/>
        <v>0</v>
      </c>
      <c r="U348" s="43">
        <f t="shared" si="69"/>
        <v>0</v>
      </c>
      <c r="V348" s="43">
        <f t="shared" si="69"/>
        <v>0</v>
      </c>
      <c r="X348" s="43">
        <f t="shared" si="70"/>
        <v>0</v>
      </c>
      <c r="Y348" s="43">
        <f t="shared" si="70"/>
        <v>0</v>
      </c>
      <c r="Z348" s="43">
        <f t="shared" si="70"/>
        <v>0</v>
      </c>
      <c r="AA348" s="43">
        <f t="shared" si="70"/>
        <v>0</v>
      </c>
      <c r="AB348" s="43">
        <f t="shared" si="70"/>
        <v>0</v>
      </c>
      <c r="AD348" s="43">
        <f t="shared" si="22"/>
        <v>0</v>
      </c>
      <c r="AE348" s="43">
        <f t="shared" si="23"/>
        <v>0</v>
      </c>
      <c r="AF348" s="43">
        <f t="shared" si="24"/>
        <v>0</v>
      </c>
      <c r="AG348" s="43">
        <f t="shared" si="25"/>
        <v>0</v>
      </c>
      <c r="AH348" s="43">
        <f t="shared" si="26"/>
        <v>0</v>
      </c>
      <c r="AJ348" s="43">
        <f t="shared" si="13"/>
        <v>0</v>
      </c>
      <c r="AK348" s="43">
        <f t="shared" si="14"/>
        <v>0</v>
      </c>
      <c r="AL348" s="43">
        <f t="shared" si="15"/>
        <v>0</v>
      </c>
      <c r="AM348" s="43">
        <f t="shared" si="16"/>
        <v>0</v>
      </c>
      <c r="AN348" s="43">
        <f t="shared" si="17"/>
        <v>0</v>
      </c>
    </row>
    <row r="349" spans="2:40">
      <c r="B349" s="37" t="str">
        <f t="shared" si="5"/>
        <v>Asset 43</v>
      </c>
      <c r="F349" s="37" t="str">
        <f t="shared" ref="F349:L349" si="72">F101</f>
        <v>08 Inrichting gebouwen</v>
      </c>
      <c r="G349" s="37">
        <f t="shared" si="72"/>
        <v>2007</v>
      </c>
      <c r="H349" s="52">
        <f t="shared" si="72"/>
        <v>332079.90999999997</v>
      </c>
      <c r="I349" s="37">
        <f t="shared" si="72"/>
        <v>2021</v>
      </c>
      <c r="J349" s="52">
        <f t="shared" si="72"/>
        <v>10</v>
      </c>
      <c r="K349" s="175">
        <f t="shared" si="72"/>
        <v>0</v>
      </c>
      <c r="L349" s="52">
        <f t="shared" si="72"/>
        <v>0</v>
      </c>
      <c r="N349" s="43">
        <f t="shared" si="21"/>
        <v>0</v>
      </c>
      <c r="P349" s="38">
        <f t="shared" si="7"/>
        <v>0</v>
      </c>
      <c r="R349" s="43">
        <f t="shared" si="69"/>
        <v>0</v>
      </c>
      <c r="S349" s="43">
        <f t="shared" si="69"/>
        <v>0</v>
      </c>
      <c r="T349" s="43">
        <f t="shared" si="69"/>
        <v>0</v>
      </c>
      <c r="U349" s="43">
        <f t="shared" si="69"/>
        <v>0</v>
      </c>
      <c r="V349" s="43">
        <f t="shared" si="69"/>
        <v>0</v>
      </c>
      <c r="X349" s="43">
        <f t="shared" si="70"/>
        <v>0</v>
      </c>
      <c r="Y349" s="43">
        <f t="shared" si="70"/>
        <v>0</v>
      </c>
      <c r="Z349" s="43">
        <f t="shared" si="70"/>
        <v>0</v>
      </c>
      <c r="AA349" s="43">
        <f t="shared" si="70"/>
        <v>0</v>
      </c>
      <c r="AB349" s="43">
        <f t="shared" si="70"/>
        <v>0</v>
      </c>
      <c r="AD349" s="43">
        <f t="shared" si="22"/>
        <v>0</v>
      </c>
      <c r="AE349" s="43">
        <f t="shared" si="23"/>
        <v>0</v>
      </c>
      <c r="AF349" s="43">
        <f t="shared" si="24"/>
        <v>0</v>
      </c>
      <c r="AG349" s="43">
        <f t="shared" si="25"/>
        <v>0</v>
      </c>
      <c r="AH349" s="43">
        <f t="shared" si="26"/>
        <v>0</v>
      </c>
      <c r="AJ349" s="43">
        <f t="shared" si="13"/>
        <v>0</v>
      </c>
      <c r="AK349" s="43">
        <f t="shared" si="14"/>
        <v>0</v>
      </c>
      <c r="AL349" s="43">
        <f t="shared" si="15"/>
        <v>0</v>
      </c>
      <c r="AM349" s="43">
        <f t="shared" si="16"/>
        <v>0</v>
      </c>
      <c r="AN349" s="43">
        <f t="shared" si="17"/>
        <v>0</v>
      </c>
    </row>
    <row r="350" spans="2:40">
      <c r="B350" s="37" t="str">
        <f t="shared" si="5"/>
        <v>Asset 44</v>
      </c>
      <c r="F350" s="37" t="str">
        <f t="shared" ref="F350:L350" si="73">F102</f>
        <v>20 Kantoorgebouwen</v>
      </c>
      <c r="G350" s="37">
        <f t="shared" si="73"/>
        <v>2007</v>
      </c>
      <c r="H350" s="52">
        <f t="shared" si="73"/>
        <v>163550.16999999998</v>
      </c>
      <c r="I350" s="37">
        <f t="shared" si="73"/>
        <v>2021</v>
      </c>
      <c r="J350" s="52">
        <f t="shared" si="73"/>
        <v>30</v>
      </c>
      <c r="K350" s="175">
        <f t="shared" si="73"/>
        <v>0</v>
      </c>
      <c r="L350" s="52">
        <f t="shared" si="73"/>
        <v>105677.9899746046</v>
      </c>
      <c r="N350" s="43">
        <f t="shared" si="21"/>
        <v>105677.9899746046</v>
      </c>
      <c r="P350" s="38">
        <f t="shared" si="7"/>
        <v>15.5</v>
      </c>
      <c r="R350" s="43">
        <f t="shared" si="69"/>
        <v>7976.9837593733801</v>
      </c>
      <c r="S350" s="43">
        <f t="shared" si="69"/>
        <v>7307.9464118130318</v>
      </c>
      <c r="T350" s="43">
        <f t="shared" si="69"/>
        <v>6695.0218740480686</v>
      </c>
      <c r="U350" s="43">
        <f t="shared" si="69"/>
        <v>6133.5039104182306</v>
      </c>
      <c r="V350" s="43">
        <f t="shared" si="69"/>
        <v>5825.803045347081</v>
      </c>
      <c r="X350" s="43">
        <f t="shared" si="70"/>
        <v>681.79348370712648</v>
      </c>
      <c r="Y350" s="43">
        <f t="shared" si="70"/>
        <v>681.79348370712648</v>
      </c>
      <c r="Z350" s="43">
        <f t="shared" si="70"/>
        <v>681.79348370712648</v>
      </c>
      <c r="AA350" s="43">
        <f t="shared" si="70"/>
        <v>681.79348370712648</v>
      </c>
      <c r="AB350" s="43">
        <f t="shared" si="70"/>
        <v>681.79348370712648</v>
      </c>
      <c r="AD350" s="43">
        <f t="shared" si="22"/>
        <v>97019.212731524094</v>
      </c>
      <c r="AE350" s="43">
        <f t="shared" si="23"/>
        <v>89029.472836003944</v>
      </c>
      <c r="AF350" s="43">
        <f t="shared" si="24"/>
        <v>81652.657478248759</v>
      </c>
      <c r="AG350" s="43">
        <f t="shared" si="25"/>
        <v>74837.3600841234</v>
      </c>
      <c r="AH350" s="43">
        <f t="shared" si="26"/>
        <v>68329.763555069192</v>
      </c>
      <c r="AJ350" s="43">
        <f t="shared" si="13"/>
        <v>11957.430475952326</v>
      </c>
      <c r="AK350" s="43">
        <f t="shared" si="14"/>
        <v>10927.712499108289</v>
      </c>
      <c r="AL350" s="43">
        <f t="shared" si="15"/>
        <v>10479.616341928648</v>
      </c>
      <c r="AM350" s="43">
        <f t="shared" si="16"/>
        <v>9659.1170773220456</v>
      </c>
      <c r="AN350" s="43">
        <f t="shared" si="17"/>
        <v>9104.127544146837</v>
      </c>
    </row>
    <row r="351" spans="2:40">
      <c r="B351" s="37" t="str">
        <f t="shared" si="5"/>
        <v>Asset 45</v>
      </c>
      <c r="F351" s="37" t="str">
        <f t="shared" ref="F351:L351" si="74">F103</f>
        <v>37 ICT middelen 1</v>
      </c>
      <c r="G351" s="37">
        <f t="shared" si="74"/>
        <v>2007</v>
      </c>
      <c r="H351" s="52">
        <f t="shared" si="74"/>
        <v>21517730.71653875</v>
      </c>
      <c r="I351" s="37">
        <f t="shared" si="74"/>
        <v>2021</v>
      </c>
      <c r="J351" s="52">
        <f t="shared" si="74"/>
        <v>5</v>
      </c>
      <c r="K351" s="175">
        <f t="shared" si="74"/>
        <v>1</v>
      </c>
      <c r="L351" s="52">
        <f t="shared" si="74"/>
        <v>0</v>
      </c>
      <c r="N351" s="43">
        <f t="shared" si="21"/>
        <v>0</v>
      </c>
      <c r="P351" s="38">
        <f t="shared" si="7"/>
        <v>0</v>
      </c>
      <c r="R351" s="43">
        <f t="shared" si="69"/>
        <v>0</v>
      </c>
      <c r="S351" s="43">
        <f t="shared" si="69"/>
        <v>0</v>
      </c>
      <c r="T351" s="43">
        <f t="shared" si="69"/>
        <v>0</v>
      </c>
      <c r="U351" s="43">
        <f t="shared" si="69"/>
        <v>0</v>
      </c>
      <c r="V351" s="43">
        <f t="shared" si="69"/>
        <v>0</v>
      </c>
      <c r="X351" s="43">
        <f t="shared" si="70"/>
        <v>0</v>
      </c>
      <c r="Y351" s="43">
        <f t="shared" si="70"/>
        <v>0</v>
      </c>
      <c r="Z351" s="43">
        <f t="shared" si="70"/>
        <v>0</v>
      </c>
      <c r="AA351" s="43">
        <f t="shared" si="70"/>
        <v>0</v>
      </c>
      <c r="AB351" s="43">
        <f t="shared" si="70"/>
        <v>0</v>
      </c>
      <c r="AD351" s="43">
        <f t="shared" si="22"/>
        <v>0</v>
      </c>
      <c r="AE351" s="43">
        <f t="shared" si="23"/>
        <v>0</v>
      </c>
      <c r="AF351" s="43">
        <f t="shared" si="24"/>
        <v>0</v>
      </c>
      <c r="AG351" s="43">
        <f t="shared" si="25"/>
        <v>0</v>
      </c>
      <c r="AH351" s="43">
        <f t="shared" si="26"/>
        <v>0</v>
      </c>
      <c r="AJ351" s="43">
        <f t="shared" si="13"/>
        <v>0</v>
      </c>
      <c r="AK351" s="43">
        <f t="shared" si="14"/>
        <v>0</v>
      </c>
      <c r="AL351" s="43">
        <f t="shared" si="15"/>
        <v>0</v>
      </c>
      <c r="AM351" s="43">
        <f t="shared" si="16"/>
        <v>0</v>
      </c>
      <c r="AN351" s="43">
        <f t="shared" si="17"/>
        <v>0</v>
      </c>
    </row>
    <row r="352" spans="2:40">
      <c r="B352" s="37" t="str">
        <f t="shared" si="5"/>
        <v>Asset 46</v>
      </c>
      <c r="F352" s="37" t="str">
        <f t="shared" ref="F352:L352" si="75">F104</f>
        <v>10 Gereedschap</v>
      </c>
      <c r="G352" s="37">
        <f t="shared" si="75"/>
        <v>2007</v>
      </c>
      <c r="H352" s="52">
        <f t="shared" si="75"/>
        <v>611283.49</v>
      </c>
      <c r="I352" s="37">
        <f t="shared" si="75"/>
        <v>2021</v>
      </c>
      <c r="J352" s="52">
        <f t="shared" si="75"/>
        <v>10</v>
      </c>
      <c r="K352" s="175">
        <f t="shared" si="75"/>
        <v>1</v>
      </c>
      <c r="L352" s="52">
        <f t="shared" si="75"/>
        <v>0</v>
      </c>
      <c r="N352" s="43">
        <f t="shared" si="21"/>
        <v>0</v>
      </c>
      <c r="P352" s="38">
        <f t="shared" si="7"/>
        <v>0</v>
      </c>
      <c r="R352" s="43">
        <f t="shared" si="69"/>
        <v>0</v>
      </c>
      <c r="S352" s="43">
        <f t="shared" si="69"/>
        <v>0</v>
      </c>
      <c r="T352" s="43">
        <f t="shared" si="69"/>
        <v>0</v>
      </c>
      <c r="U352" s="43">
        <f t="shared" si="69"/>
        <v>0</v>
      </c>
      <c r="V352" s="43">
        <f t="shared" si="69"/>
        <v>0</v>
      </c>
      <c r="X352" s="43">
        <f t="shared" si="70"/>
        <v>0</v>
      </c>
      <c r="Y352" s="43">
        <f t="shared" si="70"/>
        <v>0</v>
      </c>
      <c r="Z352" s="43">
        <f t="shared" si="70"/>
        <v>0</v>
      </c>
      <c r="AA352" s="43">
        <f t="shared" si="70"/>
        <v>0</v>
      </c>
      <c r="AB352" s="43">
        <f t="shared" si="70"/>
        <v>0</v>
      </c>
      <c r="AD352" s="43">
        <f t="shared" si="22"/>
        <v>0</v>
      </c>
      <c r="AE352" s="43">
        <f t="shared" si="23"/>
        <v>0</v>
      </c>
      <c r="AF352" s="43">
        <f t="shared" si="24"/>
        <v>0</v>
      </c>
      <c r="AG352" s="43">
        <f t="shared" si="25"/>
        <v>0</v>
      </c>
      <c r="AH352" s="43">
        <f t="shared" si="26"/>
        <v>0</v>
      </c>
      <c r="AJ352" s="43">
        <f t="shared" si="13"/>
        <v>0</v>
      </c>
      <c r="AK352" s="43">
        <f t="shared" si="14"/>
        <v>0</v>
      </c>
      <c r="AL352" s="43">
        <f t="shared" si="15"/>
        <v>0</v>
      </c>
      <c r="AM352" s="43">
        <f t="shared" si="16"/>
        <v>0</v>
      </c>
      <c r="AN352" s="43">
        <f t="shared" si="17"/>
        <v>0</v>
      </c>
    </row>
    <row r="353" spans="2:40">
      <c r="B353" s="37" t="str">
        <f t="shared" si="5"/>
        <v>Asset 47</v>
      </c>
      <c r="F353" s="37" t="str">
        <f t="shared" ref="F353:L353" si="76">F105</f>
        <v>09 Bedrijfsinventaris</v>
      </c>
      <c r="G353" s="37">
        <f t="shared" si="76"/>
        <v>2007</v>
      </c>
      <c r="H353" s="52">
        <f t="shared" si="76"/>
        <v>87193.72</v>
      </c>
      <c r="I353" s="37">
        <f t="shared" si="76"/>
        <v>2021</v>
      </c>
      <c r="J353" s="52">
        <f t="shared" si="76"/>
        <v>10</v>
      </c>
      <c r="K353" s="175">
        <f t="shared" si="76"/>
        <v>1</v>
      </c>
      <c r="L353" s="52">
        <f t="shared" si="76"/>
        <v>0</v>
      </c>
      <c r="N353" s="43">
        <f t="shared" si="21"/>
        <v>0</v>
      </c>
      <c r="P353" s="38">
        <f t="shared" si="7"/>
        <v>0</v>
      </c>
      <c r="R353" s="43">
        <f t="shared" si="69"/>
        <v>0</v>
      </c>
      <c r="S353" s="43">
        <f t="shared" si="69"/>
        <v>0</v>
      </c>
      <c r="T353" s="43">
        <f t="shared" si="69"/>
        <v>0</v>
      </c>
      <c r="U353" s="43">
        <f t="shared" si="69"/>
        <v>0</v>
      </c>
      <c r="V353" s="43">
        <f t="shared" si="69"/>
        <v>0</v>
      </c>
      <c r="X353" s="43">
        <f t="shared" si="70"/>
        <v>0</v>
      </c>
      <c r="Y353" s="43">
        <f t="shared" si="70"/>
        <v>0</v>
      </c>
      <c r="Z353" s="43">
        <f t="shared" si="70"/>
        <v>0</v>
      </c>
      <c r="AA353" s="43">
        <f t="shared" si="70"/>
        <v>0</v>
      </c>
      <c r="AB353" s="43">
        <f t="shared" si="70"/>
        <v>0</v>
      </c>
      <c r="AD353" s="43">
        <f t="shared" si="22"/>
        <v>0</v>
      </c>
      <c r="AE353" s="43">
        <f t="shared" si="23"/>
        <v>0</v>
      </c>
      <c r="AF353" s="43">
        <f t="shared" si="24"/>
        <v>0</v>
      </c>
      <c r="AG353" s="43">
        <f t="shared" si="25"/>
        <v>0</v>
      </c>
      <c r="AH353" s="43">
        <f t="shared" si="26"/>
        <v>0</v>
      </c>
      <c r="AJ353" s="43">
        <f t="shared" si="13"/>
        <v>0</v>
      </c>
      <c r="AK353" s="43">
        <f t="shared" si="14"/>
        <v>0</v>
      </c>
      <c r="AL353" s="43">
        <f t="shared" si="15"/>
        <v>0</v>
      </c>
      <c r="AM353" s="43">
        <f t="shared" si="16"/>
        <v>0</v>
      </c>
      <c r="AN353" s="43">
        <f t="shared" si="17"/>
        <v>0</v>
      </c>
    </row>
    <row r="354" spans="2:40">
      <c r="B354" s="37" t="str">
        <f t="shared" si="5"/>
        <v>Asset 48</v>
      </c>
      <c r="F354" s="37" t="str">
        <f t="shared" ref="F354:L354" si="77">F106</f>
        <v>13 Aanhangwagens</v>
      </c>
      <c r="G354" s="37">
        <f t="shared" si="77"/>
        <v>2007</v>
      </c>
      <c r="H354" s="52">
        <f t="shared" si="77"/>
        <v>25760.58</v>
      </c>
      <c r="I354" s="37">
        <f t="shared" si="77"/>
        <v>2021</v>
      </c>
      <c r="J354" s="52">
        <f t="shared" si="77"/>
        <v>10</v>
      </c>
      <c r="K354" s="175">
        <f t="shared" si="77"/>
        <v>1</v>
      </c>
      <c r="L354" s="52">
        <f t="shared" si="77"/>
        <v>0</v>
      </c>
      <c r="N354" s="43">
        <f t="shared" si="21"/>
        <v>0</v>
      </c>
      <c r="P354" s="38">
        <f t="shared" si="7"/>
        <v>0</v>
      </c>
      <c r="R354" s="43">
        <f t="shared" si="69"/>
        <v>0</v>
      </c>
      <c r="S354" s="43">
        <f t="shared" si="69"/>
        <v>0</v>
      </c>
      <c r="T354" s="43">
        <f t="shared" si="69"/>
        <v>0</v>
      </c>
      <c r="U354" s="43">
        <f t="shared" si="69"/>
        <v>0</v>
      </c>
      <c r="V354" s="43">
        <f t="shared" si="69"/>
        <v>0</v>
      </c>
      <c r="X354" s="43">
        <f t="shared" si="70"/>
        <v>0</v>
      </c>
      <c r="Y354" s="43">
        <f t="shared" si="70"/>
        <v>0</v>
      </c>
      <c r="Z354" s="43">
        <f t="shared" si="70"/>
        <v>0</v>
      </c>
      <c r="AA354" s="43">
        <f t="shared" si="70"/>
        <v>0</v>
      </c>
      <c r="AB354" s="43">
        <f t="shared" si="70"/>
        <v>0</v>
      </c>
      <c r="AD354" s="43">
        <f t="shared" si="22"/>
        <v>0</v>
      </c>
      <c r="AE354" s="43">
        <f t="shared" si="23"/>
        <v>0</v>
      </c>
      <c r="AF354" s="43">
        <f t="shared" si="24"/>
        <v>0</v>
      </c>
      <c r="AG354" s="43">
        <f t="shared" si="25"/>
        <v>0</v>
      </c>
      <c r="AH354" s="43">
        <f t="shared" si="26"/>
        <v>0</v>
      </c>
      <c r="AJ354" s="43">
        <f t="shared" si="13"/>
        <v>0</v>
      </c>
      <c r="AK354" s="43">
        <f t="shared" si="14"/>
        <v>0</v>
      </c>
      <c r="AL354" s="43">
        <f t="shared" si="15"/>
        <v>0</v>
      </c>
      <c r="AM354" s="43">
        <f t="shared" si="16"/>
        <v>0</v>
      </c>
      <c r="AN354" s="43">
        <f t="shared" si="17"/>
        <v>0</v>
      </c>
    </row>
    <row r="355" spans="2:40">
      <c r="B355" s="37" t="str">
        <f t="shared" si="5"/>
        <v>Asset 49</v>
      </c>
      <c r="F355" s="37" t="str">
        <f t="shared" ref="F355:L355" si="78">F107</f>
        <v>37 ICT middelen 1 (gaschromatografen en comptabele meting)</v>
      </c>
      <c r="G355" s="37">
        <f t="shared" si="78"/>
        <v>2007</v>
      </c>
      <c r="H355" s="52">
        <f t="shared" si="78"/>
        <v>140047.50693888956</v>
      </c>
      <c r="I355" s="37">
        <f t="shared" si="78"/>
        <v>2021</v>
      </c>
      <c r="J355" s="52">
        <f t="shared" si="78"/>
        <v>5</v>
      </c>
      <c r="K355" s="175">
        <f t="shared" si="78"/>
        <v>0</v>
      </c>
      <c r="L355" s="52">
        <f t="shared" si="78"/>
        <v>0</v>
      </c>
      <c r="N355" s="43">
        <f t="shared" si="21"/>
        <v>0</v>
      </c>
      <c r="P355" s="38">
        <f t="shared" si="7"/>
        <v>0</v>
      </c>
      <c r="R355" s="43">
        <f t="shared" si="69"/>
        <v>0</v>
      </c>
      <c r="S355" s="43">
        <f t="shared" si="69"/>
        <v>0</v>
      </c>
      <c r="T355" s="43">
        <f t="shared" si="69"/>
        <v>0</v>
      </c>
      <c r="U355" s="43">
        <f t="shared" si="69"/>
        <v>0</v>
      </c>
      <c r="V355" s="43">
        <f t="shared" si="69"/>
        <v>0</v>
      </c>
      <c r="X355" s="43">
        <f t="shared" si="70"/>
        <v>0</v>
      </c>
      <c r="Y355" s="43">
        <f t="shared" si="70"/>
        <v>0</v>
      </c>
      <c r="Z355" s="43">
        <f t="shared" si="70"/>
        <v>0</v>
      </c>
      <c r="AA355" s="43">
        <f t="shared" si="70"/>
        <v>0</v>
      </c>
      <c r="AB355" s="43">
        <f t="shared" si="70"/>
        <v>0</v>
      </c>
      <c r="AD355" s="43">
        <f t="shared" si="22"/>
        <v>0</v>
      </c>
      <c r="AE355" s="43">
        <f t="shared" si="23"/>
        <v>0</v>
      </c>
      <c r="AF355" s="43">
        <f t="shared" si="24"/>
        <v>0</v>
      </c>
      <c r="AG355" s="43">
        <f t="shared" si="25"/>
        <v>0</v>
      </c>
      <c r="AH355" s="43">
        <f t="shared" si="26"/>
        <v>0</v>
      </c>
      <c r="AJ355" s="43">
        <f t="shared" si="13"/>
        <v>0</v>
      </c>
      <c r="AK355" s="43">
        <f t="shared" si="14"/>
        <v>0</v>
      </c>
      <c r="AL355" s="43">
        <f t="shared" si="15"/>
        <v>0</v>
      </c>
      <c r="AM355" s="43">
        <f t="shared" si="16"/>
        <v>0</v>
      </c>
      <c r="AN355" s="43">
        <f t="shared" si="17"/>
        <v>0</v>
      </c>
    </row>
    <row r="356" spans="2:40">
      <c r="B356" s="37" t="str">
        <f t="shared" si="5"/>
        <v>Asset 50</v>
      </c>
      <c r="F356" s="37" t="str">
        <f t="shared" ref="F356:L356" si="79">F108</f>
        <v>37 ICT middelen 1</v>
      </c>
      <c r="G356" s="37">
        <f t="shared" si="79"/>
        <v>2008</v>
      </c>
      <c r="H356" s="52">
        <f t="shared" si="79"/>
        <v>1405801.5634173665</v>
      </c>
      <c r="I356" s="37">
        <f t="shared" si="79"/>
        <v>2021</v>
      </c>
      <c r="J356" s="52">
        <f t="shared" si="79"/>
        <v>5</v>
      </c>
      <c r="K356" s="175">
        <f t="shared" si="79"/>
        <v>1</v>
      </c>
      <c r="L356" s="52">
        <f t="shared" si="79"/>
        <v>0</v>
      </c>
      <c r="N356" s="43">
        <f t="shared" si="21"/>
        <v>0</v>
      </c>
      <c r="P356" s="38">
        <f t="shared" si="7"/>
        <v>0</v>
      </c>
      <c r="R356" s="43">
        <f t="shared" si="69"/>
        <v>0</v>
      </c>
      <c r="S356" s="43">
        <f t="shared" si="69"/>
        <v>0</v>
      </c>
      <c r="T356" s="43">
        <f t="shared" si="69"/>
        <v>0</v>
      </c>
      <c r="U356" s="43">
        <f t="shared" si="69"/>
        <v>0</v>
      </c>
      <c r="V356" s="43">
        <f t="shared" si="69"/>
        <v>0</v>
      </c>
      <c r="X356" s="43">
        <f t="shared" si="70"/>
        <v>0</v>
      </c>
      <c r="Y356" s="43">
        <f t="shared" si="70"/>
        <v>0</v>
      </c>
      <c r="Z356" s="43">
        <f t="shared" si="70"/>
        <v>0</v>
      </c>
      <c r="AA356" s="43">
        <f t="shared" si="70"/>
        <v>0</v>
      </c>
      <c r="AB356" s="43">
        <f t="shared" si="70"/>
        <v>0</v>
      </c>
      <c r="AD356" s="43">
        <f t="shared" si="22"/>
        <v>0</v>
      </c>
      <c r="AE356" s="43">
        <f t="shared" si="23"/>
        <v>0</v>
      </c>
      <c r="AF356" s="43">
        <f t="shared" si="24"/>
        <v>0</v>
      </c>
      <c r="AG356" s="43">
        <f t="shared" si="25"/>
        <v>0</v>
      </c>
      <c r="AH356" s="43">
        <f t="shared" si="26"/>
        <v>0</v>
      </c>
      <c r="AJ356" s="43">
        <f t="shared" si="13"/>
        <v>0</v>
      </c>
      <c r="AK356" s="43">
        <f t="shared" si="14"/>
        <v>0</v>
      </c>
      <c r="AL356" s="43">
        <f t="shared" si="15"/>
        <v>0</v>
      </c>
      <c r="AM356" s="43">
        <f t="shared" si="16"/>
        <v>0</v>
      </c>
      <c r="AN356" s="43">
        <f t="shared" si="17"/>
        <v>0</v>
      </c>
    </row>
    <row r="357" spans="2:40">
      <c r="B357" s="37" t="str">
        <f t="shared" si="5"/>
        <v>Asset 51</v>
      </c>
      <c r="F357" s="37" t="str">
        <f t="shared" ref="F357:L357" si="80">F109</f>
        <v>13 Aanhangwagens</v>
      </c>
      <c r="G357" s="37">
        <f t="shared" si="80"/>
        <v>2008</v>
      </c>
      <c r="H357" s="52">
        <f t="shared" si="80"/>
        <v>6485.6</v>
      </c>
      <c r="I357" s="37">
        <f t="shared" si="80"/>
        <v>2021</v>
      </c>
      <c r="J357" s="52">
        <f t="shared" si="80"/>
        <v>10</v>
      </c>
      <c r="K357" s="175">
        <f t="shared" si="80"/>
        <v>1</v>
      </c>
      <c r="L357" s="52">
        <f t="shared" si="80"/>
        <v>0</v>
      </c>
      <c r="N357" s="43">
        <f t="shared" si="21"/>
        <v>0</v>
      </c>
      <c r="P357" s="38">
        <f t="shared" si="7"/>
        <v>0</v>
      </c>
      <c r="R357" s="43">
        <f t="shared" ref="R357:V366" si="81">IF(R$305&lt;=$G357+$J357,VDB($L357*(1-$F$25),0,$P357,R$305-2022,MIN(R$305-2021,$P357),$F$22),0)</f>
        <v>0</v>
      </c>
      <c r="S357" s="43">
        <f t="shared" si="81"/>
        <v>0</v>
      </c>
      <c r="T357" s="43">
        <f t="shared" si="81"/>
        <v>0</v>
      </c>
      <c r="U357" s="43">
        <f t="shared" si="81"/>
        <v>0</v>
      </c>
      <c r="V357" s="43">
        <f t="shared" si="81"/>
        <v>0</v>
      </c>
      <c r="X357" s="43">
        <f t="shared" ref="X357:AB366" si="82">IF(X$305&lt;=$G357+$J357,VDB($L357*$F$25,0,$P357,X$305-2022,MIN(X$305-2021,$P357),1),0)</f>
        <v>0</v>
      </c>
      <c r="Y357" s="43">
        <f t="shared" si="82"/>
        <v>0</v>
      </c>
      <c r="Z357" s="43">
        <f t="shared" si="82"/>
        <v>0</v>
      </c>
      <c r="AA357" s="43">
        <f t="shared" si="82"/>
        <v>0</v>
      </c>
      <c r="AB357" s="43">
        <f t="shared" si="82"/>
        <v>0</v>
      </c>
      <c r="AD357" s="43">
        <f t="shared" si="22"/>
        <v>0</v>
      </c>
      <c r="AE357" s="43">
        <f t="shared" si="23"/>
        <v>0</v>
      </c>
      <c r="AF357" s="43">
        <f t="shared" si="24"/>
        <v>0</v>
      </c>
      <c r="AG357" s="43">
        <f t="shared" si="25"/>
        <v>0</v>
      </c>
      <c r="AH357" s="43">
        <f t="shared" si="26"/>
        <v>0</v>
      </c>
      <c r="AJ357" s="43">
        <f t="shared" si="13"/>
        <v>0</v>
      </c>
      <c r="AK357" s="43">
        <f t="shared" si="14"/>
        <v>0</v>
      </c>
      <c r="AL357" s="43">
        <f t="shared" si="15"/>
        <v>0</v>
      </c>
      <c r="AM357" s="43">
        <f t="shared" si="16"/>
        <v>0</v>
      </c>
      <c r="AN357" s="43">
        <f t="shared" si="17"/>
        <v>0</v>
      </c>
    </row>
    <row r="358" spans="2:40">
      <c r="B358" s="37" t="str">
        <f t="shared" si="5"/>
        <v>Asset 52</v>
      </c>
      <c r="F358" s="37" t="str">
        <f t="shared" ref="F358:L358" si="83">F110</f>
        <v>04 Terreinen</v>
      </c>
      <c r="G358" s="37">
        <f t="shared" si="83"/>
        <v>1956</v>
      </c>
      <c r="H358" s="52">
        <f t="shared" si="83"/>
        <v>32433.599999999999</v>
      </c>
      <c r="I358" s="37">
        <f t="shared" si="83"/>
        <v>2021</v>
      </c>
      <c r="J358" s="52">
        <f t="shared" si="83"/>
        <v>0</v>
      </c>
      <c r="K358" s="175">
        <f t="shared" si="83"/>
        <v>0</v>
      </c>
      <c r="L358" s="52">
        <f t="shared" si="83"/>
        <v>275057.7098199001</v>
      </c>
      <c r="N358" s="43">
        <f t="shared" si="21"/>
        <v>275057.7098199001</v>
      </c>
      <c r="P358" s="38">
        <f t="shared" si="7"/>
        <v>0</v>
      </c>
      <c r="R358" s="43">
        <f t="shared" si="81"/>
        <v>0</v>
      </c>
      <c r="S358" s="43">
        <f t="shared" si="81"/>
        <v>0</v>
      </c>
      <c r="T358" s="43">
        <f t="shared" si="81"/>
        <v>0</v>
      </c>
      <c r="U358" s="43">
        <f t="shared" si="81"/>
        <v>0</v>
      </c>
      <c r="V358" s="43">
        <f t="shared" si="81"/>
        <v>0</v>
      </c>
      <c r="X358" s="43">
        <f t="shared" si="82"/>
        <v>0</v>
      </c>
      <c r="Y358" s="43">
        <f t="shared" si="82"/>
        <v>0</v>
      </c>
      <c r="Z358" s="43">
        <f t="shared" si="82"/>
        <v>0</v>
      </c>
      <c r="AA358" s="43">
        <f t="shared" si="82"/>
        <v>0</v>
      </c>
      <c r="AB358" s="43">
        <f t="shared" si="82"/>
        <v>0</v>
      </c>
      <c r="AD358" s="43">
        <f t="shared" si="22"/>
        <v>275057.7098199001</v>
      </c>
      <c r="AE358" s="43">
        <f t="shared" si="23"/>
        <v>275057.7098199001</v>
      </c>
      <c r="AF358" s="43">
        <f t="shared" si="24"/>
        <v>275057.7098199001</v>
      </c>
      <c r="AG358" s="43">
        <f t="shared" si="25"/>
        <v>275057.7098199001</v>
      </c>
      <c r="AH358" s="43">
        <f t="shared" si="26"/>
        <v>275057.7098199001</v>
      </c>
      <c r="AJ358" s="43">
        <f t="shared" si="13"/>
        <v>9351.9621338766046</v>
      </c>
      <c r="AK358" s="43">
        <f t="shared" si="14"/>
        <v>9076.9044240567036</v>
      </c>
      <c r="AL358" s="43">
        <f t="shared" si="15"/>
        <v>10452.192973156203</v>
      </c>
      <c r="AM358" s="43">
        <f t="shared" si="16"/>
        <v>10452.192973156203</v>
      </c>
      <c r="AN358" s="43">
        <f t="shared" si="17"/>
        <v>10452.192973156203</v>
      </c>
    </row>
    <row r="359" spans="2:40">
      <c r="B359" s="37" t="str">
        <f t="shared" si="5"/>
        <v>Asset 53</v>
      </c>
      <c r="F359" s="37" t="str">
        <f t="shared" ref="F359:L359" si="84">F111</f>
        <v>04 Terreinen</v>
      </c>
      <c r="G359" s="37">
        <f t="shared" si="84"/>
        <v>1968</v>
      </c>
      <c r="H359" s="52">
        <f t="shared" si="84"/>
        <v>219516.18</v>
      </c>
      <c r="I359" s="37">
        <f t="shared" si="84"/>
        <v>2021</v>
      </c>
      <c r="J359" s="52">
        <f t="shared" si="84"/>
        <v>0</v>
      </c>
      <c r="K359" s="175">
        <f t="shared" si="84"/>
        <v>0</v>
      </c>
      <c r="L359" s="52">
        <f t="shared" si="84"/>
        <v>1219692.8562955547</v>
      </c>
      <c r="N359" s="43">
        <f t="shared" si="21"/>
        <v>1219692.8562955547</v>
      </c>
      <c r="P359" s="38">
        <f t="shared" si="7"/>
        <v>0</v>
      </c>
      <c r="R359" s="43">
        <f t="shared" si="81"/>
        <v>0</v>
      </c>
      <c r="S359" s="43">
        <f t="shared" si="81"/>
        <v>0</v>
      </c>
      <c r="T359" s="43">
        <f t="shared" si="81"/>
        <v>0</v>
      </c>
      <c r="U359" s="43">
        <f t="shared" si="81"/>
        <v>0</v>
      </c>
      <c r="V359" s="43">
        <f t="shared" si="81"/>
        <v>0</v>
      </c>
      <c r="X359" s="43">
        <f t="shared" si="82"/>
        <v>0</v>
      </c>
      <c r="Y359" s="43">
        <f t="shared" si="82"/>
        <v>0</v>
      </c>
      <c r="Z359" s="43">
        <f t="shared" si="82"/>
        <v>0</v>
      </c>
      <c r="AA359" s="43">
        <f t="shared" si="82"/>
        <v>0</v>
      </c>
      <c r="AB359" s="43">
        <f t="shared" si="82"/>
        <v>0</v>
      </c>
      <c r="AD359" s="43">
        <f t="shared" si="22"/>
        <v>1219692.8562955547</v>
      </c>
      <c r="AE359" s="43">
        <f t="shared" si="23"/>
        <v>1219692.8562955547</v>
      </c>
      <c r="AF359" s="43">
        <f t="shared" si="24"/>
        <v>1219692.8562955547</v>
      </c>
      <c r="AG359" s="43">
        <f t="shared" si="25"/>
        <v>1219692.8562955547</v>
      </c>
      <c r="AH359" s="43">
        <f t="shared" si="26"/>
        <v>1219692.8562955547</v>
      </c>
      <c r="AJ359" s="43">
        <f t="shared" si="13"/>
        <v>41469.557114048861</v>
      </c>
      <c r="AK359" s="43">
        <f t="shared" si="14"/>
        <v>40249.864257753303</v>
      </c>
      <c r="AL359" s="43">
        <f t="shared" si="15"/>
        <v>46348.328539231079</v>
      </c>
      <c r="AM359" s="43">
        <f t="shared" si="16"/>
        <v>46348.328539231079</v>
      </c>
      <c r="AN359" s="43">
        <f t="shared" si="17"/>
        <v>46348.328539231079</v>
      </c>
    </row>
    <row r="360" spans="2:40">
      <c r="B360" s="37" t="str">
        <f t="shared" si="5"/>
        <v>Asset 54</v>
      </c>
      <c r="F360" s="37" t="str">
        <f t="shared" ref="F360:L360" si="85">F112</f>
        <v>04 Terreinen</v>
      </c>
      <c r="G360" s="37">
        <f t="shared" si="85"/>
        <v>1972</v>
      </c>
      <c r="H360" s="52">
        <f t="shared" si="85"/>
        <v>411128.51</v>
      </c>
      <c r="I360" s="37">
        <f t="shared" si="85"/>
        <v>2021</v>
      </c>
      <c r="J360" s="52">
        <f t="shared" si="85"/>
        <v>0</v>
      </c>
      <c r="K360" s="175">
        <f t="shared" si="85"/>
        <v>0</v>
      </c>
      <c r="L360" s="52">
        <f t="shared" si="85"/>
        <v>1824024.3386379536</v>
      </c>
      <c r="N360" s="43">
        <f t="shared" si="21"/>
        <v>1824024.3386379536</v>
      </c>
      <c r="P360" s="38">
        <f t="shared" si="7"/>
        <v>0</v>
      </c>
      <c r="R360" s="43">
        <f t="shared" si="81"/>
        <v>0</v>
      </c>
      <c r="S360" s="43">
        <f t="shared" si="81"/>
        <v>0</v>
      </c>
      <c r="T360" s="43">
        <f t="shared" si="81"/>
        <v>0</v>
      </c>
      <c r="U360" s="43">
        <f t="shared" si="81"/>
        <v>0</v>
      </c>
      <c r="V360" s="43">
        <f t="shared" si="81"/>
        <v>0</v>
      </c>
      <c r="X360" s="43">
        <f t="shared" si="82"/>
        <v>0</v>
      </c>
      <c r="Y360" s="43">
        <f t="shared" si="82"/>
        <v>0</v>
      </c>
      <c r="Z360" s="43">
        <f t="shared" si="82"/>
        <v>0</v>
      </c>
      <c r="AA360" s="43">
        <f t="shared" si="82"/>
        <v>0</v>
      </c>
      <c r="AB360" s="43">
        <f t="shared" si="82"/>
        <v>0</v>
      </c>
      <c r="AD360" s="43">
        <f t="shared" si="22"/>
        <v>1824024.3386379536</v>
      </c>
      <c r="AE360" s="43">
        <f t="shared" si="23"/>
        <v>1824024.3386379536</v>
      </c>
      <c r="AF360" s="43">
        <f t="shared" si="24"/>
        <v>1824024.3386379536</v>
      </c>
      <c r="AG360" s="43">
        <f t="shared" si="25"/>
        <v>1824024.3386379536</v>
      </c>
      <c r="AH360" s="43">
        <f t="shared" si="26"/>
        <v>1824024.3386379536</v>
      </c>
      <c r="AJ360" s="43">
        <f t="shared" si="13"/>
        <v>62016.827513690427</v>
      </c>
      <c r="AK360" s="43">
        <f t="shared" si="14"/>
        <v>60192.803175052475</v>
      </c>
      <c r="AL360" s="43">
        <f t="shared" si="15"/>
        <v>69312.924868242233</v>
      </c>
      <c r="AM360" s="43">
        <f t="shared" si="16"/>
        <v>69312.924868242233</v>
      </c>
      <c r="AN360" s="43">
        <f t="shared" si="17"/>
        <v>69312.924868242233</v>
      </c>
    </row>
    <row r="361" spans="2:40">
      <c r="B361" s="37" t="str">
        <f t="shared" si="5"/>
        <v>Asset 55</v>
      </c>
      <c r="F361" s="37" t="str">
        <f t="shared" ref="F361:L361" si="86">F113</f>
        <v>05 Wegen en terreinvoorzieningen</v>
      </c>
      <c r="G361" s="37">
        <f t="shared" si="86"/>
        <v>1970</v>
      </c>
      <c r="H361" s="52">
        <f t="shared" si="86"/>
        <v>65342.54</v>
      </c>
      <c r="I361" s="37">
        <f t="shared" si="86"/>
        <v>2021</v>
      </c>
      <c r="J361" s="52">
        <f t="shared" si="86"/>
        <v>10</v>
      </c>
      <c r="K361" s="175">
        <f t="shared" si="86"/>
        <v>0</v>
      </c>
      <c r="L361" s="52">
        <f t="shared" si="86"/>
        <v>0</v>
      </c>
      <c r="N361" s="43">
        <f t="shared" si="21"/>
        <v>0</v>
      </c>
      <c r="P361" s="38">
        <f t="shared" si="7"/>
        <v>0</v>
      </c>
      <c r="R361" s="43">
        <f t="shared" si="81"/>
        <v>0</v>
      </c>
      <c r="S361" s="43">
        <f t="shared" si="81"/>
        <v>0</v>
      </c>
      <c r="T361" s="43">
        <f t="shared" si="81"/>
        <v>0</v>
      </c>
      <c r="U361" s="43">
        <f t="shared" si="81"/>
        <v>0</v>
      </c>
      <c r="V361" s="43">
        <f t="shared" si="81"/>
        <v>0</v>
      </c>
      <c r="X361" s="43">
        <f t="shared" si="82"/>
        <v>0</v>
      </c>
      <c r="Y361" s="43">
        <f t="shared" si="82"/>
        <v>0</v>
      </c>
      <c r="Z361" s="43">
        <f t="shared" si="82"/>
        <v>0</v>
      </c>
      <c r="AA361" s="43">
        <f t="shared" si="82"/>
        <v>0</v>
      </c>
      <c r="AB361" s="43">
        <f t="shared" si="82"/>
        <v>0</v>
      </c>
      <c r="AD361" s="43">
        <f t="shared" si="22"/>
        <v>0</v>
      </c>
      <c r="AE361" s="43">
        <f t="shared" si="23"/>
        <v>0</v>
      </c>
      <c r="AF361" s="43">
        <f t="shared" si="24"/>
        <v>0</v>
      </c>
      <c r="AG361" s="43">
        <f t="shared" si="25"/>
        <v>0</v>
      </c>
      <c r="AH361" s="43">
        <f t="shared" si="26"/>
        <v>0</v>
      </c>
      <c r="AJ361" s="43">
        <f t="shared" si="13"/>
        <v>0</v>
      </c>
      <c r="AK361" s="43">
        <f t="shared" si="14"/>
        <v>0</v>
      </c>
      <c r="AL361" s="43">
        <f t="shared" si="15"/>
        <v>0</v>
      </c>
      <c r="AM361" s="43">
        <f t="shared" si="16"/>
        <v>0</v>
      </c>
      <c r="AN361" s="43">
        <f t="shared" si="17"/>
        <v>0</v>
      </c>
    </row>
    <row r="362" spans="2:40">
      <c r="B362" s="37" t="str">
        <f t="shared" si="5"/>
        <v>Asset 56</v>
      </c>
      <c r="F362" s="37" t="str">
        <f t="shared" ref="F362:L362" si="87">F114</f>
        <v>06 Utiliteitsgebouwen</v>
      </c>
      <c r="G362" s="37">
        <f t="shared" si="87"/>
        <v>1980</v>
      </c>
      <c r="H362" s="52">
        <f t="shared" si="87"/>
        <v>1188787.02</v>
      </c>
      <c r="I362" s="37">
        <f t="shared" si="87"/>
        <v>2021</v>
      </c>
      <c r="J362" s="52">
        <f t="shared" si="87"/>
        <v>30</v>
      </c>
      <c r="K362" s="175">
        <f t="shared" si="87"/>
        <v>0</v>
      </c>
      <c r="L362" s="52">
        <f t="shared" si="87"/>
        <v>0</v>
      </c>
      <c r="N362" s="43">
        <f t="shared" si="21"/>
        <v>0</v>
      </c>
      <c r="P362" s="38">
        <f t="shared" si="7"/>
        <v>0</v>
      </c>
      <c r="R362" s="43">
        <f t="shared" si="81"/>
        <v>0</v>
      </c>
      <c r="S362" s="43">
        <f t="shared" si="81"/>
        <v>0</v>
      </c>
      <c r="T362" s="43">
        <f t="shared" si="81"/>
        <v>0</v>
      </c>
      <c r="U362" s="43">
        <f t="shared" si="81"/>
        <v>0</v>
      </c>
      <c r="V362" s="43">
        <f t="shared" si="81"/>
        <v>0</v>
      </c>
      <c r="X362" s="43">
        <f t="shared" si="82"/>
        <v>0</v>
      </c>
      <c r="Y362" s="43">
        <f t="shared" si="82"/>
        <v>0</v>
      </c>
      <c r="Z362" s="43">
        <f t="shared" si="82"/>
        <v>0</v>
      </c>
      <c r="AA362" s="43">
        <f t="shared" si="82"/>
        <v>0</v>
      </c>
      <c r="AB362" s="43">
        <f t="shared" si="82"/>
        <v>0</v>
      </c>
      <c r="AD362" s="43">
        <f t="shared" si="22"/>
        <v>0</v>
      </c>
      <c r="AE362" s="43">
        <f t="shared" si="23"/>
        <v>0</v>
      </c>
      <c r="AF362" s="43">
        <f t="shared" si="24"/>
        <v>0</v>
      </c>
      <c r="AG362" s="43">
        <f t="shared" si="25"/>
        <v>0</v>
      </c>
      <c r="AH362" s="43">
        <f t="shared" si="26"/>
        <v>0</v>
      </c>
      <c r="AJ362" s="43">
        <f t="shared" si="13"/>
        <v>0</v>
      </c>
      <c r="AK362" s="43">
        <f t="shared" si="14"/>
        <v>0</v>
      </c>
      <c r="AL362" s="43">
        <f t="shared" si="15"/>
        <v>0</v>
      </c>
      <c r="AM362" s="43">
        <f t="shared" si="16"/>
        <v>0</v>
      </c>
      <c r="AN362" s="43">
        <f t="shared" si="17"/>
        <v>0</v>
      </c>
    </row>
    <row r="363" spans="2:40">
      <c r="B363" s="37" t="str">
        <f t="shared" si="5"/>
        <v>Asset 57</v>
      </c>
      <c r="F363" s="37" t="str">
        <f t="shared" ref="F363:L363" si="88">F115</f>
        <v>06 Utiliteitsgebouwen</v>
      </c>
      <c r="G363" s="37">
        <f t="shared" si="88"/>
        <v>1971</v>
      </c>
      <c r="H363" s="52">
        <f t="shared" si="88"/>
        <v>1287617.6299999999</v>
      </c>
      <c r="I363" s="37">
        <f t="shared" si="88"/>
        <v>2021</v>
      </c>
      <c r="J363" s="52">
        <f t="shared" si="88"/>
        <v>30</v>
      </c>
      <c r="K363" s="175">
        <f t="shared" si="88"/>
        <v>0</v>
      </c>
      <c r="L363" s="52">
        <f t="shared" si="88"/>
        <v>0</v>
      </c>
      <c r="N363" s="43">
        <f t="shared" si="21"/>
        <v>0</v>
      </c>
      <c r="P363" s="38">
        <f t="shared" si="7"/>
        <v>0</v>
      </c>
      <c r="R363" s="43">
        <f t="shared" si="81"/>
        <v>0</v>
      </c>
      <c r="S363" s="43">
        <f t="shared" si="81"/>
        <v>0</v>
      </c>
      <c r="T363" s="43">
        <f t="shared" si="81"/>
        <v>0</v>
      </c>
      <c r="U363" s="43">
        <f t="shared" si="81"/>
        <v>0</v>
      </c>
      <c r="V363" s="43">
        <f t="shared" si="81"/>
        <v>0</v>
      </c>
      <c r="X363" s="43">
        <f t="shared" si="82"/>
        <v>0</v>
      </c>
      <c r="Y363" s="43">
        <f t="shared" si="82"/>
        <v>0</v>
      </c>
      <c r="Z363" s="43">
        <f t="shared" si="82"/>
        <v>0</v>
      </c>
      <c r="AA363" s="43">
        <f t="shared" si="82"/>
        <v>0</v>
      </c>
      <c r="AB363" s="43">
        <f t="shared" si="82"/>
        <v>0</v>
      </c>
      <c r="AD363" s="43">
        <f t="shared" si="22"/>
        <v>0</v>
      </c>
      <c r="AE363" s="43">
        <f t="shared" si="23"/>
        <v>0</v>
      </c>
      <c r="AF363" s="43">
        <f t="shared" si="24"/>
        <v>0</v>
      </c>
      <c r="AG363" s="43">
        <f t="shared" si="25"/>
        <v>0</v>
      </c>
      <c r="AH363" s="43">
        <f t="shared" si="26"/>
        <v>0</v>
      </c>
      <c r="AJ363" s="43">
        <f t="shared" si="13"/>
        <v>0</v>
      </c>
      <c r="AK363" s="43">
        <f t="shared" si="14"/>
        <v>0</v>
      </c>
      <c r="AL363" s="43">
        <f t="shared" si="15"/>
        <v>0</v>
      </c>
      <c r="AM363" s="43">
        <f t="shared" si="16"/>
        <v>0</v>
      </c>
      <c r="AN363" s="43">
        <f t="shared" si="17"/>
        <v>0</v>
      </c>
    </row>
    <row r="364" spans="2:40">
      <c r="B364" s="37" t="str">
        <f t="shared" si="5"/>
        <v>Asset 58</v>
      </c>
      <c r="F364" s="37" t="str">
        <f t="shared" ref="F364:L364" si="89">F116</f>
        <v>06 Utiliteitsgebouwen</v>
      </c>
      <c r="G364" s="37">
        <f t="shared" si="89"/>
        <v>1986</v>
      </c>
      <c r="H364" s="52">
        <f t="shared" si="89"/>
        <v>986052.31</v>
      </c>
      <c r="I364" s="37">
        <f t="shared" si="89"/>
        <v>2021</v>
      </c>
      <c r="J364" s="52">
        <f t="shared" si="89"/>
        <v>30</v>
      </c>
      <c r="K364" s="175">
        <f t="shared" si="89"/>
        <v>0</v>
      </c>
      <c r="L364" s="52">
        <f t="shared" si="89"/>
        <v>0</v>
      </c>
      <c r="N364" s="43">
        <f t="shared" si="21"/>
        <v>0</v>
      </c>
      <c r="P364" s="38">
        <f t="shared" si="7"/>
        <v>0</v>
      </c>
      <c r="R364" s="43">
        <f t="shared" si="81"/>
        <v>0</v>
      </c>
      <c r="S364" s="43">
        <f t="shared" si="81"/>
        <v>0</v>
      </c>
      <c r="T364" s="43">
        <f t="shared" si="81"/>
        <v>0</v>
      </c>
      <c r="U364" s="43">
        <f t="shared" si="81"/>
        <v>0</v>
      </c>
      <c r="V364" s="43">
        <f t="shared" si="81"/>
        <v>0</v>
      </c>
      <c r="X364" s="43">
        <f t="shared" si="82"/>
        <v>0</v>
      </c>
      <c r="Y364" s="43">
        <f t="shared" si="82"/>
        <v>0</v>
      </c>
      <c r="Z364" s="43">
        <f t="shared" si="82"/>
        <v>0</v>
      </c>
      <c r="AA364" s="43">
        <f t="shared" si="82"/>
        <v>0</v>
      </c>
      <c r="AB364" s="43">
        <f t="shared" si="82"/>
        <v>0</v>
      </c>
      <c r="AD364" s="43">
        <f t="shared" si="22"/>
        <v>0</v>
      </c>
      <c r="AE364" s="43">
        <f t="shared" si="23"/>
        <v>0</v>
      </c>
      <c r="AF364" s="43">
        <f t="shared" si="24"/>
        <v>0</v>
      </c>
      <c r="AG364" s="43">
        <f t="shared" si="25"/>
        <v>0</v>
      </c>
      <c r="AH364" s="43">
        <f t="shared" si="26"/>
        <v>0</v>
      </c>
      <c r="AJ364" s="43">
        <f t="shared" si="13"/>
        <v>0</v>
      </c>
      <c r="AK364" s="43">
        <f t="shared" si="14"/>
        <v>0</v>
      </c>
      <c r="AL364" s="43">
        <f t="shared" si="15"/>
        <v>0</v>
      </c>
      <c r="AM364" s="43">
        <f t="shared" si="16"/>
        <v>0</v>
      </c>
      <c r="AN364" s="43">
        <f t="shared" si="17"/>
        <v>0</v>
      </c>
    </row>
    <row r="365" spans="2:40">
      <c r="B365" s="37" t="str">
        <f t="shared" si="5"/>
        <v>Asset 59</v>
      </c>
      <c r="F365" s="37" t="str">
        <f t="shared" ref="F365:L365" si="90">F117</f>
        <v>06 Utiliteitsgebouwen</v>
      </c>
      <c r="G365" s="37">
        <f t="shared" si="90"/>
        <v>1988</v>
      </c>
      <c r="H365" s="52">
        <f t="shared" si="90"/>
        <v>45049.48</v>
      </c>
      <c r="I365" s="37">
        <f t="shared" si="90"/>
        <v>2021</v>
      </c>
      <c r="J365" s="52">
        <f t="shared" si="90"/>
        <v>30</v>
      </c>
      <c r="K365" s="175">
        <f t="shared" si="90"/>
        <v>0</v>
      </c>
      <c r="L365" s="52">
        <f t="shared" si="90"/>
        <v>0</v>
      </c>
      <c r="N365" s="43">
        <f t="shared" si="21"/>
        <v>0</v>
      </c>
      <c r="P365" s="38">
        <f t="shared" si="7"/>
        <v>0</v>
      </c>
      <c r="R365" s="43">
        <f t="shared" si="81"/>
        <v>0</v>
      </c>
      <c r="S365" s="43">
        <f t="shared" si="81"/>
        <v>0</v>
      </c>
      <c r="T365" s="43">
        <f t="shared" si="81"/>
        <v>0</v>
      </c>
      <c r="U365" s="43">
        <f t="shared" si="81"/>
        <v>0</v>
      </c>
      <c r="V365" s="43">
        <f t="shared" si="81"/>
        <v>0</v>
      </c>
      <c r="X365" s="43">
        <f t="shared" si="82"/>
        <v>0</v>
      </c>
      <c r="Y365" s="43">
        <f t="shared" si="82"/>
        <v>0</v>
      </c>
      <c r="Z365" s="43">
        <f t="shared" si="82"/>
        <v>0</v>
      </c>
      <c r="AA365" s="43">
        <f t="shared" si="82"/>
        <v>0</v>
      </c>
      <c r="AB365" s="43">
        <f t="shared" si="82"/>
        <v>0</v>
      </c>
      <c r="AD365" s="43">
        <f t="shared" si="22"/>
        <v>0</v>
      </c>
      <c r="AE365" s="43">
        <f t="shared" si="23"/>
        <v>0</v>
      </c>
      <c r="AF365" s="43">
        <f t="shared" si="24"/>
        <v>0</v>
      </c>
      <c r="AG365" s="43">
        <f t="shared" si="25"/>
        <v>0</v>
      </c>
      <c r="AH365" s="43">
        <f t="shared" si="26"/>
        <v>0</v>
      </c>
      <c r="AJ365" s="43">
        <f t="shared" si="13"/>
        <v>0</v>
      </c>
      <c r="AK365" s="43">
        <f t="shared" si="14"/>
        <v>0</v>
      </c>
      <c r="AL365" s="43">
        <f t="shared" si="15"/>
        <v>0</v>
      </c>
      <c r="AM365" s="43">
        <f t="shared" si="16"/>
        <v>0</v>
      </c>
      <c r="AN365" s="43">
        <f t="shared" si="17"/>
        <v>0</v>
      </c>
    </row>
    <row r="366" spans="2:40">
      <c r="B366" s="37" t="str">
        <f t="shared" si="5"/>
        <v>Asset 60</v>
      </c>
      <c r="F366" s="37" t="str">
        <f t="shared" ref="F366:L366" si="91">F118</f>
        <v>04 Terreinen</v>
      </c>
      <c r="G366" s="37">
        <f t="shared" si="91"/>
        <v>1969</v>
      </c>
      <c r="H366" s="52">
        <f t="shared" si="91"/>
        <v>35732.019999999997</v>
      </c>
      <c r="I366" s="37">
        <f t="shared" si="91"/>
        <v>2021</v>
      </c>
      <c r="J366" s="52">
        <f t="shared" si="91"/>
        <v>0</v>
      </c>
      <c r="K366" s="175">
        <f t="shared" si="91"/>
        <v>0</v>
      </c>
      <c r="L366" s="52">
        <f t="shared" si="91"/>
        <v>192194.60406110552</v>
      </c>
      <c r="N366" s="43">
        <f t="shared" si="21"/>
        <v>192194.60406110552</v>
      </c>
      <c r="P366" s="38">
        <f t="shared" si="7"/>
        <v>0</v>
      </c>
      <c r="R366" s="43">
        <f t="shared" si="81"/>
        <v>0</v>
      </c>
      <c r="S366" s="43">
        <f t="shared" si="81"/>
        <v>0</v>
      </c>
      <c r="T366" s="43">
        <f t="shared" si="81"/>
        <v>0</v>
      </c>
      <c r="U366" s="43">
        <f t="shared" si="81"/>
        <v>0</v>
      </c>
      <c r="V366" s="43">
        <f t="shared" si="81"/>
        <v>0</v>
      </c>
      <c r="X366" s="43">
        <f t="shared" si="82"/>
        <v>0</v>
      </c>
      <c r="Y366" s="43">
        <f t="shared" si="82"/>
        <v>0</v>
      </c>
      <c r="Z366" s="43">
        <f t="shared" si="82"/>
        <v>0</v>
      </c>
      <c r="AA366" s="43">
        <f t="shared" si="82"/>
        <v>0</v>
      </c>
      <c r="AB366" s="43">
        <f t="shared" si="82"/>
        <v>0</v>
      </c>
      <c r="AD366" s="43">
        <f t="shared" si="22"/>
        <v>192194.60406110552</v>
      </c>
      <c r="AE366" s="43">
        <f t="shared" si="23"/>
        <v>192194.60406110552</v>
      </c>
      <c r="AF366" s="43">
        <f t="shared" si="24"/>
        <v>192194.60406110552</v>
      </c>
      <c r="AG366" s="43">
        <f t="shared" si="25"/>
        <v>192194.60406110552</v>
      </c>
      <c r="AH366" s="43">
        <f t="shared" si="26"/>
        <v>192194.60406110552</v>
      </c>
      <c r="AJ366" s="43">
        <f t="shared" si="13"/>
        <v>6534.6165380775883</v>
      </c>
      <c r="AK366" s="43">
        <f t="shared" si="14"/>
        <v>6342.4219340164827</v>
      </c>
      <c r="AL366" s="43">
        <f t="shared" si="15"/>
        <v>7303.3949543220097</v>
      </c>
      <c r="AM366" s="43">
        <f t="shared" si="16"/>
        <v>7303.3949543220097</v>
      </c>
      <c r="AN366" s="43">
        <f t="shared" si="17"/>
        <v>7303.3949543220097</v>
      </c>
    </row>
    <row r="367" spans="2:40">
      <c r="B367" s="37" t="str">
        <f t="shared" si="5"/>
        <v>Asset 61</v>
      </c>
      <c r="F367" s="37" t="str">
        <f t="shared" ref="F367:L367" si="92">F119</f>
        <v>06 Utiliteitsgebouwen</v>
      </c>
      <c r="G367" s="37">
        <f t="shared" si="92"/>
        <v>1993</v>
      </c>
      <c r="H367" s="52">
        <f t="shared" si="92"/>
        <v>4915025</v>
      </c>
      <c r="I367" s="37">
        <f t="shared" si="92"/>
        <v>2021</v>
      </c>
      <c r="J367" s="52">
        <f t="shared" si="92"/>
        <v>30</v>
      </c>
      <c r="K367" s="175">
        <f t="shared" si="92"/>
        <v>0</v>
      </c>
      <c r="L367" s="52">
        <f t="shared" si="92"/>
        <v>420683.7813984917</v>
      </c>
      <c r="N367" s="43">
        <f t="shared" si="21"/>
        <v>420683.7813984917</v>
      </c>
      <c r="P367" s="38">
        <f t="shared" si="7"/>
        <v>1.5</v>
      </c>
      <c r="R367" s="43">
        <f t="shared" ref="R367:V376" si="93">IF(R$305&lt;=$G367+$J367,VDB($L367*(1-$F$25),0,$P367,R$305-2022,MIN(R$305-2021,$P367),$F$22),0)</f>
        <v>328133.34949082352</v>
      </c>
      <c r="S367" s="43">
        <f t="shared" si="93"/>
        <v>50482.053767819016</v>
      </c>
      <c r="T367" s="43">
        <f t="shared" si="93"/>
        <v>0</v>
      </c>
      <c r="U367" s="43">
        <f t="shared" si="93"/>
        <v>0</v>
      </c>
      <c r="V367" s="43">
        <f t="shared" si="93"/>
        <v>0</v>
      </c>
      <c r="X367" s="43">
        <f t="shared" ref="X367:AB376" si="94">IF(X$305&lt;=$G367+$J367,VDB($L367*$F$25,0,$P367,X$305-2022,MIN(X$305-2021,$P367),1),0)</f>
        <v>28045.585426566115</v>
      </c>
      <c r="Y367" s="43">
        <f t="shared" si="94"/>
        <v>14022.792713283057</v>
      </c>
      <c r="Z367" s="43">
        <f t="shared" si="94"/>
        <v>0</v>
      </c>
      <c r="AA367" s="43">
        <f t="shared" si="94"/>
        <v>0</v>
      </c>
      <c r="AB367" s="43">
        <f t="shared" si="94"/>
        <v>0</v>
      </c>
      <c r="AD367" s="43">
        <f t="shared" si="22"/>
        <v>64504.846481102068</v>
      </c>
      <c r="AE367" s="43">
        <f t="shared" si="23"/>
        <v>-5.4569682106375694E-12</v>
      </c>
      <c r="AF367" s="43">
        <f t="shared" si="24"/>
        <v>0</v>
      </c>
      <c r="AG367" s="43">
        <f t="shared" si="25"/>
        <v>0</v>
      </c>
      <c r="AH367" s="43">
        <f t="shared" si="26"/>
        <v>0</v>
      </c>
      <c r="AJ367" s="43">
        <f t="shared" si="13"/>
        <v>358372.09969774709</v>
      </c>
      <c r="AK367" s="43">
        <f t="shared" si="14"/>
        <v>64504.846481102075</v>
      </c>
      <c r="AL367" s="43">
        <f t="shared" si="15"/>
        <v>0</v>
      </c>
      <c r="AM367" s="43">
        <f t="shared" si="16"/>
        <v>0</v>
      </c>
      <c r="AN367" s="43">
        <f t="shared" si="17"/>
        <v>0</v>
      </c>
    </row>
    <row r="368" spans="2:40">
      <c r="B368" s="37" t="str">
        <f t="shared" si="5"/>
        <v>Asset 62</v>
      </c>
      <c r="F368" s="37" t="str">
        <f t="shared" ref="F368:L368" si="95">F120</f>
        <v>04 Terreinen</v>
      </c>
      <c r="G368" s="37">
        <f t="shared" si="95"/>
        <v>1990</v>
      </c>
      <c r="H368" s="52">
        <f t="shared" si="95"/>
        <v>4936129.59</v>
      </c>
      <c r="I368" s="37">
        <f t="shared" si="95"/>
        <v>2021</v>
      </c>
      <c r="J368" s="52">
        <f t="shared" si="95"/>
        <v>0</v>
      </c>
      <c r="K368" s="175">
        <f t="shared" si="95"/>
        <v>0</v>
      </c>
      <c r="L368" s="52">
        <f t="shared" si="95"/>
        <v>9367389.4688880406</v>
      </c>
      <c r="N368" s="43">
        <f t="shared" si="21"/>
        <v>9367389.4688880406</v>
      </c>
      <c r="P368" s="38">
        <f t="shared" si="7"/>
        <v>0</v>
      </c>
      <c r="R368" s="43">
        <f t="shared" si="93"/>
        <v>0</v>
      </c>
      <c r="S368" s="43">
        <f t="shared" si="93"/>
        <v>0</v>
      </c>
      <c r="T368" s="43">
        <f t="shared" si="93"/>
        <v>0</v>
      </c>
      <c r="U368" s="43">
        <f t="shared" si="93"/>
        <v>0</v>
      </c>
      <c r="V368" s="43">
        <f t="shared" si="93"/>
        <v>0</v>
      </c>
      <c r="X368" s="43">
        <f t="shared" si="94"/>
        <v>0</v>
      </c>
      <c r="Y368" s="43">
        <f t="shared" si="94"/>
        <v>0</v>
      </c>
      <c r="Z368" s="43">
        <f t="shared" si="94"/>
        <v>0</v>
      </c>
      <c r="AA368" s="43">
        <f t="shared" si="94"/>
        <v>0</v>
      </c>
      <c r="AB368" s="43">
        <f t="shared" si="94"/>
        <v>0</v>
      </c>
      <c r="AD368" s="43">
        <f t="shared" si="22"/>
        <v>9367389.4688880406</v>
      </c>
      <c r="AE368" s="43">
        <f t="shared" si="23"/>
        <v>9367389.4688880406</v>
      </c>
      <c r="AF368" s="43">
        <f t="shared" si="24"/>
        <v>9367389.4688880406</v>
      </c>
      <c r="AG368" s="43">
        <f t="shared" si="25"/>
        <v>9367389.4688880406</v>
      </c>
      <c r="AH368" s="43">
        <f t="shared" si="26"/>
        <v>9367389.4688880406</v>
      </c>
      <c r="AJ368" s="43">
        <f t="shared" si="13"/>
        <v>318491.24194219342</v>
      </c>
      <c r="AK368" s="43">
        <f t="shared" si="14"/>
        <v>309123.85247330536</v>
      </c>
      <c r="AL368" s="43">
        <f t="shared" si="15"/>
        <v>355960.79981774552</v>
      </c>
      <c r="AM368" s="43">
        <f t="shared" si="16"/>
        <v>355960.79981774552</v>
      </c>
      <c r="AN368" s="43">
        <f t="shared" si="17"/>
        <v>355960.79981774552</v>
      </c>
    </row>
    <row r="369" spans="2:40">
      <c r="B369" s="37" t="str">
        <f t="shared" si="5"/>
        <v>Asset 63</v>
      </c>
      <c r="F369" s="37" t="str">
        <f t="shared" ref="F369:L369" si="96">F121</f>
        <v>09 Bedrijfsinventaris</v>
      </c>
      <c r="G369" s="37">
        <f t="shared" si="96"/>
        <v>1994</v>
      </c>
      <c r="H369" s="52">
        <f t="shared" si="96"/>
        <v>5646696.2199999997</v>
      </c>
      <c r="I369" s="37">
        <f t="shared" si="96"/>
        <v>2021</v>
      </c>
      <c r="J369" s="52">
        <f t="shared" si="96"/>
        <v>10</v>
      </c>
      <c r="K369" s="175">
        <f t="shared" si="96"/>
        <v>1</v>
      </c>
      <c r="L369" s="52">
        <f t="shared" si="96"/>
        <v>0</v>
      </c>
      <c r="N369" s="43">
        <f t="shared" si="21"/>
        <v>0</v>
      </c>
      <c r="P369" s="38">
        <f t="shared" si="7"/>
        <v>0</v>
      </c>
      <c r="R369" s="43">
        <f t="shared" si="93"/>
        <v>0</v>
      </c>
      <c r="S369" s="43">
        <f t="shared" si="93"/>
        <v>0</v>
      </c>
      <c r="T369" s="43">
        <f t="shared" si="93"/>
        <v>0</v>
      </c>
      <c r="U369" s="43">
        <f t="shared" si="93"/>
        <v>0</v>
      </c>
      <c r="V369" s="43">
        <f t="shared" si="93"/>
        <v>0</v>
      </c>
      <c r="X369" s="43">
        <f t="shared" si="94"/>
        <v>0</v>
      </c>
      <c r="Y369" s="43">
        <f t="shared" si="94"/>
        <v>0</v>
      </c>
      <c r="Z369" s="43">
        <f t="shared" si="94"/>
        <v>0</v>
      </c>
      <c r="AA369" s="43">
        <f t="shared" si="94"/>
        <v>0</v>
      </c>
      <c r="AB369" s="43">
        <f t="shared" si="94"/>
        <v>0</v>
      </c>
      <c r="AD369" s="43">
        <f t="shared" si="22"/>
        <v>0</v>
      </c>
      <c r="AE369" s="43">
        <f t="shared" si="23"/>
        <v>0</v>
      </c>
      <c r="AF369" s="43">
        <f t="shared" si="24"/>
        <v>0</v>
      </c>
      <c r="AG369" s="43">
        <f t="shared" si="25"/>
        <v>0</v>
      </c>
      <c r="AH369" s="43">
        <f t="shared" si="26"/>
        <v>0</v>
      </c>
      <c r="AJ369" s="43">
        <f t="shared" si="13"/>
        <v>0</v>
      </c>
      <c r="AK369" s="43">
        <f t="shared" si="14"/>
        <v>0</v>
      </c>
      <c r="AL369" s="43">
        <f t="shared" si="15"/>
        <v>0</v>
      </c>
      <c r="AM369" s="43">
        <f t="shared" si="16"/>
        <v>0</v>
      </c>
      <c r="AN369" s="43">
        <f t="shared" si="17"/>
        <v>0</v>
      </c>
    </row>
    <row r="370" spans="2:40">
      <c r="B370" s="37" t="str">
        <f t="shared" si="5"/>
        <v>Asset 64</v>
      </c>
      <c r="F370" s="37" t="str">
        <f t="shared" ref="F370:L370" si="97">F122</f>
        <v>06 Utiliteitsgebouwen</v>
      </c>
      <c r="G370" s="37">
        <f t="shared" si="97"/>
        <v>1994</v>
      </c>
      <c r="H370" s="52">
        <f t="shared" si="97"/>
        <v>326095.09000000003</v>
      </c>
      <c r="I370" s="37">
        <f t="shared" si="97"/>
        <v>2021</v>
      </c>
      <c r="J370" s="52">
        <f t="shared" si="97"/>
        <v>30</v>
      </c>
      <c r="K370" s="175">
        <f t="shared" si="97"/>
        <v>0</v>
      </c>
      <c r="L370" s="52">
        <f t="shared" si="97"/>
        <v>45606.0937185246</v>
      </c>
      <c r="N370" s="43">
        <f t="shared" si="21"/>
        <v>45606.0937185246</v>
      </c>
      <c r="P370" s="38">
        <f t="shared" si="7"/>
        <v>2.5</v>
      </c>
      <c r="R370" s="43">
        <f t="shared" si="93"/>
        <v>21343.651860269514</v>
      </c>
      <c r="S370" s="43">
        <f t="shared" si="93"/>
        <v>13134.554990935087</v>
      </c>
      <c r="T370" s="43">
        <f t="shared" si="93"/>
        <v>6567.2774954675433</v>
      </c>
      <c r="U370" s="43">
        <f t="shared" si="93"/>
        <v>0</v>
      </c>
      <c r="V370" s="43">
        <f t="shared" si="93"/>
        <v>0</v>
      </c>
      <c r="X370" s="43">
        <f t="shared" si="94"/>
        <v>1824.2437487409841</v>
      </c>
      <c r="Y370" s="43">
        <f t="shared" si="94"/>
        <v>1824.2437487409836</v>
      </c>
      <c r="Z370" s="43">
        <f t="shared" si="94"/>
        <v>912.12187437049181</v>
      </c>
      <c r="AA370" s="43">
        <f t="shared" si="94"/>
        <v>0</v>
      </c>
      <c r="AB370" s="43">
        <f t="shared" si="94"/>
        <v>0</v>
      </c>
      <c r="AD370" s="43">
        <f t="shared" si="22"/>
        <v>22438.198109514102</v>
      </c>
      <c r="AE370" s="43">
        <f t="shared" si="23"/>
        <v>7479.3993698380318</v>
      </c>
      <c r="AF370" s="43">
        <f t="shared" si="24"/>
        <v>-3.2969182939268649E-12</v>
      </c>
      <c r="AG370" s="43">
        <f t="shared" si="25"/>
        <v>0</v>
      </c>
      <c r="AH370" s="43">
        <f t="shared" si="26"/>
        <v>0</v>
      </c>
      <c r="AJ370" s="43">
        <f t="shared" si="13"/>
        <v>23930.794344733979</v>
      </c>
      <c r="AK370" s="43">
        <f t="shared" si="14"/>
        <v>15205.618918880726</v>
      </c>
      <c r="AL370" s="43">
        <f t="shared" si="15"/>
        <v>7479.3993698380355</v>
      </c>
      <c r="AM370" s="43">
        <f t="shared" si="16"/>
        <v>0</v>
      </c>
      <c r="AN370" s="43">
        <f t="shared" si="17"/>
        <v>0</v>
      </c>
    </row>
    <row r="371" spans="2:40">
      <c r="B371" s="37" t="str">
        <f t="shared" si="5"/>
        <v>Asset 65</v>
      </c>
      <c r="F371" s="37" t="str">
        <f t="shared" ref="F371:L371" si="98">F123</f>
        <v>05 Wegen en terreinvoorzieningen</v>
      </c>
      <c r="G371" s="37">
        <f t="shared" si="98"/>
        <v>1993</v>
      </c>
      <c r="H371" s="52">
        <f t="shared" si="98"/>
        <v>174007.47</v>
      </c>
      <c r="I371" s="37">
        <f t="shared" si="98"/>
        <v>2021</v>
      </c>
      <c r="J371" s="52">
        <f t="shared" si="98"/>
        <v>10</v>
      </c>
      <c r="K371" s="175">
        <f t="shared" si="98"/>
        <v>0</v>
      </c>
      <c r="L371" s="52">
        <f t="shared" si="98"/>
        <v>0</v>
      </c>
      <c r="N371" s="43">
        <f t="shared" si="21"/>
        <v>0</v>
      </c>
      <c r="P371" s="38">
        <f t="shared" si="7"/>
        <v>0</v>
      </c>
      <c r="R371" s="43">
        <f t="shared" si="93"/>
        <v>0</v>
      </c>
      <c r="S371" s="43">
        <f t="shared" si="93"/>
        <v>0</v>
      </c>
      <c r="T371" s="43">
        <f t="shared" si="93"/>
        <v>0</v>
      </c>
      <c r="U371" s="43">
        <f t="shared" si="93"/>
        <v>0</v>
      </c>
      <c r="V371" s="43">
        <f t="shared" si="93"/>
        <v>0</v>
      </c>
      <c r="X371" s="43">
        <f t="shared" si="94"/>
        <v>0</v>
      </c>
      <c r="Y371" s="43">
        <f t="shared" si="94"/>
        <v>0</v>
      </c>
      <c r="Z371" s="43">
        <f t="shared" si="94"/>
        <v>0</v>
      </c>
      <c r="AA371" s="43">
        <f t="shared" si="94"/>
        <v>0</v>
      </c>
      <c r="AB371" s="43">
        <f t="shared" si="94"/>
        <v>0</v>
      </c>
      <c r="AD371" s="43">
        <f t="shared" si="22"/>
        <v>0</v>
      </c>
      <c r="AE371" s="43">
        <f t="shared" si="23"/>
        <v>0</v>
      </c>
      <c r="AF371" s="43">
        <f t="shared" si="24"/>
        <v>0</v>
      </c>
      <c r="AG371" s="43">
        <f t="shared" si="25"/>
        <v>0</v>
      </c>
      <c r="AH371" s="43">
        <f t="shared" si="26"/>
        <v>0</v>
      </c>
      <c r="AJ371" s="43">
        <f t="shared" si="13"/>
        <v>0</v>
      </c>
      <c r="AK371" s="43">
        <f t="shared" si="14"/>
        <v>0</v>
      </c>
      <c r="AL371" s="43">
        <f t="shared" si="15"/>
        <v>0</v>
      </c>
      <c r="AM371" s="43">
        <f t="shared" si="16"/>
        <v>0</v>
      </c>
      <c r="AN371" s="43">
        <f t="shared" si="17"/>
        <v>0</v>
      </c>
    </row>
    <row r="372" spans="2:40">
      <c r="B372" s="37" t="str">
        <f t="shared" ref="B372:B435" si="99">B124</f>
        <v>Asset 66</v>
      </c>
      <c r="F372" s="37" t="str">
        <f t="shared" ref="F372:L372" si="100">F124</f>
        <v>20 Kantoorgebouwen</v>
      </c>
      <c r="G372" s="37">
        <f t="shared" si="100"/>
        <v>1991</v>
      </c>
      <c r="H372" s="52">
        <f t="shared" si="100"/>
        <v>475302.12</v>
      </c>
      <c r="I372" s="37">
        <f t="shared" si="100"/>
        <v>2021</v>
      </c>
      <c r="J372" s="52">
        <f t="shared" si="100"/>
        <v>30</v>
      </c>
      <c r="K372" s="175">
        <f t="shared" si="100"/>
        <v>0</v>
      </c>
      <c r="L372" s="52">
        <f t="shared" si="100"/>
        <v>0</v>
      </c>
      <c r="N372" s="43">
        <f t="shared" si="21"/>
        <v>0</v>
      </c>
      <c r="P372" s="38">
        <f t="shared" ref="P372:P435" si="101">MAX(0,IF(G372&lt;=2021, J372-2021+G372-0.5,J372))</f>
        <v>0</v>
      </c>
      <c r="R372" s="43">
        <f t="shared" si="93"/>
        <v>0</v>
      </c>
      <c r="S372" s="43">
        <f t="shared" si="93"/>
        <v>0</v>
      </c>
      <c r="T372" s="43">
        <f t="shared" si="93"/>
        <v>0</v>
      </c>
      <c r="U372" s="43">
        <f t="shared" si="93"/>
        <v>0</v>
      </c>
      <c r="V372" s="43">
        <f t="shared" si="93"/>
        <v>0</v>
      </c>
      <c r="X372" s="43">
        <f t="shared" si="94"/>
        <v>0</v>
      </c>
      <c r="Y372" s="43">
        <f t="shared" si="94"/>
        <v>0</v>
      </c>
      <c r="Z372" s="43">
        <f t="shared" si="94"/>
        <v>0</v>
      </c>
      <c r="AA372" s="43">
        <f t="shared" si="94"/>
        <v>0</v>
      </c>
      <c r="AB372" s="43">
        <f t="shared" si="94"/>
        <v>0</v>
      </c>
      <c r="AD372" s="43">
        <f t="shared" si="22"/>
        <v>0</v>
      </c>
      <c r="AE372" s="43">
        <f t="shared" si="23"/>
        <v>0</v>
      </c>
      <c r="AF372" s="43">
        <f t="shared" si="24"/>
        <v>0</v>
      </c>
      <c r="AG372" s="43">
        <f t="shared" si="25"/>
        <v>0</v>
      </c>
      <c r="AH372" s="43">
        <f t="shared" si="26"/>
        <v>0</v>
      </c>
      <c r="AJ372" s="43">
        <f t="shared" ref="AJ372:AJ435" si="102">(R372+X372+AD372*I$16)*IF($K372=1,$F$19,1)</f>
        <v>0</v>
      </c>
      <c r="AK372" s="43">
        <f t="shared" ref="AK372:AK435" si="103">(S372+Y372+AE372*J$16)*IF($K372=1,$F$19,1)</f>
        <v>0</v>
      </c>
      <c r="AL372" s="43">
        <f t="shared" ref="AL372:AL435" si="104">(T372+Z372+AF372*K$16)*IF($K372=1,$F$19,1)</f>
        <v>0</v>
      </c>
      <c r="AM372" s="43">
        <f t="shared" ref="AM372:AM435" si="105">(U372+AA372+AG372*L$16)*IF($K372=1,$F$19,1)</f>
        <v>0</v>
      </c>
      <c r="AN372" s="43">
        <f t="shared" ref="AN372:AN435" si="106">(V372+AB372+AH372*M$16)*IF($K372=1,$F$19,1)</f>
        <v>0</v>
      </c>
    </row>
    <row r="373" spans="2:40">
      <c r="B373" s="37" t="str">
        <f t="shared" si="99"/>
        <v>Asset 67</v>
      </c>
      <c r="F373" s="37" t="str">
        <f t="shared" ref="F373:L373" si="107">F125</f>
        <v>08 Inrichting gebouwen</v>
      </c>
      <c r="G373" s="37">
        <f t="shared" si="107"/>
        <v>1995</v>
      </c>
      <c r="H373" s="52">
        <f t="shared" si="107"/>
        <v>365539.92999999993</v>
      </c>
      <c r="I373" s="37">
        <f t="shared" si="107"/>
        <v>2021</v>
      </c>
      <c r="J373" s="52">
        <f t="shared" si="107"/>
        <v>10</v>
      </c>
      <c r="K373" s="175">
        <f t="shared" si="107"/>
        <v>0</v>
      </c>
      <c r="L373" s="52">
        <f t="shared" si="107"/>
        <v>0</v>
      </c>
      <c r="N373" s="43">
        <f t="shared" si="21"/>
        <v>0</v>
      </c>
      <c r="P373" s="38">
        <f t="shared" si="101"/>
        <v>0</v>
      </c>
      <c r="R373" s="43">
        <f t="shared" si="93"/>
        <v>0</v>
      </c>
      <c r="S373" s="43">
        <f t="shared" si="93"/>
        <v>0</v>
      </c>
      <c r="T373" s="43">
        <f t="shared" si="93"/>
        <v>0</v>
      </c>
      <c r="U373" s="43">
        <f t="shared" si="93"/>
        <v>0</v>
      </c>
      <c r="V373" s="43">
        <f t="shared" si="93"/>
        <v>0</v>
      </c>
      <c r="X373" s="43">
        <f t="shared" si="94"/>
        <v>0</v>
      </c>
      <c r="Y373" s="43">
        <f t="shared" si="94"/>
        <v>0</v>
      </c>
      <c r="Z373" s="43">
        <f t="shared" si="94"/>
        <v>0</v>
      </c>
      <c r="AA373" s="43">
        <f t="shared" si="94"/>
        <v>0</v>
      </c>
      <c r="AB373" s="43">
        <f t="shared" si="94"/>
        <v>0</v>
      </c>
      <c r="AD373" s="43">
        <f t="shared" si="22"/>
        <v>0</v>
      </c>
      <c r="AE373" s="43">
        <f t="shared" si="23"/>
        <v>0</v>
      </c>
      <c r="AF373" s="43">
        <f t="shared" si="24"/>
        <v>0</v>
      </c>
      <c r="AG373" s="43">
        <f t="shared" si="25"/>
        <v>0</v>
      </c>
      <c r="AH373" s="43">
        <f t="shared" si="26"/>
        <v>0</v>
      </c>
      <c r="AJ373" s="43">
        <f t="shared" si="102"/>
        <v>0</v>
      </c>
      <c r="AK373" s="43">
        <f t="shared" si="103"/>
        <v>0</v>
      </c>
      <c r="AL373" s="43">
        <f t="shared" si="104"/>
        <v>0</v>
      </c>
      <c r="AM373" s="43">
        <f t="shared" si="105"/>
        <v>0</v>
      </c>
      <c r="AN373" s="43">
        <f t="shared" si="106"/>
        <v>0</v>
      </c>
    </row>
    <row r="374" spans="2:40">
      <c r="B374" s="37" t="str">
        <f t="shared" si="99"/>
        <v>Asset 68</v>
      </c>
      <c r="F374" s="37" t="str">
        <f t="shared" ref="F374:L374" si="108">F126</f>
        <v>08 Inrichting gebouwen</v>
      </c>
      <c r="G374" s="37">
        <f t="shared" si="108"/>
        <v>1994</v>
      </c>
      <c r="H374" s="52">
        <f t="shared" si="108"/>
        <v>6615395.4499999993</v>
      </c>
      <c r="I374" s="37">
        <f t="shared" si="108"/>
        <v>2021</v>
      </c>
      <c r="J374" s="52">
        <f t="shared" si="108"/>
        <v>10</v>
      </c>
      <c r="K374" s="175">
        <f t="shared" si="108"/>
        <v>0</v>
      </c>
      <c r="L374" s="52">
        <f t="shared" si="108"/>
        <v>0</v>
      </c>
      <c r="N374" s="43">
        <f t="shared" si="21"/>
        <v>0</v>
      </c>
      <c r="P374" s="38">
        <f t="shared" si="101"/>
        <v>0</v>
      </c>
      <c r="R374" s="43">
        <f t="shared" si="93"/>
        <v>0</v>
      </c>
      <c r="S374" s="43">
        <f t="shared" si="93"/>
        <v>0</v>
      </c>
      <c r="T374" s="43">
        <f t="shared" si="93"/>
        <v>0</v>
      </c>
      <c r="U374" s="43">
        <f t="shared" si="93"/>
        <v>0</v>
      </c>
      <c r="V374" s="43">
        <f t="shared" si="93"/>
        <v>0</v>
      </c>
      <c r="X374" s="43">
        <f t="shared" si="94"/>
        <v>0</v>
      </c>
      <c r="Y374" s="43">
        <f t="shared" si="94"/>
        <v>0</v>
      </c>
      <c r="Z374" s="43">
        <f t="shared" si="94"/>
        <v>0</v>
      </c>
      <c r="AA374" s="43">
        <f t="shared" si="94"/>
        <v>0</v>
      </c>
      <c r="AB374" s="43">
        <f t="shared" si="94"/>
        <v>0</v>
      </c>
      <c r="AD374" s="43">
        <f t="shared" si="22"/>
        <v>0</v>
      </c>
      <c r="AE374" s="43">
        <f t="shared" si="23"/>
        <v>0</v>
      </c>
      <c r="AF374" s="43">
        <f t="shared" si="24"/>
        <v>0</v>
      </c>
      <c r="AG374" s="43">
        <f t="shared" si="25"/>
        <v>0</v>
      </c>
      <c r="AH374" s="43">
        <f t="shared" si="26"/>
        <v>0</v>
      </c>
      <c r="AJ374" s="43">
        <f t="shared" si="102"/>
        <v>0</v>
      </c>
      <c r="AK374" s="43">
        <f t="shared" si="103"/>
        <v>0</v>
      </c>
      <c r="AL374" s="43">
        <f t="shared" si="104"/>
        <v>0</v>
      </c>
      <c r="AM374" s="43">
        <f t="shared" si="105"/>
        <v>0</v>
      </c>
      <c r="AN374" s="43">
        <f t="shared" si="106"/>
        <v>0</v>
      </c>
    </row>
    <row r="375" spans="2:40">
      <c r="B375" s="37" t="str">
        <f t="shared" si="99"/>
        <v>Asset 69</v>
      </c>
      <c r="F375" s="37" t="str">
        <f t="shared" ref="F375:L375" si="109">F127</f>
        <v>20 Kantoorgebouwen</v>
      </c>
      <c r="G375" s="37">
        <f t="shared" si="109"/>
        <v>1998</v>
      </c>
      <c r="H375" s="52">
        <f t="shared" si="109"/>
        <v>789493.11</v>
      </c>
      <c r="I375" s="37">
        <f t="shared" si="109"/>
        <v>2021</v>
      </c>
      <c r="J375" s="52">
        <f t="shared" si="109"/>
        <v>30</v>
      </c>
      <c r="K375" s="175">
        <f t="shared" si="109"/>
        <v>0</v>
      </c>
      <c r="L375" s="52">
        <f t="shared" si="109"/>
        <v>263672.8175889462</v>
      </c>
      <c r="N375" s="43">
        <f t="shared" ref="N375:N438" si="110">L375*IF(K375=1,$F$19,1)</f>
        <v>263672.8175889462</v>
      </c>
      <c r="P375" s="38">
        <f t="shared" si="101"/>
        <v>6.5</v>
      </c>
      <c r="R375" s="43">
        <f t="shared" si="93"/>
        <v>47461.107166010319</v>
      </c>
      <c r="S375" s="43">
        <f t="shared" si="93"/>
        <v>37968.885732808259</v>
      </c>
      <c r="T375" s="43">
        <f t="shared" si="93"/>
        <v>33750.120651385114</v>
      </c>
      <c r="U375" s="43">
        <f t="shared" si="93"/>
        <v>33750.120651385114</v>
      </c>
      <c r="V375" s="43">
        <f t="shared" si="93"/>
        <v>33750.120651385114</v>
      </c>
      <c r="X375" s="43">
        <f t="shared" si="94"/>
        <v>4056.504885983788</v>
      </c>
      <c r="Y375" s="43">
        <f t="shared" si="94"/>
        <v>4056.5048859837875</v>
      </c>
      <c r="Z375" s="43">
        <f t="shared" si="94"/>
        <v>4056.5048859837875</v>
      </c>
      <c r="AA375" s="43">
        <f t="shared" si="94"/>
        <v>4056.5048859837875</v>
      </c>
      <c r="AB375" s="43">
        <f t="shared" si="94"/>
        <v>4056.5048859837875</v>
      </c>
      <c r="AD375" s="43">
        <f t="shared" ref="AD375:AD438" si="111">IF(OR(AD$305&lt;=$G375+$J375,$J375=0),IF(AC375=0,$L375,AC375)-R375-X375,0)</f>
        <v>212155.2055369521</v>
      </c>
      <c r="AE375" s="43">
        <f t="shared" ref="AE375:AE438" si="112">IF(OR(AE$305&lt;=$G375+$J375,$J375=0),IF(AD375=0,$L375,AD375)-S375-Y375,0)</f>
        <v>170129.81491816003</v>
      </c>
      <c r="AF375" s="43">
        <f t="shared" ref="AF375:AF438" si="113">IF(OR(AF$305&lt;=$G375+$J375,$J375=0),IF(AE375=0,$L375,AE375)-T375-Z375,0)</f>
        <v>132323.18938079113</v>
      </c>
      <c r="AG375" s="43">
        <f t="shared" ref="AG375:AG438" si="114">IF(OR(AG$305&lt;=$G375+$J375,$J375=0),IF(AF375=0,$L375,AF375)-U375-AA375,0)</f>
        <v>94516.563843422235</v>
      </c>
      <c r="AH375" s="43">
        <f t="shared" ref="AH375:AH438" si="115">IF(OR(AH$305&lt;=$G375+$J375,$J375=0),IF(AG375=0,$L375,AG375)-V375-AB375,0)</f>
        <v>56709.938306053336</v>
      </c>
      <c r="AJ375" s="43">
        <f t="shared" si="102"/>
        <v>58730.889040250477</v>
      </c>
      <c r="AK375" s="43">
        <f t="shared" si="103"/>
        <v>47639.674511091325</v>
      </c>
      <c r="AL375" s="43">
        <f t="shared" si="104"/>
        <v>42834.906733838958</v>
      </c>
      <c r="AM375" s="43">
        <f t="shared" si="105"/>
        <v>41398.254963418942</v>
      </c>
      <c r="AN375" s="43">
        <f t="shared" si="106"/>
        <v>39961.603192998926</v>
      </c>
    </row>
    <row r="376" spans="2:40">
      <c r="B376" s="37" t="str">
        <f t="shared" si="99"/>
        <v>Asset 70</v>
      </c>
      <c r="F376" s="37" t="str">
        <f t="shared" ref="F376:L376" si="116">F128</f>
        <v>20 Kantoorgebouwen</v>
      </c>
      <c r="G376" s="37">
        <f t="shared" si="116"/>
        <v>1995</v>
      </c>
      <c r="H376" s="52">
        <f t="shared" si="116"/>
        <v>93310335.520000011</v>
      </c>
      <c r="I376" s="37">
        <f t="shared" si="116"/>
        <v>2021</v>
      </c>
      <c r="J376" s="52">
        <f t="shared" si="116"/>
        <v>30</v>
      </c>
      <c r="K376" s="175">
        <f t="shared" si="116"/>
        <v>0</v>
      </c>
      <c r="L376" s="52">
        <f t="shared" si="116"/>
        <v>17806929.596040629</v>
      </c>
      <c r="N376" s="43">
        <f t="shared" si="110"/>
        <v>17806929.596040629</v>
      </c>
      <c r="P376" s="38">
        <f t="shared" si="101"/>
        <v>3.5</v>
      </c>
      <c r="R376" s="43">
        <f t="shared" si="93"/>
        <v>5952602.1792478682</v>
      </c>
      <c r="S376" s="43">
        <f t="shared" si="93"/>
        <v>4029453.7828754797</v>
      </c>
      <c r="T376" s="43">
        <f t="shared" si="93"/>
        <v>4029453.7828754797</v>
      </c>
      <c r="U376" s="43">
        <f t="shared" si="93"/>
        <v>2014726.8914377398</v>
      </c>
      <c r="V376" s="43">
        <f t="shared" si="93"/>
        <v>0</v>
      </c>
      <c r="X376" s="43">
        <f t="shared" si="94"/>
        <v>508769.41702973231</v>
      </c>
      <c r="Y376" s="43">
        <f t="shared" si="94"/>
        <v>508769.41702973231</v>
      </c>
      <c r="Z376" s="43">
        <f t="shared" si="94"/>
        <v>508769.41702973231</v>
      </c>
      <c r="AA376" s="43">
        <f t="shared" si="94"/>
        <v>254384.70851486616</v>
      </c>
      <c r="AB376" s="43">
        <f t="shared" si="94"/>
        <v>0</v>
      </c>
      <c r="AD376" s="43">
        <f t="shared" si="111"/>
        <v>11345557.999763029</v>
      </c>
      <c r="AE376" s="43">
        <f t="shared" si="112"/>
        <v>6807334.7998578167</v>
      </c>
      <c r="AF376" s="43">
        <f t="shared" si="113"/>
        <v>2269111.5999526046</v>
      </c>
      <c r="AG376" s="43">
        <f t="shared" si="114"/>
        <v>-1.3678800314664841E-9</v>
      </c>
      <c r="AH376" s="43">
        <f t="shared" si="115"/>
        <v>0</v>
      </c>
      <c r="AJ376" s="43">
        <f t="shared" si="102"/>
        <v>6847120.5682695433</v>
      </c>
      <c r="AK376" s="43">
        <f t="shared" si="103"/>
        <v>4762865.2483005198</v>
      </c>
      <c r="AL376" s="43">
        <f t="shared" si="104"/>
        <v>4624449.4407034107</v>
      </c>
      <c r="AM376" s="43">
        <f t="shared" si="105"/>
        <v>2269111.599952606</v>
      </c>
      <c r="AN376" s="43">
        <f t="shared" si="106"/>
        <v>0</v>
      </c>
    </row>
    <row r="377" spans="2:40">
      <c r="B377" s="37" t="str">
        <f t="shared" si="99"/>
        <v>Asset 71</v>
      </c>
      <c r="F377" s="37" t="str">
        <f t="shared" ref="F377:L377" si="117">F129</f>
        <v>09 Bedrijfsinventaris</v>
      </c>
      <c r="G377" s="37">
        <f t="shared" si="117"/>
        <v>1997</v>
      </c>
      <c r="H377" s="52">
        <f t="shared" si="117"/>
        <v>3767.74</v>
      </c>
      <c r="I377" s="37">
        <f t="shared" si="117"/>
        <v>2021</v>
      </c>
      <c r="J377" s="52">
        <f t="shared" si="117"/>
        <v>10</v>
      </c>
      <c r="K377" s="175">
        <f t="shared" si="117"/>
        <v>1</v>
      </c>
      <c r="L377" s="52">
        <f t="shared" si="117"/>
        <v>0</v>
      </c>
      <c r="N377" s="43">
        <f t="shared" si="110"/>
        <v>0</v>
      </c>
      <c r="P377" s="38">
        <f t="shared" si="101"/>
        <v>0</v>
      </c>
      <c r="R377" s="43">
        <f t="shared" ref="R377:V386" si="118">IF(R$305&lt;=$G377+$J377,VDB($L377*(1-$F$25),0,$P377,R$305-2022,MIN(R$305-2021,$P377),$F$22),0)</f>
        <v>0</v>
      </c>
      <c r="S377" s="43">
        <f t="shared" si="118"/>
        <v>0</v>
      </c>
      <c r="T377" s="43">
        <f t="shared" si="118"/>
        <v>0</v>
      </c>
      <c r="U377" s="43">
        <f t="shared" si="118"/>
        <v>0</v>
      </c>
      <c r="V377" s="43">
        <f t="shared" si="118"/>
        <v>0</v>
      </c>
      <c r="X377" s="43">
        <f t="shared" ref="X377:AB386" si="119">IF(X$305&lt;=$G377+$J377,VDB($L377*$F$25,0,$P377,X$305-2022,MIN(X$305-2021,$P377),1),0)</f>
        <v>0</v>
      </c>
      <c r="Y377" s="43">
        <f t="shared" si="119"/>
        <v>0</v>
      </c>
      <c r="Z377" s="43">
        <f t="shared" si="119"/>
        <v>0</v>
      </c>
      <c r="AA377" s="43">
        <f t="shared" si="119"/>
        <v>0</v>
      </c>
      <c r="AB377" s="43">
        <f t="shared" si="119"/>
        <v>0</v>
      </c>
      <c r="AD377" s="43">
        <f t="shared" si="111"/>
        <v>0</v>
      </c>
      <c r="AE377" s="43">
        <f t="shared" si="112"/>
        <v>0</v>
      </c>
      <c r="AF377" s="43">
        <f t="shared" si="113"/>
        <v>0</v>
      </c>
      <c r="AG377" s="43">
        <f t="shared" si="114"/>
        <v>0</v>
      </c>
      <c r="AH377" s="43">
        <f t="shared" si="115"/>
        <v>0</v>
      </c>
      <c r="AJ377" s="43">
        <f t="shared" si="102"/>
        <v>0</v>
      </c>
      <c r="AK377" s="43">
        <f t="shared" si="103"/>
        <v>0</v>
      </c>
      <c r="AL377" s="43">
        <f t="shared" si="104"/>
        <v>0</v>
      </c>
      <c r="AM377" s="43">
        <f t="shared" si="105"/>
        <v>0</v>
      </c>
      <c r="AN377" s="43">
        <f t="shared" si="106"/>
        <v>0</v>
      </c>
    </row>
    <row r="378" spans="2:40">
      <c r="B378" s="37" t="str">
        <f t="shared" si="99"/>
        <v>Asset 72</v>
      </c>
      <c r="F378" s="37" t="str">
        <f t="shared" ref="F378:L378" si="120">F130</f>
        <v>08 Inrichting gebouwen</v>
      </c>
      <c r="G378" s="37">
        <f t="shared" si="120"/>
        <v>2002</v>
      </c>
      <c r="H378" s="52">
        <f t="shared" si="120"/>
        <v>257167.26</v>
      </c>
      <c r="I378" s="37">
        <f t="shared" si="120"/>
        <v>2021</v>
      </c>
      <c r="J378" s="52">
        <f t="shared" si="120"/>
        <v>10</v>
      </c>
      <c r="K378" s="175">
        <f t="shared" si="120"/>
        <v>0</v>
      </c>
      <c r="L378" s="52">
        <f t="shared" si="120"/>
        <v>0</v>
      </c>
      <c r="N378" s="43">
        <f t="shared" si="110"/>
        <v>0</v>
      </c>
      <c r="P378" s="38">
        <f t="shared" si="101"/>
        <v>0</v>
      </c>
      <c r="R378" s="43">
        <f t="shared" si="118"/>
        <v>0</v>
      </c>
      <c r="S378" s="43">
        <f t="shared" si="118"/>
        <v>0</v>
      </c>
      <c r="T378" s="43">
        <f t="shared" si="118"/>
        <v>0</v>
      </c>
      <c r="U378" s="43">
        <f t="shared" si="118"/>
        <v>0</v>
      </c>
      <c r="V378" s="43">
        <f t="shared" si="118"/>
        <v>0</v>
      </c>
      <c r="X378" s="43">
        <f t="shared" si="119"/>
        <v>0</v>
      </c>
      <c r="Y378" s="43">
        <f t="shared" si="119"/>
        <v>0</v>
      </c>
      <c r="Z378" s="43">
        <f t="shared" si="119"/>
        <v>0</v>
      </c>
      <c r="AA378" s="43">
        <f t="shared" si="119"/>
        <v>0</v>
      </c>
      <c r="AB378" s="43">
        <f t="shared" si="119"/>
        <v>0</v>
      </c>
      <c r="AD378" s="43">
        <f t="shared" si="111"/>
        <v>0</v>
      </c>
      <c r="AE378" s="43">
        <f t="shared" si="112"/>
        <v>0</v>
      </c>
      <c r="AF378" s="43">
        <f t="shared" si="113"/>
        <v>0</v>
      </c>
      <c r="AG378" s="43">
        <f t="shared" si="114"/>
        <v>0</v>
      </c>
      <c r="AH378" s="43">
        <f t="shared" si="115"/>
        <v>0</v>
      </c>
      <c r="AJ378" s="43">
        <f t="shared" si="102"/>
        <v>0</v>
      </c>
      <c r="AK378" s="43">
        <f t="shared" si="103"/>
        <v>0</v>
      </c>
      <c r="AL378" s="43">
        <f t="shared" si="104"/>
        <v>0</v>
      </c>
      <c r="AM378" s="43">
        <f t="shared" si="105"/>
        <v>0</v>
      </c>
      <c r="AN378" s="43">
        <f t="shared" si="106"/>
        <v>0</v>
      </c>
    </row>
    <row r="379" spans="2:40">
      <c r="B379" s="37" t="str">
        <f t="shared" si="99"/>
        <v>Asset 73</v>
      </c>
      <c r="F379" s="37" t="str">
        <f t="shared" ref="F379:L379" si="121">F131</f>
        <v>20 Kantoorgebouwen</v>
      </c>
      <c r="G379" s="37">
        <f t="shared" si="121"/>
        <v>1997</v>
      </c>
      <c r="H379" s="52">
        <f t="shared" si="121"/>
        <v>9956.39</v>
      </c>
      <c r="I379" s="37">
        <f t="shared" si="121"/>
        <v>2021</v>
      </c>
      <c r="J379" s="52">
        <f t="shared" si="121"/>
        <v>30</v>
      </c>
      <c r="K379" s="175">
        <f t="shared" si="121"/>
        <v>0</v>
      </c>
      <c r="L379" s="52">
        <f t="shared" si="121"/>
        <v>2886.7927731398736</v>
      </c>
      <c r="N379" s="43">
        <f t="shared" si="110"/>
        <v>2886.7927731398736</v>
      </c>
      <c r="P379" s="38">
        <f t="shared" si="101"/>
        <v>5.5</v>
      </c>
      <c r="R379" s="43">
        <f t="shared" si="118"/>
        <v>614.09955355884586</v>
      </c>
      <c r="S379" s="43">
        <f t="shared" si="118"/>
        <v>468.94874999039138</v>
      </c>
      <c r="T379" s="43">
        <f t="shared" si="118"/>
        <v>432.8757692218997</v>
      </c>
      <c r="U379" s="43">
        <f t="shared" si="118"/>
        <v>432.8757692218997</v>
      </c>
      <c r="V379" s="43">
        <f t="shared" si="118"/>
        <v>432.8757692218997</v>
      </c>
      <c r="X379" s="43">
        <f t="shared" si="119"/>
        <v>52.487141329815884</v>
      </c>
      <c r="Y379" s="43">
        <f t="shared" si="119"/>
        <v>52.487141329815891</v>
      </c>
      <c r="Z379" s="43">
        <f t="shared" si="119"/>
        <v>52.487141329815891</v>
      </c>
      <c r="AA379" s="43">
        <f t="shared" si="119"/>
        <v>52.487141329815891</v>
      </c>
      <c r="AB379" s="43">
        <f t="shared" si="119"/>
        <v>52.487141329815891</v>
      </c>
      <c r="AD379" s="43">
        <f t="shared" si="111"/>
        <v>2220.2060782512117</v>
      </c>
      <c r="AE379" s="43">
        <f t="shared" si="112"/>
        <v>1698.7701869310044</v>
      </c>
      <c r="AF379" s="43">
        <f t="shared" si="113"/>
        <v>1213.407276379289</v>
      </c>
      <c r="AG379" s="43">
        <f t="shared" si="114"/>
        <v>728.04436582757342</v>
      </c>
      <c r="AH379" s="43">
        <f t="shared" si="115"/>
        <v>242.68145527585781</v>
      </c>
      <c r="AJ379" s="43">
        <f t="shared" si="102"/>
        <v>742.07370154920295</v>
      </c>
      <c r="AK379" s="43">
        <f t="shared" si="103"/>
        <v>577.49530748893039</v>
      </c>
      <c r="AL379" s="43">
        <f t="shared" si="104"/>
        <v>531.4723870541286</v>
      </c>
      <c r="AM379" s="43">
        <f t="shared" si="105"/>
        <v>513.02859645316335</v>
      </c>
      <c r="AN379" s="43">
        <f t="shared" si="106"/>
        <v>494.58480585219814</v>
      </c>
    </row>
    <row r="380" spans="2:40">
      <c r="B380" s="37" t="str">
        <f t="shared" si="99"/>
        <v>Asset 74</v>
      </c>
      <c r="F380" s="37" t="str">
        <f t="shared" ref="F380:L380" si="122">F132</f>
        <v>09 Bedrijfsinventaris</v>
      </c>
      <c r="G380" s="37">
        <f t="shared" si="122"/>
        <v>2002</v>
      </c>
      <c r="H380" s="52">
        <f t="shared" si="122"/>
        <v>259859.76</v>
      </c>
      <c r="I380" s="37">
        <f t="shared" si="122"/>
        <v>2021</v>
      </c>
      <c r="J380" s="52">
        <f t="shared" si="122"/>
        <v>10</v>
      </c>
      <c r="K380" s="175">
        <f t="shared" si="122"/>
        <v>1</v>
      </c>
      <c r="L380" s="52">
        <f t="shared" si="122"/>
        <v>0</v>
      </c>
      <c r="N380" s="43">
        <f t="shared" si="110"/>
        <v>0</v>
      </c>
      <c r="P380" s="38">
        <f t="shared" si="101"/>
        <v>0</v>
      </c>
      <c r="R380" s="43">
        <f t="shared" si="118"/>
        <v>0</v>
      </c>
      <c r="S380" s="43">
        <f t="shared" si="118"/>
        <v>0</v>
      </c>
      <c r="T380" s="43">
        <f t="shared" si="118"/>
        <v>0</v>
      </c>
      <c r="U380" s="43">
        <f t="shared" si="118"/>
        <v>0</v>
      </c>
      <c r="V380" s="43">
        <f t="shared" si="118"/>
        <v>0</v>
      </c>
      <c r="X380" s="43">
        <f t="shared" si="119"/>
        <v>0</v>
      </c>
      <c r="Y380" s="43">
        <f t="shared" si="119"/>
        <v>0</v>
      </c>
      <c r="Z380" s="43">
        <f t="shared" si="119"/>
        <v>0</v>
      </c>
      <c r="AA380" s="43">
        <f t="shared" si="119"/>
        <v>0</v>
      </c>
      <c r="AB380" s="43">
        <f t="shared" si="119"/>
        <v>0</v>
      </c>
      <c r="AD380" s="43">
        <f t="shared" si="111"/>
        <v>0</v>
      </c>
      <c r="AE380" s="43">
        <f t="shared" si="112"/>
        <v>0</v>
      </c>
      <c r="AF380" s="43">
        <f t="shared" si="113"/>
        <v>0</v>
      </c>
      <c r="AG380" s="43">
        <f t="shared" si="114"/>
        <v>0</v>
      </c>
      <c r="AH380" s="43">
        <f t="shared" si="115"/>
        <v>0</v>
      </c>
      <c r="AJ380" s="43">
        <f t="shared" si="102"/>
        <v>0</v>
      </c>
      <c r="AK380" s="43">
        <f t="shared" si="103"/>
        <v>0</v>
      </c>
      <c r="AL380" s="43">
        <f t="shared" si="104"/>
        <v>0</v>
      </c>
      <c r="AM380" s="43">
        <f t="shared" si="105"/>
        <v>0</v>
      </c>
      <c r="AN380" s="43">
        <f t="shared" si="106"/>
        <v>0</v>
      </c>
    </row>
    <row r="381" spans="2:40">
      <c r="B381" s="37" t="str">
        <f t="shared" si="99"/>
        <v>Asset 75</v>
      </c>
      <c r="F381" s="37" t="str">
        <f t="shared" ref="F381:L381" si="123">F133</f>
        <v>37 ICT middelen 1</v>
      </c>
      <c r="G381" s="37">
        <f t="shared" si="123"/>
        <v>1998</v>
      </c>
      <c r="H381" s="52">
        <f t="shared" si="123"/>
        <v>194674.43</v>
      </c>
      <c r="I381" s="37">
        <f t="shared" si="123"/>
        <v>2021</v>
      </c>
      <c r="J381" s="52">
        <f t="shared" si="123"/>
        <v>5</v>
      </c>
      <c r="K381" s="175">
        <f t="shared" si="123"/>
        <v>1</v>
      </c>
      <c r="L381" s="52">
        <f t="shared" si="123"/>
        <v>0</v>
      </c>
      <c r="N381" s="43">
        <f t="shared" si="110"/>
        <v>0</v>
      </c>
      <c r="P381" s="38">
        <f t="shared" si="101"/>
        <v>0</v>
      </c>
      <c r="R381" s="43">
        <f t="shared" si="118"/>
        <v>0</v>
      </c>
      <c r="S381" s="43">
        <f t="shared" si="118"/>
        <v>0</v>
      </c>
      <c r="T381" s="43">
        <f t="shared" si="118"/>
        <v>0</v>
      </c>
      <c r="U381" s="43">
        <f t="shared" si="118"/>
        <v>0</v>
      </c>
      <c r="V381" s="43">
        <f t="shared" si="118"/>
        <v>0</v>
      </c>
      <c r="X381" s="43">
        <f t="shared" si="119"/>
        <v>0</v>
      </c>
      <c r="Y381" s="43">
        <f t="shared" si="119"/>
        <v>0</v>
      </c>
      <c r="Z381" s="43">
        <f t="shared" si="119"/>
        <v>0</v>
      </c>
      <c r="AA381" s="43">
        <f t="shared" si="119"/>
        <v>0</v>
      </c>
      <c r="AB381" s="43">
        <f t="shared" si="119"/>
        <v>0</v>
      </c>
      <c r="AD381" s="43">
        <f t="shared" si="111"/>
        <v>0</v>
      </c>
      <c r="AE381" s="43">
        <f t="shared" si="112"/>
        <v>0</v>
      </c>
      <c r="AF381" s="43">
        <f t="shared" si="113"/>
        <v>0</v>
      </c>
      <c r="AG381" s="43">
        <f t="shared" si="114"/>
        <v>0</v>
      </c>
      <c r="AH381" s="43">
        <f t="shared" si="115"/>
        <v>0</v>
      </c>
      <c r="AJ381" s="43">
        <f t="shared" si="102"/>
        <v>0</v>
      </c>
      <c r="AK381" s="43">
        <f t="shared" si="103"/>
        <v>0</v>
      </c>
      <c r="AL381" s="43">
        <f t="shared" si="104"/>
        <v>0</v>
      </c>
      <c r="AM381" s="43">
        <f t="shared" si="105"/>
        <v>0</v>
      </c>
      <c r="AN381" s="43">
        <f t="shared" si="106"/>
        <v>0</v>
      </c>
    </row>
    <row r="382" spans="2:40">
      <c r="B382" s="37" t="str">
        <f t="shared" si="99"/>
        <v>Asset 76</v>
      </c>
      <c r="F382" s="37" t="str">
        <f t="shared" ref="F382:L382" si="124">F134</f>
        <v>13 Aanhangwagens</v>
      </c>
      <c r="G382" s="37">
        <f t="shared" si="124"/>
        <v>2000</v>
      </c>
      <c r="H382" s="52">
        <f t="shared" si="124"/>
        <v>5437.76</v>
      </c>
      <c r="I382" s="37">
        <f t="shared" si="124"/>
        <v>2021</v>
      </c>
      <c r="J382" s="52">
        <f t="shared" si="124"/>
        <v>10</v>
      </c>
      <c r="K382" s="175">
        <f t="shared" si="124"/>
        <v>1</v>
      </c>
      <c r="L382" s="52">
        <f t="shared" si="124"/>
        <v>0</v>
      </c>
      <c r="N382" s="43">
        <f t="shared" si="110"/>
        <v>0</v>
      </c>
      <c r="P382" s="38">
        <f t="shared" si="101"/>
        <v>0</v>
      </c>
      <c r="R382" s="43">
        <f t="shared" si="118"/>
        <v>0</v>
      </c>
      <c r="S382" s="43">
        <f t="shared" si="118"/>
        <v>0</v>
      </c>
      <c r="T382" s="43">
        <f t="shared" si="118"/>
        <v>0</v>
      </c>
      <c r="U382" s="43">
        <f t="shared" si="118"/>
        <v>0</v>
      </c>
      <c r="V382" s="43">
        <f t="shared" si="118"/>
        <v>0</v>
      </c>
      <c r="X382" s="43">
        <f t="shared" si="119"/>
        <v>0</v>
      </c>
      <c r="Y382" s="43">
        <f t="shared" si="119"/>
        <v>0</v>
      </c>
      <c r="Z382" s="43">
        <f t="shared" si="119"/>
        <v>0</v>
      </c>
      <c r="AA382" s="43">
        <f t="shared" si="119"/>
        <v>0</v>
      </c>
      <c r="AB382" s="43">
        <f t="shared" si="119"/>
        <v>0</v>
      </c>
      <c r="AD382" s="43">
        <f t="shared" si="111"/>
        <v>0</v>
      </c>
      <c r="AE382" s="43">
        <f t="shared" si="112"/>
        <v>0</v>
      </c>
      <c r="AF382" s="43">
        <f t="shared" si="113"/>
        <v>0</v>
      </c>
      <c r="AG382" s="43">
        <f t="shared" si="114"/>
        <v>0</v>
      </c>
      <c r="AH382" s="43">
        <f t="shared" si="115"/>
        <v>0</v>
      </c>
      <c r="AJ382" s="43">
        <f t="shared" si="102"/>
        <v>0</v>
      </c>
      <c r="AK382" s="43">
        <f t="shared" si="103"/>
        <v>0</v>
      </c>
      <c r="AL382" s="43">
        <f t="shared" si="104"/>
        <v>0</v>
      </c>
      <c r="AM382" s="43">
        <f t="shared" si="105"/>
        <v>0</v>
      </c>
      <c r="AN382" s="43">
        <f t="shared" si="106"/>
        <v>0</v>
      </c>
    </row>
    <row r="383" spans="2:40">
      <c r="B383" s="37" t="str">
        <f t="shared" si="99"/>
        <v>Asset 77</v>
      </c>
      <c r="F383" s="37" t="str">
        <f t="shared" ref="F383:L383" si="125">F135</f>
        <v>09 Bedrijfsinventaris</v>
      </c>
      <c r="G383" s="37">
        <f t="shared" si="125"/>
        <v>1998</v>
      </c>
      <c r="H383" s="52">
        <f t="shared" si="125"/>
        <v>159402.09</v>
      </c>
      <c r="I383" s="37">
        <f t="shared" si="125"/>
        <v>2021</v>
      </c>
      <c r="J383" s="52">
        <f t="shared" si="125"/>
        <v>10</v>
      </c>
      <c r="K383" s="175">
        <f t="shared" si="125"/>
        <v>1</v>
      </c>
      <c r="L383" s="52">
        <f t="shared" si="125"/>
        <v>0</v>
      </c>
      <c r="N383" s="43">
        <f t="shared" si="110"/>
        <v>0</v>
      </c>
      <c r="P383" s="38">
        <f t="shared" si="101"/>
        <v>0</v>
      </c>
      <c r="R383" s="43">
        <f t="shared" si="118"/>
        <v>0</v>
      </c>
      <c r="S383" s="43">
        <f t="shared" si="118"/>
        <v>0</v>
      </c>
      <c r="T383" s="43">
        <f t="shared" si="118"/>
        <v>0</v>
      </c>
      <c r="U383" s="43">
        <f t="shared" si="118"/>
        <v>0</v>
      </c>
      <c r="V383" s="43">
        <f t="shared" si="118"/>
        <v>0</v>
      </c>
      <c r="X383" s="43">
        <f t="shared" si="119"/>
        <v>0</v>
      </c>
      <c r="Y383" s="43">
        <f t="shared" si="119"/>
        <v>0</v>
      </c>
      <c r="Z383" s="43">
        <f t="shared" si="119"/>
        <v>0</v>
      </c>
      <c r="AA383" s="43">
        <f t="shared" si="119"/>
        <v>0</v>
      </c>
      <c r="AB383" s="43">
        <f t="shared" si="119"/>
        <v>0</v>
      </c>
      <c r="AD383" s="43">
        <f t="shared" si="111"/>
        <v>0</v>
      </c>
      <c r="AE383" s="43">
        <f t="shared" si="112"/>
        <v>0</v>
      </c>
      <c r="AF383" s="43">
        <f t="shared" si="113"/>
        <v>0</v>
      </c>
      <c r="AG383" s="43">
        <f t="shared" si="114"/>
        <v>0</v>
      </c>
      <c r="AH383" s="43">
        <f t="shared" si="115"/>
        <v>0</v>
      </c>
      <c r="AJ383" s="43">
        <f t="shared" si="102"/>
        <v>0</v>
      </c>
      <c r="AK383" s="43">
        <f t="shared" si="103"/>
        <v>0</v>
      </c>
      <c r="AL383" s="43">
        <f t="shared" si="104"/>
        <v>0</v>
      </c>
      <c r="AM383" s="43">
        <f t="shared" si="105"/>
        <v>0</v>
      </c>
      <c r="AN383" s="43">
        <f t="shared" si="106"/>
        <v>0</v>
      </c>
    </row>
    <row r="384" spans="2:40">
      <c r="B384" s="37" t="str">
        <f t="shared" si="99"/>
        <v>Asset 78</v>
      </c>
      <c r="F384" s="37" t="str">
        <f t="shared" ref="F384:L384" si="126">F136</f>
        <v>08 Inrichting gebouwen</v>
      </c>
      <c r="G384" s="37">
        <f t="shared" si="126"/>
        <v>1998</v>
      </c>
      <c r="H384" s="52">
        <f t="shared" si="126"/>
        <v>120568.99000000002</v>
      </c>
      <c r="I384" s="37">
        <f t="shared" si="126"/>
        <v>2021</v>
      </c>
      <c r="J384" s="52">
        <f t="shared" si="126"/>
        <v>10</v>
      </c>
      <c r="K384" s="175">
        <f t="shared" si="126"/>
        <v>0</v>
      </c>
      <c r="L384" s="52">
        <f t="shared" si="126"/>
        <v>0</v>
      </c>
      <c r="N384" s="43">
        <f t="shared" si="110"/>
        <v>0</v>
      </c>
      <c r="P384" s="38">
        <f t="shared" si="101"/>
        <v>0</v>
      </c>
      <c r="R384" s="43">
        <f t="shared" si="118"/>
        <v>0</v>
      </c>
      <c r="S384" s="43">
        <f t="shared" si="118"/>
        <v>0</v>
      </c>
      <c r="T384" s="43">
        <f t="shared" si="118"/>
        <v>0</v>
      </c>
      <c r="U384" s="43">
        <f t="shared" si="118"/>
        <v>0</v>
      </c>
      <c r="V384" s="43">
        <f t="shared" si="118"/>
        <v>0</v>
      </c>
      <c r="X384" s="43">
        <f t="shared" si="119"/>
        <v>0</v>
      </c>
      <c r="Y384" s="43">
        <f t="shared" si="119"/>
        <v>0</v>
      </c>
      <c r="Z384" s="43">
        <f t="shared" si="119"/>
        <v>0</v>
      </c>
      <c r="AA384" s="43">
        <f t="shared" si="119"/>
        <v>0</v>
      </c>
      <c r="AB384" s="43">
        <f t="shared" si="119"/>
        <v>0</v>
      </c>
      <c r="AD384" s="43">
        <f t="shared" si="111"/>
        <v>0</v>
      </c>
      <c r="AE384" s="43">
        <f t="shared" si="112"/>
        <v>0</v>
      </c>
      <c r="AF384" s="43">
        <f t="shared" si="113"/>
        <v>0</v>
      </c>
      <c r="AG384" s="43">
        <f t="shared" si="114"/>
        <v>0</v>
      </c>
      <c r="AH384" s="43">
        <f t="shared" si="115"/>
        <v>0</v>
      </c>
      <c r="AJ384" s="43">
        <f t="shared" si="102"/>
        <v>0</v>
      </c>
      <c r="AK384" s="43">
        <f t="shared" si="103"/>
        <v>0</v>
      </c>
      <c r="AL384" s="43">
        <f t="shared" si="104"/>
        <v>0</v>
      </c>
      <c r="AM384" s="43">
        <f t="shared" si="105"/>
        <v>0</v>
      </c>
      <c r="AN384" s="43">
        <f t="shared" si="106"/>
        <v>0</v>
      </c>
    </row>
    <row r="385" spans="2:40">
      <c r="B385" s="37" t="str">
        <f t="shared" si="99"/>
        <v>Asset 79</v>
      </c>
      <c r="F385" s="37" t="str">
        <f t="shared" ref="F385:L385" si="127">F137</f>
        <v>37 ICT middelen 1</v>
      </c>
      <c r="G385" s="37">
        <f t="shared" si="127"/>
        <v>2002</v>
      </c>
      <c r="H385" s="52">
        <f t="shared" si="127"/>
        <v>342396.39</v>
      </c>
      <c r="I385" s="37">
        <f t="shared" si="127"/>
        <v>2021</v>
      </c>
      <c r="J385" s="52">
        <f t="shared" si="127"/>
        <v>5</v>
      </c>
      <c r="K385" s="175">
        <f t="shared" si="127"/>
        <v>1</v>
      </c>
      <c r="L385" s="52">
        <f t="shared" si="127"/>
        <v>0</v>
      </c>
      <c r="N385" s="43">
        <f t="shared" si="110"/>
        <v>0</v>
      </c>
      <c r="P385" s="38">
        <f t="shared" si="101"/>
        <v>0</v>
      </c>
      <c r="R385" s="43">
        <f t="shared" si="118"/>
        <v>0</v>
      </c>
      <c r="S385" s="43">
        <f t="shared" si="118"/>
        <v>0</v>
      </c>
      <c r="T385" s="43">
        <f t="shared" si="118"/>
        <v>0</v>
      </c>
      <c r="U385" s="43">
        <f t="shared" si="118"/>
        <v>0</v>
      </c>
      <c r="V385" s="43">
        <f t="shared" si="118"/>
        <v>0</v>
      </c>
      <c r="X385" s="43">
        <f t="shared" si="119"/>
        <v>0</v>
      </c>
      <c r="Y385" s="43">
        <f t="shared" si="119"/>
        <v>0</v>
      </c>
      <c r="Z385" s="43">
        <f t="shared" si="119"/>
        <v>0</v>
      </c>
      <c r="AA385" s="43">
        <f t="shared" si="119"/>
        <v>0</v>
      </c>
      <c r="AB385" s="43">
        <f t="shared" si="119"/>
        <v>0</v>
      </c>
      <c r="AD385" s="43">
        <f t="shared" si="111"/>
        <v>0</v>
      </c>
      <c r="AE385" s="43">
        <f t="shared" si="112"/>
        <v>0</v>
      </c>
      <c r="AF385" s="43">
        <f t="shared" si="113"/>
        <v>0</v>
      </c>
      <c r="AG385" s="43">
        <f t="shared" si="114"/>
        <v>0</v>
      </c>
      <c r="AH385" s="43">
        <f t="shared" si="115"/>
        <v>0</v>
      </c>
      <c r="AJ385" s="43">
        <f t="shared" si="102"/>
        <v>0</v>
      </c>
      <c r="AK385" s="43">
        <f t="shared" si="103"/>
        <v>0</v>
      </c>
      <c r="AL385" s="43">
        <f t="shared" si="104"/>
        <v>0</v>
      </c>
      <c r="AM385" s="43">
        <f t="shared" si="105"/>
        <v>0</v>
      </c>
      <c r="AN385" s="43">
        <f t="shared" si="106"/>
        <v>0</v>
      </c>
    </row>
    <row r="386" spans="2:40">
      <c r="B386" s="37" t="str">
        <f t="shared" si="99"/>
        <v>Asset 80</v>
      </c>
      <c r="F386" s="37" t="str">
        <f t="shared" ref="F386:L386" si="128">F138</f>
        <v>37 ICT middelen 1 (gaschromatografen en comptabele meting)</v>
      </c>
      <c r="G386" s="37">
        <f t="shared" si="128"/>
        <v>2000</v>
      </c>
      <c r="H386" s="52">
        <f t="shared" si="128"/>
        <v>717051.87</v>
      </c>
      <c r="I386" s="37">
        <f t="shared" si="128"/>
        <v>2021</v>
      </c>
      <c r="J386" s="52">
        <f t="shared" si="128"/>
        <v>5</v>
      </c>
      <c r="K386" s="175">
        <f t="shared" si="128"/>
        <v>0</v>
      </c>
      <c r="L386" s="52">
        <f t="shared" si="128"/>
        <v>0</v>
      </c>
      <c r="N386" s="43">
        <f t="shared" si="110"/>
        <v>0</v>
      </c>
      <c r="P386" s="38">
        <f t="shared" si="101"/>
        <v>0</v>
      </c>
      <c r="R386" s="43">
        <f t="shared" si="118"/>
        <v>0</v>
      </c>
      <c r="S386" s="43">
        <f t="shared" si="118"/>
        <v>0</v>
      </c>
      <c r="T386" s="43">
        <f t="shared" si="118"/>
        <v>0</v>
      </c>
      <c r="U386" s="43">
        <f t="shared" si="118"/>
        <v>0</v>
      </c>
      <c r="V386" s="43">
        <f t="shared" si="118"/>
        <v>0</v>
      </c>
      <c r="X386" s="43">
        <f t="shared" si="119"/>
        <v>0</v>
      </c>
      <c r="Y386" s="43">
        <f t="shared" si="119"/>
        <v>0</v>
      </c>
      <c r="Z386" s="43">
        <f t="shared" si="119"/>
        <v>0</v>
      </c>
      <c r="AA386" s="43">
        <f t="shared" si="119"/>
        <v>0</v>
      </c>
      <c r="AB386" s="43">
        <f t="shared" si="119"/>
        <v>0</v>
      </c>
      <c r="AD386" s="43">
        <f t="shared" si="111"/>
        <v>0</v>
      </c>
      <c r="AE386" s="43">
        <f t="shared" si="112"/>
        <v>0</v>
      </c>
      <c r="AF386" s="43">
        <f t="shared" si="113"/>
        <v>0</v>
      </c>
      <c r="AG386" s="43">
        <f t="shared" si="114"/>
        <v>0</v>
      </c>
      <c r="AH386" s="43">
        <f t="shared" si="115"/>
        <v>0</v>
      </c>
      <c r="AJ386" s="43">
        <f t="shared" si="102"/>
        <v>0</v>
      </c>
      <c r="AK386" s="43">
        <f t="shared" si="103"/>
        <v>0</v>
      </c>
      <c r="AL386" s="43">
        <f t="shared" si="104"/>
        <v>0</v>
      </c>
      <c r="AM386" s="43">
        <f t="shared" si="105"/>
        <v>0</v>
      </c>
      <c r="AN386" s="43">
        <f t="shared" si="106"/>
        <v>0</v>
      </c>
    </row>
    <row r="387" spans="2:40">
      <c r="B387" s="37" t="str">
        <f t="shared" si="99"/>
        <v>Asset 81</v>
      </c>
      <c r="F387" s="37" t="str">
        <f t="shared" ref="F387:L387" si="129">F139</f>
        <v>09 Bedrijfsinventaris</v>
      </c>
      <c r="G387" s="37">
        <f t="shared" si="129"/>
        <v>1999</v>
      </c>
      <c r="H387" s="52">
        <f t="shared" si="129"/>
        <v>64305.72</v>
      </c>
      <c r="I387" s="37">
        <f t="shared" si="129"/>
        <v>2021</v>
      </c>
      <c r="J387" s="52">
        <f t="shared" si="129"/>
        <v>10</v>
      </c>
      <c r="K387" s="175">
        <f t="shared" si="129"/>
        <v>1</v>
      </c>
      <c r="L387" s="52">
        <f t="shared" si="129"/>
        <v>0</v>
      </c>
      <c r="N387" s="43">
        <f t="shared" si="110"/>
        <v>0</v>
      </c>
      <c r="P387" s="38">
        <f t="shared" si="101"/>
        <v>0</v>
      </c>
      <c r="R387" s="43">
        <f t="shared" ref="R387:V396" si="130">IF(R$305&lt;=$G387+$J387,VDB($L387*(1-$F$25),0,$P387,R$305-2022,MIN(R$305-2021,$P387),$F$22),0)</f>
        <v>0</v>
      </c>
      <c r="S387" s="43">
        <f t="shared" si="130"/>
        <v>0</v>
      </c>
      <c r="T387" s="43">
        <f t="shared" si="130"/>
        <v>0</v>
      </c>
      <c r="U387" s="43">
        <f t="shared" si="130"/>
        <v>0</v>
      </c>
      <c r="V387" s="43">
        <f t="shared" si="130"/>
        <v>0</v>
      </c>
      <c r="X387" s="43">
        <f t="shared" ref="X387:AB396" si="131">IF(X$305&lt;=$G387+$J387,VDB($L387*$F$25,0,$P387,X$305-2022,MIN(X$305-2021,$P387),1),0)</f>
        <v>0</v>
      </c>
      <c r="Y387" s="43">
        <f t="shared" si="131"/>
        <v>0</v>
      </c>
      <c r="Z387" s="43">
        <f t="shared" si="131"/>
        <v>0</v>
      </c>
      <c r="AA387" s="43">
        <f t="shared" si="131"/>
        <v>0</v>
      </c>
      <c r="AB387" s="43">
        <f t="shared" si="131"/>
        <v>0</v>
      </c>
      <c r="AD387" s="43">
        <f t="shared" si="111"/>
        <v>0</v>
      </c>
      <c r="AE387" s="43">
        <f t="shared" si="112"/>
        <v>0</v>
      </c>
      <c r="AF387" s="43">
        <f t="shared" si="113"/>
        <v>0</v>
      </c>
      <c r="AG387" s="43">
        <f t="shared" si="114"/>
        <v>0</v>
      </c>
      <c r="AH387" s="43">
        <f t="shared" si="115"/>
        <v>0</v>
      </c>
      <c r="AJ387" s="43">
        <f t="shared" si="102"/>
        <v>0</v>
      </c>
      <c r="AK387" s="43">
        <f t="shared" si="103"/>
        <v>0</v>
      </c>
      <c r="AL387" s="43">
        <f t="shared" si="104"/>
        <v>0</v>
      </c>
      <c r="AM387" s="43">
        <f t="shared" si="105"/>
        <v>0</v>
      </c>
      <c r="AN387" s="43">
        <f t="shared" si="106"/>
        <v>0</v>
      </c>
    </row>
    <row r="388" spans="2:40">
      <c r="B388" s="37" t="str">
        <f t="shared" si="99"/>
        <v>Asset 82</v>
      </c>
      <c r="F388" s="37" t="str">
        <f t="shared" ref="F388:L388" si="132">F140</f>
        <v>08 Inrichting gebouwen</v>
      </c>
      <c r="G388" s="37">
        <f t="shared" si="132"/>
        <v>1999</v>
      </c>
      <c r="H388" s="52">
        <f t="shared" si="132"/>
        <v>41263.56</v>
      </c>
      <c r="I388" s="37">
        <f t="shared" si="132"/>
        <v>2021</v>
      </c>
      <c r="J388" s="52">
        <f t="shared" si="132"/>
        <v>10</v>
      </c>
      <c r="K388" s="175">
        <f t="shared" si="132"/>
        <v>0</v>
      </c>
      <c r="L388" s="52">
        <f t="shared" si="132"/>
        <v>0</v>
      </c>
      <c r="N388" s="43">
        <f t="shared" si="110"/>
        <v>0</v>
      </c>
      <c r="P388" s="38">
        <f t="shared" si="101"/>
        <v>0</v>
      </c>
      <c r="R388" s="43">
        <f t="shared" si="130"/>
        <v>0</v>
      </c>
      <c r="S388" s="43">
        <f t="shared" si="130"/>
        <v>0</v>
      </c>
      <c r="T388" s="43">
        <f t="shared" si="130"/>
        <v>0</v>
      </c>
      <c r="U388" s="43">
        <f t="shared" si="130"/>
        <v>0</v>
      </c>
      <c r="V388" s="43">
        <f t="shared" si="130"/>
        <v>0</v>
      </c>
      <c r="X388" s="43">
        <f t="shared" si="131"/>
        <v>0</v>
      </c>
      <c r="Y388" s="43">
        <f t="shared" si="131"/>
        <v>0</v>
      </c>
      <c r="Z388" s="43">
        <f t="shared" si="131"/>
        <v>0</v>
      </c>
      <c r="AA388" s="43">
        <f t="shared" si="131"/>
        <v>0</v>
      </c>
      <c r="AB388" s="43">
        <f t="shared" si="131"/>
        <v>0</v>
      </c>
      <c r="AD388" s="43">
        <f t="shared" si="111"/>
        <v>0</v>
      </c>
      <c r="AE388" s="43">
        <f t="shared" si="112"/>
        <v>0</v>
      </c>
      <c r="AF388" s="43">
        <f t="shared" si="113"/>
        <v>0</v>
      </c>
      <c r="AG388" s="43">
        <f t="shared" si="114"/>
        <v>0</v>
      </c>
      <c r="AH388" s="43">
        <f t="shared" si="115"/>
        <v>0</v>
      </c>
      <c r="AJ388" s="43">
        <f t="shared" si="102"/>
        <v>0</v>
      </c>
      <c r="AK388" s="43">
        <f t="shared" si="103"/>
        <v>0</v>
      </c>
      <c r="AL388" s="43">
        <f t="shared" si="104"/>
        <v>0</v>
      </c>
      <c r="AM388" s="43">
        <f t="shared" si="105"/>
        <v>0</v>
      </c>
      <c r="AN388" s="43">
        <f t="shared" si="106"/>
        <v>0</v>
      </c>
    </row>
    <row r="389" spans="2:40">
      <c r="B389" s="37" t="str">
        <f t="shared" si="99"/>
        <v>Asset 83</v>
      </c>
      <c r="F389" s="37" t="str">
        <f t="shared" ref="F389:L389" si="133">F141</f>
        <v>09 Bedrijfsinventaris</v>
      </c>
      <c r="G389" s="37">
        <f t="shared" si="133"/>
        <v>2000</v>
      </c>
      <c r="H389" s="52">
        <f t="shared" si="133"/>
        <v>5312.4</v>
      </c>
      <c r="I389" s="37">
        <f t="shared" si="133"/>
        <v>2021</v>
      </c>
      <c r="J389" s="52">
        <f t="shared" si="133"/>
        <v>10</v>
      </c>
      <c r="K389" s="175">
        <f t="shared" si="133"/>
        <v>1</v>
      </c>
      <c r="L389" s="52">
        <f t="shared" si="133"/>
        <v>0</v>
      </c>
      <c r="N389" s="43">
        <f t="shared" si="110"/>
        <v>0</v>
      </c>
      <c r="P389" s="38">
        <f t="shared" si="101"/>
        <v>0</v>
      </c>
      <c r="R389" s="43">
        <f t="shared" si="130"/>
        <v>0</v>
      </c>
      <c r="S389" s="43">
        <f t="shared" si="130"/>
        <v>0</v>
      </c>
      <c r="T389" s="43">
        <f t="shared" si="130"/>
        <v>0</v>
      </c>
      <c r="U389" s="43">
        <f t="shared" si="130"/>
        <v>0</v>
      </c>
      <c r="V389" s="43">
        <f t="shared" si="130"/>
        <v>0</v>
      </c>
      <c r="X389" s="43">
        <f t="shared" si="131"/>
        <v>0</v>
      </c>
      <c r="Y389" s="43">
        <f t="shared" si="131"/>
        <v>0</v>
      </c>
      <c r="Z389" s="43">
        <f t="shared" si="131"/>
        <v>0</v>
      </c>
      <c r="AA389" s="43">
        <f t="shared" si="131"/>
        <v>0</v>
      </c>
      <c r="AB389" s="43">
        <f t="shared" si="131"/>
        <v>0</v>
      </c>
      <c r="AD389" s="43">
        <f t="shared" si="111"/>
        <v>0</v>
      </c>
      <c r="AE389" s="43">
        <f t="shared" si="112"/>
        <v>0</v>
      </c>
      <c r="AF389" s="43">
        <f t="shared" si="113"/>
        <v>0</v>
      </c>
      <c r="AG389" s="43">
        <f t="shared" si="114"/>
        <v>0</v>
      </c>
      <c r="AH389" s="43">
        <f t="shared" si="115"/>
        <v>0</v>
      </c>
      <c r="AJ389" s="43">
        <f t="shared" si="102"/>
        <v>0</v>
      </c>
      <c r="AK389" s="43">
        <f t="shared" si="103"/>
        <v>0</v>
      </c>
      <c r="AL389" s="43">
        <f t="shared" si="104"/>
        <v>0</v>
      </c>
      <c r="AM389" s="43">
        <f t="shared" si="105"/>
        <v>0</v>
      </c>
      <c r="AN389" s="43">
        <f t="shared" si="106"/>
        <v>0</v>
      </c>
    </row>
    <row r="390" spans="2:40">
      <c r="B390" s="37" t="str">
        <f t="shared" si="99"/>
        <v>Asset 84</v>
      </c>
      <c r="F390" s="37" t="str">
        <f t="shared" ref="F390:L390" si="134">F142</f>
        <v>37 ICT middelen 1</v>
      </c>
      <c r="G390" s="37">
        <f t="shared" si="134"/>
        <v>2001</v>
      </c>
      <c r="H390" s="52">
        <f t="shared" si="134"/>
        <v>1754908.7700000003</v>
      </c>
      <c r="I390" s="37">
        <f t="shared" si="134"/>
        <v>2021</v>
      </c>
      <c r="J390" s="52">
        <f t="shared" si="134"/>
        <v>5</v>
      </c>
      <c r="K390" s="175">
        <f t="shared" si="134"/>
        <v>1</v>
      </c>
      <c r="L390" s="52">
        <f t="shared" si="134"/>
        <v>0</v>
      </c>
      <c r="N390" s="43">
        <f t="shared" si="110"/>
        <v>0</v>
      </c>
      <c r="P390" s="38">
        <f t="shared" si="101"/>
        <v>0</v>
      </c>
      <c r="R390" s="43">
        <f t="shared" si="130"/>
        <v>0</v>
      </c>
      <c r="S390" s="43">
        <f t="shared" si="130"/>
        <v>0</v>
      </c>
      <c r="T390" s="43">
        <f t="shared" si="130"/>
        <v>0</v>
      </c>
      <c r="U390" s="43">
        <f t="shared" si="130"/>
        <v>0</v>
      </c>
      <c r="V390" s="43">
        <f t="shared" si="130"/>
        <v>0</v>
      </c>
      <c r="X390" s="43">
        <f t="shared" si="131"/>
        <v>0</v>
      </c>
      <c r="Y390" s="43">
        <f t="shared" si="131"/>
        <v>0</v>
      </c>
      <c r="Z390" s="43">
        <f t="shared" si="131"/>
        <v>0</v>
      </c>
      <c r="AA390" s="43">
        <f t="shared" si="131"/>
        <v>0</v>
      </c>
      <c r="AB390" s="43">
        <f t="shared" si="131"/>
        <v>0</v>
      </c>
      <c r="AD390" s="43">
        <f t="shared" si="111"/>
        <v>0</v>
      </c>
      <c r="AE390" s="43">
        <f t="shared" si="112"/>
        <v>0</v>
      </c>
      <c r="AF390" s="43">
        <f t="shared" si="113"/>
        <v>0</v>
      </c>
      <c r="AG390" s="43">
        <f t="shared" si="114"/>
        <v>0</v>
      </c>
      <c r="AH390" s="43">
        <f t="shared" si="115"/>
        <v>0</v>
      </c>
      <c r="AJ390" s="43">
        <f t="shared" si="102"/>
        <v>0</v>
      </c>
      <c r="AK390" s="43">
        <f t="shared" si="103"/>
        <v>0</v>
      </c>
      <c r="AL390" s="43">
        <f t="shared" si="104"/>
        <v>0</v>
      </c>
      <c r="AM390" s="43">
        <f t="shared" si="105"/>
        <v>0</v>
      </c>
      <c r="AN390" s="43">
        <f t="shared" si="106"/>
        <v>0</v>
      </c>
    </row>
    <row r="391" spans="2:40">
      <c r="B391" s="37" t="str">
        <f t="shared" si="99"/>
        <v>Asset 85</v>
      </c>
      <c r="F391" s="37" t="str">
        <f t="shared" ref="F391:L391" si="135">F143</f>
        <v>11 Werktuigen</v>
      </c>
      <c r="G391" s="37">
        <f t="shared" si="135"/>
        <v>2000</v>
      </c>
      <c r="H391" s="52">
        <f t="shared" si="135"/>
        <v>86461.709999999992</v>
      </c>
      <c r="I391" s="37">
        <f t="shared" si="135"/>
        <v>2021</v>
      </c>
      <c r="J391" s="52">
        <f t="shared" si="135"/>
        <v>10</v>
      </c>
      <c r="K391" s="175">
        <f t="shared" si="135"/>
        <v>1</v>
      </c>
      <c r="L391" s="52">
        <f t="shared" si="135"/>
        <v>0</v>
      </c>
      <c r="N391" s="43">
        <f t="shared" si="110"/>
        <v>0</v>
      </c>
      <c r="P391" s="38">
        <f t="shared" si="101"/>
        <v>0</v>
      </c>
      <c r="R391" s="43">
        <f t="shared" si="130"/>
        <v>0</v>
      </c>
      <c r="S391" s="43">
        <f t="shared" si="130"/>
        <v>0</v>
      </c>
      <c r="T391" s="43">
        <f t="shared" si="130"/>
        <v>0</v>
      </c>
      <c r="U391" s="43">
        <f t="shared" si="130"/>
        <v>0</v>
      </c>
      <c r="V391" s="43">
        <f t="shared" si="130"/>
        <v>0</v>
      </c>
      <c r="X391" s="43">
        <f t="shared" si="131"/>
        <v>0</v>
      </c>
      <c r="Y391" s="43">
        <f t="shared" si="131"/>
        <v>0</v>
      </c>
      <c r="Z391" s="43">
        <f t="shared" si="131"/>
        <v>0</v>
      </c>
      <c r="AA391" s="43">
        <f t="shared" si="131"/>
        <v>0</v>
      </c>
      <c r="AB391" s="43">
        <f t="shared" si="131"/>
        <v>0</v>
      </c>
      <c r="AD391" s="43">
        <f t="shared" si="111"/>
        <v>0</v>
      </c>
      <c r="AE391" s="43">
        <f t="shared" si="112"/>
        <v>0</v>
      </c>
      <c r="AF391" s="43">
        <f t="shared" si="113"/>
        <v>0</v>
      </c>
      <c r="AG391" s="43">
        <f t="shared" si="114"/>
        <v>0</v>
      </c>
      <c r="AH391" s="43">
        <f t="shared" si="115"/>
        <v>0</v>
      </c>
      <c r="AJ391" s="43">
        <f t="shared" si="102"/>
        <v>0</v>
      </c>
      <c r="AK391" s="43">
        <f t="shared" si="103"/>
        <v>0</v>
      </c>
      <c r="AL391" s="43">
        <f t="shared" si="104"/>
        <v>0</v>
      </c>
      <c r="AM391" s="43">
        <f t="shared" si="105"/>
        <v>0</v>
      </c>
      <c r="AN391" s="43">
        <f t="shared" si="106"/>
        <v>0</v>
      </c>
    </row>
    <row r="392" spans="2:40">
      <c r="B392" s="37" t="str">
        <f t="shared" si="99"/>
        <v>Asset 86</v>
      </c>
      <c r="F392" s="37" t="str">
        <f t="shared" ref="F392:L392" si="136">F144</f>
        <v>13 Aanhangwagens</v>
      </c>
      <c r="G392" s="37">
        <f t="shared" si="136"/>
        <v>1998</v>
      </c>
      <c r="H392" s="52">
        <f t="shared" si="136"/>
        <v>3630.24</v>
      </c>
      <c r="I392" s="37">
        <f t="shared" si="136"/>
        <v>2021</v>
      </c>
      <c r="J392" s="52">
        <f t="shared" si="136"/>
        <v>10</v>
      </c>
      <c r="K392" s="175">
        <f t="shared" si="136"/>
        <v>1</v>
      </c>
      <c r="L392" s="52">
        <f t="shared" si="136"/>
        <v>0</v>
      </c>
      <c r="N392" s="43">
        <f t="shared" si="110"/>
        <v>0</v>
      </c>
      <c r="P392" s="38">
        <f t="shared" si="101"/>
        <v>0</v>
      </c>
      <c r="R392" s="43">
        <f t="shared" si="130"/>
        <v>0</v>
      </c>
      <c r="S392" s="43">
        <f t="shared" si="130"/>
        <v>0</v>
      </c>
      <c r="T392" s="43">
        <f t="shared" si="130"/>
        <v>0</v>
      </c>
      <c r="U392" s="43">
        <f t="shared" si="130"/>
        <v>0</v>
      </c>
      <c r="V392" s="43">
        <f t="shared" si="130"/>
        <v>0</v>
      </c>
      <c r="X392" s="43">
        <f t="shared" si="131"/>
        <v>0</v>
      </c>
      <c r="Y392" s="43">
        <f t="shared" si="131"/>
        <v>0</v>
      </c>
      <c r="Z392" s="43">
        <f t="shared" si="131"/>
        <v>0</v>
      </c>
      <c r="AA392" s="43">
        <f t="shared" si="131"/>
        <v>0</v>
      </c>
      <c r="AB392" s="43">
        <f t="shared" si="131"/>
        <v>0</v>
      </c>
      <c r="AD392" s="43">
        <f t="shared" si="111"/>
        <v>0</v>
      </c>
      <c r="AE392" s="43">
        <f t="shared" si="112"/>
        <v>0</v>
      </c>
      <c r="AF392" s="43">
        <f t="shared" si="113"/>
        <v>0</v>
      </c>
      <c r="AG392" s="43">
        <f t="shared" si="114"/>
        <v>0</v>
      </c>
      <c r="AH392" s="43">
        <f t="shared" si="115"/>
        <v>0</v>
      </c>
      <c r="AJ392" s="43">
        <f t="shared" si="102"/>
        <v>0</v>
      </c>
      <c r="AK392" s="43">
        <f t="shared" si="103"/>
        <v>0</v>
      </c>
      <c r="AL392" s="43">
        <f t="shared" si="104"/>
        <v>0</v>
      </c>
      <c r="AM392" s="43">
        <f t="shared" si="105"/>
        <v>0</v>
      </c>
      <c r="AN392" s="43">
        <f t="shared" si="106"/>
        <v>0</v>
      </c>
    </row>
    <row r="393" spans="2:40">
      <c r="B393" s="37" t="str">
        <f t="shared" si="99"/>
        <v>Asset 87</v>
      </c>
      <c r="F393" s="37" t="str">
        <f t="shared" ref="F393:L393" si="137">F145</f>
        <v>37 ICT middelen 1</v>
      </c>
      <c r="G393" s="37">
        <f t="shared" si="137"/>
        <v>2000</v>
      </c>
      <c r="H393" s="52">
        <f t="shared" si="137"/>
        <v>63690.75</v>
      </c>
      <c r="I393" s="37">
        <f t="shared" si="137"/>
        <v>2021</v>
      </c>
      <c r="J393" s="52">
        <f t="shared" si="137"/>
        <v>5</v>
      </c>
      <c r="K393" s="175">
        <f t="shared" si="137"/>
        <v>1</v>
      </c>
      <c r="L393" s="52">
        <f t="shared" si="137"/>
        <v>0</v>
      </c>
      <c r="N393" s="43">
        <f t="shared" si="110"/>
        <v>0</v>
      </c>
      <c r="P393" s="38">
        <f t="shared" si="101"/>
        <v>0</v>
      </c>
      <c r="R393" s="43">
        <f t="shared" si="130"/>
        <v>0</v>
      </c>
      <c r="S393" s="43">
        <f t="shared" si="130"/>
        <v>0</v>
      </c>
      <c r="T393" s="43">
        <f t="shared" si="130"/>
        <v>0</v>
      </c>
      <c r="U393" s="43">
        <f t="shared" si="130"/>
        <v>0</v>
      </c>
      <c r="V393" s="43">
        <f t="shared" si="130"/>
        <v>0</v>
      </c>
      <c r="X393" s="43">
        <f t="shared" si="131"/>
        <v>0</v>
      </c>
      <c r="Y393" s="43">
        <f t="shared" si="131"/>
        <v>0</v>
      </c>
      <c r="Z393" s="43">
        <f t="shared" si="131"/>
        <v>0</v>
      </c>
      <c r="AA393" s="43">
        <f t="shared" si="131"/>
        <v>0</v>
      </c>
      <c r="AB393" s="43">
        <f t="shared" si="131"/>
        <v>0</v>
      </c>
      <c r="AD393" s="43">
        <f t="shared" si="111"/>
        <v>0</v>
      </c>
      <c r="AE393" s="43">
        <f t="shared" si="112"/>
        <v>0</v>
      </c>
      <c r="AF393" s="43">
        <f t="shared" si="113"/>
        <v>0</v>
      </c>
      <c r="AG393" s="43">
        <f t="shared" si="114"/>
        <v>0</v>
      </c>
      <c r="AH393" s="43">
        <f t="shared" si="115"/>
        <v>0</v>
      </c>
      <c r="AJ393" s="43">
        <f t="shared" si="102"/>
        <v>0</v>
      </c>
      <c r="AK393" s="43">
        <f t="shared" si="103"/>
        <v>0</v>
      </c>
      <c r="AL393" s="43">
        <f t="shared" si="104"/>
        <v>0</v>
      </c>
      <c r="AM393" s="43">
        <f t="shared" si="105"/>
        <v>0</v>
      </c>
      <c r="AN393" s="43">
        <f t="shared" si="106"/>
        <v>0</v>
      </c>
    </row>
    <row r="394" spans="2:40">
      <c r="B394" s="37" t="str">
        <f t="shared" si="99"/>
        <v>Asset 88</v>
      </c>
      <c r="F394" s="37" t="str">
        <f t="shared" ref="F394:L394" si="138">F146</f>
        <v>08 Inrichting gebouwen</v>
      </c>
      <c r="G394" s="37">
        <f t="shared" si="138"/>
        <v>2000</v>
      </c>
      <c r="H394" s="52">
        <f t="shared" si="138"/>
        <v>53314.77</v>
      </c>
      <c r="I394" s="37">
        <f t="shared" si="138"/>
        <v>2021</v>
      </c>
      <c r="J394" s="52">
        <f t="shared" si="138"/>
        <v>10</v>
      </c>
      <c r="K394" s="175">
        <f t="shared" si="138"/>
        <v>0</v>
      </c>
      <c r="L394" s="52">
        <f t="shared" si="138"/>
        <v>0</v>
      </c>
      <c r="N394" s="43">
        <f t="shared" si="110"/>
        <v>0</v>
      </c>
      <c r="P394" s="38">
        <f t="shared" si="101"/>
        <v>0</v>
      </c>
      <c r="R394" s="43">
        <f t="shared" si="130"/>
        <v>0</v>
      </c>
      <c r="S394" s="43">
        <f t="shared" si="130"/>
        <v>0</v>
      </c>
      <c r="T394" s="43">
        <f t="shared" si="130"/>
        <v>0</v>
      </c>
      <c r="U394" s="43">
        <f t="shared" si="130"/>
        <v>0</v>
      </c>
      <c r="V394" s="43">
        <f t="shared" si="130"/>
        <v>0</v>
      </c>
      <c r="X394" s="43">
        <f t="shared" si="131"/>
        <v>0</v>
      </c>
      <c r="Y394" s="43">
        <f t="shared" si="131"/>
        <v>0</v>
      </c>
      <c r="Z394" s="43">
        <f t="shared" si="131"/>
        <v>0</v>
      </c>
      <c r="AA394" s="43">
        <f t="shared" si="131"/>
        <v>0</v>
      </c>
      <c r="AB394" s="43">
        <f t="shared" si="131"/>
        <v>0</v>
      </c>
      <c r="AD394" s="43">
        <f t="shared" si="111"/>
        <v>0</v>
      </c>
      <c r="AE394" s="43">
        <f t="shared" si="112"/>
        <v>0</v>
      </c>
      <c r="AF394" s="43">
        <f t="shared" si="113"/>
        <v>0</v>
      </c>
      <c r="AG394" s="43">
        <f t="shared" si="114"/>
        <v>0</v>
      </c>
      <c r="AH394" s="43">
        <f t="shared" si="115"/>
        <v>0</v>
      </c>
      <c r="AJ394" s="43">
        <f t="shared" si="102"/>
        <v>0</v>
      </c>
      <c r="AK394" s="43">
        <f t="shared" si="103"/>
        <v>0</v>
      </c>
      <c r="AL394" s="43">
        <f t="shared" si="104"/>
        <v>0</v>
      </c>
      <c r="AM394" s="43">
        <f t="shared" si="105"/>
        <v>0</v>
      </c>
      <c r="AN394" s="43">
        <f t="shared" si="106"/>
        <v>0</v>
      </c>
    </row>
    <row r="395" spans="2:40">
      <c r="B395" s="37" t="str">
        <f t="shared" si="99"/>
        <v>Asset 89</v>
      </c>
      <c r="F395" s="37" t="str">
        <f t="shared" ref="F395:L395" si="139">F147</f>
        <v>14 Overig rollend materieel</v>
      </c>
      <c r="G395" s="37">
        <f t="shared" si="139"/>
        <v>2000</v>
      </c>
      <c r="H395" s="52">
        <f t="shared" si="139"/>
        <v>36334.86</v>
      </c>
      <c r="I395" s="37">
        <f t="shared" si="139"/>
        <v>2021</v>
      </c>
      <c r="J395" s="52">
        <f t="shared" si="139"/>
        <v>10</v>
      </c>
      <c r="K395" s="175">
        <f t="shared" si="139"/>
        <v>1</v>
      </c>
      <c r="L395" s="52">
        <f t="shared" si="139"/>
        <v>0</v>
      </c>
      <c r="N395" s="43">
        <f t="shared" si="110"/>
        <v>0</v>
      </c>
      <c r="P395" s="38">
        <f t="shared" si="101"/>
        <v>0</v>
      </c>
      <c r="R395" s="43">
        <f t="shared" si="130"/>
        <v>0</v>
      </c>
      <c r="S395" s="43">
        <f t="shared" si="130"/>
        <v>0</v>
      </c>
      <c r="T395" s="43">
        <f t="shared" si="130"/>
        <v>0</v>
      </c>
      <c r="U395" s="43">
        <f t="shared" si="130"/>
        <v>0</v>
      </c>
      <c r="V395" s="43">
        <f t="shared" si="130"/>
        <v>0</v>
      </c>
      <c r="X395" s="43">
        <f t="shared" si="131"/>
        <v>0</v>
      </c>
      <c r="Y395" s="43">
        <f t="shared" si="131"/>
        <v>0</v>
      </c>
      <c r="Z395" s="43">
        <f t="shared" si="131"/>
        <v>0</v>
      </c>
      <c r="AA395" s="43">
        <f t="shared" si="131"/>
        <v>0</v>
      </c>
      <c r="AB395" s="43">
        <f t="shared" si="131"/>
        <v>0</v>
      </c>
      <c r="AD395" s="43">
        <f t="shared" si="111"/>
        <v>0</v>
      </c>
      <c r="AE395" s="43">
        <f t="shared" si="112"/>
        <v>0</v>
      </c>
      <c r="AF395" s="43">
        <f t="shared" si="113"/>
        <v>0</v>
      </c>
      <c r="AG395" s="43">
        <f t="shared" si="114"/>
        <v>0</v>
      </c>
      <c r="AH395" s="43">
        <f t="shared" si="115"/>
        <v>0</v>
      </c>
      <c r="AJ395" s="43">
        <f t="shared" si="102"/>
        <v>0</v>
      </c>
      <c r="AK395" s="43">
        <f t="shared" si="103"/>
        <v>0</v>
      </c>
      <c r="AL395" s="43">
        <f t="shared" si="104"/>
        <v>0</v>
      </c>
      <c r="AM395" s="43">
        <f t="shared" si="105"/>
        <v>0</v>
      </c>
      <c r="AN395" s="43">
        <f t="shared" si="106"/>
        <v>0</v>
      </c>
    </row>
    <row r="396" spans="2:40">
      <c r="B396" s="37" t="str">
        <f t="shared" si="99"/>
        <v>Asset 90</v>
      </c>
      <c r="F396" s="37" t="str">
        <f t="shared" ref="F396:L396" si="140">F148</f>
        <v>06 Utiliteitsgebouwen</v>
      </c>
      <c r="G396" s="37">
        <f t="shared" si="140"/>
        <v>2000</v>
      </c>
      <c r="H396" s="52">
        <f t="shared" si="140"/>
        <v>61022.52</v>
      </c>
      <c r="I396" s="37">
        <f t="shared" si="140"/>
        <v>2021</v>
      </c>
      <c r="J396" s="52">
        <f t="shared" si="140"/>
        <v>30</v>
      </c>
      <c r="K396" s="175">
        <f t="shared" si="140"/>
        <v>0</v>
      </c>
      <c r="L396" s="52">
        <f t="shared" si="140"/>
        <v>25541.383007029126</v>
      </c>
      <c r="N396" s="43">
        <f t="shared" si="110"/>
        <v>25541.383007029126</v>
      </c>
      <c r="P396" s="38">
        <f t="shared" si="101"/>
        <v>8.5</v>
      </c>
      <c r="R396" s="43">
        <f t="shared" si="130"/>
        <v>3515.6962492028333</v>
      </c>
      <c r="S396" s="43">
        <f t="shared" si="130"/>
        <v>2978.0015287365177</v>
      </c>
      <c r="T396" s="43">
        <f t="shared" si="130"/>
        <v>2537.4687582133638</v>
      </c>
      <c r="U396" s="43">
        <f t="shared" si="130"/>
        <v>2537.4687582133638</v>
      </c>
      <c r="V396" s="43">
        <f t="shared" si="130"/>
        <v>2537.4687582133638</v>
      </c>
      <c r="X396" s="43">
        <f t="shared" si="131"/>
        <v>300.486858906225</v>
      </c>
      <c r="Y396" s="43">
        <f t="shared" si="131"/>
        <v>300.48685890622505</v>
      </c>
      <c r="Z396" s="43">
        <f t="shared" si="131"/>
        <v>300.48685890622505</v>
      </c>
      <c r="AA396" s="43">
        <f t="shared" si="131"/>
        <v>300.48685890622505</v>
      </c>
      <c r="AB396" s="43">
        <f t="shared" si="131"/>
        <v>300.48685890622505</v>
      </c>
      <c r="AD396" s="43">
        <f t="shared" si="111"/>
        <v>21725.199898920069</v>
      </c>
      <c r="AE396" s="43">
        <f t="shared" si="112"/>
        <v>18446.711511277328</v>
      </c>
      <c r="AF396" s="43">
        <f t="shared" si="113"/>
        <v>15608.755894157741</v>
      </c>
      <c r="AG396" s="43">
        <f t="shared" si="114"/>
        <v>12770.800277038154</v>
      </c>
      <c r="AH396" s="43">
        <f t="shared" si="115"/>
        <v>9932.8446599185663</v>
      </c>
      <c r="AJ396" s="43">
        <f t="shared" si="102"/>
        <v>4554.8399046723407</v>
      </c>
      <c r="AK396" s="43">
        <f t="shared" si="103"/>
        <v>3887.229867514895</v>
      </c>
      <c r="AL396" s="43">
        <f t="shared" si="104"/>
        <v>3431.088341097583</v>
      </c>
      <c r="AM396" s="43">
        <f t="shared" si="105"/>
        <v>3323.2460276470388</v>
      </c>
      <c r="AN396" s="43">
        <f t="shared" si="106"/>
        <v>3215.4037141964945</v>
      </c>
    </row>
    <row r="397" spans="2:40">
      <c r="B397" s="37" t="str">
        <f t="shared" si="99"/>
        <v>Asset 91</v>
      </c>
      <c r="F397" s="37" t="str">
        <f t="shared" ref="F397:L397" si="141">F149</f>
        <v>11 Werktuigen</v>
      </c>
      <c r="G397" s="37">
        <f t="shared" si="141"/>
        <v>2001</v>
      </c>
      <c r="H397" s="52">
        <f t="shared" si="141"/>
        <v>11928.48</v>
      </c>
      <c r="I397" s="37">
        <f t="shared" si="141"/>
        <v>2021</v>
      </c>
      <c r="J397" s="52">
        <f t="shared" si="141"/>
        <v>10</v>
      </c>
      <c r="K397" s="175">
        <f t="shared" si="141"/>
        <v>1</v>
      </c>
      <c r="L397" s="52">
        <f t="shared" si="141"/>
        <v>0</v>
      </c>
      <c r="N397" s="43">
        <f t="shared" si="110"/>
        <v>0</v>
      </c>
      <c r="P397" s="38">
        <f t="shared" si="101"/>
        <v>0</v>
      </c>
      <c r="R397" s="43">
        <f t="shared" ref="R397:V406" si="142">IF(R$305&lt;=$G397+$J397,VDB($L397*(1-$F$25),0,$P397,R$305-2022,MIN(R$305-2021,$P397),$F$22),0)</f>
        <v>0</v>
      </c>
      <c r="S397" s="43">
        <f t="shared" si="142"/>
        <v>0</v>
      </c>
      <c r="T397" s="43">
        <f t="shared" si="142"/>
        <v>0</v>
      </c>
      <c r="U397" s="43">
        <f t="shared" si="142"/>
        <v>0</v>
      </c>
      <c r="V397" s="43">
        <f t="shared" si="142"/>
        <v>0</v>
      </c>
      <c r="X397" s="43">
        <f t="shared" ref="X397:AB406" si="143">IF(X$305&lt;=$G397+$J397,VDB($L397*$F$25,0,$P397,X$305-2022,MIN(X$305-2021,$P397),1),0)</f>
        <v>0</v>
      </c>
      <c r="Y397" s="43">
        <f t="shared" si="143"/>
        <v>0</v>
      </c>
      <c r="Z397" s="43">
        <f t="shared" si="143"/>
        <v>0</v>
      </c>
      <c r="AA397" s="43">
        <f t="shared" si="143"/>
        <v>0</v>
      </c>
      <c r="AB397" s="43">
        <f t="shared" si="143"/>
        <v>0</v>
      </c>
      <c r="AD397" s="43">
        <f t="shared" si="111"/>
        <v>0</v>
      </c>
      <c r="AE397" s="43">
        <f t="shared" si="112"/>
        <v>0</v>
      </c>
      <c r="AF397" s="43">
        <f t="shared" si="113"/>
        <v>0</v>
      </c>
      <c r="AG397" s="43">
        <f t="shared" si="114"/>
        <v>0</v>
      </c>
      <c r="AH397" s="43">
        <f t="shared" si="115"/>
        <v>0</v>
      </c>
      <c r="AJ397" s="43">
        <f t="shared" si="102"/>
        <v>0</v>
      </c>
      <c r="AK397" s="43">
        <f t="shared" si="103"/>
        <v>0</v>
      </c>
      <c r="AL397" s="43">
        <f t="shared" si="104"/>
        <v>0</v>
      </c>
      <c r="AM397" s="43">
        <f t="shared" si="105"/>
        <v>0</v>
      </c>
      <c r="AN397" s="43">
        <f t="shared" si="106"/>
        <v>0</v>
      </c>
    </row>
    <row r="398" spans="2:40">
      <c r="B398" s="37" t="str">
        <f t="shared" si="99"/>
        <v>Asset 92</v>
      </c>
      <c r="F398" s="37" t="str">
        <f t="shared" ref="F398:L398" si="144">F150</f>
        <v>14 Overig rollend materieel</v>
      </c>
      <c r="G398" s="37">
        <f t="shared" si="144"/>
        <v>2001</v>
      </c>
      <c r="H398" s="52">
        <f t="shared" si="144"/>
        <v>70639.289999999994</v>
      </c>
      <c r="I398" s="37">
        <f t="shared" si="144"/>
        <v>2021</v>
      </c>
      <c r="J398" s="52">
        <f t="shared" si="144"/>
        <v>10</v>
      </c>
      <c r="K398" s="175">
        <f t="shared" si="144"/>
        <v>1</v>
      </c>
      <c r="L398" s="52">
        <f t="shared" si="144"/>
        <v>0</v>
      </c>
      <c r="N398" s="43">
        <f t="shared" si="110"/>
        <v>0</v>
      </c>
      <c r="P398" s="38">
        <f t="shared" si="101"/>
        <v>0</v>
      </c>
      <c r="R398" s="43">
        <f t="shared" si="142"/>
        <v>0</v>
      </c>
      <c r="S398" s="43">
        <f t="shared" si="142"/>
        <v>0</v>
      </c>
      <c r="T398" s="43">
        <f t="shared" si="142"/>
        <v>0</v>
      </c>
      <c r="U398" s="43">
        <f t="shared" si="142"/>
        <v>0</v>
      </c>
      <c r="V398" s="43">
        <f t="shared" si="142"/>
        <v>0</v>
      </c>
      <c r="X398" s="43">
        <f t="shared" si="143"/>
        <v>0</v>
      </c>
      <c r="Y398" s="43">
        <f t="shared" si="143"/>
        <v>0</v>
      </c>
      <c r="Z398" s="43">
        <f t="shared" si="143"/>
        <v>0</v>
      </c>
      <c r="AA398" s="43">
        <f t="shared" si="143"/>
        <v>0</v>
      </c>
      <c r="AB398" s="43">
        <f t="shared" si="143"/>
        <v>0</v>
      </c>
      <c r="AD398" s="43">
        <f t="shared" si="111"/>
        <v>0</v>
      </c>
      <c r="AE398" s="43">
        <f t="shared" si="112"/>
        <v>0</v>
      </c>
      <c r="AF398" s="43">
        <f t="shared" si="113"/>
        <v>0</v>
      </c>
      <c r="AG398" s="43">
        <f t="shared" si="114"/>
        <v>0</v>
      </c>
      <c r="AH398" s="43">
        <f t="shared" si="115"/>
        <v>0</v>
      </c>
      <c r="AJ398" s="43">
        <f t="shared" si="102"/>
        <v>0</v>
      </c>
      <c r="AK398" s="43">
        <f t="shared" si="103"/>
        <v>0</v>
      </c>
      <c r="AL398" s="43">
        <f t="shared" si="104"/>
        <v>0</v>
      </c>
      <c r="AM398" s="43">
        <f t="shared" si="105"/>
        <v>0</v>
      </c>
      <c r="AN398" s="43">
        <f t="shared" si="106"/>
        <v>0</v>
      </c>
    </row>
    <row r="399" spans="2:40">
      <c r="B399" s="37" t="str">
        <f t="shared" si="99"/>
        <v>Asset 93</v>
      </c>
      <c r="F399" s="37" t="str">
        <f t="shared" ref="F399:L399" si="145">F151</f>
        <v>09 Bedrijfsinventaris</v>
      </c>
      <c r="G399" s="37">
        <f t="shared" si="145"/>
        <v>2001</v>
      </c>
      <c r="H399" s="52">
        <f t="shared" si="145"/>
        <v>55051.729999999996</v>
      </c>
      <c r="I399" s="37">
        <f t="shared" si="145"/>
        <v>2021</v>
      </c>
      <c r="J399" s="52">
        <f t="shared" si="145"/>
        <v>10</v>
      </c>
      <c r="K399" s="175">
        <f t="shared" si="145"/>
        <v>1</v>
      </c>
      <c r="L399" s="52">
        <f t="shared" si="145"/>
        <v>0</v>
      </c>
      <c r="N399" s="43">
        <f t="shared" si="110"/>
        <v>0</v>
      </c>
      <c r="P399" s="38">
        <f t="shared" si="101"/>
        <v>0</v>
      </c>
      <c r="R399" s="43">
        <f t="shared" si="142"/>
        <v>0</v>
      </c>
      <c r="S399" s="43">
        <f t="shared" si="142"/>
        <v>0</v>
      </c>
      <c r="T399" s="43">
        <f t="shared" si="142"/>
        <v>0</v>
      </c>
      <c r="U399" s="43">
        <f t="shared" si="142"/>
        <v>0</v>
      </c>
      <c r="V399" s="43">
        <f t="shared" si="142"/>
        <v>0</v>
      </c>
      <c r="X399" s="43">
        <f t="shared" si="143"/>
        <v>0</v>
      </c>
      <c r="Y399" s="43">
        <f t="shared" si="143"/>
        <v>0</v>
      </c>
      <c r="Z399" s="43">
        <f t="shared" si="143"/>
        <v>0</v>
      </c>
      <c r="AA399" s="43">
        <f t="shared" si="143"/>
        <v>0</v>
      </c>
      <c r="AB399" s="43">
        <f t="shared" si="143"/>
        <v>0</v>
      </c>
      <c r="AD399" s="43">
        <f t="shared" si="111"/>
        <v>0</v>
      </c>
      <c r="AE399" s="43">
        <f t="shared" si="112"/>
        <v>0</v>
      </c>
      <c r="AF399" s="43">
        <f t="shared" si="113"/>
        <v>0</v>
      </c>
      <c r="AG399" s="43">
        <f t="shared" si="114"/>
        <v>0</v>
      </c>
      <c r="AH399" s="43">
        <f t="shared" si="115"/>
        <v>0</v>
      </c>
      <c r="AJ399" s="43">
        <f t="shared" si="102"/>
        <v>0</v>
      </c>
      <c r="AK399" s="43">
        <f t="shared" si="103"/>
        <v>0</v>
      </c>
      <c r="AL399" s="43">
        <f t="shared" si="104"/>
        <v>0</v>
      </c>
      <c r="AM399" s="43">
        <f t="shared" si="105"/>
        <v>0</v>
      </c>
      <c r="AN399" s="43">
        <f t="shared" si="106"/>
        <v>0</v>
      </c>
    </row>
    <row r="400" spans="2:40">
      <c r="B400" s="37" t="str">
        <f t="shared" si="99"/>
        <v>Asset 94</v>
      </c>
      <c r="F400" s="37" t="str">
        <f t="shared" ref="F400:L400" si="146">F152</f>
        <v>10 Gereedschap</v>
      </c>
      <c r="G400" s="37">
        <f t="shared" si="146"/>
        <v>2002</v>
      </c>
      <c r="H400" s="52">
        <f t="shared" si="146"/>
        <v>26546</v>
      </c>
      <c r="I400" s="37">
        <f t="shared" si="146"/>
        <v>2021</v>
      </c>
      <c r="J400" s="52">
        <f t="shared" si="146"/>
        <v>10</v>
      </c>
      <c r="K400" s="175">
        <f t="shared" si="146"/>
        <v>1</v>
      </c>
      <c r="L400" s="52">
        <f t="shared" si="146"/>
        <v>0</v>
      </c>
      <c r="N400" s="43">
        <f t="shared" si="110"/>
        <v>0</v>
      </c>
      <c r="P400" s="38">
        <f t="shared" si="101"/>
        <v>0</v>
      </c>
      <c r="R400" s="43">
        <f t="shared" si="142"/>
        <v>0</v>
      </c>
      <c r="S400" s="43">
        <f t="shared" si="142"/>
        <v>0</v>
      </c>
      <c r="T400" s="43">
        <f t="shared" si="142"/>
        <v>0</v>
      </c>
      <c r="U400" s="43">
        <f t="shared" si="142"/>
        <v>0</v>
      </c>
      <c r="V400" s="43">
        <f t="shared" si="142"/>
        <v>0</v>
      </c>
      <c r="X400" s="43">
        <f t="shared" si="143"/>
        <v>0</v>
      </c>
      <c r="Y400" s="43">
        <f t="shared" si="143"/>
        <v>0</v>
      </c>
      <c r="Z400" s="43">
        <f t="shared" si="143"/>
        <v>0</v>
      </c>
      <c r="AA400" s="43">
        <f t="shared" si="143"/>
        <v>0</v>
      </c>
      <c r="AB400" s="43">
        <f t="shared" si="143"/>
        <v>0</v>
      </c>
      <c r="AD400" s="43">
        <f t="shared" si="111"/>
        <v>0</v>
      </c>
      <c r="AE400" s="43">
        <f t="shared" si="112"/>
        <v>0</v>
      </c>
      <c r="AF400" s="43">
        <f t="shared" si="113"/>
        <v>0</v>
      </c>
      <c r="AG400" s="43">
        <f t="shared" si="114"/>
        <v>0</v>
      </c>
      <c r="AH400" s="43">
        <f t="shared" si="115"/>
        <v>0</v>
      </c>
      <c r="AJ400" s="43">
        <f t="shared" si="102"/>
        <v>0</v>
      </c>
      <c r="AK400" s="43">
        <f t="shared" si="103"/>
        <v>0</v>
      </c>
      <c r="AL400" s="43">
        <f t="shared" si="104"/>
        <v>0</v>
      </c>
      <c r="AM400" s="43">
        <f t="shared" si="105"/>
        <v>0</v>
      </c>
      <c r="AN400" s="43">
        <f t="shared" si="106"/>
        <v>0</v>
      </c>
    </row>
    <row r="401" spans="2:40">
      <c r="B401" s="37" t="str">
        <f t="shared" si="99"/>
        <v>Asset 95</v>
      </c>
      <c r="F401" s="37" t="str">
        <f t="shared" ref="F401:L401" si="147">F153</f>
        <v>03 Verremeting</v>
      </c>
      <c r="G401" s="37">
        <f t="shared" si="147"/>
        <v>2001</v>
      </c>
      <c r="H401" s="52">
        <f t="shared" si="147"/>
        <v>16968.61</v>
      </c>
      <c r="I401" s="37">
        <f t="shared" si="147"/>
        <v>2021</v>
      </c>
      <c r="J401" s="52">
        <f t="shared" si="147"/>
        <v>5</v>
      </c>
      <c r="K401" s="175">
        <f t="shared" si="147"/>
        <v>1</v>
      </c>
      <c r="L401" s="52">
        <f t="shared" si="147"/>
        <v>0</v>
      </c>
      <c r="N401" s="43">
        <f t="shared" si="110"/>
        <v>0</v>
      </c>
      <c r="P401" s="38">
        <f t="shared" si="101"/>
        <v>0</v>
      </c>
      <c r="R401" s="43">
        <f t="shared" si="142"/>
        <v>0</v>
      </c>
      <c r="S401" s="43">
        <f t="shared" si="142"/>
        <v>0</v>
      </c>
      <c r="T401" s="43">
        <f t="shared" si="142"/>
        <v>0</v>
      </c>
      <c r="U401" s="43">
        <f t="shared" si="142"/>
        <v>0</v>
      </c>
      <c r="V401" s="43">
        <f t="shared" si="142"/>
        <v>0</v>
      </c>
      <c r="X401" s="43">
        <f t="shared" si="143"/>
        <v>0</v>
      </c>
      <c r="Y401" s="43">
        <f t="shared" si="143"/>
        <v>0</v>
      </c>
      <c r="Z401" s="43">
        <f t="shared" si="143"/>
        <v>0</v>
      </c>
      <c r="AA401" s="43">
        <f t="shared" si="143"/>
        <v>0</v>
      </c>
      <c r="AB401" s="43">
        <f t="shared" si="143"/>
        <v>0</v>
      </c>
      <c r="AD401" s="43">
        <f t="shared" si="111"/>
        <v>0</v>
      </c>
      <c r="AE401" s="43">
        <f t="shared" si="112"/>
        <v>0</v>
      </c>
      <c r="AF401" s="43">
        <f t="shared" si="113"/>
        <v>0</v>
      </c>
      <c r="AG401" s="43">
        <f t="shared" si="114"/>
        <v>0</v>
      </c>
      <c r="AH401" s="43">
        <f t="shared" si="115"/>
        <v>0</v>
      </c>
      <c r="AJ401" s="43">
        <f t="shared" si="102"/>
        <v>0</v>
      </c>
      <c r="AK401" s="43">
        <f t="shared" si="103"/>
        <v>0</v>
      </c>
      <c r="AL401" s="43">
        <f t="shared" si="104"/>
        <v>0</v>
      </c>
      <c r="AM401" s="43">
        <f t="shared" si="105"/>
        <v>0</v>
      </c>
      <c r="AN401" s="43">
        <f t="shared" si="106"/>
        <v>0</v>
      </c>
    </row>
    <row r="402" spans="2:40">
      <c r="B402" s="37" t="str">
        <f t="shared" si="99"/>
        <v>Asset 96</v>
      </c>
      <c r="F402" s="37" t="str">
        <f t="shared" ref="F402:L402" si="148">F154</f>
        <v>08 Inrichting gebouwen</v>
      </c>
      <c r="G402" s="37">
        <f t="shared" si="148"/>
        <v>2001</v>
      </c>
      <c r="H402" s="52">
        <f t="shared" si="148"/>
        <v>7752.83</v>
      </c>
      <c r="I402" s="37">
        <f t="shared" si="148"/>
        <v>2021</v>
      </c>
      <c r="J402" s="52">
        <f t="shared" si="148"/>
        <v>10</v>
      </c>
      <c r="K402" s="175">
        <f t="shared" si="148"/>
        <v>0</v>
      </c>
      <c r="L402" s="52">
        <f t="shared" si="148"/>
        <v>0</v>
      </c>
      <c r="N402" s="43">
        <f t="shared" si="110"/>
        <v>0</v>
      </c>
      <c r="P402" s="38">
        <f t="shared" si="101"/>
        <v>0</v>
      </c>
      <c r="R402" s="43">
        <f t="shared" si="142"/>
        <v>0</v>
      </c>
      <c r="S402" s="43">
        <f t="shared" si="142"/>
        <v>0</v>
      </c>
      <c r="T402" s="43">
        <f t="shared" si="142"/>
        <v>0</v>
      </c>
      <c r="U402" s="43">
        <f t="shared" si="142"/>
        <v>0</v>
      </c>
      <c r="V402" s="43">
        <f t="shared" si="142"/>
        <v>0</v>
      </c>
      <c r="X402" s="43">
        <f t="shared" si="143"/>
        <v>0</v>
      </c>
      <c r="Y402" s="43">
        <f t="shared" si="143"/>
        <v>0</v>
      </c>
      <c r="Z402" s="43">
        <f t="shared" si="143"/>
        <v>0</v>
      </c>
      <c r="AA402" s="43">
        <f t="shared" si="143"/>
        <v>0</v>
      </c>
      <c r="AB402" s="43">
        <f t="shared" si="143"/>
        <v>0</v>
      </c>
      <c r="AD402" s="43">
        <f t="shared" si="111"/>
        <v>0</v>
      </c>
      <c r="AE402" s="43">
        <f t="shared" si="112"/>
        <v>0</v>
      </c>
      <c r="AF402" s="43">
        <f t="shared" si="113"/>
        <v>0</v>
      </c>
      <c r="AG402" s="43">
        <f t="shared" si="114"/>
        <v>0</v>
      </c>
      <c r="AH402" s="43">
        <f t="shared" si="115"/>
        <v>0</v>
      </c>
      <c r="AJ402" s="43">
        <f t="shared" si="102"/>
        <v>0</v>
      </c>
      <c r="AK402" s="43">
        <f t="shared" si="103"/>
        <v>0</v>
      </c>
      <c r="AL402" s="43">
        <f t="shared" si="104"/>
        <v>0</v>
      </c>
      <c r="AM402" s="43">
        <f t="shared" si="105"/>
        <v>0</v>
      </c>
      <c r="AN402" s="43">
        <f t="shared" si="106"/>
        <v>0</v>
      </c>
    </row>
    <row r="403" spans="2:40">
      <c r="B403" s="37" t="str">
        <f t="shared" si="99"/>
        <v>Asset 97</v>
      </c>
      <c r="F403" s="37" t="str">
        <f t="shared" ref="F403:L403" si="149">F155</f>
        <v>37 ICT middelen 1 (gaschromatografen en comptabele meting)</v>
      </c>
      <c r="G403" s="37">
        <f t="shared" si="149"/>
        <v>2001</v>
      </c>
      <c r="H403" s="52">
        <f t="shared" si="149"/>
        <v>757040.92</v>
      </c>
      <c r="I403" s="37">
        <f t="shared" si="149"/>
        <v>2021</v>
      </c>
      <c r="J403" s="52">
        <f t="shared" si="149"/>
        <v>5</v>
      </c>
      <c r="K403" s="175">
        <f t="shared" si="149"/>
        <v>0</v>
      </c>
      <c r="L403" s="52">
        <f t="shared" si="149"/>
        <v>0</v>
      </c>
      <c r="N403" s="43">
        <f t="shared" si="110"/>
        <v>0</v>
      </c>
      <c r="P403" s="38">
        <f t="shared" si="101"/>
        <v>0</v>
      </c>
      <c r="R403" s="43">
        <f t="shared" si="142"/>
        <v>0</v>
      </c>
      <c r="S403" s="43">
        <f t="shared" si="142"/>
        <v>0</v>
      </c>
      <c r="T403" s="43">
        <f t="shared" si="142"/>
        <v>0</v>
      </c>
      <c r="U403" s="43">
        <f t="shared" si="142"/>
        <v>0</v>
      </c>
      <c r="V403" s="43">
        <f t="shared" si="142"/>
        <v>0</v>
      </c>
      <c r="X403" s="43">
        <f t="shared" si="143"/>
        <v>0</v>
      </c>
      <c r="Y403" s="43">
        <f t="shared" si="143"/>
        <v>0</v>
      </c>
      <c r="Z403" s="43">
        <f t="shared" si="143"/>
        <v>0</v>
      </c>
      <c r="AA403" s="43">
        <f t="shared" si="143"/>
        <v>0</v>
      </c>
      <c r="AB403" s="43">
        <f t="shared" si="143"/>
        <v>0</v>
      </c>
      <c r="AD403" s="43">
        <f t="shared" si="111"/>
        <v>0</v>
      </c>
      <c r="AE403" s="43">
        <f t="shared" si="112"/>
        <v>0</v>
      </c>
      <c r="AF403" s="43">
        <f t="shared" si="113"/>
        <v>0</v>
      </c>
      <c r="AG403" s="43">
        <f t="shared" si="114"/>
        <v>0</v>
      </c>
      <c r="AH403" s="43">
        <f t="shared" si="115"/>
        <v>0</v>
      </c>
      <c r="AJ403" s="43">
        <f t="shared" si="102"/>
        <v>0</v>
      </c>
      <c r="AK403" s="43">
        <f t="shared" si="103"/>
        <v>0</v>
      </c>
      <c r="AL403" s="43">
        <f t="shared" si="104"/>
        <v>0</v>
      </c>
      <c r="AM403" s="43">
        <f t="shared" si="105"/>
        <v>0</v>
      </c>
      <c r="AN403" s="43">
        <f t="shared" si="106"/>
        <v>0</v>
      </c>
    </row>
    <row r="404" spans="2:40">
      <c r="B404" s="37" t="str">
        <f t="shared" si="99"/>
        <v>Asset 98</v>
      </c>
      <c r="F404" s="37" t="str">
        <f t="shared" ref="F404:L404" si="150">F156</f>
        <v>13 Aanhangwagens</v>
      </c>
      <c r="G404" s="37">
        <f t="shared" si="150"/>
        <v>2001</v>
      </c>
      <c r="H404" s="52">
        <f t="shared" si="150"/>
        <v>2746.92</v>
      </c>
      <c r="I404" s="37">
        <f t="shared" si="150"/>
        <v>2021</v>
      </c>
      <c r="J404" s="52">
        <f t="shared" si="150"/>
        <v>10</v>
      </c>
      <c r="K404" s="175">
        <f t="shared" si="150"/>
        <v>1</v>
      </c>
      <c r="L404" s="52">
        <f t="shared" si="150"/>
        <v>0</v>
      </c>
      <c r="N404" s="43">
        <f t="shared" si="110"/>
        <v>0</v>
      </c>
      <c r="P404" s="38">
        <f t="shared" si="101"/>
        <v>0</v>
      </c>
      <c r="R404" s="43">
        <f t="shared" si="142"/>
        <v>0</v>
      </c>
      <c r="S404" s="43">
        <f t="shared" si="142"/>
        <v>0</v>
      </c>
      <c r="T404" s="43">
        <f t="shared" si="142"/>
        <v>0</v>
      </c>
      <c r="U404" s="43">
        <f t="shared" si="142"/>
        <v>0</v>
      </c>
      <c r="V404" s="43">
        <f t="shared" si="142"/>
        <v>0</v>
      </c>
      <c r="X404" s="43">
        <f t="shared" si="143"/>
        <v>0</v>
      </c>
      <c r="Y404" s="43">
        <f t="shared" si="143"/>
        <v>0</v>
      </c>
      <c r="Z404" s="43">
        <f t="shared" si="143"/>
        <v>0</v>
      </c>
      <c r="AA404" s="43">
        <f t="shared" si="143"/>
        <v>0</v>
      </c>
      <c r="AB404" s="43">
        <f t="shared" si="143"/>
        <v>0</v>
      </c>
      <c r="AD404" s="43">
        <f t="shared" si="111"/>
        <v>0</v>
      </c>
      <c r="AE404" s="43">
        <f t="shared" si="112"/>
        <v>0</v>
      </c>
      <c r="AF404" s="43">
        <f t="shared" si="113"/>
        <v>0</v>
      </c>
      <c r="AG404" s="43">
        <f t="shared" si="114"/>
        <v>0</v>
      </c>
      <c r="AH404" s="43">
        <f t="shared" si="115"/>
        <v>0</v>
      </c>
      <c r="AJ404" s="43">
        <f t="shared" si="102"/>
        <v>0</v>
      </c>
      <c r="AK404" s="43">
        <f t="shared" si="103"/>
        <v>0</v>
      </c>
      <c r="AL404" s="43">
        <f t="shared" si="104"/>
        <v>0</v>
      </c>
      <c r="AM404" s="43">
        <f t="shared" si="105"/>
        <v>0</v>
      </c>
      <c r="AN404" s="43">
        <f t="shared" si="106"/>
        <v>0</v>
      </c>
    </row>
    <row r="405" spans="2:40">
      <c r="B405" s="37" t="str">
        <f t="shared" si="99"/>
        <v>Asset 99</v>
      </c>
      <c r="F405" s="37" t="str">
        <f t="shared" ref="F405:L405" si="151">F157</f>
        <v>11 Werktuigen</v>
      </c>
      <c r="G405" s="37">
        <f t="shared" si="151"/>
        <v>2002</v>
      </c>
      <c r="H405" s="52">
        <f t="shared" si="151"/>
        <v>108571.05</v>
      </c>
      <c r="I405" s="37">
        <f t="shared" si="151"/>
        <v>2021</v>
      </c>
      <c r="J405" s="52">
        <f t="shared" si="151"/>
        <v>10</v>
      </c>
      <c r="K405" s="175">
        <f t="shared" si="151"/>
        <v>1</v>
      </c>
      <c r="L405" s="52">
        <f t="shared" si="151"/>
        <v>0</v>
      </c>
      <c r="N405" s="43">
        <f t="shared" si="110"/>
        <v>0</v>
      </c>
      <c r="P405" s="38">
        <f t="shared" si="101"/>
        <v>0</v>
      </c>
      <c r="R405" s="43">
        <f t="shared" si="142"/>
        <v>0</v>
      </c>
      <c r="S405" s="43">
        <f t="shared" si="142"/>
        <v>0</v>
      </c>
      <c r="T405" s="43">
        <f t="shared" si="142"/>
        <v>0</v>
      </c>
      <c r="U405" s="43">
        <f t="shared" si="142"/>
        <v>0</v>
      </c>
      <c r="V405" s="43">
        <f t="shared" si="142"/>
        <v>0</v>
      </c>
      <c r="X405" s="43">
        <f t="shared" si="143"/>
        <v>0</v>
      </c>
      <c r="Y405" s="43">
        <f t="shared" si="143"/>
        <v>0</v>
      </c>
      <c r="Z405" s="43">
        <f t="shared" si="143"/>
        <v>0</v>
      </c>
      <c r="AA405" s="43">
        <f t="shared" si="143"/>
        <v>0</v>
      </c>
      <c r="AB405" s="43">
        <f t="shared" si="143"/>
        <v>0</v>
      </c>
      <c r="AD405" s="43">
        <f t="shared" si="111"/>
        <v>0</v>
      </c>
      <c r="AE405" s="43">
        <f t="shared" si="112"/>
        <v>0</v>
      </c>
      <c r="AF405" s="43">
        <f t="shared" si="113"/>
        <v>0</v>
      </c>
      <c r="AG405" s="43">
        <f t="shared" si="114"/>
        <v>0</v>
      </c>
      <c r="AH405" s="43">
        <f t="shared" si="115"/>
        <v>0</v>
      </c>
      <c r="AJ405" s="43">
        <f t="shared" si="102"/>
        <v>0</v>
      </c>
      <c r="AK405" s="43">
        <f t="shared" si="103"/>
        <v>0</v>
      </c>
      <c r="AL405" s="43">
        <f t="shared" si="104"/>
        <v>0</v>
      </c>
      <c r="AM405" s="43">
        <f t="shared" si="105"/>
        <v>0</v>
      </c>
      <c r="AN405" s="43">
        <f t="shared" si="106"/>
        <v>0</v>
      </c>
    </row>
    <row r="406" spans="2:40">
      <c r="B406" s="37" t="str">
        <f t="shared" si="99"/>
        <v>Asset 100</v>
      </c>
      <c r="F406" s="37" t="str">
        <f t="shared" ref="F406:L406" si="152">F158</f>
        <v>37 ICT middelen 1 (gaschromatografen en comptabele meting)</v>
      </c>
      <c r="G406" s="37">
        <f t="shared" si="152"/>
        <v>2002</v>
      </c>
      <c r="H406" s="52">
        <f t="shared" si="152"/>
        <v>27589.78</v>
      </c>
      <c r="I406" s="37">
        <f t="shared" si="152"/>
        <v>2021</v>
      </c>
      <c r="J406" s="52">
        <f t="shared" si="152"/>
        <v>5</v>
      </c>
      <c r="K406" s="175">
        <f t="shared" si="152"/>
        <v>0</v>
      </c>
      <c r="L406" s="52">
        <f t="shared" si="152"/>
        <v>0</v>
      </c>
      <c r="N406" s="43">
        <f t="shared" si="110"/>
        <v>0</v>
      </c>
      <c r="P406" s="38">
        <f t="shared" si="101"/>
        <v>0</v>
      </c>
      <c r="R406" s="43">
        <f t="shared" si="142"/>
        <v>0</v>
      </c>
      <c r="S406" s="43">
        <f t="shared" si="142"/>
        <v>0</v>
      </c>
      <c r="T406" s="43">
        <f t="shared" si="142"/>
        <v>0</v>
      </c>
      <c r="U406" s="43">
        <f t="shared" si="142"/>
        <v>0</v>
      </c>
      <c r="V406" s="43">
        <f t="shared" si="142"/>
        <v>0</v>
      </c>
      <c r="X406" s="43">
        <f t="shared" si="143"/>
        <v>0</v>
      </c>
      <c r="Y406" s="43">
        <f t="shared" si="143"/>
        <v>0</v>
      </c>
      <c r="Z406" s="43">
        <f t="shared" si="143"/>
        <v>0</v>
      </c>
      <c r="AA406" s="43">
        <f t="shared" si="143"/>
        <v>0</v>
      </c>
      <c r="AB406" s="43">
        <f t="shared" si="143"/>
        <v>0</v>
      </c>
      <c r="AD406" s="43">
        <f t="shared" si="111"/>
        <v>0</v>
      </c>
      <c r="AE406" s="43">
        <f t="shared" si="112"/>
        <v>0</v>
      </c>
      <c r="AF406" s="43">
        <f t="shared" si="113"/>
        <v>0</v>
      </c>
      <c r="AG406" s="43">
        <f t="shared" si="114"/>
        <v>0</v>
      </c>
      <c r="AH406" s="43">
        <f t="shared" si="115"/>
        <v>0</v>
      </c>
      <c r="AJ406" s="43">
        <f t="shared" si="102"/>
        <v>0</v>
      </c>
      <c r="AK406" s="43">
        <f t="shared" si="103"/>
        <v>0</v>
      </c>
      <c r="AL406" s="43">
        <f t="shared" si="104"/>
        <v>0</v>
      </c>
      <c r="AM406" s="43">
        <f t="shared" si="105"/>
        <v>0</v>
      </c>
      <c r="AN406" s="43">
        <f t="shared" si="106"/>
        <v>0</v>
      </c>
    </row>
    <row r="407" spans="2:40">
      <c r="B407" s="37" t="str">
        <f t="shared" si="99"/>
        <v>Asset 101</v>
      </c>
      <c r="F407" s="37" t="str">
        <f t="shared" ref="F407:L407" si="153">F159</f>
        <v>14 Overig rollend materieel</v>
      </c>
      <c r="G407" s="37">
        <f t="shared" si="153"/>
        <v>2002</v>
      </c>
      <c r="H407" s="52">
        <f t="shared" si="153"/>
        <v>7905</v>
      </c>
      <c r="I407" s="37">
        <f t="shared" si="153"/>
        <v>2021</v>
      </c>
      <c r="J407" s="52">
        <f t="shared" si="153"/>
        <v>10</v>
      </c>
      <c r="K407" s="175">
        <f t="shared" si="153"/>
        <v>1</v>
      </c>
      <c r="L407" s="52">
        <f t="shared" si="153"/>
        <v>0</v>
      </c>
      <c r="N407" s="43">
        <f t="shared" si="110"/>
        <v>0</v>
      </c>
      <c r="P407" s="38">
        <f t="shared" si="101"/>
        <v>0</v>
      </c>
      <c r="R407" s="43">
        <f t="shared" ref="R407:V416" si="154">IF(R$305&lt;=$G407+$J407,VDB($L407*(1-$F$25),0,$P407,R$305-2022,MIN(R$305-2021,$P407),$F$22),0)</f>
        <v>0</v>
      </c>
      <c r="S407" s="43">
        <f t="shared" si="154"/>
        <v>0</v>
      </c>
      <c r="T407" s="43">
        <f t="shared" si="154"/>
        <v>0</v>
      </c>
      <c r="U407" s="43">
        <f t="shared" si="154"/>
        <v>0</v>
      </c>
      <c r="V407" s="43">
        <f t="shared" si="154"/>
        <v>0</v>
      </c>
      <c r="X407" s="43">
        <f t="shared" ref="X407:AB416" si="155">IF(X$305&lt;=$G407+$J407,VDB($L407*$F$25,0,$P407,X$305-2022,MIN(X$305-2021,$P407),1),0)</f>
        <v>0</v>
      </c>
      <c r="Y407" s="43">
        <f t="shared" si="155"/>
        <v>0</v>
      </c>
      <c r="Z407" s="43">
        <f t="shared" si="155"/>
        <v>0</v>
      </c>
      <c r="AA407" s="43">
        <f t="shared" si="155"/>
        <v>0</v>
      </c>
      <c r="AB407" s="43">
        <f t="shared" si="155"/>
        <v>0</v>
      </c>
      <c r="AD407" s="43">
        <f t="shared" si="111"/>
        <v>0</v>
      </c>
      <c r="AE407" s="43">
        <f t="shared" si="112"/>
        <v>0</v>
      </c>
      <c r="AF407" s="43">
        <f t="shared" si="113"/>
        <v>0</v>
      </c>
      <c r="AG407" s="43">
        <f t="shared" si="114"/>
        <v>0</v>
      </c>
      <c r="AH407" s="43">
        <f t="shared" si="115"/>
        <v>0</v>
      </c>
      <c r="AJ407" s="43">
        <f t="shared" si="102"/>
        <v>0</v>
      </c>
      <c r="AK407" s="43">
        <f t="shared" si="103"/>
        <v>0</v>
      </c>
      <c r="AL407" s="43">
        <f t="shared" si="104"/>
        <v>0</v>
      </c>
      <c r="AM407" s="43">
        <f t="shared" si="105"/>
        <v>0</v>
      </c>
      <c r="AN407" s="43">
        <f t="shared" si="106"/>
        <v>0</v>
      </c>
    </row>
    <row r="408" spans="2:40">
      <c r="B408" s="37" t="str">
        <f t="shared" si="99"/>
        <v>Asset 102</v>
      </c>
      <c r="F408" s="37" t="str">
        <f t="shared" ref="F408:L408" si="156">F160</f>
        <v>13 Aanhangwagens</v>
      </c>
      <c r="G408" s="37">
        <f t="shared" si="156"/>
        <v>2002</v>
      </c>
      <c r="H408" s="52">
        <f t="shared" si="156"/>
        <v>1243</v>
      </c>
      <c r="I408" s="37">
        <f t="shared" si="156"/>
        <v>2021</v>
      </c>
      <c r="J408" s="52">
        <f t="shared" si="156"/>
        <v>10</v>
      </c>
      <c r="K408" s="175">
        <f t="shared" si="156"/>
        <v>1</v>
      </c>
      <c r="L408" s="52">
        <f t="shared" si="156"/>
        <v>0</v>
      </c>
      <c r="N408" s="43">
        <f t="shared" si="110"/>
        <v>0</v>
      </c>
      <c r="P408" s="38">
        <f t="shared" si="101"/>
        <v>0</v>
      </c>
      <c r="R408" s="43">
        <f t="shared" si="154"/>
        <v>0</v>
      </c>
      <c r="S408" s="43">
        <f t="shared" si="154"/>
        <v>0</v>
      </c>
      <c r="T408" s="43">
        <f t="shared" si="154"/>
        <v>0</v>
      </c>
      <c r="U408" s="43">
        <f t="shared" si="154"/>
        <v>0</v>
      </c>
      <c r="V408" s="43">
        <f t="shared" si="154"/>
        <v>0</v>
      </c>
      <c r="X408" s="43">
        <f t="shared" si="155"/>
        <v>0</v>
      </c>
      <c r="Y408" s="43">
        <f t="shared" si="155"/>
        <v>0</v>
      </c>
      <c r="Z408" s="43">
        <f t="shared" si="155"/>
        <v>0</v>
      </c>
      <c r="AA408" s="43">
        <f t="shared" si="155"/>
        <v>0</v>
      </c>
      <c r="AB408" s="43">
        <f t="shared" si="155"/>
        <v>0</v>
      </c>
      <c r="AD408" s="43">
        <f t="shared" si="111"/>
        <v>0</v>
      </c>
      <c r="AE408" s="43">
        <f t="shared" si="112"/>
        <v>0</v>
      </c>
      <c r="AF408" s="43">
        <f t="shared" si="113"/>
        <v>0</v>
      </c>
      <c r="AG408" s="43">
        <f t="shared" si="114"/>
        <v>0</v>
      </c>
      <c r="AH408" s="43">
        <f t="shared" si="115"/>
        <v>0</v>
      </c>
      <c r="AJ408" s="43">
        <f t="shared" si="102"/>
        <v>0</v>
      </c>
      <c r="AK408" s="43">
        <f t="shared" si="103"/>
        <v>0</v>
      </c>
      <c r="AL408" s="43">
        <f t="shared" si="104"/>
        <v>0</v>
      </c>
      <c r="AM408" s="43">
        <f t="shared" si="105"/>
        <v>0</v>
      </c>
      <c r="AN408" s="43">
        <f t="shared" si="106"/>
        <v>0</v>
      </c>
    </row>
    <row r="409" spans="2:40">
      <c r="B409" s="37" t="str">
        <f t="shared" si="99"/>
        <v>Asset 103</v>
      </c>
      <c r="F409" s="37" t="str">
        <f t="shared" ref="F409:L409" si="157">F161</f>
        <v>06 Utiliteitsgebouwen</v>
      </c>
      <c r="G409" s="37">
        <f t="shared" si="157"/>
        <v>2002</v>
      </c>
      <c r="H409" s="52">
        <f t="shared" si="157"/>
        <v>68637.27</v>
      </c>
      <c r="I409" s="37">
        <f t="shared" si="157"/>
        <v>2021</v>
      </c>
      <c r="J409" s="52">
        <f t="shared" si="157"/>
        <v>30</v>
      </c>
      <c r="K409" s="175">
        <f t="shared" si="157"/>
        <v>0</v>
      </c>
      <c r="L409" s="52">
        <f t="shared" si="157"/>
        <v>33068.469795601901</v>
      </c>
      <c r="N409" s="43">
        <f t="shared" si="110"/>
        <v>33068.469795601901</v>
      </c>
      <c r="P409" s="38">
        <f t="shared" si="101"/>
        <v>10.5</v>
      </c>
      <c r="R409" s="43">
        <f t="shared" si="154"/>
        <v>3684.7723486527834</v>
      </c>
      <c r="S409" s="43">
        <f t="shared" si="154"/>
        <v>3228.562438819582</v>
      </c>
      <c r="T409" s="43">
        <f t="shared" si="154"/>
        <v>2828.8356606800144</v>
      </c>
      <c r="U409" s="43">
        <f t="shared" si="154"/>
        <v>2669.2603157185777</v>
      </c>
      <c r="V409" s="43">
        <f t="shared" si="154"/>
        <v>2669.2603157185777</v>
      </c>
      <c r="X409" s="43">
        <f t="shared" si="155"/>
        <v>314.93780757716098</v>
      </c>
      <c r="Y409" s="43">
        <f t="shared" si="155"/>
        <v>314.93780757716098</v>
      </c>
      <c r="Z409" s="43">
        <f t="shared" si="155"/>
        <v>314.93780757716098</v>
      </c>
      <c r="AA409" s="43">
        <f t="shared" si="155"/>
        <v>314.93780757716098</v>
      </c>
      <c r="AB409" s="43">
        <f t="shared" si="155"/>
        <v>314.93780757716098</v>
      </c>
      <c r="AD409" s="43">
        <f t="shared" si="111"/>
        <v>29068.759639371958</v>
      </c>
      <c r="AE409" s="43">
        <f t="shared" si="112"/>
        <v>25525.259392975215</v>
      </c>
      <c r="AF409" s="43">
        <f t="shared" si="113"/>
        <v>22381.485924718039</v>
      </c>
      <c r="AG409" s="43">
        <f t="shared" si="114"/>
        <v>19397.287801422302</v>
      </c>
      <c r="AH409" s="43">
        <f t="shared" si="115"/>
        <v>16413.089678126566</v>
      </c>
      <c r="AJ409" s="43">
        <f t="shared" si="102"/>
        <v>4988.0479839685913</v>
      </c>
      <c r="AK409" s="43">
        <f t="shared" si="103"/>
        <v>4385.8338063649253</v>
      </c>
      <c r="AL409" s="43">
        <f t="shared" si="104"/>
        <v>3994.2699333964611</v>
      </c>
      <c r="AM409" s="43">
        <f t="shared" si="105"/>
        <v>3721.2950597497861</v>
      </c>
      <c r="AN409" s="43">
        <f t="shared" si="106"/>
        <v>3607.8955310645483</v>
      </c>
    </row>
    <row r="410" spans="2:40">
      <c r="B410" s="37" t="str">
        <f t="shared" si="99"/>
        <v>Asset 104</v>
      </c>
      <c r="F410" s="37" t="str">
        <f t="shared" ref="F410:L410" si="158">F162</f>
        <v>09 Bedrijfsinventaris</v>
      </c>
      <c r="G410" s="37">
        <f t="shared" si="158"/>
        <v>2003</v>
      </c>
      <c r="H410" s="52">
        <f t="shared" si="158"/>
        <v>108222.26</v>
      </c>
      <c r="I410" s="37">
        <f t="shared" si="158"/>
        <v>2021</v>
      </c>
      <c r="J410" s="52">
        <f t="shared" si="158"/>
        <v>10</v>
      </c>
      <c r="K410" s="175">
        <f t="shared" si="158"/>
        <v>1</v>
      </c>
      <c r="L410" s="52">
        <f t="shared" si="158"/>
        <v>0</v>
      </c>
      <c r="N410" s="43">
        <f t="shared" si="110"/>
        <v>0</v>
      </c>
      <c r="P410" s="38">
        <f t="shared" si="101"/>
        <v>0</v>
      </c>
      <c r="R410" s="43">
        <f t="shared" si="154"/>
        <v>0</v>
      </c>
      <c r="S410" s="43">
        <f t="shared" si="154"/>
        <v>0</v>
      </c>
      <c r="T410" s="43">
        <f t="shared" si="154"/>
        <v>0</v>
      </c>
      <c r="U410" s="43">
        <f t="shared" si="154"/>
        <v>0</v>
      </c>
      <c r="V410" s="43">
        <f t="shared" si="154"/>
        <v>0</v>
      </c>
      <c r="X410" s="43">
        <f t="shared" si="155"/>
        <v>0</v>
      </c>
      <c r="Y410" s="43">
        <f t="shared" si="155"/>
        <v>0</v>
      </c>
      <c r="Z410" s="43">
        <f t="shared" si="155"/>
        <v>0</v>
      </c>
      <c r="AA410" s="43">
        <f t="shared" si="155"/>
        <v>0</v>
      </c>
      <c r="AB410" s="43">
        <f t="shared" si="155"/>
        <v>0</v>
      </c>
      <c r="AD410" s="43">
        <f t="shared" si="111"/>
        <v>0</v>
      </c>
      <c r="AE410" s="43">
        <f t="shared" si="112"/>
        <v>0</v>
      </c>
      <c r="AF410" s="43">
        <f t="shared" si="113"/>
        <v>0</v>
      </c>
      <c r="AG410" s="43">
        <f t="shared" si="114"/>
        <v>0</v>
      </c>
      <c r="AH410" s="43">
        <f t="shared" si="115"/>
        <v>0</v>
      </c>
      <c r="AJ410" s="43">
        <f t="shared" si="102"/>
        <v>0</v>
      </c>
      <c r="AK410" s="43">
        <f t="shared" si="103"/>
        <v>0</v>
      </c>
      <c r="AL410" s="43">
        <f t="shared" si="104"/>
        <v>0</v>
      </c>
      <c r="AM410" s="43">
        <f t="shared" si="105"/>
        <v>0</v>
      </c>
      <c r="AN410" s="43">
        <f t="shared" si="106"/>
        <v>0</v>
      </c>
    </row>
    <row r="411" spans="2:40">
      <c r="B411" s="37" t="str">
        <f t="shared" si="99"/>
        <v>Asset 105</v>
      </c>
      <c r="F411" s="37" t="str">
        <f t="shared" ref="F411:L411" si="159">F163</f>
        <v>11 Werktuigen</v>
      </c>
      <c r="G411" s="37">
        <f t="shared" si="159"/>
        <v>2003</v>
      </c>
      <c r="H411" s="52">
        <f t="shared" si="159"/>
        <v>135681.9</v>
      </c>
      <c r="I411" s="37">
        <f t="shared" si="159"/>
        <v>2021</v>
      </c>
      <c r="J411" s="52">
        <f t="shared" si="159"/>
        <v>10</v>
      </c>
      <c r="K411" s="175">
        <f t="shared" si="159"/>
        <v>1</v>
      </c>
      <c r="L411" s="52">
        <f t="shared" si="159"/>
        <v>0</v>
      </c>
      <c r="N411" s="43">
        <f t="shared" si="110"/>
        <v>0</v>
      </c>
      <c r="P411" s="38">
        <f t="shared" si="101"/>
        <v>0</v>
      </c>
      <c r="R411" s="43">
        <f t="shared" si="154"/>
        <v>0</v>
      </c>
      <c r="S411" s="43">
        <f t="shared" si="154"/>
        <v>0</v>
      </c>
      <c r="T411" s="43">
        <f t="shared" si="154"/>
        <v>0</v>
      </c>
      <c r="U411" s="43">
        <f t="shared" si="154"/>
        <v>0</v>
      </c>
      <c r="V411" s="43">
        <f t="shared" si="154"/>
        <v>0</v>
      </c>
      <c r="X411" s="43">
        <f t="shared" si="155"/>
        <v>0</v>
      </c>
      <c r="Y411" s="43">
        <f t="shared" si="155"/>
        <v>0</v>
      </c>
      <c r="Z411" s="43">
        <f t="shared" si="155"/>
        <v>0</v>
      </c>
      <c r="AA411" s="43">
        <f t="shared" si="155"/>
        <v>0</v>
      </c>
      <c r="AB411" s="43">
        <f t="shared" si="155"/>
        <v>0</v>
      </c>
      <c r="AD411" s="43">
        <f t="shared" si="111"/>
        <v>0</v>
      </c>
      <c r="AE411" s="43">
        <f t="shared" si="112"/>
        <v>0</v>
      </c>
      <c r="AF411" s="43">
        <f t="shared" si="113"/>
        <v>0</v>
      </c>
      <c r="AG411" s="43">
        <f t="shared" si="114"/>
        <v>0</v>
      </c>
      <c r="AH411" s="43">
        <f t="shared" si="115"/>
        <v>0</v>
      </c>
      <c r="AJ411" s="43">
        <f t="shared" si="102"/>
        <v>0</v>
      </c>
      <c r="AK411" s="43">
        <f t="shared" si="103"/>
        <v>0</v>
      </c>
      <c r="AL411" s="43">
        <f t="shared" si="104"/>
        <v>0</v>
      </c>
      <c r="AM411" s="43">
        <f t="shared" si="105"/>
        <v>0</v>
      </c>
      <c r="AN411" s="43">
        <f t="shared" si="106"/>
        <v>0</v>
      </c>
    </row>
    <row r="412" spans="2:40">
      <c r="B412" s="37" t="str">
        <f t="shared" si="99"/>
        <v>Asset 106</v>
      </c>
      <c r="F412" s="37" t="str">
        <f t="shared" ref="F412:L412" si="160">F164</f>
        <v>37 ICT middelen 1</v>
      </c>
      <c r="G412" s="37">
        <f t="shared" si="160"/>
        <v>2003</v>
      </c>
      <c r="H412" s="52">
        <f t="shared" si="160"/>
        <v>869353.66999999993</v>
      </c>
      <c r="I412" s="37">
        <f t="shared" si="160"/>
        <v>2021</v>
      </c>
      <c r="J412" s="52">
        <f t="shared" si="160"/>
        <v>5</v>
      </c>
      <c r="K412" s="175">
        <f t="shared" si="160"/>
        <v>1</v>
      </c>
      <c r="L412" s="52">
        <f t="shared" si="160"/>
        <v>0</v>
      </c>
      <c r="N412" s="43">
        <f t="shared" si="110"/>
        <v>0</v>
      </c>
      <c r="P412" s="38">
        <f t="shared" si="101"/>
        <v>0</v>
      </c>
      <c r="R412" s="43">
        <f t="shared" si="154"/>
        <v>0</v>
      </c>
      <c r="S412" s="43">
        <f t="shared" si="154"/>
        <v>0</v>
      </c>
      <c r="T412" s="43">
        <f t="shared" si="154"/>
        <v>0</v>
      </c>
      <c r="U412" s="43">
        <f t="shared" si="154"/>
        <v>0</v>
      </c>
      <c r="V412" s="43">
        <f t="shared" si="154"/>
        <v>0</v>
      </c>
      <c r="X412" s="43">
        <f t="shared" si="155"/>
        <v>0</v>
      </c>
      <c r="Y412" s="43">
        <f t="shared" si="155"/>
        <v>0</v>
      </c>
      <c r="Z412" s="43">
        <f t="shared" si="155"/>
        <v>0</v>
      </c>
      <c r="AA412" s="43">
        <f t="shared" si="155"/>
        <v>0</v>
      </c>
      <c r="AB412" s="43">
        <f t="shared" si="155"/>
        <v>0</v>
      </c>
      <c r="AD412" s="43">
        <f t="shared" si="111"/>
        <v>0</v>
      </c>
      <c r="AE412" s="43">
        <f t="shared" si="112"/>
        <v>0</v>
      </c>
      <c r="AF412" s="43">
        <f t="shared" si="113"/>
        <v>0</v>
      </c>
      <c r="AG412" s="43">
        <f t="shared" si="114"/>
        <v>0</v>
      </c>
      <c r="AH412" s="43">
        <f t="shared" si="115"/>
        <v>0</v>
      </c>
      <c r="AJ412" s="43">
        <f t="shared" si="102"/>
        <v>0</v>
      </c>
      <c r="AK412" s="43">
        <f t="shared" si="103"/>
        <v>0</v>
      </c>
      <c r="AL412" s="43">
        <f t="shared" si="104"/>
        <v>0</v>
      </c>
      <c r="AM412" s="43">
        <f t="shared" si="105"/>
        <v>0</v>
      </c>
      <c r="AN412" s="43">
        <f t="shared" si="106"/>
        <v>0</v>
      </c>
    </row>
    <row r="413" spans="2:40">
      <c r="B413" s="37" t="str">
        <f t="shared" si="99"/>
        <v>Asset 107</v>
      </c>
      <c r="F413" s="37" t="str">
        <f t="shared" ref="F413:L413" si="161">F165</f>
        <v>37 ICT middelen 1 (gaschromatografen en comptabele meting)</v>
      </c>
      <c r="G413" s="37">
        <f t="shared" si="161"/>
        <v>2003</v>
      </c>
      <c r="H413" s="52">
        <f t="shared" si="161"/>
        <v>1210667.97</v>
      </c>
      <c r="I413" s="37">
        <f t="shared" si="161"/>
        <v>2021</v>
      </c>
      <c r="J413" s="52">
        <f t="shared" si="161"/>
        <v>5</v>
      </c>
      <c r="K413" s="175">
        <f t="shared" si="161"/>
        <v>0</v>
      </c>
      <c r="L413" s="52">
        <f t="shared" si="161"/>
        <v>0</v>
      </c>
      <c r="N413" s="43">
        <f t="shared" si="110"/>
        <v>0</v>
      </c>
      <c r="P413" s="38">
        <f t="shared" si="101"/>
        <v>0</v>
      </c>
      <c r="R413" s="43">
        <f t="shared" si="154"/>
        <v>0</v>
      </c>
      <c r="S413" s="43">
        <f t="shared" si="154"/>
        <v>0</v>
      </c>
      <c r="T413" s="43">
        <f t="shared" si="154"/>
        <v>0</v>
      </c>
      <c r="U413" s="43">
        <f t="shared" si="154"/>
        <v>0</v>
      </c>
      <c r="V413" s="43">
        <f t="shared" si="154"/>
        <v>0</v>
      </c>
      <c r="X413" s="43">
        <f t="shared" si="155"/>
        <v>0</v>
      </c>
      <c r="Y413" s="43">
        <f t="shared" si="155"/>
        <v>0</v>
      </c>
      <c r="Z413" s="43">
        <f t="shared" si="155"/>
        <v>0</v>
      </c>
      <c r="AA413" s="43">
        <f t="shared" si="155"/>
        <v>0</v>
      </c>
      <c r="AB413" s="43">
        <f t="shared" si="155"/>
        <v>0</v>
      </c>
      <c r="AD413" s="43">
        <f t="shared" si="111"/>
        <v>0</v>
      </c>
      <c r="AE413" s="43">
        <f t="shared" si="112"/>
        <v>0</v>
      </c>
      <c r="AF413" s="43">
        <f t="shared" si="113"/>
        <v>0</v>
      </c>
      <c r="AG413" s="43">
        <f t="shared" si="114"/>
        <v>0</v>
      </c>
      <c r="AH413" s="43">
        <f t="shared" si="115"/>
        <v>0</v>
      </c>
      <c r="AJ413" s="43">
        <f t="shared" si="102"/>
        <v>0</v>
      </c>
      <c r="AK413" s="43">
        <f t="shared" si="103"/>
        <v>0</v>
      </c>
      <c r="AL413" s="43">
        <f t="shared" si="104"/>
        <v>0</v>
      </c>
      <c r="AM413" s="43">
        <f t="shared" si="105"/>
        <v>0</v>
      </c>
      <c r="AN413" s="43">
        <f t="shared" si="106"/>
        <v>0</v>
      </c>
    </row>
    <row r="414" spans="2:40">
      <c r="B414" s="37" t="str">
        <f t="shared" si="99"/>
        <v>Asset 108</v>
      </c>
      <c r="F414" s="37" t="str">
        <f t="shared" ref="F414:L414" si="162">F166</f>
        <v>10 Gereedschap</v>
      </c>
      <c r="G414" s="37">
        <f t="shared" si="162"/>
        <v>2003</v>
      </c>
      <c r="H414" s="52">
        <f t="shared" si="162"/>
        <v>62325</v>
      </c>
      <c r="I414" s="37">
        <f t="shared" si="162"/>
        <v>2021</v>
      </c>
      <c r="J414" s="52">
        <f t="shared" si="162"/>
        <v>10</v>
      </c>
      <c r="K414" s="175">
        <f t="shared" si="162"/>
        <v>1</v>
      </c>
      <c r="L414" s="52">
        <f t="shared" si="162"/>
        <v>0</v>
      </c>
      <c r="N414" s="43">
        <f t="shared" si="110"/>
        <v>0</v>
      </c>
      <c r="P414" s="38">
        <f t="shared" si="101"/>
        <v>0</v>
      </c>
      <c r="R414" s="43">
        <f t="shared" si="154"/>
        <v>0</v>
      </c>
      <c r="S414" s="43">
        <f t="shared" si="154"/>
        <v>0</v>
      </c>
      <c r="T414" s="43">
        <f t="shared" si="154"/>
        <v>0</v>
      </c>
      <c r="U414" s="43">
        <f t="shared" si="154"/>
        <v>0</v>
      </c>
      <c r="V414" s="43">
        <f t="shared" si="154"/>
        <v>0</v>
      </c>
      <c r="X414" s="43">
        <f t="shared" si="155"/>
        <v>0</v>
      </c>
      <c r="Y414" s="43">
        <f t="shared" si="155"/>
        <v>0</v>
      </c>
      <c r="Z414" s="43">
        <f t="shared" si="155"/>
        <v>0</v>
      </c>
      <c r="AA414" s="43">
        <f t="shared" si="155"/>
        <v>0</v>
      </c>
      <c r="AB414" s="43">
        <f t="shared" si="155"/>
        <v>0</v>
      </c>
      <c r="AD414" s="43">
        <f t="shared" si="111"/>
        <v>0</v>
      </c>
      <c r="AE414" s="43">
        <f t="shared" si="112"/>
        <v>0</v>
      </c>
      <c r="AF414" s="43">
        <f t="shared" si="113"/>
        <v>0</v>
      </c>
      <c r="AG414" s="43">
        <f t="shared" si="114"/>
        <v>0</v>
      </c>
      <c r="AH414" s="43">
        <f t="shared" si="115"/>
        <v>0</v>
      </c>
      <c r="AJ414" s="43">
        <f t="shared" si="102"/>
        <v>0</v>
      </c>
      <c r="AK414" s="43">
        <f t="shared" si="103"/>
        <v>0</v>
      </c>
      <c r="AL414" s="43">
        <f t="shared" si="104"/>
        <v>0</v>
      </c>
      <c r="AM414" s="43">
        <f t="shared" si="105"/>
        <v>0</v>
      </c>
      <c r="AN414" s="43">
        <f t="shared" si="106"/>
        <v>0</v>
      </c>
    </row>
    <row r="415" spans="2:40">
      <c r="B415" s="37" t="str">
        <f t="shared" si="99"/>
        <v>Asset 109</v>
      </c>
      <c r="F415" s="37" t="str">
        <f t="shared" ref="F415:L415" si="163">F167</f>
        <v>06 Utiliteitsgebouwen</v>
      </c>
      <c r="G415" s="37">
        <f t="shared" si="163"/>
        <v>2003</v>
      </c>
      <c r="H415" s="52">
        <f t="shared" si="163"/>
        <v>206366.74</v>
      </c>
      <c r="I415" s="37">
        <f t="shared" si="163"/>
        <v>2021</v>
      </c>
      <c r="J415" s="52">
        <f t="shared" si="163"/>
        <v>30</v>
      </c>
      <c r="K415" s="175">
        <f t="shared" si="163"/>
        <v>0</v>
      </c>
      <c r="L415" s="52">
        <f t="shared" si="163"/>
        <v>105414.90479883776</v>
      </c>
      <c r="N415" s="43">
        <f t="shared" si="110"/>
        <v>105414.90479883776</v>
      </c>
      <c r="P415" s="38">
        <f t="shared" si="101"/>
        <v>11.5</v>
      </c>
      <c r="R415" s="43">
        <f t="shared" si="154"/>
        <v>10724.820749099146</v>
      </c>
      <c r="S415" s="43">
        <f t="shared" si="154"/>
        <v>9512.4497078966342</v>
      </c>
      <c r="T415" s="43">
        <f t="shared" si="154"/>
        <v>8437.1293061344059</v>
      </c>
      <c r="U415" s="43">
        <f t="shared" si="154"/>
        <v>7788.1193595086825</v>
      </c>
      <c r="V415" s="43">
        <f t="shared" si="154"/>
        <v>7788.1193595086825</v>
      </c>
      <c r="X415" s="43">
        <f t="shared" si="155"/>
        <v>916.65134607685013</v>
      </c>
      <c r="Y415" s="43">
        <f t="shared" si="155"/>
        <v>916.65134607685013</v>
      </c>
      <c r="Z415" s="43">
        <f t="shared" si="155"/>
        <v>916.65134607685013</v>
      </c>
      <c r="AA415" s="43">
        <f t="shared" si="155"/>
        <v>916.65134607685013</v>
      </c>
      <c r="AB415" s="43">
        <f t="shared" si="155"/>
        <v>916.65134607685013</v>
      </c>
      <c r="AD415" s="43">
        <f t="shared" si="111"/>
        <v>93773.432703661761</v>
      </c>
      <c r="AE415" s="43">
        <f t="shared" si="112"/>
        <v>83344.331649688276</v>
      </c>
      <c r="AF415" s="43">
        <f t="shared" si="113"/>
        <v>73990.550997477025</v>
      </c>
      <c r="AG415" s="43">
        <f t="shared" si="114"/>
        <v>65285.780291891497</v>
      </c>
      <c r="AH415" s="43">
        <f t="shared" si="115"/>
        <v>56581.009586305969</v>
      </c>
      <c r="AJ415" s="43">
        <f t="shared" si="102"/>
        <v>14829.768807100496</v>
      </c>
      <c r="AK415" s="43">
        <f t="shared" si="103"/>
        <v>13179.463998413199</v>
      </c>
      <c r="AL415" s="43">
        <f t="shared" si="104"/>
        <v>12165.421590115382</v>
      </c>
      <c r="AM415" s="43">
        <f t="shared" si="105"/>
        <v>11185.630356677408</v>
      </c>
      <c r="AN415" s="43">
        <f t="shared" si="106"/>
        <v>10854.849069865159</v>
      </c>
    </row>
    <row r="416" spans="2:40">
      <c r="B416" s="37" t="str">
        <f t="shared" si="99"/>
        <v>Asset 110</v>
      </c>
      <c r="F416" s="37" t="str">
        <f t="shared" ref="F416:L416" si="164">F168</f>
        <v>13 Aanhangwagens</v>
      </c>
      <c r="G416" s="37">
        <f t="shared" si="164"/>
        <v>2003</v>
      </c>
      <c r="H416" s="52">
        <f t="shared" si="164"/>
        <v>1830.54</v>
      </c>
      <c r="I416" s="37">
        <f t="shared" si="164"/>
        <v>2021</v>
      </c>
      <c r="J416" s="52">
        <f t="shared" si="164"/>
        <v>10</v>
      </c>
      <c r="K416" s="175">
        <f t="shared" si="164"/>
        <v>1</v>
      </c>
      <c r="L416" s="52">
        <f t="shared" si="164"/>
        <v>0</v>
      </c>
      <c r="N416" s="43">
        <f t="shared" si="110"/>
        <v>0</v>
      </c>
      <c r="P416" s="38">
        <f t="shared" si="101"/>
        <v>0</v>
      </c>
      <c r="R416" s="43">
        <f t="shared" si="154"/>
        <v>0</v>
      </c>
      <c r="S416" s="43">
        <f t="shared" si="154"/>
        <v>0</v>
      </c>
      <c r="T416" s="43">
        <f t="shared" si="154"/>
        <v>0</v>
      </c>
      <c r="U416" s="43">
        <f t="shared" si="154"/>
        <v>0</v>
      </c>
      <c r="V416" s="43">
        <f t="shared" si="154"/>
        <v>0</v>
      </c>
      <c r="X416" s="43">
        <f t="shared" si="155"/>
        <v>0</v>
      </c>
      <c r="Y416" s="43">
        <f t="shared" si="155"/>
        <v>0</v>
      </c>
      <c r="Z416" s="43">
        <f t="shared" si="155"/>
        <v>0</v>
      </c>
      <c r="AA416" s="43">
        <f t="shared" si="155"/>
        <v>0</v>
      </c>
      <c r="AB416" s="43">
        <f t="shared" si="155"/>
        <v>0</v>
      </c>
      <c r="AD416" s="43">
        <f t="shared" si="111"/>
        <v>0</v>
      </c>
      <c r="AE416" s="43">
        <f t="shared" si="112"/>
        <v>0</v>
      </c>
      <c r="AF416" s="43">
        <f t="shared" si="113"/>
        <v>0</v>
      </c>
      <c r="AG416" s="43">
        <f t="shared" si="114"/>
        <v>0</v>
      </c>
      <c r="AH416" s="43">
        <f t="shared" si="115"/>
        <v>0</v>
      </c>
      <c r="AJ416" s="43">
        <f t="shared" si="102"/>
        <v>0</v>
      </c>
      <c r="AK416" s="43">
        <f t="shared" si="103"/>
        <v>0</v>
      </c>
      <c r="AL416" s="43">
        <f t="shared" si="104"/>
        <v>0</v>
      </c>
      <c r="AM416" s="43">
        <f t="shared" si="105"/>
        <v>0</v>
      </c>
      <c r="AN416" s="43">
        <f t="shared" si="106"/>
        <v>0</v>
      </c>
    </row>
    <row r="417" spans="2:40">
      <c r="B417" s="37" t="str">
        <f t="shared" si="99"/>
        <v>Asset 111</v>
      </c>
      <c r="F417" s="37" t="str">
        <f t="shared" ref="F417:L417" si="165">F169</f>
        <v>37 ICT middelen 1</v>
      </c>
      <c r="G417" s="37">
        <f t="shared" si="165"/>
        <v>2004</v>
      </c>
      <c r="H417" s="52">
        <f t="shared" si="165"/>
        <v>2583848.4300000002</v>
      </c>
      <c r="I417" s="37">
        <f t="shared" si="165"/>
        <v>2021</v>
      </c>
      <c r="J417" s="52">
        <f t="shared" si="165"/>
        <v>5</v>
      </c>
      <c r="K417" s="175">
        <f t="shared" si="165"/>
        <v>1</v>
      </c>
      <c r="L417" s="52">
        <f t="shared" si="165"/>
        <v>0</v>
      </c>
      <c r="N417" s="43">
        <f t="shared" si="110"/>
        <v>0</v>
      </c>
      <c r="P417" s="38">
        <f t="shared" si="101"/>
        <v>0</v>
      </c>
      <c r="R417" s="43">
        <f t="shared" ref="R417:V426" si="166">IF(R$305&lt;=$G417+$J417,VDB($L417*(1-$F$25),0,$P417,R$305-2022,MIN(R$305-2021,$P417),$F$22),0)</f>
        <v>0</v>
      </c>
      <c r="S417" s="43">
        <f t="shared" si="166"/>
        <v>0</v>
      </c>
      <c r="T417" s="43">
        <f t="shared" si="166"/>
        <v>0</v>
      </c>
      <c r="U417" s="43">
        <f t="shared" si="166"/>
        <v>0</v>
      </c>
      <c r="V417" s="43">
        <f t="shared" si="166"/>
        <v>0</v>
      </c>
      <c r="X417" s="43">
        <f t="shared" ref="X417:AB426" si="167">IF(X$305&lt;=$G417+$J417,VDB($L417*$F$25,0,$P417,X$305-2022,MIN(X$305-2021,$P417),1),0)</f>
        <v>0</v>
      </c>
      <c r="Y417" s="43">
        <f t="shared" si="167"/>
        <v>0</v>
      </c>
      <c r="Z417" s="43">
        <f t="shared" si="167"/>
        <v>0</v>
      </c>
      <c r="AA417" s="43">
        <f t="shared" si="167"/>
        <v>0</v>
      </c>
      <c r="AB417" s="43">
        <f t="shared" si="167"/>
        <v>0</v>
      </c>
      <c r="AD417" s="43">
        <f t="shared" si="111"/>
        <v>0</v>
      </c>
      <c r="AE417" s="43">
        <f t="shared" si="112"/>
        <v>0</v>
      </c>
      <c r="AF417" s="43">
        <f t="shared" si="113"/>
        <v>0</v>
      </c>
      <c r="AG417" s="43">
        <f t="shared" si="114"/>
        <v>0</v>
      </c>
      <c r="AH417" s="43">
        <f t="shared" si="115"/>
        <v>0</v>
      </c>
      <c r="AJ417" s="43">
        <f t="shared" si="102"/>
        <v>0</v>
      </c>
      <c r="AK417" s="43">
        <f t="shared" si="103"/>
        <v>0</v>
      </c>
      <c r="AL417" s="43">
        <f t="shared" si="104"/>
        <v>0</v>
      </c>
      <c r="AM417" s="43">
        <f t="shared" si="105"/>
        <v>0</v>
      </c>
      <c r="AN417" s="43">
        <f t="shared" si="106"/>
        <v>0</v>
      </c>
    </row>
    <row r="418" spans="2:40">
      <c r="B418" s="37" t="str">
        <f t="shared" si="99"/>
        <v>Asset 112</v>
      </c>
      <c r="F418" s="37" t="str">
        <f t="shared" ref="F418:L418" si="168">F170</f>
        <v>37 ICT middelen 1 (gaschromatografen en comptabele meting)</v>
      </c>
      <c r="G418" s="37">
        <f t="shared" si="168"/>
        <v>2004</v>
      </c>
      <c r="H418" s="52">
        <f t="shared" si="168"/>
        <v>263122.5</v>
      </c>
      <c r="I418" s="37">
        <f t="shared" si="168"/>
        <v>2021</v>
      </c>
      <c r="J418" s="52">
        <f t="shared" si="168"/>
        <v>5</v>
      </c>
      <c r="K418" s="175">
        <f t="shared" si="168"/>
        <v>0</v>
      </c>
      <c r="L418" s="52">
        <f t="shared" si="168"/>
        <v>0</v>
      </c>
      <c r="N418" s="43">
        <f t="shared" si="110"/>
        <v>0</v>
      </c>
      <c r="P418" s="38">
        <f t="shared" si="101"/>
        <v>0</v>
      </c>
      <c r="R418" s="43">
        <f t="shared" si="166"/>
        <v>0</v>
      </c>
      <c r="S418" s="43">
        <f t="shared" si="166"/>
        <v>0</v>
      </c>
      <c r="T418" s="43">
        <f t="shared" si="166"/>
        <v>0</v>
      </c>
      <c r="U418" s="43">
        <f t="shared" si="166"/>
        <v>0</v>
      </c>
      <c r="V418" s="43">
        <f t="shared" si="166"/>
        <v>0</v>
      </c>
      <c r="X418" s="43">
        <f t="shared" si="167"/>
        <v>0</v>
      </c>
      <c r="Y418" s="43">
        <f t="shared" si="167"/>
        <v>0</v>
      </c>
      <c r="Z418" s="43">
        <f t="shared" si="167"/>
        <v>0</v>
      </c>
      <c r="AA418" s="43">
        <f t="shared" si="167"/>
        <v>0</v>
      </c>
      <c r="AB418" s="43">
        <f t="shared" si="167"/>
        <v>0</v>
      </c>
      <c r="AD418" s="43">
        <f t="shared" si="111"/>
        <v>0</v>
      </c>
      <c r="AE418" s="43">
        <f t="shared" si="112"/>
        <v>0</v>
      </c>
      <c r="AF418" s="43">
        <f t="shared" si="113"/>
        <v>0</v>
      </c>
      <c r="AG418" s="43">
        <f t="shared" si="114"/>
        <v>0</v>
      </c>
      <c r="AH418" s="43">
        <f t="shared" si="115"/>
        <v>0</v>
      </c>
      <c r="AJ418" s="43">
        <f t="shared" si="102"/>
        <v>0</v>
      </c>
      <c r="AK418" s="43">
        <f t="shared" si="103"/>
        <v>0</v>
      </c>
      <c r="AL418" s="43">
        <f t="shared" si="104"/>
        <v>0</v>
      </c>
      <c r="AM418" s="43">
        <f t="shared" si="105"/>
        <v>0</v>
      </c>
      <c r="AN418" s="43">
        <f t="shared" si="106"/>
        <v>0</v>
      </c>
    </row>
    <row r="419" spans="2:40">
      <c r="B419" s="37" t="str">
        <f t="shared" si="99"/>
        <v>Asset 113</v>
      </c>
      <c r="F419" s="37" t="str">
        <f t="shared" ref="F419:L419" si="169">F171</f>
        <v>09 Bedrijfsinventaris</v>
      </c>
      <c r="G419" s="37">
        <f t="shared" si="169"/>
        <v>2004</v>
      </c>
      <c r="H419" s="52">
        <f t="shared" si="169"/>
        <v>142655</v>
      </c>
      <c r="I419" s="37">
        <f t="shared" si="169"/>
        <v>2021</v>
      </c>
      <c r="J419" s="52">
        <f t="shared" si="169"/>
        <v>10</v>
      </c>
      <c r="K419" s="175">
        <f t="shared" si="169"/>
        <v>1</v>
      </c>
      <c r="L419" s="52">
        <f t="shared" si="169"/>
        <v>0</v>
      </c>
      <c r="N419" s="43">
        <f t="shared" si="110"/>
        <v>0</v>
      </c>
      <c r="P419" s="38">
        <f t="shared" si="101"/>
        <v>0</v>
      </c>
      <c r="R419" s="43">
        <f t="shared" si="166"/>
        <v>0</v>
      </c>
      <c r="S419" s="43">
        <f t="shared" si="166"/>
        <v>0</v>
      </c>
      <c r="T419" s="43">
        <f t="shared" si="166"/>
        <v>0</v>
      </c>
      <c r="U419" s="43">
        <f t="shared" si="166"/>
        <v>0</v>
      </c>
      <c r="V419" s="43">
        <f t="shared" si="166"/>
        <v>0</v>
      </c>
      <c r="X419" s="43">
        <f t="shared" si="167"/>
        <v>0</v>
      </c>
      <c r="Y419" s="43">
        <f t="shared" si="167"/>
        <v>0</v>
      </c>
      <c r="Z419" s="43">
        <f t="shared" si="167"/>
        <v>0</v>
      </c>
      <c r="AA419" s="43">
        <f t="shared" si="167"/>
        <v>0</v>
      </c>
      <c r="AB419" s="43">
        <f t="shared" si="167"/>
        <v>0</v>
      </c>
      <c r="AD419" s="43">
        <f t="shared" si="111"/>
        <v>0</v>
      </c>
      <c r="AE419" s="43">
        <f t="shared" si="112"/>
        <v>0</v>
      </c>
      <c r="AF419" s="43">
        <f t="shared" si="113"/>
        <v>0</v>
      </c>
      <c r="AG419" s="43">
        <f t="shared" si="114"/>
        <v>0</v>
      </c>
      <c r="AH419" s="43">
        <f t="shared" si="115"/>
        <v>0</v>
      </c>
      <c r="AJ419" s="43">
        <f t="shared" si="102"/>
        <v>0</v>
      </c>
      <c r="AK419" s="43">
        <f t="shared" si="103"/>
        <v>0</v>
      </c>
      <c r="AL419" s="43">
        <f t="shared" si="104"/>
        <v>0</v>
      </c>
      <c r="AM419" s="43">
        <f t="shared" si="105"/>
        <v>0</v>
      </c>
      <c r="AN419" s="43">
        <f t="shared" si="106"/>
        <v>0</v>
      </c>
    </row>
    <row r="420" spans="2:40">
      <c r="B420" s="37" t="str">
        <f t="shared" si="99"/>
        <v>Asset 114</v>
      </c>
      <c r="F420" s="37" t="str">
        <f t="shared" ref="F420:L420" si="170">F172</f>
        <v>11 Werktuigen</v>
      </c>
      <c r="G420" s="37">
        <f t="shared" si="170"/>
        <v>2004</v>
      </c>
      <c r="H420" s="52">
        <f t="shared" si="170"/>
        <v>77020.09</v>
      </c>
      <c r="I420" s="37">
        <f t="shared" si="170"/>
        <v>2021</v>
      </c>
      <c r="J420" s="52">
        <f t="shared" si="170"/>
        <v>10</v>
      </c>
      <c r="K420" s="175">
        <f t="shared" si="170"/>
        <v>1</v>
      </c>
      <c r="L420" s="52">
        <f t="shared" si="170"/>
        <v>0</v>
      </c>
      <c r="N420" s="43">
        <f t="shared" si="110"/>
        <v>0</v>
      </c>
      <c r="P420" s="38">
        <f t="shared" si="101"/>
        <v>0</v>
      </c>
      <c r="R420" s="43">
        <f t="shared" si="166"/>
        <v>0</v>
      </c>
      <c r="S420" s="43">
        <f t="shared" si="166"/>
        <v>0</v>
      </c>
      <c r="T420" s="43">
        <f t="shared" si="166"/>
        <v>0</v>
      </c>
      <c r="U420" s="43">
        <f t="shared" si="166"/>
        <v>0</v>
      </c>
      <c r="V420" s="43">
        <f t="shared" si="166"/>
        <v>0</v>
      </c>
      <c r="X420" s="43">
        <f t="shared" si="167"/>
        <v>0</v>
      </c>
      <c r="Y420" s="43">
        <f t="shared" si="167"/>
        <v>0</v>
      </c>
      <c r="Z420" s="43">
        <f t="shared" si="167"/>
        <v>0</v>
      </c>
      <c r="AA420" s="43">
        <f t="shared" si="167"/>
        <v>0</v>
      </c>
      <c r="AB420" s="43">
        <f t="shared" si="167"/>
        <v>0</v>
      </c>
      <c r="AD420" s="43">
        <f t="shared" si="111"/>
        <v>0</v>
      </c>
      <c r="AE420" s="43">
        <f t="shared" si="112"/>
        <v>0</v>
      </c>
      <c r="AF420" s="43">
        <f t="shared" si="113"/>
        <v>0</v>
      </c>
      <c r="AG420" s="43">
        <f t="shared" si="114"/>
        <v>0</v>
      </c>
      <c r="AH420" s="43">
        <f t="shared" si="115"/>
        <v>0</v>
      </c>
      <c r="AJ420" s="43">
        <f t="shared" si="102"/>
        <v>0</v>
      </c>
      <c r="AK420" s="43">
        <f t="shared" si="103"/>
        <v>0</v>
      </c>
      <c r="AL420" s="43">
        <f t="shared" si="104"/>
        <v>0</v>
      </c>
      <c r="AM420" s="43">
        <f t="shared" si="105"/>
        <v>0</v>
      </c>
      <c r="AN420" s="43">
        <f t="shared" si="106"/>
        <v>0</v>
      </c>
    </row>
    <row r="421" spans="2:40">
      <c r="B421" s="37" t="str">
        <f t="shared" si="99"/>
        <v>Asset 115</v>
      </c>
      <c r="F421" s="37" t="str">
        <f t="shared" ref="F421:L421" si="171">F173</f>
        <v>14 Overig rollend materieel</v>
      </c>
      <c r="G421" s="37">
        <f t="shared" si="171"/>
        <v>2004</v>
      </c>
      <c r="H421" s="52">
        <f t="shared" si="171"/>
        <v>195332.07</v>
      </c>
      <c r="I421" s="37">
        <f t="shared" si="171"/>
        <v>2021</v>
      </c>
      <c r="J421" s="52">
        <f t="shared" si="171"/>
        <v>10</v>
      </c>
      <c r="K421" s="175">
        <f t="shared" si="171"/>
        <v>1</v>
      </c>
      <c r="L421" s="52">
        <f t="shared" si="171"/>
        <v>0</v>
      </c>
      <c r="N421" s="43">
        <f t="shared" si="110"/>
        <v>0</v>
      </c>
      <c r="P421" s="38">
        <f t="shared" si="101"/>
        <v>0</v>
      </c>
      <c r="R421" s="43">
        <f t="shared" si="166"/>
        <v>0</v>
      </c>
      <c r="S421" s="43">
        <f t="shared" si="166"/>
        <v>0</v>
      </c>
      <c r="T421" s="43">
        <f t="shared" si="166"/>
        <v>0</v>
      </c>
      <c r="U421" s="43">
        <f t="shared" si="166"/>
        <v>0</v>
      </c>
      <c r="V421" s="43">
        <f t="shared" si="166"/>
        <v>0</v>
      </c>
      <c r="X421" s="43">
        <f t="shared" si="167"/>
        <v>0</v>
      </c>
      <c r="Y421" s="43">
        <f t="shared" si="167"/>
        <v>0</v>
      </c>
      <c r="Z421" s="43">
        <f t="shared" si="167"/>
        <v>0</v>
      </c>
      <c r="AA421" s="43">
        <f t="shared" si="167"/>
        <v>0</v>
      </c>
      <c r="AB421" s="43">
        <f t="shared" si="167"/>
        <v>0</v>
      </c>
      <c r="AD421" s="43">
        <f t="shared" si="111"/>
        <v>0</v>
      </c>
      <c r="AE421" s="43">
        <f t="shared" si="112"/>
        <v>0</v>
      </c>
      <c r="AF421" s="43">
        <f t="shared" si="113"/>
        <v>0</v>
      </c>
      <c r="AG421" s="43">
        <f t="shared" si="114"/>
        <v>0</v>
      </c>
      <c r="AH421" s="43">
        <f t="shared" si="115"/>
        <v>0</v>
      </c>
      <c r="AJ421" s="43">
        <f t="shared" si="102"/>
        <v>0</v>
      </c>
      <c r="AK421" s="43">
        <f t="shared" si="103"/>
        <v>0</v>
      </c>
      <c r="AL421" s="43">
        <f t="shared" si="104"/>
        <v>0</v>
      </c>
      <c r="AM421" s="43">
        <f t="shared" si="105"/>
        <v>0</v>
      </c>
      <c r="AN421" s="43">
        <f t="shared" si="106"/>
        <v>0</v>
      </c>
    </row>
    <row r="422" spans="2:40">
      <c r="B422" s="37" t="str">
        <f t="shared" si="99"/>
        <v>Asset 116</v>
      </c>
      <c r="F422" s="37" t="str">
        <f t="shared" ref="F422:L422" si="172">F174</f>
        <v>13 Aanhangwagens</v>
      </c>
      <c r="G422" s="37">
        <f t="shared" si="172"/>
        <v>2004</v>
      </c>
      <c r="H422" s="52">
        <f t="shared" si="172"/>
        <v>1265</v>
      </c>
      <c r="I422" s="37">
        <f t="shared" si="172"/>
        <v>2021</v>
      </c>
      <c r="J422" s="52">
        <f t="shared" si="172"/>
        <v>10</v>
      </c>
      <c r="K422" s="175">
        <f t="shared" si="172"/>
        <v>1</v>
      </c>
      <c r="L422" s="52">
        <f t="shared" si="172"/>
        <v>0</v>
      </c>
      <c r="N422" s="43">
        <f t="shared" si="110"/>
        <v>0</v>
      </c>
      <c r="P422" s="38">
        <f t="shared" si="101"/>
        <v>0</v>
      </c>
      <c r="R422" s="43">
        <f t="shared" si="166"/>
        <v>0</v>
      </c>
      <c r="S422" s="43">
        <f t="shared" si="166"/>
        <v>0</v>
      </c>
      <c r="T422" s="43">
        <f t="shared" si="166"/>
        <v>0</v>
      </c>
      <c r="U422" s="43">
        <f t="shared" si="166"/>
        <v>0</v>
      </c>
      <c r="V422" s="43">
        <f t="shared" si="166"/>
        <v>0</v>
      </c>
      <c r="X422" s="43">
        <f t="shared" si="167"/>
        <v>0</v>
      </c>
      <c r="Y422" s="43">
        <f t="shared" si="167"/>
        <v>0</v>
      </c>
      <c r="Z422" s="43">
        <f t="shared" si="167"/>
        <v>0</v>
      </c>
      <c r="AA422" s="43">
        <f t="shared" si="167"/>
        <v>0</v>
      </c>
      <c r="AB422" s="43">
        <f t="shared" si="167"/>
        <v>0</v>
      </c>
      <c r="AD422" s="43">
        <f t="shared" si="111"/>
        <v>0</v>
      </c>
      <c r="AE422" s="43">
        <f t="shared" si="112"/>
        <v>0</v>
      </c>
      <c r="AF422" s="43">
        <f t="shared" si="113"/>
        <v>0</v>
      </c>
      <c r="AG422" s="43">
        <f t="shared" si="114"/>
        <v>0</v>
      </c>
      <c r="AH422" s="43">
        <f t="shared" si="115"/>
        <v>0</v>
      </c>
      <c r="AJ422" s="43">
        <f t="shared" si="102"/>
        <v>0</v>
      </c>
      <c r="AK422" s="43">
        <f t="shared" si="103"/>
        <v>0</v>
      </c>
      <c r="AL422" s="43">
        <f t="shared" si="104"/>
        <v>0</v>
      </c>
      <c r="AM422" s="43">
        <f t="shared" si="105"/>
        <v>0</v>
      </c>
      <c r="AN422" s="43">
        <f t="shared" si="106"/>
        <v>0</v>
      </c>
    </row>
    <row r="423" spans="2:40">
      <c r="B423" s="37" t="str">
        <f t="shared" si="99"/>
        <v>Asset 117</v>
      </c>
      <c r="F423" s="37" t="str">
        <f t="shared" ref="F423:L423" si="173">F175</f>
        <v>08 Inrichting gebouwen</v>
      </c>
      <c r="G423" s="37">
        <f t="shared" si="173"/>
        <v>2004</v>
      </c>
      <c r="H423" s="52">
        <f t="shared" si="173"/>
        <v>62865.23</v>
      </c>
      <c r="I423" s="37">
        <f t="shared" si="173"/>
        <v>2021</v>
      </c>
      <c r="J423" s="52">
        <f t="shared" si="173"/>
        <v>10</v>
      </c>
      <c r="K423" s="175">
        <f t="shared" si="173"/>
        <v>0</v>
      </c>
      <c r="L423" s="52">
        <f t="shared" si="173"/>
        <v>0</v>
      </c>
      <c r="N423" s="43">
        <f t="shared" si="110"/>
        <v>0</v>
      </c>
      <c r="P423" s="38">
        <f t="shared" si="101"/>
        <v>0</v>
      </c>
      <c r="R423" s="43">
        <f t="shared" si="166"/>
        <v>0</v>
      </c>
      <c r="S423" s="43">
        <f t="shared" si="166"/>
        <v>0</v>
      </c>
      <c r="T423" s="43">
        <f t="shared" si="166"/>
        <v>0</v>
      </c>
      <c r="U423" s="43">
        <f t="shared" si="166"/>
        <v>0</v>
      </c>
      <c r="V423" s="43">
        <f t="shared" si="166"/>
        <v>0</v>
      </c>
      <c r="X423" s="43">
        <f t="shared" si="167"/>
        <v>0</v>
      </c>
      <c r="Y423" s="43">
        <f t="shared" si="167"/>
        <v>0</v>
      </c>
      <c r="Z423" s="43">
        <f t="shared" si="167"/>
        <v>0</v>
      </c>
      <c r="AA423" s="43">
        <f t="shared" si="167"/>
        <v>0</v>
      </c>
      <c r="AB423" s="43">
        <f t="shared" si="167"/>
        <v>0</v>
      </c>
      <c r="AD423" s="43">
        <f t="shared" si="111"/>
        <v>0</v>
      </c>
      <c r="AE423" s="43">
        <f t="shared" si="112"/>
        <v>0</v>
      </c>
      <c r="AF423" s="43">
        <f t="shared" si="113"/>
        <v>0</v>
      </c>
      <c r="AG423" s="43">
        <f t="shared" si="114"/>
        <v>0</v>
      </c>
      <c r="AH423" s="43">
        <f t="shared" si="115"/>
        <v>0</v>
      </c>
      <c r="AJ423" s="43">
        <f t="shared" si="102"/>
        <v>0</v>
      </c>
      <c r="AK423" s="43">
        <f t="shared" si="103"/>
        <v>0</v>
      </c>
      <c r="AL423" s="43">
        <f t="shared" si="104"/>
        <v>0</v>
      </c>
      <c r="AM423" s="43">
        <f t="shared" si="105"/>
        <v>0</v>
      </c>
      <c r="AN423" s="43">
        <f t="shared" si="106"/>
        <v>0</v>
      </c>
    </row>
    <row r="424" spans="2:40">
      <c r="B424" s="37" t="str">
        <f t="shared" si="99"/>
        <v>Asset 118</v>
      </c>
      <c r="F424" s="37" t="str">
        <f t="shared" ref="F424:L424" si="174">F176</f>
        <v>12 Motorvoertuigen</v>
      </c>
      <c r="G424" s="37">
        <f t="shared" si="174"/>
        <v>2004</v>
      </c>
      <c r="H424" s="52">
        <f t="shared" si="174"/>
        <v>47369.03</v>
      </c>
      <c r="I424" s="37">
        <f t="shared" si="174"/>
        <v>2021</v>
      </c>
      <c r="J424" s="52">
        <f t="shared" si="174"/>
        <v>10</v>
      </c>
      <c r="K424" s="175">
        <f t="shared" si="174"/>
        <v>1</v>
      </c>
      <c r="L424" s="52">
        <f t="shared" si="174"/>
        <v>0</v>
      </c>
      <c r="N424" s="43">
        <f t="shared" si="110"/>
        <v>0</v>
      </c>
      <c r="P424" s="38">
        <f t="shared" si="101"/>
        <v>0</v>
      </c>
      <c r="R424" s="43">
        <f t="shared" si="166"/>
        <v>0</v>
      </c>
      <c r="S424" s="43">
        <f t="shared" si="166"/>
        <v>0</v>
      </c>
      <c r="T424" s="43">
        <f t="shared" si="166"/>
        <v>0</v>
      </c>
      <c r="U424" s="43">
        <f t="shared" si="166"/>
        <v>0</v>
      </c>
      <c r="V424" s="43">
        <f t="shared" si="166"/>
        <v>0</v>
      </c>
      <c r="X424" s="43">
        <f t="shared" si="167"/>
        <v>0</v>
      </c>
      <c r="Y424" s="43">
        <f t="shared" si="167"/>
        <v>0</v>
      </c>
      <c r="Z424" s="43">
        <f t="shared" si="167"/>
        <v>0</v>
      </c>
      <c r="AA424" s="43">
        <f t="shared" si="167"/>
        <v>0</v>
      </c>
      <c r="AB424" s="43">
        <f t="shared" si="167"/>
        <v>0</v>
      </c>
      <c r="AD424" s="43">
        <f t="shared" si="111"/>
        <v>0</v>
      </c>
      <c r="AE424" s="43">
        <f t="shared" si="112"/>
        <v>0</v>
      </c>
      <c r="AF424" s="43">
        <f t="shared" si="113"/>
        <v>0</v>
      </c>
      <c r="AG424" s="43">
        <f t="shared" si="114"/>
        <v>0</v>
      </c>
      <c r="AH424" s="43">
        <f t="shared" si="115"/>
        <v>0</v>
      </c>
      <c r="AJ424" s="43">
        <f t="shared" si="102"/>
        <v>0</v>
      </c>
      <c r="AK424" s="43">
        <f t="shared" si="103"/>
        <v>0</v>
      </c>
      <c r="AL424" s="43">
        <f t="shared" si="104"/>
        <v>0</v>
      </c>
      <c r="AM424" s="43">
        <f t="shared" si="105"/>
        <v>0</v>
      </c>
      <c r="AN424" s="43">
        <f t="shared" si="106"/>
        <v>0</v>
      </c>
    </row>
    <row r="425" spans="2:40">
      <c r="B425" s="37" t="str">
        <f t="shared" si="99"/>
        <v>Asset 119</v>
      </c>
      <c r="F425" s="37" t="str">
        <f t="shared" ref="F425:L425" si="175">F177</f>
        <v>06 Utiliteitsgebouwen</v>
      </c>
      <c r="G425" s="37">
        <f t="shared" si="175"/>
        <v>2005</v>
      </c>
      <c r="H425" s="52">
        <f t="shared" si="175"/>
        <v>13716.41</v>
      </c>
      <c r="I425" s="37">
        <f t="shared" si="175"/>
        <v>2021</v>
      </c>
      <c r="J425" s="52">
        <f t="shared" si="175"/>
        <v>30</v>
      </c>
      <c r="K425" s="175">
        <f t="shared" si="175"/>
        <v>0</v>
      </c>
      <c r="L425" s="52">
        <f t="shared" si="175"/>
        <v>7968.2289834864932</v>
      </c>
      <c r="N425" s="43">
        <f t="shared" si="110"/>
        <v>7968.2289834864932</v>
      </c>
      <c r="P425" s="38">
        <f t="shared" si="101"/>
        <v>13.5</v>
      </c>
      <c r="R425" s="43">
        <f t="shared" si="166"/>
        <v>690.57984523549612</v>
      </c>
      <c r="S425" s="43">
        <f t="shared" si="166"/>
        <v>624.07956384244835</v>
      </c>
      <c r="T425" s="43">
        <f t="shared" si="166"/>
        <v>563.98301325021259</v>
      </c>
      <c r="U425" s="43">
        <f t="shared" si="166"/>
        <v>509.67353790019206</v>
      </c>
      <c r="V425" s="43">
        <f t="shared" si="166"/>
        <v>503.48317104310473</v>
      </c>
      <c r="X425" s="43">
        <f t="shared" si="167"/>
        <v>59.023918396196251</v>
      </c>
      <c r="Y425" s="43">
        <f t="shared" si="167"/>
        <v>59.023918396196251</v>
      </c>
      <c r="Z425" s="43">
        <f t="shared" si="167"/>
        <v>59.023918396196251</v>
      </c>
      <c r="AA425" s="43">
        <f t="shared" si="167"/>
        <v>59.023918396196251</v>
      </c>
      <c r="AB425" s="43">
        <f t="shared" si="167"/>
        <v>59.023918396196251</v>
      </c>
      <c r="AD425" s="43">
        <f t="shared" si="111"/>
        <v>7218.6252198548009</v>
      </c>
      <c r="AE425" s="43">
        <f t="shared" si="112"/>
        <v>6535.5217376161563</v>
      </c>
      <c r="AF425" s="43">
        <f t="shared" si="113"/>
        <v>5912.5148059697467</v>
      </c>
      <c r="AG425" s="43">
        <f t="shared" si="114"/>
        <v>5343.817349673358</v>
      </c>
      <c r="AH425" s="43">
        <f t="shared" si="115"/>
        <v>4781.3102602340568</v>
      </c>
      <c r="AJ425" s="43">
        <f t="shared" si="102"/>
        <v>995.03702110675556</v>
      </c>
      <c r="AK425" s="43">
        <f t="shared" si="103"/>
        <v>898.77569957997775</v>
      </c>
      <c r="AL425" s="43">
        <f t="shared" si="104"/>
        <v>847.68249427325918</v>
      </c>
      <c r="AM425" s="43">
        <f t="shared" si="105"/>
        <v>771.76251558397587</v>
      </c>
      <c r="AN425" s="43">
        <f t="shared" si="106"/>
        <v>744.19687932819511</v>
      </c>
    </row>
    <row r="426" spans="2:40">
      <c r="B426" s="37" t="str">
        <f t="shared" si="99"/>
        <v>Asset 120</v>
      </c>
      <c r="F426" s="37" t="str">
        <f t="shared" ref="F426:L426" si="176">F178</f>
        <v>13 Aanhangwagens</v>
      </c>
      <c r="G426" s="37">
        <f t="shared" si="176"/>
        <v>2005</v>
      </c>
      <c r="H426" s="52">
        <f t="shared" si="176"/>
        <v>5690.5</v>
      </c>
      <c r="I426" s="37">
        <f t="shared" si="176"/>
        <v>2021</v>
      </c>
      <c r="J426" s="52">
        <f t="shared" si="176"/>
        <v>10</v>
      </c>
      <c r="K426" s="175">
        <f t="shared" si="176"/>
        <v>1</v>
      </c>
      <c r="L426" s="52">
        <f t="shared" si="176"/>
        <v>0</v>
      </c>
      <c r="N426" s="43">
        <f t="shared" si="110"/>
        <v>0</v>
      </c>
      <c r="P426" s="38">
        <f t="shared" si="101"/>
        <v>0</v>
      </c>
      <c r="R426" s="43">
        <f t="shared" si="166"/>
        <v>0</v>
      </c>
      <c r="S426" s="43">
        <f t="shared" si="166"/>
        <v>0</v>
      </c>
      <c r="T426" s="43">
        <f t="shared" si="166"/>
        <v>0</v>
      </c>
      <c r="U426" s="43">
        <f t="shared" si="166"/>
        <v>0</v>
      </c>
      <c r="V426" s="43">
        <f t="shared" si="166"/>
        <v>0</v>
      </c>
      <c r="X426" s="43">
        <f t="shared" si="167"/>
        <v>0</v>
      </c>
      <c r="Y426" s="43">
        <f t="shared" si="167"/>
        <v>0</v>
      </c>
      <c r="Z426" s="43">
        <f t="shared" si="167"/>
        <v>0</v>
      </c>
      <c r="AA426" s="43">
        <f t="shared" si="167"/>
        <v>0</v>
      </c>
      <c r="AB426" s="43">
        <f t="shared" si="167"/>
        <v>0</v>
      </c>
      <c r="AD426" s="43">
        <f t="shared" si="111"/>
        <v>0</v>
      </c>
      <c r="AE426" s="43">
        <f t="shared" si="112"/>
        <v>0</v>
      </c>
      <c r="AF426" s="43">
        <f t="shared" si="113"/>
        <v>0</v>
      </c>
      <c r="AG426" s="43">
        <f t="shared" si="114"/>
        <v>0</v>
      </c>
      <c r="AH426" s="43">
        <f t="shared" si="115"/>
        <v>0</v>
      </c>
      <c r="AJ426" s="43">
        <f t="shared" si="102"/>
        <v>0</v>
      </c>
      <c r="AK426" s="43">
        <f t="shared" si="103"/>
        <v>0</v>
      </c>
      <c r="AL426" s="43">
        <f t="shared" si="104"/>
        <v>0</v>
      </c>
      <c r="AM426" s="43">
        <f t="shared" si="105"/>
        <v>0</v>
      </c>
      <c r="AN426" s="43">
        <f t="shared" si="106"/>
        <v>0</v>
      </c>
    </row>
    <row r="427" spans="2:40">
      <c r="B427" s="37" t="str">
        <f t="shared" si="99"/>
        <v>Asset 121</v>
      </c>
      <c r="F427" s="37" t="str">
        <f t="shared" ref="F427:L427" si="177">F179</f>
        <v>08 Inrichting gebouwen</v>
      </c>
      <c r="G427" s="37">
        <f t="shared" si="177"/>
        <v>2005</v>
      </c>
      <c r="H427" s="52">
        <f t="shared" si="177"/>
        <v>149702.98000000001</v>
      </c>
      <c r="I427" s="37">
        <f t="shared" si="177"/>
        <v>2021</v>
      </c>
      <c r="J427" s="52">
        <f t="shared" si="177"/>
        <v>10</v>
      </c>
      <c r="K427" s="175">
        <f t="shared" si="177"/>
        <v>0</v>
      </c>
      <c r="L427" s="52">
        <f t="shared" si="177"/>
        <v>0</v>
      </c>
      <c r="N427" s="43">
        <f t="shared" si="110"/>
        <v>0</v>
      </c>
      <c r="P427" s="38">
        <f t="shared" si="101"/>
        <v>0</v>
      </c>
      <c r="R427" s="43">
        <f t="shared" ref="R427:V436" si="178">IF(R$305&lt;=$G427+$J427,VDB($L427*(1-$F$25),0,$P427,R$305-2022,MIN(R$305-2021,$P427),$F$22),0)</f>
        <v>0</v>
      </c>
      <c r="S427" s="43">
        <f t="shared" si="178"/>
        <v>0</v>
      </c>
      <c r="T427" s="43">
        <f t="shared" si="178"/>
        <v>0</v>
      </c>
      <c r="U427" s="43">
        <f t="shared" si="178"/>
        <v>0</v>
      </c>
      <c r="V427" s="43">
        <f t="shared" si="178"/>
        <v>0</v>
      </c>
      <c r="X427" s="43">
        <f t="shared" ref="X427:AB436" si="179">IF(X$305&lt;=$G427+$J427,VDB($L427*$F$25,0,$P427,X$305-2022,MIN(X$305-2021,$P427),1),0)</f>
        <v>0</v>
      </c>
      <c r="Y427" s="43">
        <f t="shared" si="179"/>
        <v>0</v>
      </c>
      <c r="Z427" s="43">
        <f t="shared" si="179"/>
        <v>0</v>
      </c>
      <c r="AA427" s="43">
        <f t="shared" si="179"/>
        <v>0</v>
      </c>
      <c r="AB427" s="43">
        <f t="shared" si="179"/>
        <v>0</v>
      </c>
      <c r="AD427" s="43">
        <f t="shared" si="111"/>
        <v>0</v>
      </c>
      <c r="AE427" s="43">
        <f t="shared" si="112"/>
        <v>0</v>
      </c>
      <c r="AF427" s="43">
        <f t="shared" si="113"/>
        <v>0</v>
      </c>
      <c r="AG427" s="43">
        <f t="shared" si="114"/>
        <v>0</v>
      </c>
      <c r="AH427" s="43">
        <f t="shared" si="115"/>
        <v>0</v>
      </c>
      <c r="AJ427" s="43">
        <f t="shared" si="102"/>
        <v>0</v>
      </c>
      <c r="AK427" s="43">
        <f t="shared" si="103"/>
        <v>0</v>
      </c>
      <c r="AL427" s="43">
        <f t="shared" si="104"/>
        <v>0</v>
      </c>
      <c r="AM427" s="43">
        <f t="shared" si="105"/>
        <v>0</v>
      </c>
      <c r="AN427" s="43">
        <f t="shared" si="106"/>
        <v>0</v>
      </c>
    </row>
    <row r="428" spans="2:40">
      <c r="B428" s="37" t="str">
        <f t="shared" si="99"/>
        <v>Asset 122</v>
      </c>
      <c r="F428" s="37" t="str">
        <f t="shared" ref="F428:L428" si="180">F180</f>
        <v>12 Motorvoertuigen</v>
      </c>
      <c r="G428" s="37">
        <f t="shared" si="180"/>
        <v>2005</v>
      </c>
      <c r="H428" s="52">
        <f t="shared" si="180"/>
        <v>144500</v>
      </c>
      <c r="I428" s="37">
        <f t="shared" si="180"/>
        <v>2021</v>
      </c>
      <c r="J428" s="52">
        <f t="shared" si="180"/>
        <v>10</v>
      </c>
      <c r="K428" s="175">
        <f t="shared" si="180"/>
        <v>1</v>
      </c>
      <c r="L428" s="52">
        <f t="shared" si="180"/>
        <v>0</v>
      </c>
      <c r="N428" s="43">
        <f t="shared" si="110"/>
        <v>0</v>
      </c>
      <c r="P428" s="38">
        <f t="shared" si="101"/>
        <v>0</v>
      </c>
      <c r="R428" s="43">
        <f t="shared" si="178"/>
        <v>0</v>
      </c>
      <c r="S428" s="43">
        <f t="shared" si="178"/>
        <v>0</v>
      </c>
      <c r="T428" s="43">
        <f t="shared" si="178"/>
        <v>0</v>
      </c>
      <c r="U428" s="43">
        <f t="shared" si="178"/>
        <v>0</v>
      </c>
      <c r="V428" s="43">
        <f t="shared" si="178"/>
        <v>0</v>
      </c>
      <c r="X428" s="43">
        <f t="shared" si="179"/>
        <v>0</v>
      </c>
      <c r="Y428" s="43">
        <f t="shared" si="179"/>
        <v>0</v>
      </c>
      <c r="Z428" s="43">
        <f t="shared" si="179"/>
        <v>0</v>
      </c>
      <c r="AA428" s="43">
        <f t="shared" si="179"/>
        <v>0</v>
      </c>
      <c r="AB428" s="43">
        <f t="shared" si="179"/>
        <v>0</v>
      </c>
      <c r="AD428" s="43">
        <f t="shared" si="111"/>
        <v>0</v>
      </c>
      <c r="AE428" s="43">
        <f t="shared" si="112"/>
        <v>0</v>
      </c>
      <c r="AF428" s="43">
        <f t="shared" si="113"/>
        <v>0</v>
      </c>
      <c r="AG428" s="43">
        <f t="shared" si="114"/>
        <v>0</v>
      </c>
      <c r="AH428" s="43">
        <f t="shared" si="115"/>
        <v>0</v>
      </c>
      <c r="AJ428" s="43">
        <f t="shared" si="102"/>
        <v>0</v>
      </c>
      <c r="AK428" s="43">
        <f t="shared" si="103"/>
        <v>0</v>
      </c>
      <c r="AL428" s="43">
        <f t="shared" si="104"/>
        <v>0</v>
      </c>
      <c r="AM428" s="43">
        <f t="shared" si="105"/>
        <v>0</v>
      </c>
      <c r="AN428" s="43">
        <f t="shared" si="106"/>
        <v>0</v>
      </c>
    </row>
    <row r="429" spans="2:40">
      <c r="B429" s="37" t="str">
        <f t="shared" si="99"/>
        <v>Asset 123</v>
      </c>
      <c r="F429" s="37" t="str">
        <f t="shared" ref="F429:L429" si="181">F181</f>
        <v>09 Bedrijfsinventaris</v>
      </c>
      <c r="G429" s="37">
        <f t="shared" si="181"/>
        <v>2005</v>
      </c>
      <c r="H429" s="52">
        <f t="shared" si="181"/>
        <v>22500</v>
      </c>
      <c r="I429" s="37">
        <f t="shared" si="181"/>
        <v>2021</v>
      </c>
      <c r="J429" s="52">
        <f t="shared" si="181"/>
        <v>10</v>
      </c>
      <c r="K429" s="175">
        <f t="shared" si="181"/>
        <v>1</v>
      </c>
      <c r="L429" s="52">
        <f t="shared" si="181"/>
        <v>0</v>
      </c>
      <c r="N429" s="43">
        <f t="shared" si="110"/>
        <v>0</v>
      </c>
      <c r="P429" s="38">
        <f t="shared" si="101"/>
        <v>0</v>
      </c>
      <c r="R429" s="43">
        <f t="shared" si="178"/>
        <v>0</v>
      </c>
      <c r="S429" s="43">
        <f t="shared" si="178"/>
        <v>0</v>
      </c>
      <c r="T429" s="43">
        <f t="shared" si="178"/>
        <v>0</v>
      </c>
      <c r="U429" s="43">
        <f t="shared" si="178"/>
        <v>0</v>
      </c>
      <c r="V429" s="43">
        <f t="shared" si="178"/>
        <v>0</v>
      </c>
      <c r="X429" s="43">
        <f t="shared" si="179"/>
        <v>0</v>
      </c>
      <c r="Y429" s="43">
        <f t="shared" si="179"/>
        <v>0</v>
      </c>
      <c r="Z429" s="43">
        <f t="shared" si="179"/>
        <v>0</v>
      </c>
      <c r="AA429" s="43">
        <f t="shared" si="179"/>
        <v>0</v>
      </c>
      <c r="AB429" s="43">
        <f t="shared" si="179"/>
        <v>0</v>
      </c>
      <c r="AD429" s="43">
        <f t="shared" si="111"/>
        <v>0</v>
      </c>
      <c r="AE429" s="43">
        <f t="shared" si="112"/>
        <v>0</v>
      </c>
      <c r="AF429" s="43">
        <f t="shared" si="113"/>
        <v>0</v>
      </c>
      <c r="AG429" s="43">
        <f t="shared" si="114"/>
        <v>0</v>
      </c>
      <c r="AH429" s="43">
        <f t="shared" si="115"/>
        <v>0</v>
      </c>
      <c r="AJ429" s="43">
        <f t="shared" si="102"/>
        <v>0</v>
      </c>
      <c r="AK429" s="43">
        <f t="shared" si="103"/>
        <v>0</v>
      </c>
      <c r="AL429" s="43">
        <f t="shared" si="104"/>
        <v>0</v>
      </c>
      <c r="AM429" s="43">
        <f t="shared" si="105"/>
        <v>0</v>
      </c>
      <c r="AN429" s="43">
        <f t="shared" si="106"/>
        <v>0</v>
      </c>
    </row>
    <row r="430" spans="2:40">
      <c r="B430" s="37" t="str">
        <f t="shared" si="99"/>
        <v>Asset 124</v>
      </c>
      <c r="F430" s="37" t="str">
        <f t="shared" ref="F430:L430" si="182">F182</f>
        <v>14 Overig rollend materieel</v>
      </c>
      <c r="G430" s="37">
        <f t="shared" si="182"/>
        <v>2006</v>
      </c>
      <c r="H430" s="52">
        <f t="shared" si="182"/>
        <v>23374</v>
      </c>
      <c r="I430" s="37">
        <f t="shared" si="182"/>
        <v>2021</v>
      </c>
      <c r="J430" s="52">
        <f t="shared" si="182"/>
        <v>10</v>
      </c>
      <c r="K430" s="175">
        <f t="shared" si="182"/>
        <v>1</v>
      </c>
      <c r="L430" s="52">
        <f t="shared" si="182"/>
        <v>0</v>
      </c>
      <c r="N430" s="43">
        <f t="shared" si="110"/>
        <v>0</v>
      </c>
      <c r="P430" s="38">
        <f t="shared" si="101"/>
        <v>0</v>
      </c>
      <c r="R430" s="43">
        <f t="shared" si="178"/>
        <v>0</v>
      </c>
      <c r="S430" s="43">
        <f t="shared" si="178"/>
        <v>0</v>
      </c>
      <c r="T430" s="43">
        <f t="shared" si="178"/>
        <v>0</v>
      </c>
      <c r="U430" s="43">
        <f t="shared" si="178"/>
        <v>0</v>
      </c>
      <c r="V430" s="43">
        <f t="shared" si="178"/>
        <v>0</v>
      </c>
      <c r="X430" s="43">
        <f t="shared" si="179"/>
        <v>0</v>
      </c>
      <c r="Y430" s="43">
        <f t="shared" si="179"/>
        <v>0</v>
      </c>
      <c r="Z430" s="43">
        <f t="shared" si="179"/>
        <v>0</v>
      </c>
      <c r="AA430" s="43">
        <f t="shared" si="179"/>
        <v>0</v>
      </c>
      <c r="AB430" s="43">
        <f t="shared" si="179"/>
        <v>0</v>
      </c>
      <c r="AD430" s="43">
        <f t="shared" si="111"/>
        <v>0</v>
      </c>
      <c r="AE430" s="43">
        <f t="shared" si="112"/>
        <v>0</v>
      </c>
      <c r="AF430" s="43">
        <f t="shared" si="113"/>
        <v>0</v>
      </c>
      <c r="AG430" s="43">
        <f t="shared" si="114"/>
        <v>0</v>
      </c>
      <c r="AH430" s="43">
        <f t="shared" si="115"/>
        <v>0</v>
      </c>
      <c r="AJ430" s="43">
        <f t="shared" si="102"/>
        <v>0</v>
      </c>
      <c r="AK430" s="43">
        <f t="shared" si="103"/>
        <v>0</v>
      </c>
      <c r="AL430" s="43">
        <f t="shared" si="104"/>
        <v>0</v>
      </c>
      <c r="AM430" s="43">
        <f t="shared" si="105"/>
        <v>0</v>
      </c>
      <c r="AN430" s="43">
        <f t="shared" si="106"/>
        <v>0</v>
      </c>
    </row>
    <row r="431" spans="2:40">
      <c r="B431" s="37" t="str">
        <f t="shared" si="99"/>
        <v>Asset 125</v>
      </c>
      <c r="F431" s="37" t="str">
        <f t="shared" ref="F431:L431" si="183">F183</f>
        <v>06 Utiliteitsgebouwen</v>
      </c>
      <c r="G431" s="37">
        <f t="shared" si="183"/>
        <v>2006</v>
      </c>
      <c r="H431" s="52">
        <f t="shared" si="183"/>
        <v>216791.4</v>
      </c>
      <c r="I431" s="37">
        <f t="shared" si="183"/>
        <v>2021</v>
      </c>
      <c r="J431" s="52">
        <f t="shared" si="183"/>
        <v>30</v>
      </c>
      <c r="K431" s="175">
        <f t="shared" si="183"/>
        <v>0</v>
      </c>
      <c r="L431" s="52">
        <f t="shared" si="183"/>
        <v>132877.0119526372</v>
      </c>
      <c r="N431" s="43">
        <f t="shared" si="110"/>
        <v>132877.0119526372</v>
      </c>
      <c r="P431" s="38">
        <f t="shared" si="101"/>
        <v>14.5</v>
      </c>
      <c r="R431" s="43">
        <f t="shared" si="178"/>
        <v>10721.800274799003</v>
      </c>
      <c r="S431" s="43">
        <f t="shared" si="178"/>
        <v>9760.5354225756437</v>
      </c>
      <c r="T431" s="43">
        <f t="shared" si="178"/>
        <v>8885.4529364136888</v>
      </c>
      <c r="U431" s="43">
        <f t="shared" si="178"/>
        <v>8088.8261214248769</v>
      </c>
      <c r="V431" s="43">
        <f t="shared" si="178"/>
        <v>7822.1615240152651</v>
      </c>
      <c r="X431" s="43">
        <f t="shared" si="179"/>
        <v>916.39318588025662</v>
      </c>
      <c r="Y431" s="43">
        <f t="shared" si="179"/>
        <v>916.39318588025662</v>
      </c>
      <c r="Z431" s="43">
        <f t="shared" si="179"/>
        <v>916.39318588025662</v>
      </c>
      <c r="AA431" s="43">
        <f t="shared" si="179"/>
        <v>916.39318588025662</v>
      </c>
      <c r="AB431" s="43">
        <f t="shared" si="179"/>
        <v>916.39318588025662</v>
      </c>
      <c r="AD431" s="43">
        <f t="shared" si="111"/>
        <v>121238.81849195795</v>
      </c>
      <c r="AE431" s="43">
        <f t="shared" si="112"/>
        <v>110561.88988350205</v>
      </c>
      <c r="AF431" s="43">
        <f t="shared" si="113"/>
        <v>100760.04376120812</v>
      </c>
      <c r="AG431" s="43">
        <f t="shared" si="114"/>
        <v>91754.824453902984</v>
      </c>
      <c r="AH431" s="43">
        <f t="shared" si="115"/>
        <v>83016.26974400747</v>
      </c>
      <c r="AJ431" s="43">
        <f t="shared" si="102"/>
        <v>15760.313289405831</v>
      </c>
      <c r="AK431" s="43">
        <f t="shared" si="103"/>
        <v>14325.470974611468</v>
      </c>
      <c r="AL431" s="43">
        <f t="shared" si="104"/>
        <v>13630.727785219853</v>
      </c>
      <c r="AM431" s="43">
        <f t="shared" si="105"/>
        <v>12491.902636553446</v>
      </c>
      <c r="AN431" s="43">
        <f t="shared" si="106"/>
        <v>11893.172960167805</v>
      </c>
    </row>
    <row r="432" spans="2:40">
      <c r="B432" s="37" t="str">
        <f t="shared" si="99"/>
        <v>Asset 126</v>
      </c>
      <c r="F432" s="37" t="str">
        <f t="shared" ref="F432:L432" si="184">F184</f>
        <v>11 Werktuigen</v>
      </c>
      <c r="G432" s="37">
        <f t="shared" si="184"/>
        <v>2006</v>
      </c>
      <c r="H432" s="52">
        <f t="shared" si="184"/>
        <v>39984.959999999999</v>
      </c>
      <c r="I432" s="37">
        <f t="shared" si="184"/>
        <v>2021</v>
      </c>
      <c r="J432" s="52">
        <f t="shared" si="184"/>
        <v>10</v>
      </c>
      <c r="K432" s="175">
        <f t="shared" si="184"/>
        <v>1</v>
      </c>
      <c r="L432" s="52">
        <f t="shared" si="184"/>
        <v>0</v>
      </c>
      <c r="N432" s="43">
        <f t="shared" si="110"/>
        <v>0</v>
      </c>
      <c r="P432" s="38">
        <f t="shared" si="101"/>
        <v>0</v>
      </c>
      <c r="R432" s="43">
        <f t="shared" si="178"/>
        <v>0</v>
      </c>
      <c r="S432" s="43">
        <f t="shared" si="178"/>
        <v>0</v>
      </c>
      <c r="T432" s="43">
        <f t="shared" si="178"/>
        <v>0</v>
      </c>
      <c r="U432" s="43">
        <f t="shared" si="178"/>
        <v>0</v>
      </c>
      <c r="V432" s="43">
        <f t="shared" si="178"/>
        <v>0</v>
      </c>
      <c r="X432" s="43">
        <f t="shared" si="179"/>
        <v>0</v>
      </c>
      <c r="Y432" s="43">
        <f t="shared" si="179"/>
        <v>0</v>
      </c>
      <c r="Z432" s="43">
        <f t="shared" si="179"/>
        <v>0</v>
      </c>
      <c r="AA432" s="43">
        <f t="shared" si="179"/>
        <v>0</v>
      </c>
      <c r="AB432" s="43">
        <f t="shared" si="179"/>
        <v>0</v>
      </c>
      <c r="AD432" s="43">
        <f t="shared" si="111"/>
        <v>0</v>
      </c>
      <c r="AE432" s="43">
        <f t="shared" si="112"/>
        <v>0</v>
      </c>
      <c r="AF432" s="43">
        <f t="shared" si="113"/>
        <v>0</v>
      </c>
      <c r="AG432" s="43">
        <f t="shared" si="114"/>
        <v>0</v>
      </c>
      <c r="AH432" s="43">
        <f t="shared" si="115"/>
        <v>0</v>
      </c>
      <c r="AJ432" s="43">
        <f t="shared" si="102"/>
        <v>0</v>
      </c>
      <c r="AK432" s="43">
        <f t="shared" si="103"/>
        <v>0</v>
      </c>
      <c r="AL432" s="43">
        <f t="shared" si="104"/>
        <v>0</v>
      </c>
      <c r="AM432" s="43">
        <f t="shared" si="105"/>
        <v>0</v>
      </c>
      <c r="AN432" s="43">
        <f t="shared" si="106"/>
        <v>0</v>
      </c>
    </row>
    <row r="433" spans="2:40">
      <c r="B433" s="37" t="str">
        <f t="shared" si="99"/>
        <v>Asset 127</v>
      </c>
      <c r="F433" s="37" t="str">
        <f t="shared" ref="F433:L433" si="185">F185</f>
        <v>06 Utiliteitsgebouwen</v>
      </c>
      <c r="G433" s="37">
        <f t="shared" si="185"/>
        <v>2007</v>
      </c>
      <c r="H433" s="52">
        <f t="shared" si="185"/>
        <v>25858.771191949236</v>
      </c>
      <c r="I433" s="37">
        <f t="shared" si="185"/>
        <v>2021</v>
      </c>
      <c r="J433" s="52">
        <f t="shared" si="185"/>
        <v>30</v>
      </c>
      <c r="K433" s="175">
        <f t="shared" si="185"/>
        <v>0</v>
      </c>
      <c r="L433" s="52">
        <f t="shared" si="185"/>
        <v>16708.652536273155</v>
      </c>
      <c r="N433" s="43">
        <f t="shared" si="110"/>
        <v>16708.652536273155</v>
      </c>
      <c r="P433" s="38">
        <f t="shared" si="101"/>
        <v>15.5</v>
      </c>
      <c r="R433" s="43">
        <f t="shared" si="178"/>
        <v>1261.233772092877</v>
      </c>
      <c r="S433" s="43">
        <f t="shared" si="178"/>
        <v>1155.4528750786358</v>
      </c>
      <c r="T433" s="43">
        <f t="shared" si="178"/>
        <v>1058.5439242655889</v>
      </c>
      <c r="U433" s="43">
        <f t="shared" si="178"/>
        <v>969.76282094008786</v>
      </c>
      <c r="V433" s="43">
        <f t="shared" si="178"/>
        <v>921.11251219727399</v>
      </c>
      <c r="X433" s="43">
        <f t="shared" si="179"/>
        <v>107.79775829853649</v>
      </c>
      <c r="Y433" s="43">
        <f t="shared" si="179"/>
        <v>107.79775829853649</v>
      </c>
      <c r="Z433" s="43">
        <f t="shared" si="179"/>
        <v>107.79775829853649</v>
      </c>
      <c r="AA433" s="43">
        <f t="shared" si="179"/>
        <v>107.79775829853649</v>
      </c>
      <c r="AB433" s="43">
        <f t="shared" si="179"/>
        <v>107.79775829853649</v>
      </c>
      <c r="AD433" s="43">
        <f t="shared" si="111"/>
        <v>15339.621005881741</v>
      </c>
      <c r="AE433" s="43">
        <f t="shared" si="112"/>
        <v>14076.370372504569</v>
      </c>
      <c r="AF433" s="43">
        <f t="shared" si="113"/>
        <v>12910.028689940444</v>
      </c>
      <c r="AG433" s="43">
        <f t="shared" si="114"/>
        <v>11832.468110701819</v>
      </c>
      <c r="AH433" s="43">
        <f t="shared" si="115"/>
        <v>10803.557840206007</v>
      </c>
      <c r="AJ433" s="43">
        <f t="shared" si="102"/>
        <v>1890.5786445913927</v>
      </c>
      <c r="AK433" s="43">
        <f t="shared" si="103"/>
        <v>1727.770855669823</v>
      </c>
      <c r="AL433" s="43">
        <f t="shared" si="104"/>
        <v>1656.9227727818622</v>
      </c>
      <c r="AM433" s="43">
        <f t="shared" si="105"/>
        <v>1527.1943674452934</v>
      </c>
      <c r="AN433" s="43">
        <f t="shared" si="106"/>
        <v>1439.4454684236387</v>
      </c>
    </row>
    <row r="434" spans="2:40">
      <c r="B434" s="37" t="str">
        <f t="shared" si="99"/>
        <v>Asset 128</v>
      </c>
      <c r="F434" s="37" t="str">
        <f t="shared" ref="F434:L434" si="186">F186</f>
        <v>11 Werktuigen</v>
      </c>
      <c r="G434" s="37">
        <f t="shared" si="186"/>
        <v>2007</v>
      </c>
      <c r="H434" s="52">
        <f t="shared" si="186"/>
        <v>1088351.8199999998</v>
      </c>
      <c r="I434" s="37">
        <f t="shared" si="186"/>
        <v>2021</v>
      </c>
      <c r="J434" s="52">
        <f t="shared" si="186"/>
        <v>10</v>
      </c>
      <c r="K434" s="175">
        <f t="shared" si="186"/>
        <v>1</v>
      </c>
      <c r="L434" s="52">
        <f t="shared" si="186"/>
        <v>0</v>
      </c>
      <c r="N434" s="43">
        <f t="shared" si="110"/>
        <v>0</v>
      </c>
      <c r="P434" s="38">
        <f t="shared" si="101"/>
        <v>0</v>
      </c>
      <c r="R434" s="43">
        <f t="shared" si="178"/>
        <v>0</v>
      </c>
      <c r="S434" s="43">
        <f t="shared" si="178"/>
        <v>0</v>
      </c>
      <c r="T434" s="43">
        <f t="shared" si="178"/>
        <v>0</v>
      </c>
      <c r="U434" s="43">
        <f t="shared" si="178"/>
        <v>0</v>
      </c>
      <c r="V434" s="43">
        <f t="shared" si="178"/>
        <v>0</v>
      </c>
      <c r="X434" s="43">
        <f t="shared" si="179"/>
        <v>0</v>
      </c>
      <c r="Y434" s="43">
        <f t="shared" si="179"/>
        <v>0</v>
      </c>
      <c r="Z434" s="43">
        <f t="shared" si="179"/>
        <v>0</v>
      </c>
      <c r="AA434" s="43">
        <f t="shared" si="179"/>
        <v>0</v>
      </c>
      <c r="AB434" s="43">
        <f t="shared" si="179"/>
        <v>0</v>
      </c>
      <c r="AD434" s="43">
        <f t="shared" si="111"/>
        <v>0</v>
      </c>
      <c r="AE434" s="43">
        <f t="shared" si="112"/>
        <v>0</v>
      </c>
      <c r="AF434" s="43">
        <f t="shared" si="113"/>
        <v>0</v>
      </c>
      <c r="AG434" s="43">
        <f t="shared" si="114"/>
        <v>0</v>
      </c>
      <c r="AH434" s="43">
        <f t="shared" si="115"/>
        <v>0</v>
      </c>
      <c r="AJ434" s="43">
        <f t="shared" si="102"/>
        <v>0</v>
      </c>
      <c r="AK434" s="43">
        <f t="shared" si="103"/>
        <v>0</v>
      </c>
      <c r="AL434" s="43">
        <f t="shared" si="104"/>
        <v>0</v>
      </c>
      <c r="AM434" s="43">
        <f t="shared" si="105"/>
        <v>0</v>
      </c>
      <c r="AN434" s="43">
        <f t="shared" si="106"/>
        <v>0</v>
      </c>
    </row>
    <row r="435" spans="2:40">
      <c r="B435" s="37" t="str">
        <f t="shared" si="99"/>
        <v>Asset 129</v>
      </c>
      <c r="F435" s="37" t="str">
        <f t="shared" ref="F435:L435" si="187">F187</f>
        <v>14 Overig rollend materieel</v>
      </c>
      <c r="G435" s="37">
        <f t="shared" si="187"/>
        <v>2007</v>
      </c>
      <c r="H435" s="52">
        <f t="shared" si="187"/>
        <v>661943.85</v>
      </c>
      <c r="I435" s="37">
        <f t="shared" si="187"/>
        <v>2021</v>
      </c>
      <c r="J435" s="52">
        <f t="shared" si="187"/>
        <v>10</v>
      </c>
      <c r="K435" s="175">
        <f t="shared" si="187"/>
        <v>1</v>
      </c>
      <c r="L435" s="52">
        <f t="shared" si="187"/>
        <v>0</v>
      </c>
      <c r="N435" s="43">
        <f t="shared" si="110"/>
        <v>0</v>
      </c>
      <c r="P435" s="38">
        <f t="shared" si="101"/>
        <v>0</v>
      </c>
      <c r="R435" s="43">
        <f t="shared" si="178"/>
        <v>0</v>
      </c>
      <c r="S435" s="43">
        <f t="shared" si="178"/>
        <v>0</v>
      </c>
      <c r="T435" s="43">
        <f t="shared" si="178"/>
        <v>0</v>
      </c>
      <c r="U435" s="43">
        <f t="shared" si="178"/>
        <v>0</v>
      </c>
      <c r="V435" s="43">
        <f t="shared" si="178"/>
        <v>0</v>
      </c>
      <c r="X435" s="43">
        <f t="shared" si="179"/>
        <v>0</v>
      </c>
      <c r="Y435" s="43">
        <f t="shared" si="179"/>
        <v>0</v>
      </c>
      <c r="Z435" s="43">
        <f t="shared" si="179"/>
        <v>0</v>
      </c>
      <c r="AA435" s="43">
        <f t="shared" si="179"/>
        <v>0</v>
      </c>
      <c r="AB435" s="43">
        <f t="shared" si="179"/>
        <v>0</v>
      </c>
      <c r="AD435" s="43">
        <f t="shared" si="111"/>
        <v>0</v>
      </c>
      <c r="AE435" s="43">
        <f t="shared" si="112"/>
        <v>0</v>
      </c>
      <c r="AF435" s="43">
        <f t="shared" si="113"/>
        <v>0</v>
      </c>
      <c r="AG435" s="43">
        <f t="shared" si="114"/>
        <v>0</v>
      </c>
      <c r="AH435" s="43">
        <f t="shared" si="115"/>
        <v>0</v>
      </c>
      <c r="AJ435" s="43">
        <f t="shared" si="102"/>
        <v>0</v>
      </c>
      <c r="AK435" s="43">
        <f t="shared" si="103"/>
        <v>0</v>
      </c>
      <c r="AL435" s="43">
        <f t="shared" si="104"/>
        <v>0</v>
      </c>
      <c r="AM435" s="43">
        <f t="shared" si="105"/>
        <v>0</v>
      </c>
      <c r="AN435" s="43">
        <f t="shared" si="106"/>
        <v>0</v>
      </c>
    </row>
    <row r="436" spans="2:40">
      <c r="B436" s="37" t="str">
        <f t="shared" ref="B436:B499" si="188">B188</f>
        <v>Asset 130</v>
      </c>
      <c r="F436" s="37" t="str">
        <f t="shared" ref="F436:L436" si="189">F188</f>
        <v>12 Motorvoertuigen</v>
      </c>
      <c r="G436" s="37">
        <f t="shared" si="189"/>
        <v>2007</v>
      </c>
      <c r="H436" s="52">
        <f t="shared" si="189"/>
        <v>154091.65000000002</v>
      </c>
      <c r="I436" s="37">
        <f t="shared" si="189"/>
        <v>2021</v>
      </c>
      <c r="J436" s="52">
        <f t="shared" si="189"/>
        <v>10</v>
      </c>
      <c r="K436" s="175">
        <f t="shared" si="189"/>
        <v>1</v>
      </c>
      <c r="L436" s="52">
        <f t="shared" si="189"/>
        <v>0</v>
      </c>
      <c r="N436" s="43">
        <f t="shared" si="110"/>
        <v>0</v>
      </c>
      <c r="P436" s="38">
        <f t="shared" ref="P436:P499" si="190">MAX(0,IF(G436&lt;=2021, J436-2021+G436-0.5,J436))</f>
        <v>0</v>
      </c>
      <c r="R436" s="43">
        <f t="shared" si="178"/>
        <v>0</v>
      </c>
      <c r="S436" s="43">
        <f t="shared" si="178"/>
        <v>0</v>
      </c>
      <c r="T436" s="43">
        <f t="shared" si="178"/>
        <v>0</v>
      </c>
      <c r="U436" s="43">
        <f t="shared" si="178"/>
        <v>0</v>
      </c>
      <c r="V436" s="43">
        <f t="shared" si="178"/>
        <v>0</v>
      </c>
      <c r="X436" s="43">
        <f t="shared" si="179"/>
        <v>0</v>
      </c>
      <c r="Y436" s="43">
        <f t="shared" si="179"/>
        <v>0</v>
      </c>
      <c r="Z436" s="43">
        <f t="shared" si="179"/>
        <v>0</v>
      </c>
      <c r="AA436" s="43">
        <f t="shared" si="179"/>
        <v>0</v>
      </c>
      <c r="AB436" s="43">
        <f t="shared" si="179"/>
        <v>0</v>
      </c>
      <c r="AD436" s="43">
        <f t="shared" si="111"/>
        <v>0</v>
      </c>
      <c r="AE436" s="43">
        <f t="shared" si="112"/>
        <v>0</v>
      </c>
      <c r="AF436" s="43">
        <f t="shared" si="113"/>
        <v>0</v>
      </c>
      <c r="AG436" s="43">
        <f t="shared" si="114"/>
        <v>0</v>
      </c>
      <c r="AH436" s="43">
        <f t="shared" si="115"/>
        <v>0</v>
      </c>
      <c r="AJ436" s="43">
        <f t="shared" ref="AJ436:AJ499" si="191">(R436+X436+AD436*I$16)*IF($K436=1,$F$19,1)</f>
        <v>0</v>
      </c>
      <c r="AK436" s="43">
        <f t="shared" ref="AK436:AK499" si="192">(S436+Y436+AE436*J$16)*IF($K436=1,$F$19,1)</f>
        <v>0</v>
      </c>
      <c r="AL436" s="43">
        <f t="shared" ref="AL436:AL499" si="193">(T436+Z436+AF436*K$16)*IF($K436=1,$F$19,1)</f>
        <v>0</v>
      </c>
      <c r="AM436" s="43">
        <f t="shared" ref="AM436:AM499" si="194">(U436+AA436+AG436*L$16)*IF($K436=1,$F$19,1)</f>
        <v>0</v>
      </c>
      <c r="AN436" s="43">
        <f t="shared" ref="AN436:AN499" si="195">(V436+AB436+AH436*M$16)*IF($K436=1,$F$19,1)</f>
        <v>0</v>
      </c>
    </row>
    <row r="437" spans="2:40">
      <c r="B437" s="37" t="str">
        <f t="shared" si="188"/>
        <v>Asset 131</v>
      </c>
      <c r="F437" s="37" t="str">
        <f t="shared" ref="F437:L437" si="196">F189</f>
        <v>05 Wegen en terreinvoorzieningen</v>
      </c>
      <c r="G437" s="37">
        <f t="shared" si="196"/>
        <v>2007</v>
      </c>
      <c r="H437" s="52">
        <f t="shared" si="196"/>
        <v>79744.08</v>
      </c>
      <c r="I437" s="37">
        <f t="shared" si="196"/>
        <v>2021</v>
      </c>
      <c r="J437" s="52">
        <f t="shared" si="196"/>
        <v>10</v>
      </c>
      <c r="K437" s="175">
        <f t="shared" si="196"/>
        <v>0</v>
      </c>
      <c r="L437" s="52">
        <f t="shared" si="196"/>
        <v>0</v>
      </c>
      <c r="N437" s="43">
        <f t="shared" si="110"/>
        <v>0</v>
      </c>
      <c r="P437" s="38">
        <f t="shared" si="190"/>
        <v>0</v>
      </c>
      <c r="R437" s="43">
        <f t="shared" ref="R437:V446" si="197">IF(R$305&lt;=$G437+$J437,VDB($L437*(1-$F$25),0,$P437,R$305-2022,MIN(R$305-2021,$P437),$F$22),0)</f>
        <v>0</v>
      </c>
      <c r="S437" s="43">
        <f t="shared" si="197"/>
        <v>0</v>
      </c>
      <c r="T437" s="43">
        <f t="shared" si="197"/>
        <v>0</v>
      </c>
      <c r="U437" s="43">
        <f t="shared" si="197"/>
        <v>0</v>
      </c>
      <c r="V437" s="43">
        <f t="shared" si="197"/>
        <v>0</v>
      </c>
      <c r="X437" s="43">
        <f t="shared" ref="X437:AB446" si="198">IF(X$305&lt;=$G437+$J437,VDB($L437*$F$25,0,$P437,X$305-2022,MIN(X$305-2021,$P437),1),0)</f>
        <v>0</v>
      </c>
      <c r="Y437" s="43">
        <f t="shared" si="198"/>
        <v>0</v>
      </c>
      <c r="Z437" s="43">
        <f t="shared" si="198"/>
        <v>0</v>
      </c>
      <c r="AA437" s="43">
        <f t="shared" si="198"/>
        <v>0</v>
      </c>
      <c r="AB437" s="43">
        <f t="shared" si="198"/>
        <v>0</v>
      </c>
      <c r="AD437" s="43">
        <f t="shared" si="111"/>
        <v>0</v>
      </c>
      <c r="AE437" s="43">
        <f t="shared" si="112"/>
        <v>0</v>
      </c>
      <c r="AF437" s="43">
        <f t="shared" si="113"/>
        <v>0</v>
      </c>
      <c r="AG437" s="43">
        <f t="shared" si="114"/>
        <v>0</v>
      </c>
      <c r="AH437" s="43">
        <f t="shared" si="115"/>
        <v>0</v>
      </c>
      <c r="AJ437" s="43">
        <f t="shared" si="191"/>
        <v>0</v>
      </c>
      <c r="AK437" s="43">
        <f t="shared" si="192"/>
        <v>0</v>
      </c>
      <c r="AL437" s="43">
        <f t="shared" si="193"/>
        <v>0</v>
      </c>
      <c r="AM437" s="43">
        <f t="shared" si="194"/>
        <v>0</v>
      </c>
      <c r="AN437" s="43">
        <f t="shared" si="195"/>
        <v>0</v>
      </c>
    </row>
    <row r="438" spans="2:40">
      <c r="B438" s="37" t="str">
        <f t="shared" si="188"/>
        <v>Asset 132</v>
      </c>
      <c r="F438" s="37" t="str">
        <f t="shared" ref="F438:L438" si="199">F190</f>
        <v>20 Kantoorgebouwen</v>
      </c>
      <c r="G438" s="37">
        <f t="shared" si="199"/>
        <v>2008</v>
      </c>
      <c r="H438" s="52">
        <f t="shared" si="199"/>
        <v>4978200.5000000009</v>
      </c>
      <c r="I438" s="37">
        <f t="shared" si="199"/>
        <v>2021</v>
      </c>
      <c r="J438" s="52">
        <f t="shared" si="199"/>
        <v>30</v>
      </c>
      <c r="K438" s="175">
        <f t="shared" si="199"/>
        <v>0</v>
      </c>
      <c r="L438" s="52">
        <f t="shared" si="199"/>
        <v>3386936.2239016104</v>
      </c>
      <c r="N438" s="43">
        <f t="shared" si="110"/>
        <v>3386936.2239016104</v>
      </c>
      <c r="P438" s="38">
        <f t="shared" si="190"/>
        <v>16.5</v>
      </c>
      <c r="R438" s="43">
        <f t="shared" si="197"/>
        <v>240164.56860393242</v>
      </c>
      <c r="S438" s="43">
        <f t="shared" si="197"/>
        <v>221242.51168362258</v>
      </c>
      <c r="T438" s="43">
        <f t="shared" si="197"/>
        <v>203811.2834903675</v>
      </c>
      <c r="U438" s="43">
        <f t="shared" si="197"/>
        <v>187753.4247911264</v>
      </c>
      <c r="V438" s="43">
        <f t="shared" si="197"/>
        <v>175621.66503539204</v>
      </c>
      <c r="X438" s="43">
        <f t="shared" si="198"/>
        <v>20526.886205464307</v>
      </c>
      <c r="Y438" s="43">
        <f t="shared" si="198"/>
        <v>20526.886205464303</v>
      </c>
      <c r="Z438" s="43">
        <f t="shared" si="198"/>
        <v>20526.886205464303</v>
      </c>
      <c r="AA438" s="43">
        <f t="shared" si="198"/>
        <v>20526.886205464303</v>
      </c>
      <c r="AB438" s="43">
        <f t="shared" si="198"/>
        <v>20526.886205464303</v>
      </c>
      <c r="AD438" s="43">
        <f t="shared" si="111"/>
        <v>3126244.7690922138</v>
      </c>
      <c r="AE438" s="43">
        <f t="shared" si="112"/>
        <v>2884475.3712031273</v>
      </c>
      <c r="AF438" s="43">
        <f t="shared" si="113"/>
        <v>2660137.2015072955</v>
      </c>
      <c r="AG438" s="43">
        <f t="shared" si="114"/>
        <v>2451856.8905107048</v>
      </c>
      <c r="AH438" s="43">
        <f t="shared" si="115"/>
        <v>2255708.3392698485</v>
      </c>
      <c r="AJ438" s="43">
        <f t="shared" si="191"/>
        <v>366983.77695853199</v>
      </c>
      <c r="AK438" s="43">
        <f t="shared" si="192"/>
        <v>336957.08513879008</v>
      </c>
      <c r="AL438" s="43">
        <f t="shared" si="193"/>
        <v>325423.38335310901</v>
      </c>
      <c r="AM438" s="43">
        <f t="shared" si="194"/>
        <v>301450.87283599749</v>
      </c>
      <c r="AN438" s="43">
        <f t="shared" si="195"/>
        <v>281865.46813311061</v>
      </c>
    </row>
    <row r="439" spans="2:40">
      <c r="B439" s="37" t="str">
        <f t="shared" si="188"/>
        <v>Asset 133</v>
      </c>
      <c r="F439" s="37" t="str">
        <f t="shared" ref="F439:L439" si="200">F191</f>
        <v>06 Utiliteitsgebouwen</v>
      </c>
      <c r="G439" s="37">
        <f t="shared" si="200"/>
        <v>2008</v>
      </c>
      <c r="H439" s="52">
        <f t="shared" si="200"/>
        <v>233293.04544821067</v>
      </c>
      <c r="I439" s="37">
        <f t="shared" si="200"/>
        <v>2021</v>
      </c>
      <c r="J439" s="52">
        <f t="shared" si="200"/>
        <v>30</v>
      </c>
      <c r="K439" s="175">
        <f t="shared" si="200"/>
        <v>0</v>
      </c>
      <c r="L439" s="52">
        <f t="shared" si="200"/>
        <v>158721.74421517763</v>
      </c>
      <c r="N439" s="43">
        <f t="shared" ref="N439:N502" si="201">L439*IF(K439=1,$F$19,1)</f>
        <v>158721.74421517763</v>
      </c>
      <c r="P439" s="38">
        <f t="shared" si="190"/>
        <v>16.5</v>
      </c>
      <c r="R439" s="43">
        <f t="shared" si="197"/>
        <v>11254.814589803505</v>
      </c>
      <c r="S439" s="43">
        <f t="shared" si="197"/>
        <v>10368.071622122017</v>
      </c>
      <c r="T439" s="43">
        <f t="shared" si="197"/>
        <v>9551.1932518942212</v>
      </c>
      <c r="U439" s="43">
        <f t="shared" si="197"/>
        <v>8798.6749956843742</v>
      </c>
      <c r="V439" s="43">
        <f t="shared" si="197"/>
        <v>8230.1452267324603</v>
      </c>
      <c r="X439" s="43">
        <f t="shared" si="198"/>
        <v>961.94996494047064</v>
      </c>
      <c r="Y439" s="43">
        <f t="shared" si="198"/>
        <v>961.94996494047052</v>
      </c>
      <c r="Z439" s="43">
        <f t="shared" si="198"/>
        <v>961.94996494047052</v>
      </c>
      <c r="AA439" s="43">
        <f t="shared" si="198"/>
        <v>961.94996494047052</v>
      </c>
      <c r="AB439" s="43">
        <f t="shared" si="198"/>
        <v>961.94996494047052</v>
      </c>
      <c r="AD439" s="43">
        <f t="shared" ref="AD439:AD502" si="202">IF(OR(AD$305&lt;=$G439+$J439,$J439=0),IF(AC439=0,$L439,AC439)-R439-X439,0)</f>
        <v>146504.97966043366</v>
      </c>
      <c r="AE439" s="43">
        <f t="shared" ref="AE439:AE502" si="203">IF(OR(AE$305&lt;=$G439+$J439,$J439=0),IF(AD439=0,$L439,AD439)-S439-Y439,0)</f>
        <v>135174.95807337118</v>
      </c>
      <c r="AF439" s="43">
        <f t="shared" ref="AF439:AF502" si="204">IF(OR(AF$305&lt;=$G439+$J439,$J439=0),IF(AE439=0,$L439,AE439)-T439-Z439,0)</f>
        <v>124661.81485653648</v>
      </c>
      <c r="AG439" s="43">
        <f t="shared" ref="AG439:AG502" si="205">IF(OR(AG$305&lt;=$G439+$J439,$J439=0),IF(AF439=0,$L439,AF439)-U439-AA439,0)</f>
        <v>114901.18989591164</v>
      </c>
      <c r="AH439" s="43">
        <f t="shared" ref="AH439:AH502" si="206">IF(OR(AH$305&lt;=$G439+$J439,$J439=0),IF(AG439=0,$L439,AG439)-V439-AB439,0)</f>
        <v>105709.0947042387</v>
      </c>
      <c r="AJ439" s="43">
        <f t="shared" si="191"/>
        <v>17197.933863198719</v>
      </c>
      <c r="AK439" s="43">
        <f t="shared" si="192"/>
        <v>15790.795203483736</v>
      </c>
      <c r="AL439" s="43">
        <f t="shared" si="193"/>
        <v>15250.292181383076</v>
      </c>
      <c r="AM439" s="43">
        <f t="shared" si="194"/>
        <v>14126.870176669487</v>
      </c>
      <c r="AN439" s="43">
        <f t="shared" si="195"/>
        <v>13209.040790434001</v>
      </c>
    </row>
    <row r="440" spans="2:40">
      <c r="B440" s="37" t="str">
        <f t="shared" si="188"/>
        <v>Asset 134</v>
      </c>
      <c r="F440" s="37" t="str">
        <f t="shared" ref="F440:L440" si="207">F192</f>
        <v>10 Gereedschap</v>
      </c>
      <c r="G440" s="37">
        <f t="shared" si="207"/>
        <v>2008</v>
      </c>
      <c r="H440" s="52">
        <f t="shared" si="207"/>
        <v>178157.88</v>
      </c>
      <c r="I440" s="37">
        <f t="shared" si="207"/>
        <v>2021</v>
      </c>
      <c r="J440" s="52">
        <f t="shared" si="207"/>
        <v>10</v>
      </c>
      <c r="K440" s="175">
        <f t="shared" si="207"/>
        <v>1</v>
      </c>
      <c r="L440" s="52">
        <f t="shared" si="207"/>
        <v>0</v>
      </c>
      <c r="N440" s="43">
        <f t="shared" si="201"/>
        <v>0</v>
      </c>
      <c r="P440" s="38">
        <f t="shared" si="190"/>
        <v>0</v>
      </c>
      <c r="R440" s="43">
        <f t="shared" si="197"/>
        <v>0</v>
      </c>
      <c r="S440" s="43">
        <f t="shared" si="197"/>
        <v>0</v>
      </c>
      <c r="T440" s="43">
        <f t="shared" si="197"/>
        <v>0</v>
      </c>
      <c r="U440" s="43">
        <f t="shared" si="197"/>
        <v>0</v>
      </c>
      <c r="V440" s="43">
        <f t="shared" si="197"/>
        <v>0</v>
      </c>
      <c r="X440" s="43">
        <f t="shared" si="198"/>
        <v>0</v>
      </c>
      <c r="Y440" s="43">
        <f t="shared" si="198"/>
        <v>0</v>
      </c>
      <c r="Z440" s="43">
        <f t="shared" si="198"/>
        <v>0</v>
      </c>
      <c r="AA440" s="43">
        <f t="shared" si="198"/>
        <v>0</v>
      </c>
      <c r="AB440" s="43">
        <f t="shared" si="198"/>
        <v>0</v>
      </c>
      <c r="AD440" s="43">
        <f t="shared" si="202"/>
        <v>0</v>
      </c>
      <c r="AE440" s="43">
        <f t="shared" si="203"/>
        <v>0</v>
      </c>
      <c r="AF440" s="43">
        <f t="shared" si="204"/>
        <v>0</v>
      </c>
      <c r="AG440" s="43">
        <f t="shared" si="205"/>
        <v>0</v>
      </c>
      <c r="AH440" s="43">
        <f t="shared" si="206"/>
        <v>0</v>
      </c>
      <c r="AJ440" s="43">
        <f t="shared" si="191"/>
        <v>0</v>
      </c>
      <c r="AK440" s="43">
        <f t="shared" si="192"/>
        <v>0</v>
      </c>
      <c r="AL440" s="43">
        <f t="shared" si="193"/>
        <v>0</v>
      </c>
      <c r="AM440" s="43">
        <f t="shared" si="194"/>
        <v>0</v>
      </c>
      <c r="AN440" s="43">
        <f t="shared" si="195"/>
        <v>0</v>
      </c>
    </row>
    <row r="441" spans="2:40">
      <c r="B441" s="37" t="str">
        <f t="shared" si="188"/>
        <v>Asset 135</v>
      </c>
      <c r="F441" s="37" t="str">
        <f t="shared" ref="F441:L441" si="208">F193</f>
        <v>14 Overig rollend materieel</v>
      </c>
      <c r="G441" s="37">
        <f t="shared" si="208"/>
        <v>2008</v>
      </c>
      <c r="H441" s="52">
        <f t="shared" si="208"/>
        <v>1299449.8500000001</v>
      </c>
      <c r="I441" s="37">
        <f t="shared" si="208"/>
        <v>2021</v>
      </c>
      <c r="J441" s="52">
        <f t="shared" si="208"/>
        <v>10</v>
      </c>
      <c r="K441" s="175">
        <f t="shared" si="208"/>
        <v>1</v>
      </c>
      <c r="L441" s="52">
        <f t="shared" si="208"/>
        <v>0</v>
      </c>
      <c r="N441" s="43">
        <f t="shared" si="201"/>
        <v>0</v>
      </c>
      <c r="P441" s="38">
        <f t="shared" si="190"/>
        <v>0</v>
      </c>
      <c r="R441" s="43">
        <f t="shared" si="197"/>
        <v>0</v>
      </c>
      <c r="S441" s="43">
        <f t="shared" si="197"/>
        <v>0</v>
      </c>
      <c r="T441" s="43">
        <f t="shared" si="197"/>
        <v>0</v>
      </c>
      <c r="U441" s="43">
        <f t="shared" si="197"/>
        <v>0</v>
      </c>
      <c r="V441" s="43">
        <f t="shared" si="197"/>
        <v>0</v>
      </c>
      <c r="X441" s="43">
        <f t="shared" si="198"/>
        <v>0</v>
      </c>
      <c r="Y441" s="43">
        <f t="shared" si="198"/>
        <v>0</v>
      </c>
      <c r="Z441" s="43">
        <f t="shared" si="198"/>
        <v>0</v>
      </c>
      <c r="AA441" s="43">
        <f t="shared" si="198"/>
        <v>0</v>
      </c>
      <c r="AB441" s="43">
        <f t="shared" si="198"/>
        <v>0</v>
      </c>
      <c r="AD441" s="43">
        <f t="shared" si="202"/>
        <v>0</v>
      </c>
      <c r="AE441" s="43">
        <f t="shared" si="203"/>
        <v>0</v>
      </c>
      <c r="AF441" s="43">
        <f t="shared" si="204"/>
        <v>0</v>
      </c>
      <c r="AG441" s="43">
        <f t="shared" si="205"/>
        <v>0</v>
      </c>
      <c r="AH441" s="43">
        <f t="shared" si="206"/>
        <v>0</v>
      </c>
      <c r="AJ441" s="43">
        <f t="shared" si="191"/>
        <v>0</v>
      </c>
      <c r="AK441" s="43">
        <f t="shared" si="192"/>
        <v>0</v>
      </c>
      <c r="AL441" s="43">
        <f t="shared" si="193"/>
        <v>0</v>
      </c>
      <c r="AM441" s="43">
        <f t="shared" si="194"/>
        <v>0</v>
      </c>
      <c r="AN441" s="43">
        <f t="shared" si="195"/>
        <v>0</v>
      </c>
    </row>
    <row r="442" spans="2:40">
      <c r="B442" s="37" t="str">
        <f t="shared" si="188"/>
        <v>Asset 136</v>
      </c>
      <c r="F442" s="37" t="str">
        <f t="shared" ref="F442:L442" si="209">F194</f>
        <v>37 ICT middelen 1 (gaschromatografen en comptabele meting)</v>
      </c>
      <c r="G442" s="37">
        <f t="shared" si="209"/>
        <v>2008</v>
      </c>
      <c r="H442" s="52">
        <f t="shared" si="209"/>
        <v>8310.1200000000008</v>
      </c>
      <c r="I442" s="37">
        <f t="shared" si="209"/>
        <v>2021</v>
      </c>
      <c r="J442" s="52">
        <f t="shared" si="209"/>
        <v>5</v>
      </c>
      <c r="K442" s="175">
        <f t="shared" si="209"/>
        <v>0</v>
      </c>
      <c r="L442" s="52">
        <f t="shared" si="209"/>
        <v>0</v>
      </c>
      <c r="N442" s="43">
        <f t="shared" si="201"/>
        <v>0</v>
      </c>
      <c r="P442" s="38">
        <f t="shared" si="190"/>
        <v>0</v>
      </c>
      <c r="R442" s="43">
        <f t="shared" si="197"/>
        <v>0</v>
      </c>
      <c r="S442" s="43">
        <f t="shared" si="197"/>
        <v>0</v>
      </c>
      <c r="T442" s="43">
        <f t="shared" si="197"/>
        <v>0</v>
      </c>
      <c r="U442" s="43">
        <f t="shared" si="197"/>
        <v>0</v>
      </c>
      <c r="V442" s="43">
        <f t="shared" si="197"/>
        <v>0</v>
      </c>
      <c r="X442" s="43">
        <f t="shared" si="198"/>
        <v>0</v>
      </c>
      <c r="Y442" s="43">
        <f t="shared" si="198"/>
        <v>0</v>
      </c>
      <c r="Z442" s="43">
        <f t="shared" si="198"/>
        <v>0</v>
      </c>
      <c r="AA442" s="43">
        <f t="shared" si="198"/>
        <v>0</v>
      </c>
      <c r="AB442" s="43">
        <f t="shared" si="198"/>
        <v>0</v>
      </c>
      <c r="AD442" s="43">
        <f t="shared" si="202"/>
        <v>0</v>
      </c>
      <c r="AE442" s="43">
        <f t="shared" si="203"/>
        <v>0</v>
      </c>
      <c r="AF442" s="43">
        <f t="shared" si="204"/>
        <v>0</v>
      </c>
      <c r="AG442" s="43">
        <f t="shared" si="205"/>
        <v>0</v>
      </c>
      <c r="AH442" s="43">
        <f t="shared" si="206"/>
        <v>0</v>
      </c>
      <c r="AJ442" s="43">
        <f t="shared" si="191"/>
        <v>0</v>
      </c>
      <c r="AK442" s="43">
        <f t="shared" si="192"/>
        <v>0</v>
      </c>
      <c r="AL442" s="43">
        <f t="shared" si="193"/>
        <v>0</v>
      </c>
      <c r="AM442" s="43">
        <f t="shared" si="194"/>
        <v>0</v>
      </c>
      <c r="AN442" s="43">
        <f t="shared" si="195"/>
        <v>0</v>
      </c>
    </row>
    <row r="443" spans="2:40">
      <c r="B443" s="37" t="str">
        <f t="shared" si="188"/>
        <v>Asset 137</v>
      </c>
      <c r="F443" s="37" t="str">
        <f t="shared" ref="F443:L443" si="210">F195</f>
        <v>11 Werktuigen</v>
      </c>
      <c r="G443" s="37">
        <f t="shared" si="210"/>
        <v>2008</v>
      </c>
      <c r="H443" s="52">
        <f t="shared" si="210"/>
        <v>427546.18</v>
      </c>
      <c r="I443" s="37">
        <f t="shared" si="210"/>
        <v>2021</v>
      </c>
      <c r="J443" s="52">
        <f t="shared" si="210"/>
        <v>10</v>
      </c>
      <c r="K443" s="175">
        <f t="shared" si="210"/>
        <v>1</v>
      </c>
      <c r="L443" s="52">
        <f t="shared" si="210"/>
        <v>0</v>
      </c>
      <c r="N443" s="43">
        <f t="shared" si="201"/>
        <v>0</v>
      </c>
      <c r="P443" s="38">
        <f t="shared" si="190"/>
        <v>0</v>
      </c>
      <c r="R443" s="43">
        <f t="shared" si="197"/>
        <v>0</v>
      </c>
      <c r="S443" s="43">
        <f t="shared" si="197"/>
        <v>0</v>
      </c>
      <c r="T443" s="43">
        <f t="shared" si="197"/>
        <v>0</v>
      </c>
      <c r="U443" s="43">
        <f t="shared" si="197"/>
        <v>0</v>
      </c>
      <c r="V443" s="43">
        <f t="shared" si="197"/>
        <v>0</v>
      </c>
      <c r="X443" s="43">
        <f t="shared" si="198"/>
        <v>0</v>
      </c>
      <c r="Y443" s="43">
        <f t="shared" si="198"/>
        <v>0</v>
      </c>
      <c r="Z443" s="43">
        <f t="shared" si="198"/>
        <v>0</v>
      </c>
      <c r="AA443" s="43">
        <f t="shared" si="198"/>
        <v>0</v>
      </c>
      <c r="AB443" s="43">
        <f t="shared" si="198"/>
        <v>0</v>
      </c>
      <c r="AD443" s="43">
        <f t="shared" si="202"/>
        <v>0</v>
      </c>
      <c r="AE443" s="43">
        <f t="shared" si="203"/>
        <v>0</v>
      </c>
      <c r="AF443" s="43">
        <f t="shared" si="204"/>
        <v>0</v>
      </c>
      <c r="AG443" s="43">
        <f t="shared" si="205"/>
        <v>0</v>
      </c>
      <c r="AH443" s="43">
        <f t="shared" si="206"/>
        <v>0</v>
      </c>
      <c r="AJ443" s="43">
        <f t="shared" si="191"/>
        <v>0</v>
      </c>
      <c r="AK443" s="43">
        <f t="shared" si="192"/>
        <v>0</v>
      </c>
      <c r="AL443" s="43">
        <f t="shared" si="193"/>
        <v>0</v>
      </c>
      <c r="AM443" s="43">
        <f t="shared" si="194"/>
        <v>0</v>
      </c>
      <c r="AN443" s="43">
        <f t="shared" si="195"/>
        <v>0</v>
      </c>
    </row>
    <row r="444" spans="2:40">
      <c r="B444" s="37" t="str">
        <f t="shared" si="188"/>
        <v>Asset 138</v>
      </c>
      <c r="F444" s="37" t="str">
        <f t="shared" ref="F444:L444" si="211">F196</f>
        <v>08 Inrichting gebouwen</v>
      </c>
      <c r="G444" s="37">
        <f t="shared" si="211"/>
        <v>2008</v>
      </c>
      <c r="H444" s="52">
        <f t="shared" si="211"/>
        <v>1194171.3899999999</v>
      </c>
      <c r="I444" s="37">
        <f t="shared" si="211"/>
        <v>2021</v>
      </c>
      <c r="J444" s="52">
        <f t="shared" si="211"/>
        <v>10</v>
      </c>
      <c r="K444" s="175">
        <f t="shared" si="211"/>
        <v>0</v>
      </c>
      <c r="L444" s="52">
        <f t="shared" si="211"/>
        <v>0</v>
      </c>
      <c r="N444" s="43">
        <f t="shared" si="201"/>
        <v>0</v>
      </c>
      <c r="P444" s="38">
        <f t="shared" si="190"/>
        <v>0</v>
      </c>
      <c r="R444" s="43">
        <f t="shared" si="197"/>
        <v>0</v>
      </c>
      <c r="S444" s="43">
        <f t="shared" si="197"/>
        <v>0</v>
      </c>
      <c r="T444" s="43">
        <f t="shared" si="197"/>
        <v>0</v>
      </c>
      <c r="U444" s="43">
        <f t="shared" si="197"/>
        <v>0</v>
      </c>
      <c r="V444" s="43">
        <f t="shared" si="197"/>
        <v>0</v>
      </c>
      <c r="X444" s="43">
        <f t="shared" si="198"/>
        <v>0</v>
      </c>
      <c r="Y444" s="43">
        <f t="shared" si="198"/>
        <v>0</v>
      </c>
      <c r="Z444" s="43">
        <f t="shared" si="198"/>
        <v>0</v>
      </c>
      <c r="AA444" s="43">
        <f t="shared" si="198"/>
        <v>0</v>
      </c>
      <c r="AB444" s="43">
        <f t="shared" si="198"/>
        <v>0</v>
      </c>
      <c r="AD444" s="43">
        <f t="shared" si="202"/>
        <v>0</v>
      </c>
      <c r="AE444" s="43">
        <f t="shared" si="203"/>
        <v>0</v>
      </c>
      <c r="AF444" s="43">
        <f t="shared" si="204"/>
        <v>0</v>
      </c>
      <c r="AG444" s="43">
        <f t="shared" si="205"/>
        <v>0</v>
      </c>
      <c r="AH444" s="43">
        <f t="shared" si="206"/>
        <v>0</v>
      </c>
      <c r="AJ444" s="43">
        <f t="shared" si="191"/>
        <v>0</v>
      </c>
      <c r="AK444" s="43">
        <f t="shared" si="192"/>
        <v>0</v>
      </c>
      <c r="AL444" s="43">
        <f t="shared" si="193"/>
        <v>0</v>
      </c>
      <c r="AM444" s="43">
        <f t="shared" si="194"/>
        <v>0</v>
      </c>
      <c r="AN444" s="43">
        <f t="shared" si="195"/>
        <v>0</v>
      </c>
    </row>
    <row r="445" spans="2:40">
      <c r="B445" s="37" t="str">
        <f t="shared" si="188"/>
        <v>Asset 139</v>
      </c>
      <c r="F445" s="37" t="str">
        <f t="shared" ref="F445:L445" si="212">F197</f>
        <v>08 Inrichting gebouwen</v>
      </c>
      <c r="G445" s="37">
        <f t="shared" si="212"/>
        <v>2009</v>
      </c>
      <c r="H445" s="52">
        <f t="shared" si="212"/>
        <v>124506.82</v>
      </c>
      <c r="I445" s="37">
        <f t="shared" si="212"/>
        <v>2021</v>
      </c>
      <c r="J445" s="52">
        <f t="shared" si="212"/>
        <v>10</v>
      </c>
      <c r="K445" s="175">
        <f t="shared" si="212"/>
        <v>0</v>
      </c>
      <c r="L445" s="52">
        <f t="shared" si="212"/>
        <v>0</v>
      </c>
      <c r="N445" s="43">
        <f t="shared" si="201"/>
        <v>0</v>
      </c>
      <c r="P445" s="38">
        <f t="shared" si="190"/>
        <v>0</v>
      </c>
      <c r="R445" s="43">
        <f t="shared" si="197"/>
        <v>0</v>
      </c>
      <c r="S445" s="43">
        <f t="shared" si="197"/>
        <v>0</v>
      </c>
      <c r="T445" s="43">
        <f t="shared" si="197"/>
        <v>0</v>
      </c>
      <c r="U445" s="43">
        <f t="shared" si="197"/>
        <v>0</v>
      </c>
      <c r="V445" s="43">
        <f t="shared" si="197"/>
        <v>0</v>
      </c>
      <c r="X445" s="43">
        <f t="shared" si="198"/>
        <v>0</v>
      </c>
      <c r="Y445" s="43">
        <f t="shared" si="198"/>
        <v>0</v>
      </c>
      <c r="Z445" s="43">
        <f t="shared" si="198"/>
        <v>0</v>
      </c>
      <c r="AA445" s="43">
        <f t="shared" si="198"/>
        <v>0</v>
      </c>
      <c r="AB445" s="43">
        <f t="shared" si="198"/>
        <v>0</v>
      </c>
      <c r="AD445" s="43">
        <f t="shared" si="202"/>
        <v>0</v>
      </c>
      <c r="AE445" s="43">
        <f t="shared" si="203"/>
        <v>0</v>
      </c>
      <c r="AF445" s="43">
        <f t="shared" si="204"/>
        <v>0</v>
      </c>
      <c r="AG445" s="43">
        <f t="shared" si="205"/>
        <v>0</v>
      </c>
      <c r="AH445" s="43">
        <f t="shared" si="206"/>
        <v>0</v>
      </c>
      <c r="AJ445" s="43">
        <f t="shared" si="191"/>
        <v>0</v>
      </c>
      <c r="AK445" s="43">
        <f t="shared" si="192"/>
        <v>0</v>
      </c>
      <c r="AL445" s="43">
        <f t="shared" si="193"/>
        <v>0</v>
      </c>
      <c r="AM445" s="43">
        <f t="shared" si="194"/>
        <v>0</v>
      </c>
      <c r="AN445" s="43">
        <f t="shared" si="195"/>
        <v>0</v>
      </c>
    </row>
    <row r="446" spans="2:40">
      <c r="B446" s="37" t="str">
        <f t="shared" si="188"/>
        <v>Asset 140</v>
      </c>
      <c r="F446" s="37" t="str">
        <f t="shared" ref="F446:L446" si="213">F198</f>
        <v>14 Overig rollend materieel</v>
      </c>
      <c r="G446" s="37">
        <f t="shared" si="213"/>
        <v>2009</v>
      </c>
      <c r="H446" s="52">
        <f t="shared" si="213"/>
        <v>285378.59999999998</v>
      </c>
      <c r="I446" s="37">
        <f t="shared" si="213"/>
        <v>2021</v>
      </c>
      <c r="J446" s="52">
        <f t="shared" si="213"/>
        <v>10</v>
      </c>
      <c r="K446" s="175">
        <f t="shared" si="213"/>
        <v>1</v>
      </c>
      <c r="L446" s="52">
        <f t="shared" si="213"/>
        <v>0</v>
      </c>
      <c r="N446" s="43">
        <f t="shared" si="201"/>
        <v>0</v>
      </c>
      <c r="P446" s="38">
        <f t="shared" si="190"/>
        <v>0</v>
      </c>
      <c r="R446" s="43">
        <f t="shared" si="197"/>
        <v>0</v>
      </c>
      <c r="S446" s="43">
        <f t="shared" si="197"/>
        <v>0</v>
      </c>
      <c r="T446" s="43">
        <f t="shared" si="197"/>
        <v>0</v>
      </c>
      <c r="U446" s="43">
        <f t="shared" si="197"/>
        <v>0</v>
      </c>
      <c r="V446" s="43">
        <f t="shared" si="197"/>
        <v>0</v>
      </c>
      <c r="X446" s="43">
        <f t="shared" si="198"/>
        <v>0</v>
      </c>
      <c r="Y446" s="43">
        <f t="shared" si="198"/>
        <v>0</v>
      </c>
      <c r="Z446" s="43">
        <f t="shared" si="198"/>
        <v>0</v>
      </c>
      <c r="AA446" s="43">
        <f t="shared" si="198"/>
        <v>0</v>
      </c>
      <c r="AB446" s="43">
        <f t="shared" si="198"/>
        <v>0</v>
      </c>
      <c r="AD446" s="43">
        <f t="shared" si="202"/>
        <v>0</v>
      </c>
      <c r="AE446" s="43">
        <f t="shared" si="203"/>
        <v>0</v>
      </c>
      <c r="AF446" s="43">
        <f t="shared" si="204"/>
        <v>0</v>
      </c>
      <c r="AG446" s="43">
        <f t="shared" si="205"/>
        <v>0</v>
      </c>
      <c r="AH446" s="43">
        <f t="shared" si="206"/>
        <v>0</v>
      </c>
      <c r="AJ446" s="43">
        <f t="shared" si="191"/>
        <v>0</v>
      </c>
      <c r="AK446" s="43">
        <f t="shared" si="192"/>
        <v>0</v>
      </c>
      <c r="AL446" s="43">
        <f t="shared" si="193"/>
        <v>0</v>
      </c>
      <c r="AM446" s="43">
        <f t="shared" si="194"/>
        <v>0</v>
      </c>
      <c r="AN446" s="43">
        <f t="shared" si="195"/>
        <v>0</v>
      </c>
    </row>
    <row r="447" spans="2:40">
      <c r="B447" s="37" t="str">
        <f t="shared" si="188"/>
        <v>Asset 141</v>
      </c>
      <c r="F447" s="37" t="str">
        <f t="shared" ref="F447:L447" si="214">F199</f>
        <v>06 Utiliteitsgebouwen</v>
      </c>
      <c r="G447" s="37">
        <f t="shared" si="214"/>
        <v>2009</v>
      </c>
      <c r="H447" s="52">
        <f t="shared" si="214"/>
        <v>35389.120000000003</v>
      </c>
      <c r="I447" s="37">
        <f t="shared" si="214"/>
        <v>2021</v>
      </c>
      <c r="J447" s="52">
        <f t="shared" si="214"/>
        <v>30</v>
      </c>
      <c r="K447" s="175">
        <f t="shared" si="214"/>
        <v>0</v>
      </c>
      <c r="L447" s="52">
        <f t="shared" si="214"/>
        <v>24744.506996892218</v>
      </c>
      <c r="N447" s="43">
        <f t="shared" si="201"/>
        <v>24744.506996892218</v>
      </c>
      <c r="P447" s="38">
        <f t="shared" si="190"/>
        <v>17.5</v>
      </c>
      <c r="R447" s="43">
        <f t="shared" ref="R447:V456" si="215">IF(R$305&lt;=$G447+$J447,VDB($L447*(1-$F$25),0,$P447,R$305-2022,MIN(R$305-2021,$P447),$F$22),0)</f>
        <v>1654.3470392207942</v>
      </c>
      <c r="S447" s="43">
        <f t="shared" si="215"/>
        <v>1531.452687735821</v>
      </c>
      <c r="T447" s="43">
        <f t="shared" si="215"/>
        <v>1417.6876309325885</v>
      </c>
      <c r="U447" s="43">
        <f t="shared" si="215"/>
        <v>1312.373692634739</v>
      </c>
      <c r="V447" s="43">
        <f t="shared" si="215"/>
        <v>1214.8830754675871</v>
      </c>
      <c r="X447" s="43">
        <f t="shared" ref="X447:AB456" si="216">IF(X$305&lt;=$G447+$J447,VDB($L447*$F$25,0,$P447,X$305-2022,MIN(X$305-2021,$P447),1),0)</f>
        <v>141.3971828393841</v>
      </c>
      <c r="Y447" s="43">
        <f t="shared" si="216"/>
        <v>141.3971828393841</v>
      </c>
      <c r="Z447" s="43">
        <f t="shared" si="216"/>
        <v>141.3971828393841</v>
      </c>
      <c r="AA447" s="43">
        <f t="shared" si="216"/>
        <v>141.3971828393841</v>
      </c>
      <c r="AB447" s="43">
        <f t="shared" si="216"/>
        <v>141.3971828393841</v>
      </c>
      <c r="AD447" s="43">
        <f t="shared" si="202"/>
        <v>22948.762774832041</v>
      </c>
      <c r="AE447" s="43">
        <f t="shared" si="203"/>
        <v>21275.912904256835</v>
      </c>
      <c r="AF447" s="43">
        <f t="shared" si="204"/>
        <v>19716.828090484862</v>
      </c>
      <c r="AG447" s="43">
        <f t="shared" si="205"/>
        <v>18263.05721501074</v>
      </c>
      <c r="AH447" s="43">
        <f t="shared" si="206"/>
        <v>16906.776956703769</v>
      </c>
      <c r="AJ447" s="43">
        <f t="shared" si="191"/>
        <v>2576.0021564044678</v>
      </c>
      <c r="AK447" s="43">
        <f t="shared" si="192"/>
        <v>2374.9549964156809</v>
      </c>
      <c r="AL447" s="43">
        <f t="shared" si="193"/>
        <v>2308.3242812103972</v>
      </c>
      <c r="AM447" s="43">
        <f t="shared" si="194"/>
        <v>2147.7670496445312</v>
      </c>
      <c r="AN447" s="43">
        <f t="shared" si="195"/>
        <v>1998.7377826617144</v>
      </c>
    </row>
    <row r="448" spans="2:40">
      <c r="B448" s="37" t="str">
        <f t="shared" si="188"/>
        <v>Asset 142</v>
      </c>
      <c r="F448" s="37" t="str">
        <f t="shared" ref="F448:L448" si="217">F200</f>
        <v>09 Bedrijfsinventaris</v>
      </c>
      <c r="G448" s="37">
        <f t="shared" si="217"/>
        <v>2009</v>
      </c>
      <c r="H448" s="52">
        <f t="shared" si="217"/>
        <v>537011.27</v>
      </c>
      <c r="I448" s="37">
        <f t="shared" si="217"/>
        <v>2021</v>
      </c>
      <c r="J448" s="52">
        <f t="shared" si="217"/>
        <v>10</v>
      </c>
      <c r="K448" s="175">
        <f t="shared" si="217"/>
        <v>1</v>
      </c>
      <c r="L448" s="52">
        <f t="shared" si="217"/>
        <v>0</v>
      </c>
      <c r="N448" s="43">
        <f t="shared" si="201"/>
        <v>0</v>
      </c>
      <c r="P448" s="38">
        <f t="shared" si="190"/>
        <v>0</v>
      </c>
      <c r="R448" s="43">
        <f t="shared" si="215"/>
        <v>0</v>
      </c>
      <c r="S448" s="43">
        <f t="shared" si="215"/>
        <v>0</v>
      </c>
      <c r="T448" s="43">
        <f t="shared" si="215"/>
        <v>0</v>
      </c>
      <c r="U448" s="43">
        <f t="shared" si="215"/>
        <v>0</v>
      </c>
      <c r="V448" s="43">
        <f t="shared" si="215"/>
        <v>0</v>
      </c>
      <c r="X448" s="43">
        <f t="shared" si="216"/>
        <v>0</v>
      </c>
      <c r="Y448" s="43">
        <f t="shared" si="216"/>
        <v>0</v>
      </c>
      <c r="Z448" s="43">
        <f t="shared" si="216"/>
        <v>0</v>
      </c>
      <c r="AA448" s="43">
        <f t="shared" si="216"/>
        <v>0</v>
      </c>
      <c r="AB448" s="43">
        <f t="shared" si="216"/>
        <v>0</v>
      </c>
      <c r="AD448" s="43">
        <f t="shared" si="202"/>
        <v>0</v>
      </c>
      <c r="AE448" s="43">
        <f t="shared" si="203"/>
        <v>0</v>
      </c>
      <c r="AF448" s="43">
        <f t="shared" si="204"/>
        <v>0</v>
      </c>
      <c r="AG448" s="43">
        <f t="shared" si="205"/>
        <v>0</v>
      </c>
      <c r="AH448" s="43">
        <f t="shared" si="206"/>
        <v>0</v>
      </c>
      <c r="AJ448" s="43">
        <f t="shared" si="191"/>
        <v>0</v>
      </c>
      <c r="AK448" s="43">
        <f t="shared" si="192"/>
        <v>0</v>
      </c>
      <c r="AL448" s="43">
        <f t="shared" si="193"/>
        <v>0</v>
      </c>
      <c r="AM448" s="43">
        <f t="shared" si="194"/>
        <v>0</v>
      </c>
      <c r="AN448" s="43">
        <f t="shared" si="195"/>
        <v>0</v>
      </c>
    </row>
    <row r="449" spans="2:40">
      <c r="B449" s="37" t="str">
        <f t="shared" si="188"/>
        <v>Asset 143</v>
      </c>
      <c r="F449" s="37" t="str">
        <f t="shared" ref="F449:L449" si="218">F201</f>
        <v>20 Kantoorgebouwen</v>
      </c>
      <c r="G449" s="37">
        <f t="shared" si="218"/>
        <v>2009</v>
      </c>
      <c r="H449" s="52">
        <f t="shared" si="218"/>
        <v>2416053.9300000006</v>
      </c>
      <c r="I449" s="37">
        <f t="shared" si="218"/>
        <v>2021</v>
      </c>
      <c r="J449" s="52">
        <f t="shared" si="218"/>
        <v>30</v>
      </c>
      <c r="K449" s="175">
        <f t="shared" si="218"/>
        <v>0</v>
      </c>
      <c r="L449" s="52">
        <f t="shared" si="218"/>
        <v>1689334.5575067692</v>
      </c>
      <c r="N449" s="43">
        <f t="shared" si="201"/>
        <v>1689334.5575067692</v>
      </c>
      <c r="P449" s="38">
        <f t="shared" si="190"/>
        <v>17.5</v>
      </c>
      <c r="R449" s="43">
        <f t="shared" si="215"/>
        <v>112944.08184473829</v>
      </c>
      <c r="S449" s="43">
        <f t="shared" si="215"/>
        <v>104553.95005055775</v>
      </c>
      <c r="T449" s="43">
        <f t="shared" si="215"/>
        <v>96787.085189659163</v>
      </c>
      <c r="U449" s="43">
        <f t="shared" si="215"/>
        <v>89597.187432713064</v>
      </c>
      <c r="V449" s="43">
        <f t="shared" si="215"/>
        <v>82941.396366282948</v>
      </c>
      <c r="X449" s="43">
        <f t="shared" si="216"/>
        <v>9653.3403286101093</v>
      </c>
      <c r="Y449" s="43">
        <f t="shared" si="216"/>
        <v>9653.3403286101111</v>
      </c>
      <c r="Z449" s="43">
        <f t="shared" si="216"/>
        <v>9653.3403286101111</v>
      </c>
      <c r="AA449" s="43">
        <f t="shared" si="216"/>
        <v>9653.3403286101111</v>
      </c>
      <c r="AB449" s="43">
        <f t="shared" si="216"/>
        <v>9653.3403286101111</v>
      </c>
      <c r="AD449" s="43">
        <f t="shared" si="202"/>
        <v>1566737.1353334209</v>
      </c>
      <c r="AE449" s="43">
        <f t="shared" si="203"/>
        <v>1452529.8449542532</v>
      </c>
      <c r="AF449" s="43">
        <f t="shared" si="204"/>
        <v>1346089.419435984</v>
      </c>
      <c r="AG449" s="43">
        <f t="shared" si="205"/>
        <v>1246838.8916746608</v>
      </c>
      <c r="AH449" s="43">
        <f t="shared" si="206"/>
        <v>1154244.1549797677</v>
      </c>
      <c r="AJ449" s="43">
        <f t="shared" si="191"/>
        <v>175866.48477468471</v>
      </c>
      <c r="AK449" s="43">
        <f t="shared" si="192"/>
        <v>162140.77526265822</v>
      </c>
      <c r="AL449" s="43">
        <f t="shared" si="193"/>
        <v>157591.82345683666</v>
      </c>
      <c r="AM449" s="43">
        <f t="shared" si="194"/>
        <v>146630.40564496029</v>
      </c>
      <c r="AN449" s="43">
        <f t="shared" si="195"/>
        <v>136456.01458412423</v>
      </c>
    </row>
    <row r="450" spans="2:40">
      <c r="B450" s="37" t="str">
        <f t="shared" si="188"/>
        <v>Asset 144</v>
      </c>
      <c r="F450" s="37" t="str">
        <f t="shared" ref="F450:L450" si="219">F202</f>
        <v>05 Wegen en terreinvoorzieningen</v>
      </c>
      <c r="G450" s="37">
        <f t="shared" si="219"/>
        <v>2009</v>
      </c>
      <c r="H450" s="52">
        <f t="shared" si="219"/>
        <v>97690.9</v>
      </c>
      <c r="I450" s="37">
        <f t="shared" si="219"/>
        <v>2021</v>
      </c>
      <c r="J450" s="52">
        <f t="shared" si="219"/>
        <v>10</v>
      </c>
      <c r="K450" s="175">
        <f t="shared" si="219"/>
        <v>0</v>
      </c>
      <c r="L450" s="52">
        <f t="shared" si="219"/>
        <v>0</v>
      </c>
      <c r="N450" s="43">
        <f t="shared" si="201"/>
        <v>0</v>
      </c>
      <c r="P450" s="38">
        <f t="shared" si="190"/>
        <v>0</v>
      </c>
      <c r="R450" s="43">
        <f t="shared" si="215"/>
        <v>0</v>
      </c>
      <c r="S450" s="43">
        <f t="shared" si="215"/>
        <v>0</v>
      </c>
      <c r="T450" s="43">
        <f t="shared" si="215"/>
        <v>0</v>
      </c>
      <c r="U450" s="43">
        <f t="shared" si="215"/>
        <v>0</v>
      </c>
      <c r="V450" s="43">
        <f t="shared" si="215"/>
        <v>0</v>
      </c>
      <c r="X450" s="43">
        <f t="shared" si="216"/>
        <v>0</v>
      </c>
      <c r="Y450" s="43">
        <f t="shared" si="216"/>
        <v>0</v>
      </c>
      <c r="Z450" s="43">
        <f t="shared" si="216"/>
        <v>0</v>
      </c>
      <c r="AA450" s="43">
        <f t="shared" si="216"/>
        <v>0</v>
      </c>
      <c r="AB450" s="43">
        <f t="shared" si="216"/>
        <v>0</v>
      </c>
      <c r="AD450" s="43">
        <f t="shared" si="202"/>
        <v>0</v>
      </c>
      <c r="AE450" s="43">
        <f t="shared" si="203"/>
        <v>0</v>
      </c>
      <c r="AF450" s="43">
        <f t="shared" si="204"/>
        <v>0</v>
      </c>
      <c r="AG450" s="43">
        <f t="shared" si="205"/>
        <v>0</v>
      </c>
      <c r="AH450" s="43">
        <f t="shared" si="206"/>
        <v>0</v>
      </c>
      <c r="AJ450" s="43">
        <f t="shared" si="191"/>
        <v>0</v>
      </c>
      <c r="AK450" s="43">
        <f t="shared" si="192"/>
        <v>0</v>
      </c>
      <c r="AL450" s="43">
        <f t="shared" si="193"/>
        <v>0</v>
      </c>
      <c r="AM450" s="43">
        <f t="shared" si="194"/>
        <v>0</v>
      </c>
      <c r="AN450" s="43">
        <f t="shared" si="195"/>
        <v>0</v>
      </c>
    </row>
    <row r="451" spans="2:40">
      <c r="B451" s="37" t="str">
        <f t="shared" si="188"/>
        <v>Asset 145</v>
      </c>
      <c r="F451" s="37" t="str">
        <f t="shared" ref="F451:L451" si="220">F203</f>
        <v>13 Aanhangwagens</v>
      </c>
      <c r="G451" s="37">
        <f t="shared" si="220"/>
        <v>2009</v>
      </c>
      <c r="H451" s="52">
        <f t="shared" si="220"/>
        <v>655669.05999999994</v>
      </c>
      <c r="I451" s="37">
        <f t="shared" si="220"/>
        <v>2021</v>
      </c>
      <c r="J451" s="52">
        <f t="shared" si="220"/>
        <v>10</v>
      </c>
      <c r="K451" s="175">
        <f t="shared" si="220"/>
        <v>1</v>
      </c>
      <c r="L451" s="52">
        <f t="shared" si="220"/>
        <v>0</v>
      </c>
      <c r="N451" s="43">
        <f t="shared" si="201"/>
        <v>0</v>
      </c>
      <c r="P451" s="38">
        <f t="shared" si="190"/>
        <v>0</v>
      </c>
      <c r="R451" s="43">
        <f t="shared" si="215"/>
        <v>0</v>
      </c>
      <c r="S451" s="43">
        <f t="shared" si="215"/>
        <v>0</v>
      </c>
      <c r="T451" s="43">
        <f t="shared" si="215"/>
        <v>0</v>
      </c>
      <c r="U451" s="43">
        <f t="shared" si="215"/>
        <v>0</v>
      </c>
      <c r="V451" s="43">
        <f t="shared" si="215"/>
        <v>0</v>
      </c>
      <c r="X451" s="43">
        <f t="shared" si="216"/>
        <v>0</v>
      </c>
      <c r="Y451" s="43">
        <f t="shared" si="216"/>
        <v>0</v>
      </c>
      <c r="Z451" s="43">
        <f t="shared" si="216"/>
        <v>0</v>
      </c>
      <c r="AA451" s="43">
        <f t="shared" si="216"/>
        <v>0</v>
      </c>
      <c r="AB451" s="43">
        <f t="shared" si="216"/>
        <v>0</v>
      </c>
      <c r="AD451" s="43">
        <f t="shared" si="202"/>
        <v>0</v>
      </c>
      <c r="AE451" s="43">
        <f t="shared" si="203"/>
        <v>0</v>
      </c>
      <c r="AF451" s="43">
        <f t="shared" si="204"/>
        <v>0</v>
      </c>
      <c r="AG451" s="43">
        <f t="shared" si="205"/>
        <v>0</v>
      </c>
      <c r="AH451" s="43">
        <f t="shared" si="206"/>
        <v>0</v>
      </c>
      <c r="AJ451" s="43">
        <f t="shared" si="191"/>
        <v>0</v>
      </c>
      <c r="AK451" s="43">
        <f t="shared" si="192"/>
        <v>0</v>
      </c>
      <c r="AL451" s="43">
        <f t="shared" si="193"/>
        <v>0</v>
      </c>
      <c r="AM451" s="43">
        <f t="shared" si="194"/>
        <v>0</v>
      </c>
      <c r="AN451" s="43">
        <f t="shared" si="195"/>
        <v>0</v>
      </c>
    </row>
    <row r="452" spans="2:40">
      <c r="B452" s="37" t="str">
        <f t="shared" si="188"/>
        <v>Asset 146</v>
      </c>
      <c r="F452" s="37" t="str">
        <f t="shared" ref="F452:L452" si="221">F204</f>
        <v>11 Werktuigen</v>
      </c>
      <c r="G452" s="37">
        <f t="shared" si="221"/>
        <v>2010</v>
      </c>
      <c r="H452" s="52">
        <f t="shared" si="221"/>
        <v>453194.78213502961</v>
      </c>
      <c r="I452" s="37">
        <f t="shared" si="221"/>
        <v>2021</v>
      </c>
      <c r="J452" s="52">
        <f t="shared" si="221"/>
        <v>10</v>
      </c>
      <c r="K452" s="175">
        <f t="shared" si="221"/>
        <v>1</v>
      </c>
      <c r="L452" s="52">
        <f t="shared" si="221"/>
        <v>0</v>
      </c>
      <c r="N452" s="43">
        <f t="shared" si="201"/>
        <v>0</v>
      </c>
      <c r="P452" s="38">
        <f t="shared" si="190"/>
        <v>0</v>
      </c>
      <c r="R452" s="43">
        <f t="shared" si="215"/>
        <v>0</v>
      </c>
      <c r="S452" s="43">
        <f t="shared" si="215"/>
        <v>0</v>
      </c>
      <c r="T452" s="43">
        <f t="shared" si="215"/>
        <v>0</v>
      </c>
      <c r="U452" s="43">
        <f t="shared" si="215"/>
        <v>0</v>
      </c>
      <c r="V452" s="43">
        <f t="shared" si="215"/>
        <v>0</v>
      </c>
      <c r="X452" s="43">
        <f t="shared" si="216"/>
        <v>0</v>
      </c>
      <c r="Y452" s="43">
        <f t="shared" si="216"/>
        <v>0</v>
      </c>
      <c r="Z452" s="43">
        <f t="shared" si="216"/>
        <v>0</v>
      </c>
      <c r="AA452" s="43">
        <f t="shared" si="216"/>
        <v>0</v>
      </c>
      <c r="AB452" s="43">
        <f t="shared" si="216"/>
        <v>0</v>
      </c>
      <c r="AD452" s="43">
        <f t="shared" si="202"/>
        <v>0</v>
      </c>
      <c r="AE452" s="43">
        <f t="shared" si="203"/>
        <v>0</v>
      </c>
      <c r="AF452" s="43">
        <f t="shared" si="204"/>
        <v>0</v>
      </c>
      <c r="AG452" s="43">
        <f t="shared" si="205"/>
        <v>0</v>
      </c>
      <c r="AH452" s="43">
        <f t="shared" si="206"/>
        <v>0</v>
      </c>
      <c r="AJ452" s="43">
        <f t="shared" si="191"/>
        <v>0</v>
      </c>
      <c r="AK452" s="43">
        <f t="shared" si="192"/>
        <v>0</v>
      </c>
      <c r="AL452" s="43">
        <f t="shared" si="193"/>
        <v>0</v>
      </c>
      <c r="AM452" s="43">
        <f t="shared" si="194"/>
        <v>0</v>
      </c>
      <c r="AN452" s="43">
        <f t="shared" si="195"/>
        <v>0</v>
      </c>
    </row>
    <row r="453" spans="2:40">
      <c r="B453" s="37" t="str">
        <f t="shared" si="188"/>
        <v>Asset 147</v>
      </c>
      <c r="F453" s="37" t="str">
        <f t="shared" ref="F453:L453" si="222">F205</f>
        <v>14 Overig rollend materieel</v>
      </c>
      <c r="G453" s="37">
        <f t="shared" si="222"/>
        <v>2010</v>
      </c>
      <c r="H453" s="52">
        <f t="shared" si="222"/>
        <v>179634.02000000002</v>
      </c>
      <c r="I453" s="37">
        <f t="shared" si="222"/>
        <v>2021</v>
      </c>
      <c r="J453" s="52">
        <f t="shared" si="222"/>
        <v>10</v>
      </c>
      <c r="K453" s="175">
        <f t="shared" si="222"/>
        <v>1</v>
      </c>
      <c r="L453" s="52">
        <f t="shared" si="222"/>
        <v>0</v>
      </c>
      <c r="N453" s="43">
        <f t="shared" si="201"/>
        <v>0</v>
      </c>
      <c r="P453" s="38">
        <f t="shared" si="190"/>
        <v>0</v>
      </c>
      <c r="R453" s="43">
        <f t="shared" si="215"/>
        <v>0</v>
      </c>
      <c r="S453" s="43">
        <f t="shared" si="215"/>
        <v>0</v>
      </c>
      <c r="T453" s="43">
        <f t="shared" si="215"/>
        <v>0</v>
      </c>
      <c r="U453" s="43">
        <f t="shared" si="215"/>
        <v>0</v>
      </c>
      <c r="V453" s="43">
        <f t="shared" si="215"/>
        <v>0</v>
      </c>
      <c r="X453" s="43">
        <f t="shared" si="216"/>
        <v>0</v>
      </c>
      <c r="Y453" s="43">
        <f t="shared" si="216"/>
        <v>0</v>
      </c>
      <c r="Z453" s="43">
        <f t="shared" si="216"/>
        <v>0</v>
      </c>
      <c r="AA453" s="43">
        <f t="shared" si="216"/>
        <v>0</v>
      </c>
      <c r="AB453" s="43">
        <f t="shared" si="216"/>
        <v>0</v>
      </c>
      <c r="AD453" s="43">
        <f t="shared" si="202"/>
        <v>0</v>
      </c>
      <c r="AE453" s="43">
        <f t="shared" si="203"/>
        <v>0</v>
      </c>
      <c r="AF453" s="43">
        <f t="shared" si="204"/>
        <v>0</v>
      </c>
      <c r="AG453" s="43">
        <f t="shared" si="205"/>
        <v>0</v>
      </c>
      <c r="AH453" s="43">
        <f t="shared" si="206"/>
        <v>0</v>
      </c>
      <c r="AJ453" s="43">
        <f t="shared" si="191"/>
        <v>0</v>
      </c>
      <c r="AK453" s="43">
        <f t="shared" si="192"/>
        <v>0</v>
      </c>
      <c r="AL453" s="43">
        <f t="shared" si="193"/>
        <v>0</v>
      </c>
      <c r="AM453" s="43">
        <f t="shared" si="194"/>
        <v>0</v>
      </c>
      <c r="AN453" s="43">
        <f t="shared" si="195"/>
        <v>0</v>
      </c>
    </row>
    <row r="454" spans="2:40">
      <c r="B454" s="37" t="str">
        <f t="shared" si="188"/>
        <v>Asset 148</v>
      </c>
      <c r="F454" s="37" t="str">
        <f t="shared" ref="F454:L454" si="223">F206</f>
        <v>12 Motorvoertuigen</v>
      </c>
      <c r="G454" s="37">
        <f t="shared" si="223"/>
        <v>2011</v>
      </c>
      <c r="H454" s="52">
        <f t="shared" si="223"/>
        <v>293470.62269139342</v>
      </c>
      <c r="I454" s="37">
        <f t="shared" si="223"/>
        <v>2021</v>
      </c>
      <c r="J454" s="52">
        <f t="shared" si="223"/>
        <v>10</v>
      </c>
      <c r="K454" s="175">
        <f t="shared" si="223"/>
        <v>1</v>
      </c>
      <c r="L454" s="52">
        <f t="shared" si="223"/>
        <v>0</v>
      </c>
      <c r="N454" s="43">
        <f t="shared" si="201"/>
        <v>0</v>
      </c>
      <c r="P454" s="38">
        <f t="shared" si="190"/>
        <v>0</v>
      </c>
      <c r="R454" s="43">
        <f t="shared" si="215"/>
        <v>0</v>
      </c>
      <c r="S454" s="43">
        <f t="shared" si="215"/>
        <v>0</v>
      </c>
      <c r="T454" s="43">
        <f t="shared" si="215"/>
        <v>0</v>
      </c>
      <c r="U454" s="43">
        <f t="shared" si="215"/>
        <v>0</v>
      </c>
      <c r="V454" s="43">
        <f t="shared" si="215"/>
        <v>0</v>
      </c>
      <c r="X454" s="43">
        <f t="shared" si="216"/>
        <v>0</v>
      </c>
      <c r="Y454" s="43">
        <f t="shared" si="216"/>
        <v>0</v>
      </c>
      <c r="Z454" s="43">
        <f t="shared" si="216"/>
        <v>0</v>
      </c>
      <c r="AA454" s="43">
        <f t="shared" si="216"/>
        <v>0</v>
      </c>
      <c r="AB454" s="43">
        <f t="shared" si="216"/>
        <v>0</v>
      </c>
      <c r="AD454" s="43">
        <f t="shared" si="202"/>
        <v>0</v>
      </c>
      <c r="AE454" s="43">
        <f t="shared" si="203"/>
        <v>0</v>
      </c>
      <c r="AF454" s="43">
        <f t="shared" si="204"/>
        <v>0</v>
      </c>
      <c r="AG454" s="43">
        <f t="shared" si="205"/>
        <v>0</v>
      </c>
      <c r="AH454" s="43">
        <f t="shared" si="206"/>
        <v>0</v>
      </c>
      <c r="AJ454" s="43">
        <f t="shared" si="191"/>
        <v>0</v>
      </c>
      <c r="AK454" s="43">
        <f t="shared" si="192"/>
        <v>0</v>
      </c>
      <c r="AL454" s="43">
        <f t="shared" si="193"/>
        <v>0</v>
      </c>
      <c r="AM454" s="43">
        <f t="shared" si="194"/>
        <v>0</v>
      </c>
      <c r="AN454" s="43">
        <f t="shared" si="195"/>
        <v>0</v>
      </c>
    </row>
    <row r="455" spans="2:40">
      <c r="B455" s="37" t="str">
        <f t="shared" si="188"/>
        <v>Asset 149</v>
      </c>
      <c r="F455" s="37" t="str">
        <f t="shared" ref="F455:L455" si="224">F207</f>
        <v>08 Inrichting gebouwen</v>
      </c>
      <c r="G455" s="37">
        <f t="shared" si="224"/>
        <v>2011</v>
      </c>
      <c r="H455" s="52">
        <f t="shared" si="224"/>
        <v>309147.61872011481</v>
      </c>
      <c r="I455" s="37">
        <f t="shared" si="224"/>
        <v>2021</v>
      </c>
      <c r="J455" s="52">
        <f t="shared" si="224"/>
        <v>10</v>
      </c>
      <c r="K455" s="175">
        <f t="shared" si="224"/>
        <v>0</v>
      </c>
      <c r="L455" s="52">
        <f t="shared" si="224"/>
        <v>0</v>
      </c>
      <c r="N455" s="43">
        <f t="shared" si="201"/>
        <v>0</v>
      </c>
      <c r="P455" s="38">
        <f t="shared" si="190"/>
        <v>0</v>
      </c>
      <c r="R455" s="43">
        <f t="shared" si="215"/>
        <v>0</v>
      </c>
      <c r="S455" s="43">
        <f t="shared" si="215"/>
        <v>0</v>
      </c>
      <c r="T455" s="43">
        <f t="shared" si="215"/>
        <v>0</v>
      </c>
      <c r="U455" s="43">
        <f t="shared" si="215"/>
        <v>0</v>
      </c>
      <c r="V455" s="43">
        <f t="shared" si="215"/>
        <v>0</v>
      </c>
      <c r="X455" s="43">
        <f t="shared" si="216"/>
        <v>0</v>
      </c>
      <c r="Y455" s="43">
        <f t="shared" si="216"/>
        <v>0</v>
      </c>
      <c r="Z455" s="43">
        <f t="shared" si="216"/>
        <v>0</v>
      </c>
      <c r="AA455" s="43">
        <f t="shared" si="216"/>
        <v>0</v>
      </c>
      <c r="AB455" s="43">
        <f t="shared" si="216"/>
        <v>0</v>
      </c>
      <c r="AD455" s="43">
        <f t="shared" si="202"/>
        <v>0</v>
      </c>
      <c r="AE455" s="43">
        <f t="shared" si="203"/>
        <v>0</v>
      </c>
      <c r="AF455" s="43">
        <f t="shared" si="204"/>
        <v>0</v>
      </c>
      <c r="AG455" s="43">
        <f t="shared" si="205"/>
        <v>0</v>
      </c>
      <c r="AH455" s="43">
        <f t="shared" si="206"/>
        <v>0</v>
      </c>
      <c r="AJ455" s="43">
        <f t="shared" si="191"/>
        <v>0</v>
      </c>
      <c r="AK455" s="43">
        <f t="shared" si="192"/>
        <v>0</v>
      </c>
      <c r="AL455" s="43">
        <f t="shared" si="193"/>
        <v>0</v>
      </c>
      <c r="AM455" s="43">
        <f t="shared" si="194"/>
        <v>0</v>
      </c>
      <c r="AN455" s="43">
        <f t="shared" si="195"/>
        <v>0</v>
      </c>
    </row>
    <row r="456" spans="2:40">
      <c r="B456" s="37" t="str">
        <f t="shared" si="188"/>
        <v>Asset 150</v>
      </c>
      <c r="F456" s="37" t="str">
        <f t="shared" ref="F456:L456" si="225">F208</f>
        <v>38 ICT middelen 2</v>
      </c>
      <c r="G456" s="37">
        <f t="shared" si="225"/>
        <v>2011</v>
      </c>
      <c r="H456" s="52">
        <f t="shared" si="225"/>
        <v>24343500.983545668</v>
      </c>
      <c r="I456" s="37">
        <f t="shared" si="225"/>
        <v>2021</v>
      </c>
      <c r="J456" s="52">
        <f t="shared" si="225"/>
        <v>10</v>
      </c>
      <c r="K456" s="175">
        <f t="shared" si="225"/>
        <v>1</v>
      </c>
      <c r="L456" s="52">
        <f t="shared" si="225"/>
        <v>0</v>
      </c>
      <c r="N456" s="43">
        <f t="shared" si="201"/>
        <v>0</v>
      </c>
      <c r="P456" s="38">
        <f t="shared" si="190"/>
        <v>0</v>
      </c>
      <c r="R456" s="43">
        <f t="shared" si="215"/>
        <v>0</v>
      </c>
      <c r="S456" s="43">
        <f t="shared" si="215"/>
        <v>0</v>
      </c>
      <c r="T456" s="43">
        <f t="shared" si="215"/>
        <v>0</v>
      </c>
      <c r="U456" s="43">
        <f t="shared" si="215"/>
        <v>0</v>
      </c>
      <c r="V456" s="43">
        <f t="shared" si="215"/>
        <v>0</v>
      </c>
      <c r="X456" s="43">
        <f t="shared" si="216"/>
        <v>0</v>
      </c>
      <c r="Y456" s="43">
        <f t="shared" si="216"/>
        <v>0</v>
      </c>
      <c r="Z456" s="43">
        <f t="shared" si="216"/>
        <v>0</v>
      </c>
      <c r="AA456" s="43">
        <f t="shared" si="216"/>
        <v>0</v>
      </c>
      <c r="AB456" s="43">
        <f t="shared" si="216"/>
        <v>0</v>
      </c>
      <c r="AD456" s="43">
        <f t="shared" si="202"/>
        <v>0</v>
      </c>
      <c r="AE456" s="43">
        <f t="shared" si="203"/>
        <v>0</v>
      </c>
      <c r="AF456" s="43">
        <f t="shared" si="204"/>
        <v>0</v>
      </c>
      <c r="AG456" s="43">
        <f t="shared" si="205"/>
        <v>0</v>
      </c>
      <c r="AH456" s="43">
        <f t="shared" si="206"/>
        <v>0</v>
      </c>
      <c r="AJ456" s="43">
        <f t="shared" si="191"/>
        <v>0</v>
      </c>
      <c r="AK456" s="43">
        <f t="shared" si="192"/>
        <v>0</v>
      </c>
      <c r="AL456" s="43">
        <f t="shared" si="193"/>
        <v>0</v>
      </c>
      <c r="AM456" s="43">
        <f t="shared" si="194"/>
        <v>0</v>
      </c>
      <c r="AN456" s="43">
        <f t="shared" si="195"/>
        <v>0</v>
      </c>
    </row>
    <row r="457" spans="2:40">
      <c r="B457" s="37" t="str">
        <f t="shared" si="188"/>
        <v>Asset 151</v>
      </c>
      <c r="F457" s="37" t="str">
        <f t="shared" ref="F457:L457" si="226">F209</f>
        <v>11 Werktuigen</v>
      </c>
      <c r="G457" s="37">
        <f t="shared" si="226"/>
        <v>2011</v>
      </c>
      <c r="H457" s="52">
        <f t="shared" si="226"/>
        <v>345005.47060998465</v>
      </c>
      <c r="I457" s="37">
        <f t="shared" si="226"/>
        <v>2021</v>
      </c>
      <c r="J457" s="52">
        <f t="shared" si="226"/>
        <v>10</v>
      </c>
      <c r="K457" s="175">
        <f t="shared" si="226"/>
        <v>1</v>
      </c>
      <c r="L457" s="52">
        <f t="shared" si="226"/>
        <v>0</v>
      </c>
      <c r="N457" s="43">
        <f t="shared" si="201"/>
        <v>0</v>
      </c>
      <c r="P457" s="38">
        <f t="shared" si="190"/>
        <v>0</v>
      </c>
      <c r="R457" s="43">
        <f t="shared" ref="R457:V466" si="227">IF(R$305&lt;=$G457+$J457,VDB($L457*(1-$F$25),0,$P457,R$305-2022,MIN(R$305-2021,$P457),$F$22),0)</f>
        <v>0</v>
      </c>
      <c r="S457" s="43">
        <f t="shared" si="227"/>
        <v>0</v>
      </c>
      <c r="T457" s="43">
        <f t="shared" si="227"/>
        <v>0</v>
      </c>
      <c r="U457" s="43">
        <f t="shared" si="227"/>
        <v>0</v>
      </c>
      <c r="V457" s="43">
        <f t="shared" si="227"/>
        <v>0</v>
      </c>
      <c r="X457" s="43">
        <f t="shared" ref="X457:AB466" si="228">IF(X$305&lt;=$G457+$J457,VDB($L457*$F$25,0,$P457,X$305-2022,MIN(X$305-2021,$P457),1),0)</f>
        <v>0</v>
      </c>
      <c r="Y457" s="43">
        <f t="shared" si="228"/>
        <v>0</v>
      </c>
      <c r="Z457" s="43">
        <f t="shared" si="228"/>
        <v>0</v>
      </c>
      <c r="AA457" s="43">
        <f t="shared" si="228"/>
        <v>0</v>
      </c>
      <c r="AB457" s="43">
        <f t="shared" si="228"/>
        <v>0</v>
      </c>
      <c r="AD457" s="43">
        <f t="shared" si="202"/>
        <v>0</v>
      </c>
      <c r="AE457" s="43">
        <f t="shared" si="203"/>
        <v>0</v>
      </c>
      <c r="AF457" s="43">
        <f t="shared" si="204"/>
        <v>0</v>
      </c>
      <c r="AG457" s="43">
        <f t="shared" si="205"/>
        <v>0</v>
      </c>
      <c r="AH457" s="43">
        <f t="shared" si="206"/>
        <v>0</v>
      </c>
      <c r="AJ457" s="43">
        <f t="shared" si="191"/>
        <v>0</v>
      </c>
      <c r="AK457" s="43">
        <f t="shared" si="192"/>
        <v>0</v>
      </c>
      <c r="AL457" s="43">
        <f t="shared" si="193"/>
        <v>0</v>
      </c>
      <c r="AM457" s="43">
        <f t="shared" si="194"/>
        <v>0</v>
      </c>
      <c r="AN457" s="43">
        <f t="shared" si="195"/>
        <v>0</v>
      </c>
    </row>
    <row r="458" spans="2:40">
      <c r="B458" s="37" t="str">
        <f t="shared" si="188"/>
        <v>Asset 152</v>
      </c>
      <c r="F458" s="37" t="str">
        <f t="shared" ref="F458:L458" si="229">F210</f>
        <v>13 Aanhangwagens</v>
      </c>
      <c r="G458" s="37">
        <f t="shared" si="229"/>
        <v>2011</v>
      </c>
      <c r="H458" s="52">
        <f t="shared" si="229"/>
        <v>10931.96</v>
      </c>
      <c r="I458" s="37">
        <f t="shared" si="229"/>
        <v>2021</v>
      </c>
      <c r="J458" s="52">
        <f t="shared" si="229"/>
        <v>10</v>
      </c>
      <c r="K458" s="175">
        <f t="shared" si="229"/>
        <v>1</v>
      </c>
      <c r="L458" s="52">
        <f t="shared" si="229"/>
        <v>0</v>
      </c>
      <c r="N458" s="43">
        <f t="shared" si="201"/>
        <v>0</v>
      </c>
      <c r="P458" s="38">
        <f t="shared" si="190"/>
        <v>0</v>
      </c>
      <c r="R458" s="43">
        <f t="shared" si="227"/>
        <v>0</v>
      </c>
      <c r="S458" s="43">
        <f t="shared" si="227"/>
        <v>0</v>
      </c>
      <c r="T458" s="43">
        <f t="shared" si="227"/>
        <v>0</v>
      </c>
      <c r="U458" s="43">
        <f t="shared" si="227"/>
        <v>0</v>
      </c>
      <c r="V458" s="43">
        <f t="shared" si="227"/>
        <v>0</v>
      </c>
      <c r="X458" s="43">
        <f t="shared" si="228"/>
        <v>0</v>
      </c>
      <c r="Y458" s="43">
        <f t="shared" si="228"/>
        <v>0</v>
      </c>
      <c r="Z458" s="43">
        <f t="shared" si="228"/>
        <v>0</v>
      </c>
      <c r="AA458" s="43">
        <f t="shared" si="228"/>
        <v>0</v>
      </c>
      <c r="AB458" s="43">
        <f t="shared" si="228"/>
        <v>0</v>
      </c>
      <c r="AD458" s="43">
        <f t="shared" si="202"/>
        <v>0</v>
      </c>
      <c r="AE458" s="43">
        <f t="shared" si="203"/>
        <v>0</v>
      </c>
      <c r="AF458" s="43">
        <f t="shared" si="204"/>
        <v>0</v>
      </c>
      <c r="AG458" s="43">
        <f t="shared" si="205"/>
        <v>0</v>
      </c>
      <c r="AH458" s="43">
        <f t="shared" si="206"/>
        <v>0</v>
      </c>
      <c r="AJ458" s="43">
        <f t="shared" si="191"/>
        <v>0</v>
      </c>
      <c r="AK458" s="43">
        <f t="shared" si="192"/>
        <v>0</v>
      </c>
      <c r="AL458" s="43">
        <f t="shared" si="193"/>
        <v>0</v>
      </c>
      <c r="AM458" s="43">
        <f t="shared" si="194"/>
        <v>0</v>
      </c>
      <c r="AN458" s="43">
        <f t="shared" si="195"/>
        <v>0</v>
      </c>
    </row>
    <row r="459" spans="2:40">
      <c r="B459" s="37" t="str">
        <f t="shared" si="188"/>
        <v>Asset 153</v>
      </c>
      <c r="F459" s="37" t="str">
        <f t="shared" ref="F459:L459" si="230">F211</f>
        <v>37 ICT middelen 1 (transparency)</v>
      </c>
      <c r="G459" s="37">
        <f t="shared" si="230"/>
        <v>2012</v>
      </c>
      <c r="H459" s="52">
        <f t="shared" si="230"/>
        <v>817297.73457401327</v>
      </c>
      <c r="I459" s="37">
        <f t="shared" si="230"/>
        <v>2021</v>
      </c>
      <c r="J459" s="52">
        <f t="shared" si="230"/>
        <v>5</v>
      </c>
      <c r="K459" s="175">
        <f t="shared" si="230"/>
        <v>0</v>
      </c>
      <c r="L459" s="52">
        <f t="shared" si="230"/>
        <v>0</v>
      </c>
      <c r="N459" s="43">
        <f t="shared" si="201"/>
        <v>0</v>
      </c>
      <c r="P459" s="38">
        <f t="shared" si="190"/>
        <v>0</v>
      </c>
      <c r="R459" s="43">
        <f t="shared" si="227"/>
        <v>0</v>
      </c>
      <c r="S459" s="43">
        <f t="shared" si="227"/>
        <v>0</v>
      </c>
      <c r="T459" s="43">
        <f t="shared" si="227"/>
        <v>0</v>
      </c>
      <c r="U459" s="43">
        <f t="shared" si="227"/>
        <v>0</v>
      </c>
      <c r="V459" s="43">
        <f t="shared" si="227"/>
        <v>0</v>
      </c>
      <c r="X459" s="43">
        <f t="shared" si="228"/>
        <v>0</v>
      </c>
      <c r="Y459" s="43">
        <f t="shared" si="228"/>
        <v>0</v>
      </c>
      <c r="Z459" s="43">
        <f t="shared" si="228"/>
        <v>0</v>
      </c>
      <c r="AA459" s="43">
        <f t="shared" si="228"/>
        <v>0</v>
      </c>
      <c r="AB459" s="43">
        <f t="shared" si="228"/>
        <v>0</v>
      </c>
      <c r="AD459" s="43">
        <f t="shared" si="202"/>
        <v>0</v>
      </c>
      <c r="AE459" s="43">
        <f t="shared" si="203"/>
        <v>0</v>
      </c>
      <c r="AF459" s="43">
        <f t="shared" si="204"/>
        <v>0</v>
      </c>
      <c r="AG459" s="43">
        <f t="shared" si="205"/>
        <v>0</v>
      </c>
      <c r="AH459" s="43">
        <f t="shared" si="206"/>
        <v>0</v>
      </c>
      <c r="AJ459" s="43">
        <f t="shared" si="191"/>
        <v>0</v>
      </c>
      <c r="AK459" s="43">
        <f t="shared" si="192"/>
        <v>0</v>
      </c>
      <c r="AL459" s="43">
        <f t="shared" si="193"/>
        <v>0</v>
      </c>
      <c r="AM459" s="43">
        <f t="shared" si="194"/>
        <v>0</v>
      </c>
      <c r="AN459" s="43">
        <f t="shared" si="195"/>
        <v>0</v>
      </c>
    </row>
    <row r="460" spans="2:40">
      <c r="B460" s="37" t="str">
        <f t="shared" si="188"/>
        <v>Asset 154</v>
      </c>
      <c r="F460" s="37" t="str">
        <f t="shared" ref="F460:L460" si="231">F212</f>
        <v>11 Werktuigen</v>
      </c>
      <c r="G460" s="37">
        <f t="shared" si="231"/>
        <v>2012</v>
      </c>
      <c r="H460" s="52">
        <f t="shared" si="231"/>
        <v>237528.30775638262</v>
      </c>
      <c r="I460" s="37">
        <f t="shared" si="231"/>
        <v>2021</v>
      </c>
      <c r="J460" s="52">
        <f t="shared" si="231"/>
        <v>10</v>
      </c>
      <c r="K460" s="175">
        <f t="shared" si="231"/>
        <v>1</v>
      </c>
      <c r="L460" s="52">
        <f t="shared" si="231"/>
        <v>13628.978016883706</v>
      </c>
      <c r="N460" s="43">
        <f t="shared" si="201"/>
        <v>13628.978016883706</v>
      </c>
      <c r="P460" s="38">
        <f t="shared" si="190"/>
        <v>0.5</v>
      </c>
      <c r="R460" s="43">
        <f t="shared" si="227"/>
        <v>12266.080215195336</v>
      </c>
      <c r="S460" s="43">
        <f t="shared" si="227"/>
        <v>0</v>
      </c>
      <c r="T460" s="43">
        <f t="shared" si="227"/>
        <v>0</v>
      </c>
      <c r="U460" s="43">
        <f t="shared" si="227"/>
        <v>0</v>
      </c>
      <c r="V460" s="43">
        <f t="shared" si="227"/>
        <v>0</v>
      </c>
      <c r="X460" s="43">
        <f t="shared" si="228"/>
        <v>1362.8978016883707</v>
      </c>
      <c r="Y460" s="43">
        <f t="shared" si="228"/>
        <v>0</v>
      </c>
      <c r="Z460" s="43">
        <f t="shared" si="228"/>
        <v>0</v>
      </c>
      <c r="AA460" s="43">
        <f t="shared" si="228"/>
        <v>0</v>
      </c>
      <c r="AB460" s="43">
        <f t="shared" si="228"/>
        <v>0</v>
      </c>
      <c r="AD460" s="43">
        <f t="shared" si="202"/>
        <v>-4.5474735088646412E-13</v>
      </c>
      <c r="AE460" s="43">
        <f t="shared" si="203"/>
        <v>0</v>
      </c>
      <c r="AF460" s="43">
        <f t="shared" si="204"/>
        <v>0</v>
      </c>
      <c r="AG460" s="43">
        <f t="shared" si="205"/>
        <v>0</v>
      </c>
      <c r="AH460" s="43">
        <f t="shared" si="206"/>
        <v>0</v>
      </c>
      <c r="AJ460" s="43">
        <f t="shared" si="191"/>
        <v>13628.978016883706</v>
      </c>
      <c r="AK460" s="43">
        <f t="shared" si="192"/>
        <v>0</v>
      </c>
      <c r="AL460" s="43">
        <f t="shared" si="193"/>
        <v>0</v>
      </c>
      <c r="AM460" s="43">
        <f t="shared" si="194"/>
        <v>0</v>
      </c>
      <c r="AN460" s="43">
        <f t="shared" si="195"/>
        <v>0</v>
      </c>
    </row>
    <row r="461" spans="2:40">
      <c r="B461" s="37" t="str">
        <f t="shared" si="188"/>
        <v>Asset 155</v>
      </c>
      <c r="F461" s="37" t="str">
        <f t="shared" ref="F461:L461" si="232">F213</f>
        <v>13 Aanhangwagens</v>
      </c>
      <c r="G461" s="37">
        <f t="shared" si="232"/>
        <v>2012</v>
      </c>
      <c r="H461" s="52">
        <f t="shared" si="232"/>
        <v>20000</v>
      </c>
      <c r="I461" s="37">
        <f t="shared" si="232"/>
        <v>2021</v>
      </c>
      <c r="J461" s="52">
        <f t="shared" si="232"/>
        <v>10</v>
      </c>
      <c r="K461" s="175">
        <f t="shared" si="232"/>
        <v>1</v>
      </c>
      <c r="L461" s="52">
        <f t="shared" si="232"/>
        <v>1147.5666328463135</v>
      </c>
      <c r="N461" s="43">
        <f t="shared" si="201"/>
        <v>1147.5666328463135</v>
      </c>
      <c r="P461" s="38">
        <f t="shared" si="190"/>
        <v>0.5</v>
      </c>
      <c r="R461" s="43">
        <f t="shared" si="227"/>
        <v>1032.8099695616822</v>
      </c>
      <c r="S461" s="43">
        <f t="shared" si="227"/>
        <v>0</v>
      </c>
      <c r="T461" s="43">
        <f t="shared" si="227"/>
        <v>0</v>
      </c>
      <c r="U461" s="43">
        <f t="shared" si="227"/>
        <v>0</v>
      </c>
      <c r="V461" s="43">
        <f t="shared" si="227"/>
        <v>0</v>
      </c>
      <c r="X461" s="43">
        <f t="shared" si="228"/>
        <v>114.75666328463136</v>
      </c>
      <c r="Y461" s="43">
        <f t="shared" si="228"/>
        <v>0</v>
      </c>
      <c r="Z461" s="43">
        <f t="shared" si="228"/>
        <v>0</v>
      </c>
      <c r="AA461" s="43">
        <f t="shared" si="228"/>
        <v>0</v>
      </c>
      <c r="AB461" s="43">
        <f t="shared" si="228"/>
        <v>0</v>
      </c>
      <c r="AD461" s="43">
        <f t="shared" si="202"/>
        <v>-9.9475983006414026E-14</v>
      </c>
      <c r="AE461" s="43">
        <f t="shared" si="203"/>
        <v>0</v>
      </c>
      <c r="AF461" s="43">
        <f t="shared" si="204"/>
        <v>0</v>
      </c>
      <c r="AG461" s="43">
        <f t="shared" si="205"/>
        <v>0</v>
      </c>
      <c r="AH461" s="43">
        <f t="shared" si="206"/>
        <v>0</v>
      </c>
      <c r="AJ461" s="43">
        <f t="shared" si="191"/>
        <v>1147.5666328463135</v>
      </c>
      <c r="AK461" s="43">
        <f t="shared" si="192"/>
        <v>0</v>
      </c>
      <c r="AL461" s="43">
        <f t="shared" si="193"/>
        <v>0</v>
      </c>
      <c r="AM461" s="43">
        <f t="shared" si="194"/>
        <v>0</v>
      </c>
      <c r="AN461" s="43">
        <f t="shared" si="195"/>
        <v>0</v>
      </c>
    </row>
    <row r="462" spans="2:40">
      <c r="B462" s="37" t="str">
        <f t="shared" si="188"/>
        <v>Asset 156</v>
      </c>
      <c r="F462" s="37" t="str">
        <f t="shared" ref="F462:L462" si="233">F214</f>
        <v>20 Kantoorgebouwen</v>
      </c>
      <c r="G462" s="37">
        <f t="shared" si="233"/>
        <v>2012</v>
      </c>
      <c r="H462" s="52">
        <f t="shared" si="233"/>
        <v>701380.67501665035</v>
      </c>
      <c r="I462" s="37">
        <f t="shared" si="233"/>
        <v>2021</v>
      </c>
      <c r="J462" s="52">
        <f t="shared" si="233"/>
        <v>30</v>
      </c>
      <c r="K462" s="175">
        <f t="shared" si="233"/>
        <v>0</v>
      </c>
      <c r="L462" s="52">
        <f t="shared" si="233"/>
        <v>550002.05737442558</v>
      </c>
      <c r="N462" s="43">
        <f t="shared" si="201"/>
        <v>550002.05737442558</v>
      </c>
      <c r="P462" s="38">
        <f t="shared" si="190"/>
        <v>20.5</v>
      </c>
      <c r="R462" s="43">
        <f t="shared" si="227"/>
        <v>31390.361323320878</v>
      </c>
      <c r="S462" s="43">
        <f t="shared" si="227"/>
        <v>29399.753044281017</v>
      </c>
      <c r="T462" s="43">
        <f t="shared" si="227"/>
        <v>27535.378460985143</v>
      </c>
      <c r="U462" s="43">
        <f t="shared" si="227"/>
        <v>25789.23250980072</v>
      </c>
      <c r="V462" s="43">
        <f t="shared" si="227"/>
        <v>24153.817765276774</v>
      </c>
      <c r="X462" s="43">
        <f t="shared" si="228"/>
        <v>2682.9368652411008</v>
      </c>
      <c r="Y462" s="43">
        <f t="shared" si="228"/>
        <v>2682.9368652411008</v>
      </c>
      <c r="Z462" s="43">
        <f t="shared" si="228"/>
        <v>2682.9368652411008</v>
      </c>
      <c r="AA462" s="43">
        <f t="shared" si="228"/>
        <v>2682.9368652411008</v>
      </c>
      <c r="AB462" s="43">
        <f t="shared" si="228"/>
        <v>2682.9368652411008</v>
      </c>
      <c r="AD462" s="43">
        <f t="shared" si="202"/>
        <v>515928.7591858636</v>
      </c>
      <c r="AE462" s="43">
        <f t="shared" si="203"/>
        <v>483846.06927634147</v>
      </c>
      <c r="AF462" s="43">
        <f t="shared" si="204"/>
        <v>453627.75395011524</v>
      </c>
      <c r="AG462" s="43">
        <f t="shared" si="205"/>
        <v>425155.58457507344</v>
      </c>
      <c r="AH462" s="43">
        <f t="shared" si="206"/>
        <v>398318.82994455559</v>
      </c>
      <c r="AJ462" s="43">
        <f t="shared" si="191"/>
        <v>51614.876000881341</v>
      </c>
      <c r="AK462" s="43">
        <f t="shared" si="192"/>
        <v>48049.610195641384</v>
      </c>
      <c r="AL462" s="43">
        <f t="shared" si="193"/>
        <v>47456.169976330624</v>
      </c>
      <c r="AM462" s="43">
        <f t="shared" si="194"/>
        <v>44628.081588894609</v>
      </c>
      <c r="AN462" s="43">
        <f t="shared" si="195"/>
        <v>41972.870168410984</v>
      </c>
    </row>
    <row r="463" spans="2:40">
      <c r="B463" s="37" t="str">
        <f t="shared" si="188"/>
        <v>Asset 157</v>
      </c>
      <c r="F463" s="37" t="str">
        <f t="shared" ref="F463:L463" si="234">F215</f>
        <v>10 Gereedschap</v>
      </c>
      <c r="G463" s="37">
        <f t="shared" si="234"/>
        <v>2012</v>
      </c>
      <c r="H463" s="52">
        <f t="shared" si="234"/>
        <v>102288.01000000001</v>
      </c>
      <c r="I463" s="37">
        <f t="shared" si="234"/>
        <v>2021</v>
      </c>
      <c r="J463" s="52">
        <f t="shared" si="234"/>
        <v>10</v>
      </c>
      <c r="K463" s="175">
        <f t="shared" si="234"/>
        <v>1</v>
      </c>
      <c r="L463" s="52">
        <f t="shared" si="234"/>
        <v>5869.1153608124732</v>
      </c>
      <c r="N463" s="43">
        <f t="shared" si="201"/>
        <v>5869.1153608124732</v>
      </c>
      <c r="P463" s="38">
        <f t="shared" si="190"/>
        <v>0.5</v>
      </c>
      <c r="R463" s="43">
        <f t="shared" si="227"/>
        <v>5282.2038247312257</v>
      </c>
      <c r="S463" s="43">
        <f t="shared" si="227"/>
        <v>0</v>
      </c>
      <c r="T463" s="43">
        <f t="shared" si="227"/>
        <v>0</v>
      </c>
      <c r="U463" s="43">
        <f t="shared" si="227"/>
        <v>0</v>
      </c>
      <c r="V463" s="43">
        <f t="shared" si="227"/>
        <v>0</v>
      </c>
      <c r="X463" s="43">
        <f t="shared" si="228"/>
        <v>586.91153608124739</v>
      </c>
      <c r="Y463" s="43">
        <f t="shared" si="228"/>
        <v>0</v>
      </c>
      <c r="Z463" s="43">
        <f t="shared" si="228"/>
        <v>0</v>
      </c>
      <c r="AA463" s="43">
        <f t="shared" si="228"/>
        <v>0</v>
      </c>
      <c r="AB463" s="43">
        <f t="shared" si="228"/>
        <v>0</v>
      </c>
      <c r="AD463" s="43">
        <f t="shared" si="202"/>
        <v>1.1368683772161603E-13</v>
      </c>
      <c r="AE463" s="43">
        <f t="shared" si="203"/>
        <v>0</v>
      </c>
      <c r="AF463" s="43">
        <f t="shared" si="204"/>
        <v>0</v>
      </c>
      <c r="AG463" s="43">
        <f t="shared" si="205"/>
        <v>0</v>
      </c>
      <c r="AH463" s="43">
        <f t="shared" si="206"/>
        <v>0</v>
      </c>
      <c r="AJ463" s="43">
        <f t="shared" si="191"/>
        <v>5869.1153608124732</v>
      </c>
      <c r="AK463" s="43">
        <f t="shared" si="192"/>
        <v>0</v>
      </c>
      <c r="AL463" s="43">
        <f t="shared" si="193"/>
        <v>0</v>
      </c>
      <c r="AM463" s="43">
        <f t="shared" si="194"/>
        <v>0</v>
      </c>
      <c r="AN463" s="43">
        <f t="shared" si="195"/>
        <v>0</v>
      </c>
    </row>
    <row r="464" spans="2:40">
      <c r="B464" s="37" t="str">
        <f t="shared" si="188"/>
        <v>Asset 158</v>
      </c>
      <c r="F464" s="37" t="str">
        <f t="shared" ref="F464:L464" si="235">F216</f>
        <v>09 Bedrijfsinventaris</v>
      </c>
      <c r="G464" s="37">
        <f t="shared" si="235"/>
        <v>2012</v>
      </c>
      <c r="H464" s="52">
        <f t="shared" si="235"/>
        <v>321753.96830222307</v>
      </c>
      <c r="I464" s="37">
        <f t="shared" si="235"/>
        <v>2021</v>
      </c>
      <c r="J464" s="52">
        <f t="shared" si="235"/>
        <v>10</v>
      </c>
      <c r="K464" s="175">
        <f t="shared" si="235"/>
        <v>1</v>
      </c>
      <c r="L464" s="52">
        <f t="shared" si="235"/>
        <v>18461.705900476001</v>
      </c>
      <c r="N464" s="43">
        <f t="shared" si="201"/>
        <v>18461.705900476001</v>
      </c>
      <c r="P464" s="38">
        <f t="shared" si="190"/>
        <v>0.5</v>
      </c>
      <c r="R464" s="43">
        <f t="shared" si="227"/>
        <v>16615.5353104284</v>
      </c>
      <c r="S464" s="43">
        <f t="shared" si="227"/>
        <v>0</v>
      </c>
      <c r="T464" s="43">
        <f t="shared" si="227"/>
        <v>0</v>
      </c>
      <c r="U464" s="43">
        <f t="shared" si="227"/>
        <v>0</v>
      </c>
      <c r="V464" s="43">
        <f t="shared" si="227"/>
        <v>0</v>
      </c>
      <c r="X464" s="43">
        <f t="shared" si="228"/>
        <v>1846.1705900476002</v>
      </c>
      <c r="Y464" s="43">
        <f t="shared" si="228"/>
        <v>0</v>
      </c>
      <c r="Z464" s="43">
        <f t="shared" si="228"/>
        <v>0</v>
      </c>
      <c r="AA464" s="43">
        <f t="shared" si="228"/>
        <v>0</v>
      </c>
      <c r="AB464" s="43">
        <f t="shared" si="228"/>
        <v>0</v>
      </c>
      <c r="AD464" s="43">
        <f t="shared" si="202"/>
        <v>6.8212102632969618E-13</v>
      </c>
      <c r="AE464" s="43">
        <f t="shared" si="203"/>
        <v>0</v>
      </c>
      <c r="AF464" s="43">
        <f t="shared" si="204"/>
        <v>0</v>
      </c>
      <c r="AG464" s="43">
        <f t="shared" si="205"/>
        <v>0</v>
      </c>
      <c r="AH464" s="43">
        <f t="shared" si="206"/>
        <v>0</v>
      </c>
      <c r="AJ464" s="43">
        <f t="shared" si="191"/>
        <v>18461.705900476001</v>
      </c>
      <c r="AK464" s="43">
        <f t="shared" si="192"/>
        <v>0</v>
      </c>
      <c r="AL464" s="43">
        <f t="shared" si="193"/>
        <v>0</v>
      </c>
      <c r="AM464" s="43">
        <f t="shared" si="194"/>
        <v>0</v>
      </c>
      <c r="AN464" s="43">
        <f t="shared" si="195"/>
        <v>0</v>
      </c>
    </row>
    <row r="465" spans="2:40">
      <c r="B465" s="37" t="str">
        <f t="shared" si="188"/>
        <v>Asset 159</v>
      </c>
      <c r="F465" s="37" t="str">
        <f t="shared" ref="F465:L465" si="236">F217</f>
        <v>14 Overig rollend materieel</v>
      </c>
      <c r="G465" s="37">
        <f t="shared" si="236"/>
        <v>2012</v>
      </c>
      <c r="H465" s="52">
        <f t="shared" si="236"/>
        <v>341738.83030935976</v>
      </c>
      <c r="I465" s="37">
        <f t="shared" si="236"/>
        <v>2021</v>
      </c>
      <c r="J465" s="52">
        <f t="shared" si="236"/>
        <v>10</v>
      </c>
      <c r="K465" s="175">
        <f t="shared" si="236"/>
        <v>1</v>
      </c>
      <c r="L465" s="52">
        <f t="shared" si="236"/>
        <v>19608.403940547396</v>
      </c>
      <c r="N465" s="43">
        <f t="shared" si="201"/>
        <v>19608.403940547396</v>
      </c>
      <c r="P465" s="38">
        <f t="shared" si="190"/>
        <v>0.5</v>
      </c>
      <c r="R465" s="43">
        <f t="shared" si="227"/>
        <v>17647.563546492656</v>
      </c>
      <c r="S465" s="43">
        <f t="shared" si="227"/>
        <v>0</v>
      </c>
      <c r="T465" s="43">
        <f t="shared" si="227"/>
        <v>0</v>
      </c>
      <c r="U465" s="43">
        <f t="shared" si="227"/>
        <v>0</v>
      </c>
      <c r="V465" s="43">
        <f t="shared" si="227"/>
        <v>0</v>
      </c>
      <c r="X465" s="43">
        <f t="shared" si="228"/>
        <v>1960.8403940547396</v>
      </c>
      <c r="Y465" s="43">
        <f t="shared" si="228"/>
        <v>0</v>
      </c>
      <c r="Z465" s="43">
        <f t="shared" si="228"/>
        <v>0</v>
      </c>
      <c r="AA465" s="43">
        <f t="shared" si="228"/>
        <v>0</v>
      </c>
      <c r="AB465" s="43">
        <f t="shared" si="228"/>
        <v>0</v>
      </c>
      <c r="AD465" s="43">
        <f t="shared" si="202"/>
        <v>0</v>
      </c>
      <c r="AE465" s="43">
        <f t="shared" si="203"/>
        <v>0</v>
      </c>
      <c r="AF465" s="43">
        <f t="shared" si="204"/>
        <v>0</v>
      </c>
      <c r="AG465" s="43">
        <f t="shared" si="205"/>
        <v>0</v>
      </c>
      <c r="AH465" s="43">
        <f t="shared" si="206"/>
        <v>0</v>
      </c>
      <c r="AJ465" s="43">
        <f t="shared" si="191"/>
        <v>19608.403940547396</v>
      </c>
      <c r="AK465" s="43">
        <f t="shared" si="192"/>
        <v>0</v>
      </c>
      <c r="AL465" s="43">
        <f t="shared" si="193"/>
        <v>0</v>
      </c>
      <c r="AM465" s="43">
        <f t="shared" si="194"/>
        <v>0</v>
      </c>
      <c r="AN465" s="43">
        <f t="shared" si="195"/>
        <v>0</v>
      </c>
    </row>
    <row r="466" spans="2:40">
      <c r="B466" s="37" t="str">
        <f t="shared" si="188"/>
        <v>Asset 160</v>
      </c>
      <c r="F466" s="37" t="str">
        <f t="shared" ref="F466:L466" si="237">F218</f>
        <v>08 Inrichting gebouwen</v>
      </c>
      <c r="G466" s="37">
        <f t="shared" si="237"/>
        <v>2012</v>
      </c>
      <c r="H466" s="52">
        <f t="shared" si="237"/>
        <v>737114.28212566266</v>
      </c>
      <c r="I466" s="37">
        <f t="shared" si="237"/>
        <v>2021</v>
      </c>
      <c r="J466" s="52">
        <f t="shared" si="237"/>
        <v>10</v>
      </c>
      <c r="K466" s="175">
        <f t="shared" si="237"/>
        <v>0</v>
      </c>
      <c r="L466" s="52">
        <f t="shared" si="237"/>
        <v>42294.387738093574</v>
      </c>
      <c r="N466" s="43">
        <f t="shared" si="201"/>
        <v>42294.387738093574</v>
      </c>
      <c r="P466" s="38">
        <f t="shared" si="190"/>
        <v>0.5</v>
      </c>
      <c r="R466" s="43">
        <f t="shared" si="227"/>
        <v>38064.948964284216</v>
      </c>
      <c r="S466" s="43">
        <f t="shared" si="227"/>
        <v>0</v>
      </c>
      <c r="T466" s="43">
        <f t="shared" si="227"/>
        <v>0</v>
      </c>
      <c r="U466" s="43">
        <f t="shared" si="227"/>
        <v>0</v>
      </c>
      <c r="V466" s="43">
        <f t="shared" si="227"/>
        <v>0</v>
      </c>
      <c r="X466" s="43">
        <f t="shared" si="228"/>
        <v>4229.4387738093574</v>
      </c>
      <c r="Y466" s="43">
        <f t="shared" si="228"/>
        <v>0</v>
      </c>
      <c r="Z466" s="43">
        <f t="shared" si="228"/>
        <v>0</v>
      </c>
      <c r="AA466" s="43">
        <f t="shared" si="228"/>
        <v>0</v>
      </c>
      <c r="AB466" s="43">
        <f t="shared" si="228"/>
        <v>0</v>
      </c>
      <c r="AD466" s="43">
        <f t="shared" si="202"/>
        <v>0</v>
      </c>
      <c r="AE466" s="43">
        <f t="shared" si="203"/>
        <v>0</v>
      </c>
      <c r="AF466" s="43">
        <f t="shared" si="204"/>
        <v>0</v>
      </c>
      <c r="AG466" s="43">
        <f t="shared" si="205"/>
        <v>0</v>
      </c>
      <c r="AH466" s="43">
        <f t="shared" si="206"/>
        <v>0</v>
      </c>
      <c r="AJ466" s="43">
        <f t="shared" si="191"/>
        <v>42294.387738093574</v>
      </c>
      <c r="AK466" s="43">
        <f t="shared" si="192"/>
        <v>0</v>
      </c>
      <c r="AL466" s="43">
        <f t="shared" si="193"/>
        <v>0</v>
      </c>
      <c r="AM466" s="43">
        <f t="shared" si="194"/>
        <v>0</v>
      </c>
      <c r="AN466" s="43">
        <f t="shared" si="195"/>
        <v>0</v>
      </c>
    </row>
    <row r="467" spans="2:40">
      <c r="B467" s="37" t="str">
        <f t="shared" si="188"/>
        <v>Asset 161</v>
      </c>
      <c r="F467" s="37" t="str">
        <f t="shared" ref="F467:L467" si="238">F219</f>
        <v>11 Werktuigen</v>
      </c>
      <c r="G467" s="37">
        <f t="shared" si="238"/>
        <v>2013</v>
      </c>
      <c r="H467" s="52">
        <f t="shared" si="238"/>
        <v>5005059.40396435</v>
      </c>
      <c r="I467" s="37">
        <f t="shared" si="238"/>
        <v>2021</v>
      </c>
      <c r="J467" s="52">
        <f t="shared" si="238"/>
        <v>10</v>
      </c>
      <c r="K467" s="175">
        <f t="shared" si="238"/>
        <v>1</v>
      </c>
      <c r="L467" s="52">
        <f t="shared" si="238"/>
        <v>842175.83099752699</v>
      </c>
      <c r="N467" s="43">
        <f t="shared" si="201"/>
        <v>842175.83099752699</v>
      </c>
      <c r="P467" s="38">
        <f t="shared" si="190"/>
        <v>1.5</v>
      </c>
      <c r="R467" s="43">
        <f t="shared" ref="R467:V476" si="239">IF(R$305&lt;=$G467+$J467,VDB($L467*(1-$F$25),0,$P467,R$305-2022,MIN(R$305-2021,$P467),$F$22),0)</f>
        <v>656897.14817807113</v>
      </c>
      <c r="S467" s="43">
        <f t="shared" si="239"/>
        <v>101061.0997197032</v>
      </c>
      <c r="T467" s="43">
        <f t="shared" si="239"/>
        <v>0</v>
      </c>
      <c r="U467" s="43">
        <f t="shared" si="239"/>
        <v>0</v>
      </c>
      <c r="V467" s="43">
        <f t="shared" si="239"/>
        <v>0</v>
      </c>
      <c r="X467" s="43">
        <f t="shared" ref="X467:AB476" si="240">IF(X$305&lt;=$G467+$J467,VDB($L467*$F$25,0,$P467,X$305-2022,MIN(X$305-2021,$P467),1),0)</f>
        <v>56145.055399835139</v>
      </c>
      <c r="Y467" s="43">
        <f t="shared" si="240"/>
        <v>28072.527699917569</v>
      </c>
      <c r="Z467" s="43">
        <f t="shared" si="240"/>
        <v>0</v>
      </c>
      <c r="AA467" s="43">
        <f t="shared" si="240"/>
        <v>0</v>
      </c>
      <c r="AB467" s="43">
        <f t="shared" si="240"/>
        <v>0</v>
      </c>
      <c r="AD467" s="43">
        <f t="shared" si="202"/>
        <v>129133.62741962072</v>
      </c>
      <c r="AE467" s="43">
        <f t="shared" si="203"/>
        <v>-4.3655745685100555E-11</v>
      </c>
      <c r="AF467" s="43">
        <f t="shared" si="204"/>
        <v>0</v>
      </c>
      <c r="AG467" s="43">
        <f t="shared" si="205"/>
        <v>0</v>
      </c>
      <c r="AH467" s="43">
        <f t="shared" si="206"/>
        <v>0</v>
      </c>
      <c r="AJ467" s="43">
        <f t="shared" si="191"/>
        <v>717432.74691017333</v>
      </c>
      <c r="AK467" s="43">
        <f t="shared" si="192"/>
        <v>129133.62741962077</v>
      </c>
      <c r="AL467" s="43">
        <f t="shared" si="193"/>
        <v>0</v>
      </c>
      <c r="AM467" s="43">
        <f t="shared" si="194"/>
        <v>0</v>
      </c>
      <c r="AN467" s="43">
        <f t="shared" si="195"/>
        <v>0</v>
      </c>
    </row>
    <row r="468" spans="2:40">
      <c r="B468" s="37" t="str">
        <f t="shared" si="188"/>
        <v>Asset 162</v>
      </c>
      <c r="F468" s="37" t="str">
        <f t="shared" ref="F468:L468" si="241">F220</f>
        <v>20 Kantoorgebouwen</v>
      </c>
      <c r="G468" s="37">
        <f t="shared" si="241"/>
        <v>2013</v>
      </c>
      <c r="H468" s="52">
        <f t="shared" si="241"/>
        <v>1237826.9064472313</v>
      </c>
      <c r="I468" s="37">
        <f t="shared" si="241"/>
        <v>2021</v>
      </c>
      <c r="J468" s="52">
        <f t="shared" si="241"/>
        <v>30</v>
      </c>
      <c r="K468" s="175">
        <f t="shared" si="241"/>
        <v>0</v>
      </c>
      <c r="L468" s="52">
        <f t="shared" si="241"/>
        <v>995129.04477620148</v>
      </c>
      <c r="N468" s="43">
        <f t="shared" si="201"/>
        <v>995129.04477620148</v>
      </c>
      <c r="P468" s="38">
        <f t="shared" si="190"/>
        <v>21.5</v>
      </c>
      <c r="R468" s="43">
        <f t="shared" si="239"/>
        <v>54153.534064565385</v>
      </c>
      <c r="S468" s="43">
        <f t="shared" si="239"/>
        <v>50879.134330428868</v>
      </c>
      <c r="T468" s="43">
        <f t="shared" si="239"/>
        <v>47802.721556961071</v>
      </c>
      <c r="U468" s="43">
        <f t="shared" si="239"/>
        <v>44912.324439563425</v>
      </c>
      <c r="V468" s="43">
        <f t="shared" si="239"/>
        <v>42196.695519961919</v>
      </c>
      <c r="X468" s="43">
        <f t="shared" si="240"/>
        <v>4628.5071850055883</v>
      </c>
      <c r="Y468" s="43">
        <f t="shared" si="240"/>
        <v>4628.5071850055883</v>
      </c>
      <c r="Z468" s="43">
        <f t="shared" si="240"/>
        <v>4628.5071850055883</v>
      </c>
      <c r="AA468" s="43">
        <f t="shared" si="240"/>
        <v>4628.5071850055883</v>
      </c>
      <c r="AB468" s="43">
        <f t="shared" si="240"/>
        <v>4628.5071850055883</v>
      </c>
      <c r="AD468" s="43">
        <f t="shared" si="202"/>
        <v>936347.00352663046</v>
      </c>
      <c r="AE468" s="43">
        <f t="shared" si="203"/>
        <v>880839.36201119598</v>
      </c>
      <c r="AF468" s="43">
        <f t="shared" si="204"/>
        <v>828408.13326922932</v>
      </c>
      <c r="AG468" s="43">
        <f t="shared" si="205"/>
        <v>778867.3016446603</v>
      </c>
      <c r="AH468" s="43">
        <f t="shared" si="206"/>
        <v>732042.09893969283</v>
      </c>
      <c r="AJ468" s="43">
        <f t="shared" si="191"/>
        <v>90617.839369476409</v>
      </c>
      <c r="AK468" s="43">
        <f t="shared" si="192"/>
        <v>84575.34046180392</v>
      </c>
      <c r="AL468" s="43">
        <f t="shared" si="193"/>
        <v>83910.737806197372</v>
      </c>
      <c r="AM468" s="43">
        <f t="shared" si="194"/>
        <v>79137.789087066107</v>
      </c>
      <c r="AN468" s="43">
        <f t="shared" si="195"/>
        <v>74642.802464675828</v>
      </c>
    </row>
    <row r="469" spans="2:40">
      <c r="B469" s="37" t="str">
        <f t="shared" si="188"/>
        <v>Asset 163</v>
      </c>
      <c r="F469" s="37" t="str">
        <f t="shared" ref="F469:L469" si="242">F221</f>
        <v>09 Bedrijfsinventaris</v>
      </c>
      <c r="G469" s="37">
        <f t="shared" si="242"/>
        <v>2013</v>
      </c>
      <c r="H469" s="52">
        <f t="shared" si="242"/>
        <v>292655.61609467439</v>
      </c>
      <c r="I469" s="37">
        <f t="shared" si="242"/>
        <v>2021</v>
      </c>
      <c r="J469" s="52">
        <f t="shared" si="242"/>
        <v>10</v>
      </c>
      <c r="K469" s="175">
        <f t="shared" si="242"/>
        <v>1</v>
      </c>
      <c r="L469" s="52">
        <f t="shared" si="242"/>
        <v>49243.668613684422</v>
      </c>
      <c r="N469" s="43">
        <f t="shared" si="201"/>
        <v>49243.668613684422</v>
      </c>
      <c r="P469" s="38">
        <f t="shared" si="190"/>
        <v>1.5</v>
      </c>
      <c r="R469" s="43">
        <f t="shared" si="239"/>
        <v>38410.061518673851</v>
      </c>
      <c r="S469" s="43">
        <f t="shared" si="239"/>
        <v>5909.2402336421292</v>
      </c>
      <c r="T469" s="43">
        <f t="shared" si="239"/>
        <v>0</v>
      </c>
      <c r="U469" s="43">
        <f t="shared" si="239"/>
        <v>0</v>
      </c>
      <c r="V469" s="43">
        <f t="shared" si="239"/>
        <v>0</v>
      </c>
      <c r="X469" s="43">
        <f t="shared" si="240"/>
        <v>3282.9112409122949</v>
      </c>
      <c r="Y469" s="43">
        <f t="shared" si="240"/>
        <v>1641.4556204561475</v>
      </c>
      <c r="Z469" s="43">
        <f t="shared" si="240"/>
        <v>0</v>
      </c>
      <c r="AA469" s="43">
        <f t="shared" si="240"/>
        <v>0</v>
      </c>
      <c r="AB469" s="43">
        <f t="shared" si="240"/>
        <v>0</v>
      </c>
      <c r="AD469" s="43">
        <f t="shared" si="202"/>
        <v>7550.695854098276</v>
      </c>
      <c r="AE469" s="43">
        <f t="shared" si="203"/>
        <v>-6.8212102632969618E-13</v>
      </c>
      <c r="AF469" s="43">
        <f t="shared" si="204"/>
        <v>0</v>
      </c>
      <c r="AG469" s="43">
        <f t="shared" si="205"/>
        <v>0</v>
      </c>
      <c r="AH469" s="43">
        <f t="shared" si="206"/>
        <v>0</v>
      </c>
      <c r="AJ469" s="43">
        <f t="shared" si="191"/>
        <v>41949.696418625492</v>
      </c>
      <c r="AK469" s="43">
        <f t="shared" si="192"/>
        <v>7550.6958540982769</v>
      </c>
      <c r="AL469" s="43">
        <f t="shared" si="193"/>
        <v>0</v>
      </c>
      <c r="AM469" s="43">
        <f t="shared" si="194"/>
        <v>0</v>
      </c>
      <c r="AN469" s="43">
        <f t="shared" si="195"/>
        <v>0</v>
      </c>
    </row>
    <row r="470" spans="2:40">
      <c r="B470" s="37" t="str">
        <f t="shared" si="188"/>
        <v>Asset 164</v>
      </c>
      <c r="F470" s="37" t="str">
        <f t="shared" ref="F470:L470" si="243">F222</f>
        <v>20 Kantoorgebouwen</v>
      </c>
      <c r="G470" s="37">
        <f t="shared" si="243"/>
        <v>2014</v>
      </c>
      <c r="H470" s="52">
        <f t="shared" si="243"/>
        <v>4973944.9463818558</v>
      </c>
      <c r="I470" s="37">
        <f t="shared" si="243"/>
        <v>2021</v>
      </c>
      <c r="J470" s="52">
        <f t="shared" si="243"/>
        <v>30</v>
      </c>
      <c r="K470" s="175">
        <f t="shared" si="243"/>
        <v>0</v>
      </c>
      <c r="L470" s="52">
        <f t="shared" si="243"/>
        <v>4070721.5945336674</v>
      </c>
      <c r="N470" s="43">
        <f t="shared" si="201"/>
        <v>4070721.5945336674</v>
      </c>
      <c r="P470" s="38">
        <f t="shared" si="190"/>
        <v>22.5</v>
      </c>
      <c r="R470" s="43">
        <f t="shared" si="239"/>
        <v>211677.52291575071</v>
      </c>
      <c r="S470" s="43">
        <f t="shared" si="239"/>
        <v>199447.266036174</v>
      </c>
      <c r="T470" s="43">
        <f t="shared" si="239"/>
        <v>187923.64622075064</v>
      </c>
      <c r="U470" s="43">
        <f t="shared" si="239"/>
        <v>177065.83555021835</v>
      </c>
      <c r="V470" s="43">
        <f t="shared" si="239"/>
        <v>166835.3650517613</v>
      </c>
      <c r="X470" s="43">
        <f t="shared" si="240"/>
        <v>18092.09597570519</v>
      </c>
      <c r="Y470" s="43">
        <f t="shared" si="240"/>
        <v>18092.09597570519</v>
      </c>
      <c r="Z470" s="43">
        <f t="shared" si="240"/>
        <v>18092.09597570519</v>
      </c>
      <c r="AA470" s="43">
        <f t="shared" si="240"/>
        <v>18092.09597570519</v>
      </c>
      <c r="AB470" s="43">
        <f t="shared" si="240"/>
        <v>18092.09597570519</v>
      </c>
      <c r="AD470" s="43">
        <f t="shared" si="202"/>
        <v>3840951.9756422117</v>
      </c>
      <c r="AE470" s="43">
        <f t="shared" si="203"/>
        <v>3623412.613630333</v>
      </c>
      <c r="AF470" s="43">
        <f t="shared" si="204"/>
        <v>3417396.8714338774</v>
      </c>
      <c r="AG470" s="43">
        <f t="shared" si="205"/>
        <v>3222238.9399079541</v>
      </c>
      <c r="AH470" s="43">
        <f t="shared" si="206"/>
        <v>3037311.4788804874</v>
      </c>
      <c r="AJ470" s="43">
        <f t="shared" si="191"/>
        <v>360361.98606329109</v>
      </c>
      <c r="AK470" s="43">
        <f t="shared" si="192"/>
        <v>337111.97826168017</v>
      </c>
      <c r="AL470" s="43">
        <f t="shared" si="193"/>
        <v>335876.8233109432</v>
      </c>
      <c r="AM470" s="43">
        <f t="shared" si="194"/>
        <v>317603.01124242577</v>
      </c>
      <c r="AN470" s="43">
        <f t="shared" si="195"/>
        <v>300345.29722492502</v>
      </c>
    </row>
    <row r="471" spans="2:40">
      <c r="B471" s="37" t="str">
        <f t="shared" si="188"/>
        <v>Asset 165</v>
      </c>
      <c r="F471" s="37" t="str">
        <f t="shared" ref="F471:L471" si="244">F223</f>
        <v>09 Bedrijfsinventaris</v>
      </c>
      <c r="G471" s="37">
        <f t="shared" si="244"/>
        <v>2014</v>
      </c>
      <c r="H471" s="52">
        <f t="shared" si="244"/>
        <v>332895.6529706032</v>
      </c>
      <c r="I471" s="37">
        <f t="shared" si="244"/>
        <v>2021</v>
      </c>
      <c r="J471" s="52">
        <f t="shared" si="244"/>
        <v>10</v>
      </c>
      <c r="K471" s="175">
        <f t="shared" si="244"/>
        <v>1</v>
      </c>
      <c r="L471" s="52">
        <f t="shared" si="244"/>
        <v>90814.939173486709</v>
      </c>
      <c r="N471" s="43">
        <f t="shared" si="201"/>
        <v>90814.939173486709</v>
      </c>
      <c r="P471" s="38">
        <f t="shared" si="190"/>
        <v>2.5</v>
      </c>
      <c r="R471" s="43">
        <f t="shared" si="239"/>
        <v>42501.391533191789</v>
      </c>
      <c r="S471" s="43">
        <f t="shared" si="239"/>
        <v>26154.70248196417</v>
      </c>
      <c r="T471" s="43">
        <f t="shared" si="239"/>
        <v>13077.351240982085</v>
      </c>
      <c r="U471" s="43">
        <f t="shared" si="239"/>
        <v>0</v>
      </c>
      <c r="V471" s="43">
        <f t="shared" si="239"/>
        <v>0</v>
      </c>
      <c r="X471" s="43">
        <f t="shared" si="240"/>
        <v>3632.5975669394684</v>
      </c>
      <c r="Y471" s="43">
        <f t="shared" si="240"/>
        <v>3632.5975669394684</v>
      </c>
      <c r="Z471" s="43">
        <f t="shared" si="240"/>
        <v>1816.2987834697342</v>
      </c>
      <c r="AA471" s="43">
        <f t="shared" si="240"/>
        <v>0</v>
      </c>
      <c r="AB471" s="43">
        <f t="shared" si="240"/>
        <v>0</v>
      </c>
      <c r="AD471" s="43">
        <f t="shared" si="202"/>
        <v>44680.950073355452</v>
      </c>
      <c r="AE471" s="43">
        <f t="shared" si="203"/>
        <v>14893.650024451814</v>
      </c>
      <c r="AF471" s="43">
        <f t="shared" si="204"/>
        <v>-5.4569682106375694E-12</v>
      </c>
      <c r="AG471" s="43">
        <f t="shared" si="205"/>
        <v>0</v>
      </c>
      <c r="AH471" s="43">
        <f t="shared" si="206"/>
        <v>0</v>
      </c>
      <c r="AJ471" s="43">
        <f t="shared" si="191"/>
        <v>47653.141402625341</v>
      </c>
      <c r="AK471" s="43">
        <f t="shared" si="192"/>
        <v>30278.790499710547</v>
      </c>
      <c r="AL471" s="43">
        <f t="shared" si="193"/>
        <v>14893.650024451819</v>
      </c>
      <c r="AM471" s="43">
        <f t="shared" si="194"/>
        <v>0</v>
      </c>
      <c r="AN471" s="43">
        <f t="shared" si="195"/>
        <v>0</v>
      </c>
    </row>
    <row r="472" spans="2:40">
      <c r="B472" s="37" t="str">
        <f t="shared" si="188"/>
        <v>Asset 166</v>
      </c>
      <c r="F472" s="37" t="str">
        <f t="shared" ref="F472:L472" si="245">F224</f>
        <v>10 Gereedschap</v>
      </c>
      <c r="G472" s="37">
        <f t="shared" si="245"/>
        <v>2014</v>
      </c>
      <c r="H472" s="52">
        <f t="shared" si="245"/>
        <v>294123.8734031191</v>
      </c>
      <c r="I472" s="37">
        <f t="shared" si="245"/>
        <v>2021</v>
      </c>
      <c r="J472" s="52">
        <f t="shared" si="245"/>
        <v>10</v>
      </c>
      <c r="K472" s="175">
        <f t="shared" si="245"/>
        <v>1</v>
      </c>
      <c r="L472" s="52">
        <f t="shared" si="245"/>
        <v>80237.880651848885</v>
      </c>
      <c r="N472" s="43">
        <f t="shared" si="201"/>
        <v>80237.880651848885</v>
      </c>
      <c r="P472" s="38">
        <f t="shared" si="190"/>
        <v>2.5</v>
      </c>
      <c r="R472" s="43">
        <f t="shared" si="239"/>
        <v>37551.328145065279</v>
      </c>
      <c r="S472" s="43">
        <f t="shared" si="239"/>
        <v>23108.509627732481</v>
      </c>
      <c r="T472" s="43">
        <f t="shared" si="239"/>
        <v>11554.254813866241</v>
      </c>
      <c r="U472" s="43">
        <f t="shared" si="239"/>
        <v>0</v>
      </c>
      <c r="V472" s="43">
        <f t="shared" si="239"/>
        <v>0</v>
      </c>
      <c r="X472" s="43">
        <f t="shared" si="240"/>
        <v>3209.515226073956</v>
      </c>
      <c r="Y472" s="43">
        <f t="shared" si="240"/>
        <v>3209.5152260739555</v>
      </c>
      <c r="Z472" s="43">
        <f t="shared" si="240"/>
        <v>1604.7576130369778</v>
      </c>
      <c r="AA472" s="43">
        <f t="shared" si="240"/>
        <v>0</v>
      </c>
      <c r="AB472" s="43">
        <f t="shared" si="240"/>
        <v>0</v>
      </c>
      <c r="AD472" s="43">
        <f t="shared" si="202"/>
        <v>39477.03728070965</v>
      </c>
      <c r="AE472" s="43">
        <f t="shared" si="203"/>
        <v>13159.012426903213</v>
      </c>
      <c r="AF472" s="43">
        <f t="shared" si="204"/>
        <v>-5.2295945351943374E-12</v>
      </c>
      <c r="AG472" s="43">
        <f t="shared" si="205"/>
        <v>0</v>
      </c>
      <c r="AH472" s="43">
        <f t="shared" si="206"/>
        <v>0</v>
      </c>
      <c r="AJ472" s="43">
        <f t="shared" si="191"/>
        <v>42103.062638683361</v>
      </c>
      <c r="AK472" s="43">
        <f t="shared" si="192"/>
        <v>26752.272263894243</v>
      </c>
      <c r="AL472" s="43">
        <f t="shared" si="193"/>
        <v>13159.012426903219</v>
      </c>
      <c r="AM472" s="43">
        <f t="shared" si="194"/>
        <v>0</v>
      </c>
      <c r="AN472" s="43">
        <f t="shared" si="195"/>
        <v>0</v>
      </c>
    </row>
    <row r="473" spans="2:40">
      <c r="B473" s="37" t="str">
        <f t="shared" si="188"/>
        <v>Asset 167</v>
      </c>
      <c r="F473" s="37" t="str">
        <f t="shared" ref="F473:L473" si="246">F225</f>
        <v>13 Aanhangwagens</v>
      </c>
      <c r="G473" s="37">
        <f t="shared" si="246"/>
        <v>2014</v>
      </c>
      <c r="H473" s="52">
        <f t="shared" si="246"/>
        <v>24919.261718386999</v>
      </c>
      <c r="I473" s="37">
        <f t="shared" si="246"/>
        <v>2021</v>
      </c>
      <c r="J473" s="52">
        <f t="shared" si="246"/>
        <v>10</v>
      </c>
      <c r="K473" s="175">
        <f t="shared" si="246"/>
        <v>1</v>
      </c>
      <c r="L473" s="52">
        <f t="shared" si="246"/>
        <v>6798.0498303573586</v>
      </c>
      <c r="N473" s="43">
        <f t="shared" si="201"/>
        <v>6798.0498303573586</v>
      </c>
      <c r="P473" s="38">
        <f t="shared" si="190"/>
        <v>2.5</v>
      </c>
      <c r="R473" s="43">
        <f t="shared" si="239"/>
        <v>3181.4873206072439</v>
      </c>
      <c r="S473" s="43">
        <f t="shared" si="239"/>
        <v>1957.8383511429192</v>
      </c>
      <c r="T473" s="43">
        <f t="shared" si="239"/>
        <v>978.91917557145962</v>
      </c>
      <c r="U473" s="43">
        <f t="shared" si="239"/>
        <v>0</v>
      </c>
      <c r="V473" s="43">
        <f t="shared" si="239"/>
        <v>0</v>
      </c>
      <c r="X473" s="43">
        <f t="shared" si="240"/>
        <v>271.92199321429433</v>
      </c>
      <c r="Y473" s="43">
        <f t="shared" si="240"/>
        <v>271.92199321429433</v>
      </c>
      <c r="Z473" s="43">
        <f t="shared" si="240"/>
        <v>135.96099660714717</v>
      </c>
      <c r="AA473" s="43">
        <f t="shared" si="240"/>
        <v>0</v>
      </c>
      <c r="AB473" s="43">
        <f t="shared" si="240"/>
        <v>0</v>
      </c>
      <c r="AD473" s="43">
        <f t="shared" si="202"/>
        <v>3344.6405165358206</v>
      </c>
      <c r="AE473" s="43">
        <f t="shared" si="203"/>
        <v>1114.8801721786069</v>
      </c>
      <c r="AF473" s="43">
        <f t="shared" si="204"/>
        <v>1.4210854715202004E-13</v>
      </c>
      <c r="AG473" s="43">
        <f t="shared" si="205"/>
        <v>0</v>
      </c>
      <c r="AH473" s="43">
        <f t="shared" si="206"/>
        <v>0</v>
      </c>
      <c r="AJ473" s="43">
        <f t="shared" si="191"/>
        <v>3567.1270913837561</v>
      </c>
      <c r="AK473" s="43">
        <f t="shared" si="192"/>
        <v>2266.5513900391074</v>
      </c>
      <c r="AL473" s="43">
        <f t="shared" si="193"/>
        <v>1114.8801721786067</v>
      </c>
      <c r="AM473" s="43">
        <f t="shared" si="194"/>
        <v>0</v>
      </c>
      <c r="AN473" s="43">
        <f t="shared" si="195"/>
        <v>0</v>
      </c>
    </row>
    <row r="474" spans="2:40">
      <c r="B474" s="37" t="str">
        <f t="shared" si="188"/>
        <v>Asset 168</v>
      </c>
      <c r="F474" s="37" t="str">
        <f t="shared" ref="F474:L474" si="247">F226</f>
        <v>11 Werktuigen</v>
      </c>
      <c r="G474" s="37">
        <f t="shared" si="247"/>
        <v>2014</v>
      </c>
      <c r="H474" s="52">
        <f t="shared" si="247"/>
        <v>264974.99557180319</v>
      </c>
      <c r="I474" s="37">
        <f t="shared" si="247"/>
        <v>2021</v>
      </c>
      <c r="J474" s="52">
        <f t="shared" si="247"/>
        <v>10</v>
      </c>
      <c r="K474" s="175">
        <f t="shared" si="247"/>
        <v>1</v>
      </c>
      <c r="L474" s="52">
        <f t="shared" si="247"/>
        <v>72285.978776277945</v>
      </c>
      <c r="N474" s="43">
        <f t="shared" si="201"/>
        <v>72285.978776277945</v>
      </c>
      <c r="P474" s="38">
        <f t="shared" si="190"/>
        <v>2.5</v>
      </c>
      <c r="R474" s="43">
        <f t="shared" si="239"/>
        <v>33829.838067298078</v>
      </c>
      <c r="S474" s="43">
        <f t="shared" si="239"/>
        <v>20818.361887568051</v>
      </c>
      <c r="T474" s="43">
        <f t="shared" si="239"/>
        <v>10409.180943784026</v>
      </c>
      <c r="U474" s="43">
        <f t="shared" si="239"/>
        <v>0</v>
      </c>
      <c r="V474" s="43">
        <f t="shared" si="239"/>
        <v>0</v>
      </c>
      <c r="X474" s="43">
        <f t="shared" si="240"/>
        <v>2891.4391510511182</v>
      </c>
      <c r="Y474" s="43">
        <f t="shared" si="240"/>
        <v>2891.4391510511182</v>
      </c>
      <c r="Z474" s="43">
        <f t="shared" si="240"/>
        <v>1445.7195755255591</v>
      </c>
      <c r="AA474" s="43">
        <f t="shared" si="240"/>
        <v>0</v>
      </c>
      <c r="AB474" s="43">
        <f t="shared" si="240"/>
        <v>0</v>
      </c>
      <c r="AD474" s="43">
        <f t="shared" si="202"/>
        <v>35564.701557928747</v>
      </c>
      <c r="AE474" s="43">
        <f t="shared" si="203"/>
        <v>11854.900519309578</v>
      </c>
      <c r="AF474" s="43">
        <f t="shared" si="204"/>
        <v>-6.5938365878537297E-12</v>
      </c>
      <c r="AG474" s="43">
        <f t="shared" si="205"/>
        <v>0</v>
      </c>
      <c r="AH474" s="43">
        <f t="shared" si="206"/>
        <v>0</v>
      </c>
      <c r="AJ474" s="43">
        <f t="shared" si="191"/>
        <v>37930.477071318775</v>
      </c>
      <c r="AK474" s="43">
        <f t="shared" si="192"/>
        <v>24101.012755756386</v>
      </c>
      <c r="AL474" s="43">
        <f t="shared" si="193"/>
        <v>11854.900519309585</v>
      </c>
      <c r="AM474" s="43">
        <f t="shared" si="194"/>
        <v>0</v>
      </c>
      <c r="AN474" s="43">
        <f t="shared" si="195"/>
        <v>0</v>
      </c>
    </row>
    <row r="475" spans="2:40">
      <c r="B475" s="37" t="str">
        <f t="shared" si="188"/>
        <v>Asset 169</v>
      </c>
      <c r="F475" s="37" t="str">
        <f t="shared" ref="F475:L475" si="248">F227</f>
        <v>08 Inrichting gebouwen</v>
      </c>
      <c r="G475" s="37">
        <f t="shared" si="248"/>
        <v>2014</v>
      </c>
      <c r="H475" s="52">
        <f t="shared" si="248"/>
        <v>724167.86511950963</v>
      </c>
      <c r="I475" s="37">
        <f t="shared" si="248"/>
        <v>2021</v>
      </c>
      <c r="J475" s="52">
        <f t="shared" si="248"/>
        <v>10</v>
      </c>
      <c r="K475" s="175">
        <f t="shared" si="248"/>
        <v>0</v>
      </c>
      <c r="L475" s="52">
        <f t="shared" si="248"/>
        <v>197555.1799351057</v>
      </c>
      <c r="N475" s="43">
        <f t="shared" si="201"/>
        <v>197555.1799351057</v>
      </c>
      <c r="P475" s="38">
        <f t="shared" si="190"/>
        <v>2.5</v>
      </c>
      <c r="R475" s="43">
        <f t="shared" si="239"/>
        <v>92455.824209629471</v>
      </c>
      <c r="S475" s="43">
        <f t="shared" si="239"/>
        <v>56895.891821310448</v>
      </c>
      <c r="T475" s="43">
        <f t="shared" si="239"/>
        <v>28447.945910655224</v>
      </c>
      <c r="U475" s="43">
        <f t="shared" si="239"/>
        <v>0</v>
      </c>
      <c r="V475" s="43">
        <f t="shared" si="239"/>
        <v>0</v>
      </c>
      <c r="X475" s="43">
        <f t="shared" si="240"/>
        <v>7902.2071974042283</v>
      </c>
      <c r="Y475" s="43">
        <f t="shared" si="240"/>
        <v>7902.2071974042274</v>
      </c>
      <c r="Z475" s="43">
        <f t="shared" si="240"/>
        <v>3951.1035987021137</v>
      </c>
      <c r="AA475" s="43">
        <f t="shared" si="240"/>
        <v>0</v>
      </c>
      <c r="AB475" s="43">
        <f t="shared" si="240"/>
        <v>0</v>
      </c>
      <c r="AD475" s="43">
        <f t="shared" si="202"/>
        <v>97197.148528071993</v>
      </c>
      <c r="AE475" s="43">
        <f t="shared" si="203"/>
        <v>32399.049509357319</v>
      </c>
      <c r="AF475" s="43">
        <f t="shared" si="204"/>
        <v>-1.8644641386345029E-11</v>
      </c>
      <c r="AG475" s="43">
        <f t="shared" si="205"/>
        <v>0</v>
      </c>
      <c r="AH475" s="43">
        <f t="shared" si="206"/>
        <v>0</v>
      </c>
      <c r="AJ475" s="43">
        <f t="shared" si="191"/>
        <v>103662.73445698815</v>
      </c>
      <c r="AK475" s="43">
        <f t="shared" si="192"/>
        <v>65867.267652523471</v>
      </c>
      <c r="AL475" s="43">
        <f t="shared" si="193"/>
        <v>32399.049509357337</v>
      </c>
      <c r="AM475" s="43">
        <f t="shared" si="194"/>
        <v>0</v>
      </c>
      <c r="AN475" s="43">
        <f t="shared" si="195"/>
        <v>0</v>
      </c>
    </row>
    <row r="476" spans="2:40">
      <c r="B476" s="37" t="str">
        <f t="shared" si="188"/>
        <v>Asset 170</v>
      </c>
      <c r="F476" s="37" t="str">
        <f t="shared" ref="F476:L476" si="249">F228</f>
        <v>14 Overig rollend materieel (odorisatie)</v>
      </c>
      <c r="G476" s="37">
        <f t="shared" si="249"/>
        <v>2014</v>
      </c>
      <c r="H476" s="52">
        <f t="shared" si="249"/>
        <v>1415.9999999999968</v>
      </c>
      <c r="I476" s="37">
        <f t="shared" si="249"/>
        <v>2021</v>
      </c>
      <c r="J476" s="52">
        <f t="shared" si="249"/>
        <v>10</v>
      </c>
      <c r="K476" s="175">
        <f t="shared" si="249"/>
        <v>0</v>
      </c>
      <c r="L476" s="52">
        <f t="shared" si="249"/>
        <v>386.28907503641284</v>
      </c>
      <c r="N476" s="43">
        <f t="shared" si="201"/>
        <v>386.28907503641284</v>
      </c>
      <c r="P476" s="38">
        <f t="shared" si="190"/>
        <v>2.5</v>
      </c>
      <c r="R476" s="43">
        <f t="shared" si="239"/>
        <v>180.7832871170412</v>
      </c>
      <c r="S476" s="43">
        <f t="shared" si="239"/>
        <v>111.2512536104869</v>
      </c>
      <c r="T476" s="43">
        <f t="shared" si="239"/>
        <v>55.625626805243449</v>
      </c>
      <c r="U476" s="43">
        <f t="shared" si="239"/>
        <v>0</v>
      </c>
      <c r="V476" s="43">
        <f t="shared" si="239"/>
        <v>0</v>
      </c>
      <c r="X476" s="43">
        <f t="shared" si="240"/>
        <v>15.451563001456515</v>
      </c>
      <c r="Y476" s="43">
        <f t="shared" si="240"/>
        <v>15.451563001456515</v>
      </c>
      <c r="Z476" s="43">
        <f t="shared" si="240"/>
        <v>7.7257815007282575</v>
      </c>
      <c r="AA476" s="43">
        <f t="shared" si="240"/>
        <v>0</v>
      </c>
      <c r="AB476" s="43">
        <f t="shared" si="240"/>
        <v>0</v>
      </c>
      <c r="AD476" s="43">
        <f t="shared" si="202"/>
        <v>190.05422491791512</v>
      </c>
      <c r="AE476" s="43">
        <f t="shared" si="203"/>
        <v>63.351408305971709</v>
      </c>
      <c r="AF476" s="43">
        <f t="shared" si="204"/>
        <v>2.6645352591003757E-15</v>
      </c>
      <c r="AG476" s="43">
        <f t="shared" si="205"/>
        <v>0</v>
      </c>
      <c r="AH476" s="43">
        <f t="shared" si="206"/>
        <v>0</v>
      </c>
      <c r="AJ476" s="43">
        <f t="shared" si="191"/>
        <v>202.69669376570684</v>
      </c>
      <c r="AK476" s="43">
        <f t="shared" si="192"/>
        <v>128.79341308604049</v>
      </c>
      <c r="AL476" s="43">
        <f t="shared" si="193"/>
        <v>63.351408305971709</v>
      </c>
      <c r="AM476" s="43">
        <f t="shared" si="194"/>
        <v>0</v>
      </c>
      <c r="AN476" s="43">
        <f t="shared" si="195"/>
        <v>0</v>
      </c>
    </row>
    <row r="477" spans="2:40">
      <c r="B477" s="37" t="str">
        <f t="shared" si="188"/>
        <v>Asset 171</v>
      </c>
      <c r="F477" s="37" t="str">
        <f t="shared" ref="F477:L477" si="250">F229</f>
        <v>14 Overig rollend materieel (odorisatie)</v>
      </c>
      <c r="G477" s="37">
        <f t="shared" si="250"/>
        <v>2015</v>
      </c>
      <c r="H477" s="52">
        <f t="shared" si="250"/>
        <v>43315.304046858677</v>
      </c>
      <c r="I477" s="37">
        <f t="shared" si="250"/>
        <v>2021</v>
      </c>
      <c r="J477" s="52">
        <f t="shared" si="250"/>
        <v>10</v>
      </c>
      <c r="K477" s="175">
        <f t="shared" si="250"/>
        <v>0</v>
      </c>
      <c r="L477" s="52">
        <f t="shared" si="250"/>
        <v>16379.370300704035</v>
      </c>
      <c r="N477" s="43">
        <f t="shared" si="201"/>
        <v>16379.370300704035</v>
      </c>
      <c r="P477" s="38">
        <f t="shared" si="190"/>
        <v>3.5</v>
      </c>
      <c r="R477" s="43">
        <f t="shared" ref="R477:V486" si="251">IF(R$305&lt;=$G477+$J477,VDB($L477*(1-$F$25),0,$P477,R$305-2022,MIN(R$305-2021,$P477),$F$22),0)</f>
        <v>5475.3895005210634</v>
      </c>
      <c r="S477" s="43">
        <f t="shared" si="251"/>
        <v>3706.4175080450273</v>
      </c>
      <c r="T477" s="43">
        <f t="shared" si="251"/>
        <v>3706.4175080450273</v>
      </c>
      <c r="U477" s="43">
        <f t="shared" si="251"/>
        <v>1853.2087540225136</v>
      </c>
      <c r="V477" s="43">
        <f t="shared" si="251"/>
        <v>0</v>
      </c>
      <c r="X477" s="43">
        <f t="shared" ref="X477:AB486" si="252">IF(X$305&lt;=$G477+$J477,VDB($L477*$F$25,0,$P477,X$305-2022,MIN(X$305-2021,$P477),1),0)</f>
        <v>467.98200859154389</v>
      </c>
      <c r="Y477" s="43">
        <f t="shared" si="252"/>
        <v>467.98200859154389</v>
      </c>
      <c r="Z477" s="43">
        <f t="shared" si="252"/>
        <v>467.98200859154389</v>
      </c>
      <c r="AA477" s="43">
        <f t="shared" si="252"/>
        <v>233.99100429577194</v>
      </c>
      <c r="AB477" s="43">
        <f t="shared" si="252"/>
        <v>0</v>
      </c>
      <c r="AD477" s="43">
        <f t="shared" si="202"/>
        <v>10435.998791591428</v>
      </c>
      <c r="AE477" s="43">
        <f t="shared" si="203"/>
        <v>6261.5992749548568</v>
      </c>
      <c r="AF477" s="43">
        <f t="shared" si="204"/>
        <v>2087.1997583182856</v>
      </c>
      <c r="AG477" s="43">
        <f t="shared" si="205"/>
        <v>2.8421709430404007E-14</v>
      </c>
      <c r="AH477" s="43">
        <f t="shared" si="206"/>
        <v>0</v>
      </c>
      <c r="AJ477" s="43">
        <f t="shared" si="191"/>
        <v>6298.1954680267154</v>
      </c>
      <c r="AK477" s="43">
        <f t="shared" si="192"/>
        <v>4381.0322927100815</v>
      </c>
      <c r="AL477" s="43">
        <f t="shared" si="193"/>
        <v>4253.713107452666</v>
      </c>
      <c r="AM477" s="43">
        <f t="shared" si="194"/>
        <v>2087.1997583182856</v>
      </c>
      <c r="AN477" s="43">
        <f t="shared" si="195"/>
        <v>0</v>
      </c>
    </row>
    <row r="478" spans="2:40">
      <c r="B478" s="37" t="str">
        <f t="shared" si="188"/>
        <v>Asset 172</v>
      </c>
      <c r="F478" s="37" t="str">
        <f t="shared" ref="F478:L478" si="253">F230</f>
        <v>13 Aanhangwagens</v>
      </c>
      <c r="G478" s="37">
        <f t="shared" si="253"/>
        <v>2015</v>
      </c>
      <c r="H478" s="52">
        <f t="shared" si="253"/>
        <v>78424.550748692549</v>
      </c>
      <c r="I478" s="37">
        <f t="shared" si="253"/>
        <v>2021</v>
      </c>
      <c r="J478" s="52">
        <f t="shared" si="253"/>
        <v>10</v>
      </c>
      <c r="K478" s="175">
        <f t="shared" si="253"/>
        <v>1</v>
      </c>
      <c r="L478" s="52">
        <f t="shared" si="253"/>
        <v>29655.679110310892</v>
      </c>
      <c r="N478" s="43">
        <f t="shared" si="201"/>
        <v>29655.679110310892</v>
      </c>
      <c r="P478" s="38">
        <f t="shared" si="190"/>
        <v>3.5</v>
      </c>
      <c r="R478" s="43">
        <f t="shared" si="251"/>
        <v>9913.4698740182139</v>
      </c>
      <c r="S478" s="43">
        <f t="shared" si="251"/>
        <v>6710.6565301046357</v>
      </c>
      <c r="T478" s="43">
        <f t="shared" si="251"/>
        <v>6710.6565301046357</v>
      </c>
      <c r="U478" s="43">
        <f t="shared" si="251"/>
        <v>3355.3282650523179</v>
      </c>
      <c r="V478" s="43">
        <f t="shared" si="251"/>
        <v>0</v>
      </c>
      <c r="X478" s="43">
        <f t="shared" si="252"/>
        <v>847.3051174374541</v>
      </c>
      <c r="Y478" s="43">
        <f t="shared" si="252"/>
        <v>847.3051174374541</v>
      </c>
      <c r="Z478" s="43">
        <f t="shared" si="252"/>
        <v>847.3051174374541</v>
      </c>
      <c r="AA478" s="43">
        <f t="shared" si="252"/>
        <v>423.65255871872705</v>
      </c>
      <c r="AB478" s="43">
        <f t="shared" si="252"/>
        <v>0</v>
      </c>
      <c r="AD478" s="43">
        <f t="shared" si="202"/>
        <v>18894.904118855222</v>
      </c>
      <c r="AE478" s="43">
        <f t="shared" si="203"/>
        <v>11336.942471313132</v>
      </c>
      <c r="AF478" s="43">
        <f t="shared" si="204"/>
        <v>3778.9808237710422</v>
      </c>
      <c r="AG478" s="43">
        <f t="shared" si="205"/>
        <v>-2.7284841053187847E-12</v>
      </c>
      <c r="AH478" s="43">
        <f t="shared" si="206"/>
        <v>0</v>
      </c>
      <c r="AJ478" s="43">
        <f t="shared" si="191"/>
        <v>11403.201731496745</v>
      </c>
      <c r="AK478" s="43">
        <f t="shared" si="192"/>
        <v>7932.080749095423</v>
      </c>
      <c r="AL478" s="43">
        <f t="shared" si="193"/>
        <v>7701.5629188453895</v>
      </c>
      <c r="AM478" s="43">
        <f t="shared" si="194"/>
        <v>3778.9808237710449</v>
      </c>
      <c r="AN478" s="43">
        <f t="shared" si="195"/>
        <v>0</v>
      </c>
    </row>
    <row r="479" spans="2:40">
      <c r="B479" s="37" t="str">
        <f t="shared" si="188"/>
        <v>Asset 173</v>
      </c>
      <c r="F479" s="37" t="str">
        <f t="shared" ref="F479:L479" si="254">F231</f>
        <v>11 Werktuigen</v>
      </c>
      <c r="G479" s="37">
        <f t="shared" si="254"/>
        <v>2015</v>
      </c>
      <c r="H479" s="52">
        <f t="shared" si="254"/>
        <v>481116.61247078225</v>
      </c>
      <c r="I479" s="37">
        <f t="shared" si="254"/>
        <v>2021</v>
      </c>
      <c r="J479" s="52">
        <f t="shared" si="254"/>
        <v>10</v>
      </c>
      <c r="K479" s="175">
        <f t="shared" si="254"/>
        <v>1</v>
      </c>
      <c r="L479" s="52">
        <f t="shared" si="254"/>
        <v>181930.78236168518</v>
      </c>
      <c r="N479" s="43">
        <f t="shared" si="201"/>
        <v>181930.78236168518</v>
      </c>
      <c r="P479" s="38">
        <f t="shared" si="190"/>
        <v>3.5</v>
      </c>
      <c r="R479" s="43">
        <f t="shared" si="251"/>
        <v>60816.861532334762</v>
      </c>
      <c r="S479" s="43">
        <f t="shared" si="251"/>
        <v>41168.337037272766</v>
      </c>
      <c r="T479" s="43">
        <f t="shared" si="251"/>
        <v>41168.337037272766</v>
      </c>
      <c r="U479" s="43">
        <f t="shared" si="251"/>
        <v>20584.168518636383</v>
      </c>
      <c r="V479" s="43">
        <f t="shared" si="251"/>
        <v>0</v>
      </c>
      <c r="X479" s="43">
        <f t="shared" si="252"/>
        <v>5198.022353191006</v>
      </c>
      <c r="Y479" s="43">
        <f t="shared" si="252"/>
        <v>5198.022353191006</v>
      </c>
      <c r="Z479" s="43">
        <f t="shared" si="252"/>
        <v>5198.022353191006</v>
      </c>
      <c r="AA479" s="43">
        <f t="shared" si="252"/>
        <v>2599.011176595503</v>
      </c>
      <c r="AB479" s="43">
        <f t="shared" si="252"/>
        <v>0</v>
      </c>
      <c r="AD479" s="43">
        <f t="shared" si="202"/>
        <v>115915.89847615942</v>
      </c>
      <c r="AE479" s="43">
        <f t="shared" si="203"/>
        <v>69549.539085695651</v>
      </c>
      <c r="AF479" s="43">
        <f t="shared" si="204"/>
        <v>23183.17969523188</v>
      </c>
      <c r="AG479" s="43">
        <f t="shared" si="205"/>
        <v>-5.9117155615240335E-12</v>
      </c>
      <c r="AH479" s="43">
        <f t="shared" si="206"/>
        <v>0</v>
      </c>
      <c r="AJ479" s="43">
        <f t="shared" si="191"/>
        <v>69956.024433715182</v>
      </c>
      <c r="AK479" s="43">
        <f t="shared" si="192"/>
        <v>48661.494180291731</v>
      </c>
      <c r="AL479" s="43">
        <f t="shared" si="193"/>
        <v>47247.320218882589</v>
      </c>
      <c r="AM479" s="43">
        <f t="shared" si="194"/>
        <v>23183.179695231887</v>
      </c>
      <c r="AN479" s="43">
        <f t="shared" si="195"/>
        <v>0</v>
      </c>
    </row>
    <row r="480" spans="2:40">
      <c r="B480" s="37" t="str">
        <f t="shared" si="188"/>
        <v>Asset 174</v>
      </c>
      <c r="F480" s="37" t="str">
        <f t="shared" ref="F480:L480" si="255">F232</f>
        <v>39 ICT middelen 3</v>
      </c>
      <c r="G480" s="37">
        <f t="shared" si="255"/>
        <v>2015</v>
      </c>
      <c r="H480" s="52">
        <f t="shared" si="255"/>
        <v>13785822.782425826</v>
      </c>
      <c r="I480" s="37">
        <f t="shared" si="255"/>
        <v>2021</v>
      </c>
      <c r="J480" s="52">
        <f t="shared" si="255"/>
        <v>15</v>
      </c>
      <c r="K480" s="175">
        <f t="shared" si="255"/>
        <v>1</v>
      </c>
      <c r="L480" s="52">
        <f t="shared" si="255"/>
        <v>8440110.7970265597</v>
      </c>
      <c r="N480" s="43">
        <f t="shared" si="201"/>
        <v>8440110.7970265597</v>
      </c>
      <c r="P480" s="38">
        <f t="shared" si="190"/>
        <v>8.5</v>
      </c>
      <c r="R480" s="43">
        <f t="shared" si="251"/>
        <v>1161756.4273554208</v>
      </c>
      <c r="S480" s="43">
        <f t="shared" si="251"/>
        <v>984076.03258341516</v>
      </c>
      <c r="T480" s="43">
        <f t="shared" si="251"/>
        <v>838502.65498231805</v>
      </c>
      <c r="U480" s="43">
        <f t="shared" si="251"/>
        <v>838502.65498231805</v>
      </c>
      <c r="V480" s="43">
        <f t="shared" si="251"/>
        <v>838502.65498231805</v>
      </c>
      <c r="X480" s="43">
        <f t="shared" si="252"/>
        <v>99295.421141488943</v>
      </c>
      <c r="Y480" s="43">
        <f t="shared" si="252"/>
        <v>99295.421141488943</v>
      </c>
      <c r="Z480" s="43">
        <f t="shared" si="252"/>
        <v>99295.421141488943</v>
      </c>
      <c r="AA480" s="43">
        <f t="shared" si="252"/>
        <v>99295.421141488943</v>
      </c>
      <c r="AB480" s="43">
        <f t="shared" si="252"/>
        <v>99295.421141488943</v>
      </c>
      <c r="AD480" s="43">
        <f t="shared" si="202"/>
        <v>7179058.9485296495</v>
      </c>
      <c r="AE480" s="43">
        <f t="shared" si="203"/>
        <v>6095687.4948047455</v>
      </c>
      <c r="AF480" s="43">
        <f t="shared" si="204"/>
        <v>5157889.418680938</v>
      </c>
      <c r="AG480" s="43">
        <f t="shared" si="205"/>
        <v>4220091.3425571304</v>
      </c>
      <c r="AH480" s="43">
        <f t="shared" si="206"/>
        <v>3282293.2664333233</v>
      </c>
      <c r="AJ480" s="43">
        <f t="shared" si="191"/>
        <v>1505139.8527469179</v>
      </c>
      <c r="AK480" s="43">
        <f t="shared" si="192"/>
        <v>1284529.1410534605</v>
      </c>
      <c r="AL480" s="43">
        <f t="shared" si="193"/>
        <v>1133797.8740336825</v>
      </c>
      <c r="AM480" s="43">
        <f t="shared" si="194"/>
        <v>1098161.547140978</v>
      </c>
      <c r="AN480" s="43">
        <f t="shared" si="195"/>
        <v>1062525.2202482733</v>
      </c>
    </row>
    <row r="481" spans="2:40">
      <c r="B481" s="37" t="str">
        <f t="shared" si="188"/>
        <v>Asset 175</v>
      </c>
      <c r="F481" s="37" t="str">
        <f t="shared" ref="F481:L481" si="256">F233</f>
        <v>12 Motorvoertuigen</v>
      </c>
      <c r="G481" s="37">
        <f t="shared" si="256"/>
        <v>2015</v>
      </c>
      <c r="H481" s="52">
        <f t="shared" si="256"/>
        <v>43877.173224174046</v>
      </c>
      <c r="I481" s="37">
        <f t="shared" si="256"/>
        <v>2021</v>
      </c>
      <c r="J481" s="52">
        <f t="shared" si="256"/>
        <v>10</v>
      </c>
      <c r="K481" s="175">
        <f t="shared" si="256"/>
        <v>1</v>
      </c>
      <c r="L481" s="52">
        <f t="shared" si="256"/>
        <v>16591.837083941773</v>
      </c>
      <c r="N481" s="43">
        <f t="shared" si="201"/>
        <v>16591.837083941773</v>
      </c>
      <c r="P481" s="38">
        <f t="shared" si="190"/>
        <v>3.5</v>
      </c>
      <c r="R481" s="43">
        <f t="shared" si="251"/>
        <v>5546.414110917679</v>
      </c>
      <c r="S481" s="43">
        <f t="shared" si="251"/>
        <v>3754.4957058519662</v>
      </c>
      <c r="T481" s="43">
        <f t="shared" si="251"/>
        <v>3754.4957058519662</v>
      </c>
      <c r="U481" s="43">
        <f t="shared" si="251"/>
        <v>1877.2478529259831</v>
      </c>
      <c r="V481" s="43">
        <f t="shared" si="251"/>
        <v>0</v>
      </c>
      <c r="X481" s="43">
        <f t="shared" si="252"/>
        <v>474.05248811262209</v>
      </c>
      <c r="Y481" s="43">
        <f t="shared" si="252"/>
        <v>474.05248811262209</v>
      </c>
      <c r="Z481" s="43">
        <f t="shared" si="252"/>
        <v>474.05248811262209</v>
      </c>
      <c r="AA481" s="43">
        <f t="shared" si="252"/>
        <v>237.02624405631104</v>
      </c>
      <c r="AB481" s="43">
        <f t="shared" si="252"/>
        <v>0</v>
      </c>
      <c r="AD481" s="43">
        <f t="shared" si="202"/>
        <v>10571.370484911473</v>
      </c>
      <c r="AE481" s="43">
        <f t="shared" si="203"/>
        <v>6342.8222909468841</v>
      </c>
      <c r="AF481" s="43">
        <f t="shared" si="204"/>
        <v>2114.2740969822958</v>
      </c>
      <c r="AG481" s="43">
        <f t="shared" si="205"/>
        <v>1.5916157281026244E-12</v>
      </c>
      <c r="AH481" s="43">
        <f t="shared" si="206"/>
        <v>0</v>
      </c>
      <c r="AJ481" s="43">
        <f t="shared" si="191"/>
        <v>6379.8931955172911</v>
      </c>
      <c r="AK481" s="43">
        <f t="shared" si="192"/>
        <v>4437.8613295658361</v>
      </c>
      <c r="AL481" s="43">
        <f t="shared" si="193"/>
        <v>4308.8906096499159</v>
      </c>
      <c r="AM481" s="43">
        <f t="shared" si="194"/>
        <v>2114.2740969822944</v>
      </c>
      <c r="AN481" s="43">
        <f t="shared" si="195"/>
        <v>0</v>
      </c>
    </row>
    <row r="482" spans="2:40">
      <c r="B482" s="37" t="str">
        <f t="shared" si="188"/>
        <v>Asset 176</v>
      </c>
      <c r="F482" s="37" t="str">
        <f t="shared" ref="F482:L482" si="257">F234</f>
        <v>09 Bedrijfsinventaris</v>
      </c>
      <c r="G482" s="37">
        <f t="shared" si="257"/>
        <v>2015</v>
      </c>
      <c r="H482" s="52">
        <f t="shared" si="257"/>
        <v>153470.91831934603</v>
      </c>
      <c r="I482" s="37">
        <f t="shared" si="257"/>
        <v>2021</v>
      </c>
      <c r="J482" s="52">
        <f t="shared" si="257"/>
        <v>10</v>
      </c>
      <c r="K482" s="175">
        <f t="shared" si="257"/>
        <v>1</v>
      </c>
      <c r="L482" s="52">
        <f t="shared" si="257"/>
        <v>58033.922579009974</v>
      </c>
      <c r="N482" s="43">
        <f t="shared" si="201"/>
        <v>58033.922579009974</v>
      </c>
      <c r="P482" s="38">
        <f t="shared" si="190"/>
        <v>3.5</v>
      </c>
      <c r="R482" s="43">
        <f t="shared" si="251"/>
        <v>19399.911262126192</v>
      </c>
      <c r="S482" s="43">
        <f t="shared" si="251"/>
        <v>13132.247623593115</v>
      </c>
      <c r="T482" s="43">
        <f t="shared" si="251"/>
        <v>13132.247623593115</v>
      </c>
      <c r="U482" s="43">
        <f t="shared" si="251"/>
        <v>6566.1238117965577</v>
      </c>
      <c r="V482" s="43">
        <f t="shared" si="251"/>
        <v>0</v>
      </c>
      <c r="X482" s="43">
        <f t="shared" si="252"/>
        <v>1658.1120736859993</v>
      </c>
      <c r="Y482" s="43">
        <f t="shared" si="252"/>
        <v>1658.1120736859993</v>
      </c>
      <c r="Z482" s="43">
        <f t="shared" si="252"/>
        <v>1658.1120736859993</v>
      </c>
      <c r="AA482" s="43">
        <f t="shared" si="252"/>
        <v>829.05603684299967</v>
      </c>
      <c r="AB482" s="43">
        <f t="shared" si="252"/>
        <v>0</v>
      </c>
      <c r="AD482" s="43">
        <f t="shared" si="202"/>
        <v>36975.899243197782</v>
      </c>
      <c r="AE482" s="43">
        <f t="shared" si="203"/>
        <v>22185.539545918666</v>
      </c>
      <c r="AF482" s="43">
        <f t="shared" si="204"/>
        <v>7395.179848639551</v>
      </c>
      <c r="AG482" s="43">
        <f t="shared" si="205"/>
        <v>-6.3664629124104977E-12</v>
      </c>
      <c r="AH482" s="43">
        <f t="shared" si="206"/>
        <v>0</v>
      </c>
      <c r="AJ482" s="43">
        <f t="shared" si="191"/>
        <v>22315.203910080916</v>
      </c>
      <c r="AK482" s="43">
        <f t="shared" si="192"/>
        <v>15522.482502294431</v>
      </c>
      <c r="AL482" s="43">
        <f t="shared" si="193"/>
        <v>15071.376531527418</v>
      </c>
      <c r="AM482" s="43">
        <f t="shared" si="194"/>
        <v>7395.1798486395573</v>
      </c>
      <c r="AN482" s="43">
        <f t="shared" si="195"/>
        <v>0</v>
      </c>
    </row>
    <row r="483" spans="2:40">
      <c r="B483" s="37" t="str">
        <f t="shared" si="188"/>
        <v>Asset 177</v>
      </c>
      <c r="F483" s="37" t="str">
        <f t="shared" ref="F483:L483" si="258">F235</f>
        <v>20 Kantoorgebouwen</v>
      </c>
      <c r="G483" s="37">
        <f t="shared" si="258"/>
        <v>2015</v>
      </c>
      <c r="H483" s="52">
        <f t="shared" si="258"/>
        <v>2375369.7957282378</v>
      </c>
      <c r="I483" s="37">
        <f t="shared" si="258"/>
        <v>2021</v>
      </c>
      <c r="J483" s="52">
        <f t="shared" si="258"/>
        <v>30</v>
      </c>
      <c r="K483" s="175">
        <f t="shared" si="258"/>
        <v>0</v>
      </c>
      <c r="L483" s="52">
        <f t="shared" si="258"/>
        <v>2010322.0086927759</v>
      </c>
      <c r="N483" s="43">
        <f t="shared" si="201"/>
        <v>2010322.0086927759</v>
      </c>
      <c r="P483" s="38">
        <f t="shared" si="190"/>
        <v>23.5</v>
      </c>
      <c r="R483" s="43">
        <f t="shared" si="251"/>
        <v>100088.37234768289</v>
      </c>
      <c r="S483" s="43">
        <f t="shared" si="251"/>
        <v>94551.568771002552</v>
      </c>
      <c r="T483" s="43">
        <f t="shared" si="251"/>
        <v>89321.05645601092</v>
      </c>
      <c r="U483" s="43">
        <f t="shared" si="251"/>
        <v>84379.891630784783</v>
      </c>
      <c r="V483" s="43">
        <f t="shared" si="251"/>
        <v>79712.067838443487</v>
      </c>
      <c r="X483" s="43">
        <f t="shared" si="252"/>
        <v>8554.561739118195</v>
      </c>
      <c r="Y483" s="43">
        <f t="shared" si="252"/>
        <v>8554.561739118195</v>
      </c>
      <c r="Z483" s="43">
        <f t="shared" si="252"/>
        <v>8554.561739118195</v>
      </c>
      <c r="AA483" s="43">
        <f t="shared" si="252"/>
        <v>8554.561739118195</v>
      </c>
      <c r="AB483" s="43">
        <f t="shared" si="252"/>
        <v>8554.561739118195</v>
      </c>
      <c r="AD483" s="43">
        <f t="shared" si="202"/>
        <v>1901679.0746059746</v>
      </c>
      <c r="AE483" s="43">
        <f t="shared" si="203"/>
        <v>1798572.9440958537</v>
      </c>
      <c r="AF483" s="43">
        <f t="shared" si="204"/>
        <v>1700697.3259007244</v>
      </c>
      <c r="AG483" s="43">
        <f t="shared" si="205"/>
        <v>1607762.8725308212</v>
      </c>
      <c r="AH483" s="43">
        <f t="shared" si="206"/>
        <v>1519496.2429532595</v>
      </c>
      <c r="AJ483" s="43">
        <f t="shared" si="191"/>
        <v>173300.02262340422</v>
      </c>
      <c r="AK483" s="43">
        <f t="shared" si="192"/>
        <v>162459.03766528392</v>
      </c>
      <c r="AL483" s="43">
        <f t="shared" si="193"/>
        <v>162502.11657935666</v>
      </c>
      <c r="AM483" s="43">
        <f t="shared" si="194"/>
        <v>154029.44252607418</v>
      </c>
      <c r="AN483" s="43">
        <f t="shared" si="195"/>
        <v>146007.48680978554</v>
      </c>
    </row>
    <row r="484" spans="2:40">
      <c r="B484" s="37" t="str">
        <f t="shared" si="188"/>
        <v>Asset 178</v>
      </c>
      <c r="F484" s="37" t="str">
        <f t="shared" ref="F484:L484" si="259">F236</f>
        <v>06 Utiliteitsgebouwen</v>
      </c>
      <c r="G484" s="37">
        <f t="shared" si="259"/>
        <v>2015</v>
      </c>
      <c r="H484" s="52">
        <f t="shared" si="259"/>
        <v>516544.29057147249</v>
      </c>
      <c r="I484" s="37">
        <f t="shared" si="259"/>
        <v>2021</v>
      </c>
      <c r="J484" s="52">
        <f t="shared" si="259"/>
        <v>30</v>
      </c>
      <c r="K484" s="175">
        <f t="shared" si="259"/>
        <v>0</v>
      </c>
      <c r="L484" s="52">
        <f t="shared" si="259"/>
        <v>437161.55592610373</v>
      </c>
      <c r="N484" s="43">
        <f t="shared" si="201"/>
        <v>437161.55592610373</v>
      </c>
      <c r="P484" s="38">
        <f t="shared" si="190"/>
        <v>23.5</v>
      </c>
      <c r="R484" s="43">
        <f t="shared" si="251"/>
        <v>21765.064699299634</v>
      </c>
      <c r="S484" s="43">
        <f t="shared" si="251"/>
        <v>20561.039843593699</v>
      </c>
      <c r="T484" s="43">
        <f t="shared" si="251"/>
        <v>19423.620618203408</v>
      </c>
      <c r="U484" s="43">
        <f t="shared" si="251"/>
        <v>18349.122456345343</v>
      </c>
      <c r="V484" s="43">
        <f t="shared" si="251"/>
        <v>17334.064618334749</v>
      </c>
      <c r="X484" s="43">
        <f t="shared" si="252"/>
        <v>1860.2619401110799</v>
      </c>
      <c r="Y484" s="43">
        <f t="shared" si="252"/>
        <v>1860.2619401110799</v>
      </c>
      <c r="Z484" s="43">
        <f t="shared" si="252"/>
        <v>1860.2619401110799</v>
      </c>
      <c r="AA484" s="43">
        <f t="shared" si="252"/>
        <v>1860.2619401110799</v>
      </c>
      <c r="AB484" s="43">
        <f t="shared" si="252"/>
        <v>1860.2619401110799</v>
      </c>
      <c r="AD484" s="43">
        <f t="shared" si="202"/>
        <v>413536.22928669304</v>
      </c>
      <c r="AE484" s="43">
        <f t="shared" si="203"/>
        <v>391114.92750298826</v>
      </c>
      <c r="AF484" s="43">
        <f t="shared" si="204"/>
        <v>369831.04494467378</v>
      </c>
      <c r="AG484" s="43">
        <f t="shared" si="205"/>
        <v>349621.66054821736</v>
      </c>
      <c r="AH484" s="43">
        <f t="shared" si="206"/>
        <v>330427.33398977155</v>
      </c>
      <c r="AJ484" s="43">
        <f t="shared" si="191"/>
        <v>37685.55843515828</v>
      </c>
      <c r="AK484" s="43">
        <f t="shared" si="192"/>
        <v>35328.094391303392</v>
      </c>
      <c r="AL484" s="43">
        <f t="shared" si="193"/>
        <v>35337.462266212089</v>
      </c>
      <c r="AM484" s="43">
        <f t="shared" si="194"/>
        <v>33495.00749728868</v>
      </c>
      <c r="AN484" s="43">
        <f t="shared" si="195"/>
        <v>31750.565250057145</v>
      </c>
    </row>
    <row r="485" spans="2:40">
      <c r="B485" s="37" t="str">
        <f t="shared" si="188"/>
        <v>Asset 179</v>
      </c>
      <c r="F485" s="37" t="str">
        <f t="shared" ref="F485:L485" si="260">F237</f>
        <v>08 Inrichting gebouwen</v>
      </c>
      <c r="G485" s="37">
        <f t="shared" si="260"/>
        <v>2015</v>
      </c>
      <c r="H485" s="52">
        <f t="shared" si="260"/>
        <v>406758.82739129546</v>
      </c>
      <c r="I485" s="37">
        <f t="shared" si="260"/>
        <v>2021</v>
      </c>
      <c r="J485" s="52">
        <f t="shared" si="260"/>
        <v>10</v>
      </c>
      <c r="K485" s="175">
        <f t="shared" si="260"/>
        <v>0</v>
      </c>
      <c r="L485" s="52">
        <f t="shared" si="260"/>
        <v>153812.9214033616</v>
      </c>
      <c r="N485" s="43">
        <f t="shared" si="201"/>
        <v>153812.9214033616</v>
      </c>
      <c r="P485" s="38">
        <f t="shared" si="190"/>
        <v>3.5</v>
      </c>
      <c r="R485" s="43">
        <f t="shared" si="251"/>
        <v>51417.462297695165</v>
      </c>
      <c r="S485" s="43">
        <f t="shared" si="251"/>
        <v>34805.666786132111</v>
      </c>
      <c r="T485" s="43">
        <f t="shared" si="251"/>
        <v>34805.666786132111</v>
      </c>
      <c r="U485" s="43">
        <f t="shared" si="251"/>
        <v>17402.833393066056</v>
      </c>
      <c r="V485" s="43">
        <f t="shared" si="251"/>
        <v>0</v>
      </c>
      <c r="X485" s="43">
        <f t="shared" si="252"/>
        <v>4394.6548972389037</v>
      </c>
      <c r="Y485" s="43">
        <f t="shared" si="252"/>
        <v>4394.6548972389037</v>
      </c>
      <c r="Z485" s="43">
        <f t="shared" si="252"/>
        <v>4394.6548972389037</v>
      </c>
      <c r="AA485" s="43">
        <f t="shared" si="252"/>
        <v>2197.3274486194518</v>
      </c>
      <c r="AB485" s="43">
        <f t="shared" si="252"/>
        <v>0</v>
      </c>
      <c r="AD485" s="43">
        <f t="shared" si="202"/>
        <v>98000.804208427537</v>
      </c>
      <c r="AE485" s="43">
        <f t="shared" si="203"/>
        <v>58800.482525056519</v>
      </c>
      <c r="AF485" s="43">
        <f t="shared" si="204"/>
        <v>19600.160841685505</v>
      </c>
      <c r="AG485" s="43">
        <f t="shared" si="205"/>
        <v>-2.2737367544323206E-12</v>
      </c>
      <c r="AH485" s="43">
        <f t="shared" si="206"/>
        <v>0</v>
      </c>
      <c r="AJ485" s="43">
        <f t="shared" si="191"/>
        <v>59144.144538020606</v>
      </c>
      <c r="AK485" s="43">
        <f t="shared" si="192"/>
        <v>41140.737606697883</v>
      </c>
      <c r="AL485" s="43">
        <f t="shared" si="193"/>
        <v>39945.127795355067</v>
      </c>
      <c r="AM485" s="43">
        <f t="shared" si="194"/>
        <v>19600.160841685509</v>
      </c>
      <c r="AN485" s="43">
        <f t="shared" si="195"/>
        <v>0</v>
      </c>
    </row>
    <row r="486" spans="2:40">
      <c r="B486" s="37" t="str">
        <f t="shared" si="188"/>
        <v>Asset 180</v>
      </c>
      <c r="F486" s="37" t="str">
        <f t="shared" ref="F486:L486" si="261">F238</f>
        <v>20 Kantoorgebouwen</v>
      </c>
      <c r="G486" s="37">
        <f t="shared" si="261"/>
        <v>2016</v>
      </c>
      <c r="H486" s="52">
        <f t="shared" si="261"/>
        <v>229380.26938547671</v>
      </c>
      <c r="I486" s="37">
        <f t="shared" si="261"/>
        <v>2021</v>
      </c>
      <c r="J486" s="52">
        <f t="shared" si="261"/>
        <v>30</v>
      </c>
      <c r="K486" s="175">
        <f t="shared" si="261"/>
        <v>0</v>
      </c>
      <c r="L486" s="52">
        <f t="shared" si="261"/>
        <v>200783.5579674957</v>
      </c>
      <c r="N486" s="43">
        <f t="shared" si="201"/>
        <v>200783.5579674957</v>
      </c>
      <c r="P486" s="38">
        <f t="shared" si="190"/>
        <v>24.5</v>
      </c>
      <c r="R486" s="43">
        <f t="shared" si="251"/>
        <v>9588.4392988559193</v>
      </c>
      <c r="S486" s="43">
        <f t="shared" si="251"/>
        <v>9079.6649687125428</v>
      </c>
      <c r="T486" s="43">
        <f t="shared" si="251"/>
        <v>8597.886827515551</v>
      </c>
      <c r="U486" s="43">
        <f t="shared" si="251"/>
        <v>8141.6724244228881</v>
      </c>
      <c r="V486" s="43">
        <f t="shared" si="251"/>
        <v>7709.6653161882041</v>
      </c>
      <c r="X486" s="43">
        <f t="shared" si="252"/>
        <v>819.52472639794178</v>
      </c>
      <c r="Y486" s="43">
        <f t="shared" si="252"/>
        <v>819.52472639794178</v>
      </c>
      <c r="Z486" s="43">
        <f t="shared" si="252"/>
        <v>819.52472639794178</v>
      </c>
      <c r="AA486" s="43">
        <f t="shared" si="252"/>
        <v>819.52472639794178</v>
      </c>
      <c r="AB486" s="43">
        <f t="shared" si="252"/>
        <v>819.52472639794178</v>
      </c>
      <c r="AD486" s="43">
        <f t="shared" si="202"/>
        <v>190375.59394224183</v>
      </c>
      <c r="AE486" s="43">
        <f t="shared" si="203"/>
        <v>180476.40424713134</v>
      </c>
      <c r="AF486" s="43">
        <f t="shared" si="204"/>
        <v>171058.99269321785</v>
      </c>
      <c r="AG486" s="43">
        <f t="shared" si="205"/>
        <v>162097.79554239701</v>
      </c>
      <c r="AH486" s="43">
        <f t="shared" si="206"/>
        <v>153568.60549981086</v>
      </c>
      <c r="AJ486" s="43">
        <f t="shared" si="191"/>
        <v>16880.734219290083</v>
      </c>
      <c r="AK486" s="43">
        <f t="shared" si="192"/>
        <v>15854.911035265819</v>
      </c>
      <c r="AL486" s="43">
        <f t="shared" si="193"/>
        <v>15917.653276255771</v>
      </c>
      <c r="AM486" s="43">
        <f t="shared" si="194"/>
        <v>15120.913381431918</v>
      </c>
      <c r="AN486" s="43">
        <f t="shared" si="195"/>
        <v>14364.797051578958</v>
      </c>
    </row>
    <row r="487" spans="2:40">
      <c r="B487" s="37" t="str">
        <f t="shared" si="188"/>
        <v>Asset 181</v>
      </c>
      <c r="F487" s="37" t="str">
        <f t="shared" ref="F487:L487" si="262">F239</f>
        <v>39 ICT middelen 3</v>
      </c>
      <c r="G487" s="37">
        <f t="shared" si="262"/>
        <v>2016</v>
      </c>
      <c r="H487" s="52">
        <f t="shared" si="262"/>
        <v>529286.5107518764</v>
      </c>
      <c r="I487" s="37">
        <f t="shared" si="262"/>
        <v>2021</v>
      </c>
      <c r="J487" s="52">
        <f t="shared" si="262"/>
        <v>15</v>
      </c>
      <c r="K487" s="175">
        <f t="shared" si="262"/>
        <v>1</v>
      </c>
      <c r="L487" s="52">
        <f t="shared" si="262"/>
        <v>359294.38470756344</v>
      </c>
      <c r="N487" s="43">
        <f t="shared" si="201"/>
        <v>359294.38470756344</v>
      </c>
      <c r="P487" s="38">
        <f t="shared" si="190"/>
        <v>9.5</v>
      </c>
      <c r="R487" s="43">
        <f t="shared" ref="R487:V496" si="263">IF(R$305&lt;=$G487+$J487,VDB($L487*(1-$F$25),0,$P487,R$305-2022,MIN(R$305-2021,$P487),$F$22),0)</f>
        <v>44249.940011352555</v>
      </c>
      <c r="S487" s="43">
        <f t="shared" si="263"/>
        <v>38194.685062430624</v>
      </c>
      <c r="T487" s="43">
        <f t="shared" si="263"/>
        <v>32968.043948624334</v>
      </c>
      <c r="U487" s="43">
        <f t="shared" si="263"/>
        <v>31992.658032984553</v>
      </c>
      <c r="V487" s="43">
        <f t="shared" si="263"/>
        <v>31992.658032984553</v>
      </c>
      <c r="X487" s="43">
        <f t="shared" ref="X487:AB496" si="264">IF(X$305&lt;=$G487+$J487,VDB($L487*$F$25,0,$P487,X$305-2022,MIN(X$305-2021,$P487),1),0)</f>
        <v>3782.0461548164571</v>
      </c>
      <c r="Y487" s="43">
        <f t="shared" si="264"/>
        <v>3782.0461548164571</v>
      </c>
      <c r="Z487" s="43">
        <f t="shared" si="264"/>
        <v>3782.0461548164571</v>
      </c>
      <c r="AA487" s="43">
        <f t="shared" si="264"/>
        <v>3782.0461548164571</v>
      </c>
      <c r="AB487" s="43">
        <f t="shared" si="264"/>
        <v>3782.0461548164571</v>
      </c>
      <c r="AD487" s="43">
        <f t="shared" si="202"/>
        <v>311262.39854139445</v>
      </c>
      <c r="AE487" s="43">
        <f t="shared" si="203"/>
        <v>269285.66732414736</v>
      </c>
      <c r="AF487" s="43">
        <f t="shared" si="204"/>
        <v>232535.57722070656</v>
      </c>
      <c r="AG487" s="43">
        <f t="shared" si="205"/>
        <v>196760.87303290554</v>
      </c>
      <c r="AH487" s="43">
        <f t="shared" si="206"/>
        <v>160986.16884510452</v>
      </c>
      <c r="AJ487" s="43">
        <f t="shared" si="191"/>
        <v>58614.907716576432</v>
      </c>
      <c r="AK487" s="43">
        <f t="shared" si="192"/>
        <v>50863.15823894395</v>
      </c>
      <c r="AL487" s="43">
        <f t="shared" si="193"/>
        <v>45586.442037827641</v>
      </c>
      <c r="AM487" s="43">
        <f t="shared" si="194"/>
        <v>43251.617363051424</v>
      </c>
      <c r="AN487" s="43">
        <f t="shared" si="195"/>
        <v>41892.178603914988</v>
      </c>
    </row>
    <row r="488" spans="2:40">
      <c r="B488" s="37" t="str">
        <f t="shared" si="188"/>
        <v>Asset 182</v>
      </c>
      <c r="F488" s="37" t="str">
        <f t="shared" ref="F488:L488" si="265">F240</f>
        <v>12 Motorvoertuigen</v>
      </c>
      <c r="G488" s="37">
        <f t="shared" si="265"/>
        <v>2016</v>
      </c>
      <c r="H488" s="52">
        <f t="shared" si="265"/>
        <v>28567.827468907908</v>
      </c>
      <c r="I488" s="37">
        <f t="shared" si="265"/>
        <v>2021</v>
      </c>
      <c r="J488" s="52">
        <f t="shared" si="265"/>
        <v>10</v>
      </c>
      <c r="K488" s="175">
        <f t="shared" si="265"/>
        <v>1</v>
      </c>
      <c r="L488" s="52">
        <f t="shared" si="265"/>
        <v>13778.977338155324</v>
      </c>
      <c r="N488" s="43">
        <f t="shared" si="201"/>
        <v>13778.977338155324</v>
      </c>
      <c r="P488" s="38">
        <f t="shared" si="190"/>
        <v>4.5</v>
      </c>
      <c r="R488" s="43">
        <f t="shared" si="263"/>
        <v>3582.5341079203845</v>
      </c>
      <c r="S488" s="43">
        <f t="shared" si="263"/>
        <v>2547.5798100767179</v>
      </c>
      <c r="T488" s="43">
        <f t="shared" si="263"/>
        <v>2508.3862745370757</v>
      </c>
      <c r="U488" s="43">
        <f t="shared" si="263"/>
        <v>2508.3862745370757</v>
      </c>
      <c r="V488" s="43">
        <f t="shared" si="263"/>
        <v>1254.1931372685378</v>
      </c>
      <c r="X488" s="43">
        <f t="shared" si="264"/>
        <v>306.19949640345169</v>
      </c>
      <c r="Y488" s="43">
        <f t="shared" si="264"/>
        <v>306.19949640345169</v>
      </c>
      <c r="Z488" s="43">
        <f t="shared" si="264"/>
        <v>306.19949640345169</v>
      </c>
      <c r="AA488" s="43">
        <f t="shared" si="264"/>
        <v>306.19949640345169</v>
      </c>
      <c r="AB488" s="43">
        <f t="shared" si="264"/>
        <v>153.09974820172584</v>
      </c>
      <c r="AD488" s="43">
        <f t="shared" si="202"/>
        <v>9890.2437338314885</v>
      </c>
      <c r="AE488" s="43">
        <f t="shared" si="203"/>
        <v>7036.4644273513186</v>
      </c>
      <c r="AF488" s="43">
        <f t="shared" si="204"/>
        <v>4221.8786564107913</v>
      </c>
      <c r="AG488" s="43">
        <f t="shared" si="205"/>
        <v>1407.2928854702641</v>
      </c>
      <c r="AH488" s="43">
        <f t="shared" si="206"/>
        <v>3.979039320256561E-13</v>
      </c>
      <c r="AJ488" s="43">
        <f t="shared" si="191"/>
        <v>4225.001891274107</v>
      </c>
      <c r="AK488" s="43">
        <f t="shared" si="192"/>
        <v>3085.982632582763</v>
      </c>
      <c r="AL488" s="43">
        <f t="shared" si="193"/>
        <v>2975.0171598841375</v>
      </c>
      <c r="AM488" s="43">
        <f t="shared" si="194"/>
        <v>2868.0629005883975</v>
      </c>
      <c r="AN488" s="43">
        <f t="shared" si="195"/>
        <v>1407.2928854702636</v>
      </c>
    </row>
    <row r="489" spans="2:40">
      <c r="B489" s="37" t="str">
        <f t="shared" si="188"/>
        <v>Asset 183</v>
      </c>
      <c r="F489" s="37" t="str">
        <f t="shared" ref="F489:L489" si="266">F241</f>
        <v>06 Utiliteitsgebouwen</v>
      </c>
      <c r="G489" s="37">
        <f t="shared" si="266"/>
        <v>2016</v>
      </c>
      <c r="H489" s="52">
        <f t="shared" si="266"/>
        <v>69569.550579382194</v>
      </c>
      <c r="I489" s="37">
        <f t="shared" si="266"/>
        <v>2021</v>
      </c>
      <c r="J489" s="52">
        <f t="shared" si="266"/>
        <v>30</v>
      </c>
      <c r="K489" s="175">
        <f t="shared" si="266"/>
        <v>0</v>
      </c>
      <c r="L489" s="52">
        <f t="shared" si="266"/>
        <v>60896.353156050573</v>
      </c>
      <c r="N489" s="43">
        <f t="shared" si="201"/>
        <v>60896.353156050573</v>
      </c>
      <c r="P489" s="38">
        <f t="shared" si="190"/>
        <v>24.5</v>
      </c>
      <c r="R489" s="43">
        <f t="shared" si="263"/>
        <v>2908.1115588807829</v>
      </c>
      <c r="S489" s="43">
        <f t="shared" si="263"/>
        <v>2753.8035986136392</v>
      </c>
      <c r="T489" s="43">
        <f t="shared" si="263"/>
        <v>2607.6834076667933</v>
      </c>
      <c r="U489" s="43">
        <f t="shared" si="263"/>
        <v>2469.3165329742696</v>
      </c>
      <c r="V489" s="43">
        <f t="shared" si="263"/>
        <v>2338.2915740817571</v>
      </c>
      <c r="X489" s="43">
        <f t="shared" si="264"/>
        <v>248.55654349408397</v>
      </c>
      <c r="Y489" s="43">
        <f t="shared" si="264"/>
        <v>248.55654349408397</v>
      </c>
      <c r="Z489" s="43">
        <f t="shared" si="264"/>
        <v>248.55654349408397</v>
      </c>
      <c r="AA489" s="43">
        <f t="shared" si="264"/>
        <v>248.55654349408397</v>
      </c>
      <c r="AB489" s="43">
        <f t="shared" si="264"/>
        <v>248.55654349408397</v>
      </c>
      <c r="AD489" s="43">
        <f t="shared" si="202"/>
        <v>57739.685053675705</v>
      </c>
      <c r="AE489" s="43">
        <f t="shared" si="203"/>
        <v>54737.324911567979</v>
      </c>
      <c r="AF489" s="43">
        <f t="shared" si="204"/>
        <v>51881.084960407097</v>
      </c>
      <c r="AG489" s="43">
        <f t="shared" si="205"/>
        <v>49163.21188393874</v>
      </c>
      <c r="AH489" s="43">
        <f t="shared" si="206"/>
        <v>46576.363766362898</v>
      </c>
      <c r="AJ489" s="43">
        <f t="shared" si="191"/>
        <v>5119.8173941998411</v>
      </c>
      <c r="AK489" s="43">
        <f t="shared" si="192"/>
        <v>4808.6918641894663</v>
      </c>
      <c r="AL489" s="43">
        <f t="shared" si="193"/>
        <v>4827.721179656347</v>
      </c>
      <c r="AM489" s="43">
        <f t="shared" si="194"/>
        <v>4586.0751280580262</v>
      </c>
      <c r="AN489" s="43">
        <f t="shared" si="195"/>
        <v>4356.7499406976312</v>
      </c>
    </row>
    <row r="490" spans="2:40">
      <c r="B490" s="37" t="str">
        <f t="shared" si="188"/>
        <v>Asset 184</v>
      </c>
      <c r="F490" s="37" t="str">
        <f t="shared" ref="F490:L490" si="267">F242</f>
        <v>09 Bedrijfsinventaris</v>
      </c>
      <c r="G490" s="37">
        <f t="shared" si="267"/>
        <v>2016</v>
      </c>
      <c r="H490" s="52">
        <f t="shared" si="267"/>
        <v>285684.31746031862</v>
      </c>
      <c r="I490" s="37">
        <f t="shared" si="267"/>
        <v>2021</v>
      </c>
      <c r="J490" s="52">
        <f t="shared" si="267"/>
        <v>10</v>
      </c>
      <c r="K490" s="175">
        <f t="shared" si="267"/>
        <v>1</v>
      </c>
      <c r="L490" s="52">
        <f t="shared" si="267"/>
        <v>137792.68796118168</v>
      </c>
      <c r="N490" s="43">
        <f t="shared" si="201"/>
        <v>137792.68796118168</v>
      </c>
      <c r="P490" s="38">
        <f t="shared" si="190"/>
        <v>4.5</v>
      </c>
      <c r="R490" s="43">
        <f t="shared" si="263"/>
        <v>35826.09886990724</v>
      </c>
      <c r="S490" s="43">
        <f t="shared" si="263"/>
        <v>25476.33697415626</v>
      </c>
      <c r="T490" s="43">
        <f t="shared" si="263"/>
        <v>25084.393328400001</v>
      </c>
      <c r="U490" s="43">
        <f t="shared" si="263"/>
        <v>25084.393328400001</v>
      </c>
      <c r="V490" s="43">
        <f t="shared" si="263"/>
        <v>12542.196664200001</v>
      </c>
      <c r="X490" s="43">
        <f t="shared" si="264"/>
        <v>3062.0597324707041</v>
      </c>
      <c r="Y490" s="43">
        <f t="shared" si="264"/>
        <v>3062.0597324707041</v>
      </c>
      <c r="Z490" s="43">
        <f t="shared" si="264"/>
        <v>3062.0597324707041</v>
      </c>
      <c r="AA490" s="43">
        <f t="shared" si="264"/>
        <v>3062.0597324707041</v>
      </c>
      <c r="AB490" s="43">
        <f t="shared" si="264"/>
        <v>1531.0298662353521</v>
      </c>
      <c r="AD490" s="43">
        <f t="shared" si="202"/>
        <v>98904.529358803746</v>
      </c>
      <c r="AE490" s="43">
        <f t="shared" si="203"/>
        <v>70366.132652176777</v>
      </c>
      <c r="AF490" s="43">
        <f t="shared" si="204"/>
        <v>42219.679591306071</v>
      </c>
      <c r="AG490" s="43">
        <f t="shared" si="205"/>
        <v>14073.226530435364</v>
      </c>
      <c r="AH490" s="43">
        <f t="shared" si="206"/>
        <v>1.1368683772161603E-11</v>
      </c>
      <c r="AJ490" s="43">
        <f t="shared" si="191"/>
        <v>42250.91260057727</v>
      </c>
      <c r="AK490" s="43">
        <f t="shared" si="192"/>
        <v>30860.479084148799</v>
      </c>
      <c r="AL490" s="43">
        <f t="shared" si="193"/>
        <v>29750.800885340337</v>
      </c>
      <c r="AM490" s="43">
        <f t="shared" si="194"/>
        <v>28681.23566902725</v>
      </c>
      <c r="AN490" s="43">
        <f t="shared" si="195"/>
        <v>14073.226530435353</v>
      </c>
    </row>
    <row r="491" spans="2:40">
      <c r="B491" s="37" t="str">
        <f t="shared" si="188"/>
        <v>Asset 185</v>
      </c>
      <c r="F491" s="37" t="str">
        <f t="shared" ref="F491:L491" si="268">F243</f>
        <v>08 Inrichting gebouwen</v>
      </c>
      <c r="G491" s="37">
        <f t="shared" si="268"/>
        <v>2016</v>
      </c>
      <c r="H491" s="52">
        <f t="shared" si="268"/>
        <v>23169.006741347624</v>
      </c>
      <c r="I491" s="37">
        <f t="shared" si="268"/>
        <v>2021</v>
      </c>
      <c r="J491" s="52">
        <f t="shared" si="268"/>
        <v>10</v>
      </c>
      <c r="K491" s="175">
        <f t="shared" si="268"/>
        <v>0</v>
      </c>
      <c r="L491" s="52">
        <f t="shared" si="268"/>
        <v>11174.991139387506</v>
      </c>
      <c r="N491" s="43">
        <f t="shared" si="201"/>
        <v>11174.991139387506</v>
      </c>
      <c r="P491" s="38">
        <f t="shared" si="190"/>
        <v>4.5</v>
      </c>
      <c r="R491" s="43">
        <f t="shared" si="263"/>
        <v>2905.4976962407518</v>
      </c>
      <c r="S491" s="43">
        <f t="shared" si="263"/>
        <v>2066.1316951045346</v>
      </c>
      <c r="T491" s="43">
        <f t="shared" si="263"/>
        <v>2034.3450536413875</v>
      </c>
      <c r="U491" s="43">
        <f t="shared" si="263"/>
        <v>2034.3450536413875</v>
      </c>
      <c r="V491" s="43">
        <f t="shared" si="263"/>
        <v>1017.1725268206937</v>
      </c>
      <c r="X491" s="43">
        <f t="shared" si="264"/>
        <v>248.33313643083349</v>
      </c>
      <c r="Y491" s="43">
        <f t="shared" si="264"/>
        <v>248.33313643083349</v>
      </c>
      <c r="Z491" s="43">
        <f t="shared" si="264"/>
        <v>248.33313643083349</v>
      </c>
      <c r="AA491" s="43">
        <f t="shared" si="264"/>
        <v>248.33313643083349</v>
      </c>
      <c r="AB491" s="43">
        <f t="shared" si="264"/>
        <v>124.16656821541675</v>
      </c>
      <c r="AD491" s="43">
        <f t="shared" si="202"/>
        <v>8021.1603067159222</v>
      </c>
      <c r="AE491" s="43">
        <f t="shared" si="203"/>
        <v>5706.6954751805542</v>
      </c>
      <c r="AF491" s="43">
        <f t="shared" si="204"/>
        <v>3424.0172851083335</v>
      </c>
      <c r="AG491" s="43">
        <f t="shared" si="205"/>
        <v>1141.3390950361124</v>
      </c>
      <c r="AH491" s="43">
        <f t="shared" si="206"/>
        <v>1.9468870959826745E-12</v>
      </c>
      <c r="AJ491" s="43">
        <f t="shared" si="191"/>
        <v>3426.5502830999267</v>
      </c>
      <c r="AK491" s="43">
        <f t="shared" si="192"/>
        <v>2502.7857822163264</v>
      </c>
      <c r="AL491" s="43">
        <f t="shared" si="193"/>
        <v>2412.7908469063373</v>
      </c>
      <c r="AM491" s="43">
        <f t="shared" si="194"/>
        <v>2326.0490756835929</v>
      </c>
      <c r="AN491" s="43">
        <f t="shared" si="195"/>
        <v>1141.3390950361104</v>
      </c>
    </row>
    <row r="492" spans="2:40">
      <c r="B492" s="37" t="str">
        <f t="shared" si="188"/>
        <v>Asset 186</v>
      </c>
      <c r="F492" s="37" t="str">
        <f t="shared" ref="F492:L492" si="269">F244</f>
        <v>11 Werktuigen (KC)</v>
      </c>
      <c r="G492" s="37">
        <f t="shared" si="269"/>
        <v>2017</v>
      </c>
      <c r="H492" s="52">
        <f t="shared" si="269"/>
        <v>42505.139899436123</v>
      </c>
      <c r="I492" s="37">
        <f t="shared" si="269"/>
        <v>2021</v>
      </c>
      <c r="J492" s="52">
        <f t="shared" si="269"/>
        <v>10</v>
      </c>
      <c r="K492" s="175">
        <f t="shared" si="269"/>
        <v>0</v>
      </c>
      <c r="L492" s="52">
        <f t="shared" si="269"/>
        <v>25007.119857240814</v>
      </c>
      <c r="N492" s="43">
        <f t="shared" si="201"/>
        <v>25007.119857240814</v>
      </c>
      <c r="P492" s="38">
        <f t="shared" si="190"/>
        <v>5.5</v>
      </c>
      <c r="R492" s="43">
        <f t="shared" si="263"/>
        <v>5319.6964059948641</v>
      </c>
      <c r="S492" s="43">
        <f t="shared" si="263"/>
        <v>4062.3136191233507</v>
      </c>
      <c r="T492" s="43">
        <f t="shared" si="263"/>
        <v>3749.8279561138625</v>
      </c>
      <c r="U492" s="43">
        <f t="shared" si="263"/>
        <v>3749.8279561138625</v>
      </c>
      <c r="V492" s="43">
        <f t="shared" si="263"/>
        <v>3749.8279561138625</v>
      </c>
      <c r="X492" s="43">
        <f t="shared" si="264"/>
        <v>454.67490649528753</v>
      </c>
      <c r="Y492" s="43">
        <f t="shared" si="264"/>
        <v>454.67490649528753</v>
      </c>
      <c r="Z492" s="43">
        <f t="shared" si="264"/>
        <v>454.67490649528753</v>
      </c>
      <c r="AA492" s="43">
        <f t="shared" si="264"/>
        <v>454.67490649528753</v>
      </c>
      <c r="AB492" s="43">
        <f t="shared" si="264"/>
        <v>454.67490649528753</v>
      </c>
      <c r="AD492" s="43">
        <f t="shared" si="202"/>
        <v>19232.748544750662</v>
      </c>
      <c r="AE492" s="43">
        <f t="shared" si="203"/>
        <v>14715.760019132025</v>
      </c>
      <c r="AF492" s="43">
        <f t="shared" si="204"/>
        <v>10511.257156522875</v>
      </c>
      <c r="AG492" s="43">
        <f t="shared" si="205"/>
        <v>6306.7542939137256</v>
      </c>
      <c r="AH492" s="43">
        <f t="shared" si="206"/>
        <v>2102.2514313045758</v>
      </c>
      <c r="AJ492" s="43">
        <f t="shared" si="191"/>
        <v>6428.2847630116739</v>
      </c>
      <c r="AK492" s="43">
        <f t="shared" si="192"/>
        <v>5002.6086062499953</v>
      </c>
      <c r="AL492" s="43">
        <f t="shared" si="193"/>
        <v>4603.9306345570194</v>
      </c>
      <c r="AM492" s="43">
        <f t="shared" si="194"/>
        <v>4444.1595257778717</v>
      </c>
      <c r="AN492" s="43">
        <f t="shared" si="195"/>
        <v>4284.3884169987241</v>
      </c>
    </row>
    <row r="493" spans="2:40">
      <c r="B493" s="37" t="str">
        <f t="shared" si="188"/>
        <v>Asset 187</v>
      </c>
      <c r="F493" s="37" t="str">
        <f t="shared" ref="F493:L493" si="270">F245</f>
        <v>10 Gereedschap</v>
      </c>
      <c r="G493" s="37">
        <f t="shared" si="270"/>
        <v>2017</v>
      </c>
      <c r="H493" s="52">
        <f t="shared" si="270"/>
        <v>283180.78041617683</v>
      </c>
      <c r="I493" s="37">
        <f t="shared" si="270"/>
        <v>2021</v>
      </c>
      <c r="J493" s="52">
        <f t="shared" si="270"/>
        <v>10</v>
      </c>
      <c r="K493" s="175">
        <f t="shared" si="270"/>
        <v>1</v>
      </c>
      <c r="L493" s="52">
        <f t="shared" si="270"/>
        <v>166604.2208986652</v>
      </c>
      <c r="N493" s="43">
        <f t="shared" si="201"/>
        <v>166604.2208986652</v>
      </c>
      <c r="P493" s="38">
        <f t="shared" si="190"/>
        <v>5.5</v>
      </c>
      <c r="R493" s="43">
        <f t="shared" si="263"/>
        <v>35441.261536625141</v>
      </c>
      <c r="S493" s="43">
        <f t="shared" si="263"/>
        <v>27064.236082513748</v>
      </c>
      <c r="T493" s="43">
        <f t="shared" si="263"/>
        <v>24982.37176847423</v>
      </c>
      <c r="U493" s="43">
        <f t="shared" si="263"/>
        <v>24982.37176847423</v>
      </c>
      <c r="V493" s="43">
        <f t="shared" si="263"/>
        <v>24982.37176847423</v>
      </c>
      <c r="X493" s="43">
        <f t="shared" si="264"/>
        <v>3029.1676527030036</v>
      </c>
      <c r="Y493" s="43">
        <f t="shared" si="264"/>
        <v>3029.1676527030036</v>
      </c>
      <c r="Z493" s="43">
        <f t="shared" si="264"/>
        <v>3029.1676527030036</v>
      </c>
      <c r="AA493" s="43">
        <f t="shared" si="264"/>
        <v>3029.1676527030036</v>
      </c>
      <c r="AB493" s="43">
        <f t="shared" si="264"/>
        <v>3029.1676527030036</v>
      </c>
      <c r="AD493" s="43">
        <f t="shared" si="202"/>
        <v>128133.79170933703</v>
      </c>
      <c r="AE493" s="43">
        <f t="shared" si="203"/>
        <v>98040.387974120284</v>
      </c>
      <c r="AF493" s="43">
        <f t="shared" si="204"/>
        <v>70028.848552943047</v>
      </c>
      <c r="AG493" s="43">
        <f t="shared" si="205"/>
        <v>42017.309131765811</v>
      </c>
      <c r="AH493" s="43">
        <f t="shared" si="206"/>
        <v>14005.769710588578</v>
      </c>
      <c r="AJ493" s="43">
        <f t="shared" si="191"/>
        <v>42826.978107445611</v>
      </c>
      <c r="AK493" s="43">
        <f t="shared" si="192"/>
        <v>33328.736538362718</v>
      </c>
      <c r="AL493" s="43">
        <f t="shared" si="193"/>
        <v>30672.635666189068</v>
      </c>
      <c r="AM493" s="43">
        <f t="shared" si="194"/>
        <v>29608.197168184335</v>
      </c>
      <c r="AN493" s="43">
        <f t="shared" si="195"/>
        <v>28543.758670179599</v>
      </c>
    </row>
    <row r="494" spans="2:40">
      <c r="B494" s="37" t="str">
        <f t="shared" si="188"/>
        <v>Asset 188</v>
      </c>
      <c r="F494" s="37" t="str">
        <f t="shared" ref="F494:L494" si="271">F246</f>
        <v>10 Gereedschap</v>
      </c>
      <c r="G494" s="37">
        <f t="shared" si="271"/>
        <v>2016</v>
      </c>
      <c r="H494" s="52">
        <f t="shared" si="271"/>
        <v>59355.750635093973</v>
      </c>
      <c r="I494" s="37">
        <f t="shared" si="271"/>
        <v>2021</v>
      </c>
      <c r="J494" s="52">
        <f t="shared" si="271"/>
        <v>10</v>
      </c>
      <c r="K494" s="175">
        <f t="shared" si="271"/>
        <v>1</v>
      </c>
      <c r="L494" s="52">
        <f t="shared" si="271"/>
        <v>28628.76232994219</v>
      </c>
      <c r="N494" s="43">
        <f t="shared" si="201"/>
        <v>28628.76232994219</v>
      </c>
      <c r="P494" s="38">
        <f t="shared" si="190"/>
        <v>4.5</v>
      </c>
      <c r="R494" s="43">
        <f t="shared" si="263"/>
        <v>7443.4782057849707</v>
      </c>
      <c r="S494" s="43">
        <f t="shared" si="263"/>
        <v>5293.1400574470899</v>
      </c>
      <c r="T494" s="43">
        <f t="shared" si="263"/>
        <v>5211.7071334863649</v>
      </c>
      <c r="U494" s="43">
        <f t="shared" si="263"/>
        <v>5211.7071334863649</v>
      </c>
      <c r="V494" s="43">
        <f t="shared" si="263"/>
        <v>2605.8535667431825</v>
      </c>
      <c r="X494" s="43">
        <f t="shared" si="264"/>
        <v>636.19471844315979</v>
      </c>
      <c r="Y494" s="43">
        <f t="shared" si="264"/>
        <v>636.1947184431599</v>
      </c>
      <c r="Z494" s="43">
        <f t="shared" si="264"/>
        <v>636.1947184431599</v>
      </c>
      <c r="AA494" s="43">
        <f t="shared" si="264"/>
        <v>636.1947184431599</v>
      </c>
      <c r="AB494" s="43">
        <f t="shared" si="264"/>
        <v>318.09735922157995</v>
      </c>
      <c r="AD494" s="43">
        <f t="shared" si="202"/>
        <v>20549.089405714061</v>
      </c>
      <c r="AE494" s="43">
        <f t="shared" si="203"/>
        <v>14619.754629823812</v>
      </c>
      <c r="AF494" s="43">
        <f t="shared" si="204"/>
        <v>8771.852777894288</v>
      </c>
      <c r="AG494" s="43">
        <f t="shared" si="205"/>
        <v>2923.950925964763</v>
      </c>
      <c r="AH494" s="43">
        <f t="shared" si="206"/>
        <v>5.6843418860808015E-13</v>
      </c>
      <c r="AJ494" s="43">
        <f t="shared" si="191"/>
        <v>8778.3419640224092</v>
      </c>
      <c r="AK494" s="43">
        <f t="shared" si="192"/>
        <v>6411.7866786744362</v>
      </c>
      <c r="AL494" s="43">
        <f t="shared" si="193"/>
        <v>6181.2322574895079</v>
      </c>
      <c r="AM494" s="43">
        <f t="shared" si="194"/>
        <v>5959.011987116186</v>
      </c>
      <c r="AN494" s="43">
        <f t="shared" si="195"/>
        <v>2923.9509259647625</v>
      </c>
    </row>
    <row r="495" spans="2:40">
      <c r="B495" s="37" t="str">
        <f t="shared" si="188"/>
        <v>Asset 189</v>
      </c>
      <c r="F495" s="37" t="str">
        <f t="shared" ref="F495:L495" si="272">F247</f>
        <v>20 Kantoorgebouwen</v>
      </c>
      <c r="G495" s="37">
        <f t="shared" si="272"/>
        <v>2017</v>
      </c>
      <c r="H495" s="52">
        <f t="shared" si="272"/>
        <v>1235103.6006231268</v>
      </c>
      <c r="I495" s="37">
        <f t="shared" si="272"/>
        <v>2021</v>
      </c>
      <c r="J495" s="52">
        <f t="shared" si="272"/>
        <v>30</v>
      </c>
      <c r="K495" s="175">
        <f t="shared" si="272"/>
        <v>0</v>
      </c>
      <c r="L495" s="52">
        <f t="shared" si="272"/>
        <v>1123005.4133120223</v>
      </c>
      <c r="N495" s="43">
        <f t="shared" si="201"/>
        <v>1123005.4133120223</v>
      </c>
      <c r="P495" s="38">
        <f t="shared" si="190"/>
        <v>25.5</v>
      </c>
      <c r="R495" s="43">
        <f t="shared" si="263"/>
        <v>51526.130728433964</v>
      </c>
      <c r="S495" s="43">
        <f t="shared" si="263"/>
        <v>48899.308377572626</v>
      </c>
      <c r="T495" s="43">
        <f t="shared" si="263"/>
        <v>46406.402460284604</v>
      </c>
      <c r="U495" s="43">
        <f t="shared" si="263"/>
        <v>44040.585864270091</v>
      </c>
      <c r="V495" s="43">
        <f t="shared" si="263"/>
        <v>41795.379526091616</v>
      </c>
      <c r="X495" s="43">
        <f t="shared" si="264"/>
        <v>4403.9427973020483</v>
      </c>
      <c r="Y495" s="43">
        <f t="shared" si="264"/>
        <v>4403.9427973020483</v>
      </c>
      <c r="Z495" s="43">
        <f t="shared" si="264"/>
        <v>4403.9427973020483</v>
      </c>
      <c r="AA495" s="43">
        <f t="shared" si="264"/>
        <v>4403.9427973020483</v>
      </c>
      <c r="AB495" s="43">
        <f t="shared" si="264"/>
        <v>4403.9427973020483</v>
      </c>
      <c r="AD495" s="43">
        <f t="shared" si="202"/>
        <v>1067075.3397862862</v>
      </c>
      <c r="AE495" s="43">
        <f t="shared" si="203"/>
        <v>1013772.0886114116</v>
      </c>
      <c r="AF495" s="43">
        <f t="shared" si="204"/>
        <v>962961.74335382495</v>
      </c>
      <c r="AG495" s="43">
        <f t="shared" si="205"/>
        <v>914517.2146922528</v>
      </c>
      <c r="AH495" s="43">
        <f t="shared" si="206"/>
        <v>868317.89236885915</v>
      </c>
      <c r="AJ495" s="43">
        <f t="shared" si="191"/>
        <v>92210.635078469757</v>
      </c>
      <c r="AK495" s="43">
        <f t="shared" si="192"/>
        <v>86757.730099051259</v>
      </c>
      <c r="AL495" s="43">
        <f t="shared" si="193"/>
        <v>87402.891505031992</v>
      </c>
      <c r="AM495" s="43">
        <f t="shared" si="194"/>
        <v>83196.182819877751</v>
      </c>
      <c r="AN495" s="43">
        <f t="shared" si="195"/>
        <v>79195.402233410307</v>
      </c>
    </row>
    <row r="496" spans="2:40">
      <c r="B496" s="37" t="str">
        <f t="shared" si="188"/>
        <v>Asset 190</v>
      </c>
      <c r="F496" s="37" t="str">
        <f t="shared" ref="F496:L496" si="273">F248</f>
        <v>13 Aanhangwagens</v>
      </c>
      <c r="G496" s="37">
        <f t="shared" si="273"/>
        <v>2017</v>
      </c>
      <c r="H496" s="52">
        <f t="shared" si="273"/>
        <v>251242.94461834809</v>
      </c>
      <c r="I496" s="37">
        <f t="shared" si="273"/>
        <v>2021</v>
      </c>
      <c r="J496" s="52">
        <f t="shared" si="273"/>
        <v>10</v>
      </c>
      <c r="K496" s="175">
        <f t="shared" si="273"/>
        <v>1</v>
      </c>
      <c r="L496" s="52">
        <f t="shared" si="273"/>
        <v>147814.18069019204</v>
      </c>
      <c r="N496" s="43">
        <f t="shared" si="201"/>
        <v>147814.18069019204</v>
      </c>
      <c r="P496" s="38">
        <f t="shared" si="190"/>
        <v>5.5</v>
      </c>
      <c r="R496" s="43">
        <f t="shared" si="263"/>
        <v>31444.107528640856</v>
      </c>
      <c r="S496" s="43">
        <f t="shared" si="263"/>
        <v>24011.863930962107</v>
      </c>
      <c r="T496" s="43">
        <f t="shared" si="263"/>
        <v>22164.797474734252</v>
      </c>
      <c r="U496" s="43">
        <f t="shared" si="263"/>
        <v>22164.797474734252</v>
      </c>
      <c r="V496" s="43">
        <f t="shared" si="263"/>
        <v>22164.797474734252</v>
      </c>
      <c r="X496" s="43">
        <f t="shared" si="264"/>
        <v>2687.5305580034919</v>
      </c>
      <c r="Y496" s="43">
        <f t="shared" si="264"/>
        <v>2687.5305580034919</v>
      </c>
      <c r="Z496" s="43">
        <f t="shared" si="264"/>
        <v>2687.5305580034919</v>
      </c>
      <c r="AA496" s="43">
        <f t="shared" si="264"/>
        <v>2687.5305580034919</v>
      </c>
      <c r="AB496" s="43">
        <f t="shared" si="264"/>
        <v>2687.5305580034919</v>
      </c>
      <c r="AD496" s="43">
        <f t="shared" si="202"/>
        <v>113682.54260354768</v>
      </c>
      <c r="AE496" s="43">
        <f t="shared" si="203"/>
        <v>86983.148114582087</v>
      </c>
      <c r="AF496" s="43">
        <f t="shared" si="204"/>
        <v>62130.820081844344</v>
      </c>
      <c r="AG496" s="43">
        <f t="shared" si="205"/>
        <v>37278.4920491066</v>
      </c>
      <c r="AH496" s="43">
        <f t="shared" si="206"/>
        <v>12426.164016368857</v>
      </c>
      <c r="AJ496" s="43">
        <f t="shared" si="191"/>
        <v>37996.844535164972</v>
      </c>
      <c r="AK496" s="43">
        <f t="shared" si="192"/>
        <v>29569.838376746808</v>
      </c>
      <c r="AL496" s="43">
        <f t="shared" si="193"/>
        <v>27213.299195847827</v>
      </c>
      <c r="AM496" s="43">
        <f t="shared" si="194"/>
        <v>26268.910730603795</v>
      </c>
      <c r="AN496" s="43">
        <f t="shared" si="195"/>
        <v>25324.522265359759</v>
      </c>
    </row>
    <row r="497" spans="2:40">
      <c r="B497" s="37" t="str">
        <f t="shared" si="188"/>
        <v>Asset 191</v>
      </c>
      <c r="F497" s="37" t="str">
        <f t="shared" ref="F497:L497" si="274">F249</f>
        <v>12 Motorvoertuigen</v>
      </c>
      <c r="G497" s="37">
        <f t="shared" si="274"/>
        <v>2017</v>
      </c>
      <c r="H497" s="52">
        <f t="shared" si="274"/>
        <v>342149.84909853589</v>
      </c>
      <c r="I497" s="37">
        <f t="shared" si="274"/>
        <v>2021</v>
      </c>
      <c r="J497" s="52">
        <f t="shared" si="274"/>
        <v>10</v>
      </c>
      <c r="K497" s="175">
        <f t="shared" si="274"/>
        <v>1</v>
      </c>
      <c r="L497" s="52">
        <f t="shared" si="274"/>
        <v>201297.59143922853</v>
      </c>
      <c r="N497" s="43">
        <f t="shared" si="201"/>
        <v>201297.59143922853</v>
      </c>
      <c r="P497" s="38">
        <f t="shared" si="190"/>
        <v>5.5</v>
      </c>
      <c r="R497" s="43">
        <f t="shared" ref="R497:V506" si="275">IF(R$305&lt;=$G497+$J497,VDB($L497*(1-$F$25),0,$P497,R$305-2022,MIN(R$305-2021,$P497),$F$22),0)</f>
        <v>42821.487633435885</v>
      </c>
      <c r="S497" s="43">
        <f t="shared" si="275"/>
        <v>32700.0451018965</v>
      </c>
      <c r="T497" s="43">
        <f t="shared" si="275"/>
        <v>30184.657017135232</v>
      </c>
      <c r="U497" s="43">
        <f t="shared" si="275"/>
        <v>30184.657017135232</v>
      </c>
      <c r="V497" s="43">
        <f t="shared" si="275"/>
        <v>30184.657017135232</v>
      </c>
      <c r="X497" s="43">
        <f t="shared" ref="X497:AB506" si="276">IF(X$305&lt;=$G497+$J497,VDB($L497*$F$25,0,$P497,X$305-2022,MIN(X$305-2021,$P497),1),0)</f>
        <v>3659.9562079859738</v>
      </c>
      <c r="Y497" s="43">
        <f t="shared" si="276"/>
        <v>3659.9562079859734</v>
      </c>
      <c r="Z497" s="43">
        <f t="shared" si="276"/>
        <v>3659.9562079859734</v>
      </c>
      <c r="AA497" s="43">
        <f t="shared" si="276"/>
        <v>3659.9562079859734</v>
      </c>
      <c r="AB497" s="43">
        <f t="shared" si="276"/>
        <v>3659.9562079859734</v>
      </c>
      <c r="AD497" s="43">
        <f t="shared" si="202"/>
        <v>154816.14759780667</v>
      </c>
      <c r="AE497" s="43">
        <f t="shared" si="203"/>
        <v>118456.1462879242</v>
      </c>
      <c r="AF497" s="43">
        <f t="shared" si="204"/>
        <v>84611.533062802991</v>
      </c>
      <c r="AG497" s="43">
        <f t="shared" si="205"/>
        <v>50766.91983768178</v>
      </c>
      <c r="AH497" s="43">
        <f t="shared" si="206"/>
        <v>16922.306612560576</v>
      </c>
      <c r="AJ497" s="43">
        <f t="shared" si="191"/>
        <v>51745.192859747287</v>
      </c>
      <c r="AK497" s="43">
        <f t="shared" si="192"/>
        <v>40269.054137383973</v>
      </c>
      <c r="AL497" s="43">
        <f t="shared" si="193"/>
        <v>37059.851481507714</v>
      </c>
      <c r="AM497" s="43">
        <f t="shared" si="194"/>
        <v>35773.75617895311</v>
      </c>
      <c r="AN497" s="43">
        <f t="shared" si="195"/>
        <v>34487.660876398506</v>
      </c>
    </row>
    <row r="498" spans="2:40">
      <c r="B498" s="37" t="str">
        <f t="shared" si="188"/>
        <v>Asset 192</v>
      </c>
      <c r="F498" s="37" t="str">
        <f t="shared" ref="F498:L498" si="277">F250</f>
        <v>10 Gereedschap (gaschromatografen en comptabele meters)</v>
      </c>
      <c r="G498" s="37">
        <f t="shared" si="277"/>
        <v>2017</v>
      </c>
      <c r="H498" s="52">
        <f t="shared" si="277"/>
        <v>492613.45921199484</v>
      </c>
      <c r="I498" s="37">
        <f t="shared" si="277"/>
        <v>2021</v>
      </c>
      <c r="J498" s="52">
        <f t="shared" si="277"/>
        <v>10</v>
      </c>
      <c r="K498" s="175">
        <f t="shared" si="277"/>
        <v>0</v>
      </c>
      <c r="L498" s="52">
        <f t="shared" si="277"/>
        <v>289820.09815635922</v>
      </c>
      <c r="N498" s="43">
        <f t="shared" si="201"/>
        <v>289820.09815635922</v>
      </c>
      <c r="P498" s="38">
        <f t="shared" si="190"/>
        <v>5.5</v>
      </c>
      <c r="R498" s="43">
        <f t="shared" si="275"/>
        <v>61652.639062352777</v>
      </c>
      <c r="S498" s="43">
        <f t="shared" si="275"/>
        <v>47080.197102160309</v>
      </c>
      <c r="T498" s="43">
        <f t="shared" si="275"/>
        <v>43458.643478917205</v>
      </c>
      <c r="U498" s="43">
        <f t="shared" si="275"/>
        <v>43458.643478917205</v>
      </c>
      <c r="V498" s="43">
        <f t="shared" si="275"/>
        <v>43458.643478917205</v>
      </c>
      <c r="X498" s="43">
        <f t="shared" si="276"/>
        <v>5269.4563301156222</v>
      </c>
      <c r="Y498" s="43">
        <f t="shared" si="276"/>
        <v>5269.4563301156222</v>
      </c>
      <c r="Z498" s="43">
        <f t="shared" si="276"/>
        <v>5269.4563301156222</v>
      </c>
      <c r="AA498" s="43">
        <f t="shared" si="276"/>
        <v>5269.4563301156222</v>
      </c>
      <c r="AB498" s="43">
        <f t="shared" si="276"/>
        <v>5269.4563301156222</v>
      </c>
      <c r="AD498" s="43">
        <f t="shared" si="202"/>
        <v>222898.00276389084</v>
      </c>
      <c r="AE498" s="43">
        <f t="shared" si="203"/>
        <v>170548.34933161491</v>
      </c>
      <c r="AF498" s="43">
        <f t="shared" si="204"/>
        <v>121820.24952258209</v>
      </c>
      <c r="AG498" s="43">
        <f t="shared" si="205"/>
        <v>73092.149713549268</v>
      </c>
      <c r="AH498" s="43">
        <f t="shared" si="206"/>
        <v>24364.04990451644</v>
      </c>
      <c r="AJ498" s="43">
        <f t="shared" si="191"/>
        <v>74500.627486440688</v>
      </c>
      <c r="AK498" s="43">
        <f t="shared" si="192"/>
        <v>57977.748960219222</v>
      </c>
      <c r="AL498" s="43">
        <f t="shared" si="193"/>
        <v>53357.269290890945</v>
      </c>
      <c r="AM498" s="43">
        <f t="shared" si="194"/>
        <v>51505.601498147698</v>
      </c>
      <c r="AN498" s="43">
        <f t="shared" si="195"/>
        <v>49653.933705404452</v>
      </c>
    </row>
    <row r="499" spans="2:40">
      <c r="B499" s="37" t="str">
        <f t="shared" si="188"/>
        <v>Asset 193</v>
      </c>
      <c r="F499" s="37" t="str">
        <f t="shared" ref="F499:L499" si="278">F251</f>
        <v>11 Werktuigen</v>
      </c>
      <c r="G499" s="37">
        <f t="shared" si="278"/>
        <v>2017</v>
      </c>
      <c r="H499" s="52">
        <f t="shared" si="278"/>
        <v>2185364.6124668787</v>
      </c>
      <c r="I499" s="37">
        <f t="shared" si="278"/>
        <v>2021</v>
      </c>
      <c r="J499" s="52">
        <f t="shared" si="278"/>
        <v>10</v>
      </c>
      <c r="K499" s="175">
        <f t="shared" si="278"/>
        <v>1</v>
      </c>
      <c r="L499" s="52">
        <f t="shared" si="278"/>
        <v>1285719.20772473</v>
      </c>
      <c r="N499" s="43">
        <f t="shared" si="201"/>
        <v>1285719.20772473</v>
      </c>
      <c r="P499" s="38">
        <f t="shared" si="190"/>
        <v>5.5</v>
      </c>
      <c r="R499" s="43">
        <f t="shared" si="275"/>
        <v>273507.54055235168</v>
      </c>
      <c r="S499" s="43">
        <f t="shared" si="275"/>
        <v>208860.30369452311</v>
      </c>
      <c r="T499" s="43">
        <f t="shared" si="275"/>
        <v>192794.1264872521</v>
      </c>
      <c r="U499" s="43">
        <f t="shared" si="275"/>
        <v>192794.1264872521</v>
      </c>
      <c r="V499" s="43">
        <f t="shared" si="275"/>
        <v>192794.1264872521</v>
      </c>
      <c r="X499" s="43">
        <f t="shared" si="276"/>
        <v>23376.712867722366</v>
      </c>
      <c r="Y499" s="43">
        <f t="shared" si="276"/>
        <v>23376.712867722366</v>
      </c>
      <c r="Z499" s="43">
        <f t="shared" si="276"/>
        <v>23376.712867722366</v>
      </c>
      <c r="AA499" s="43">
        <f t="shared" si="276"/>
        <v>23376.712867722366</v>
      </c>
      <c r="AB499" s="43">
        <f t="shared" si="276"/>
        <v>23376.712867722366</v>
      </c>
      <c r="AD499" s="43">
        <f t="shared" si="202"/>
        <v>988834.95430465601</v>
      </c>
      <c r="AE499" s="43">
        <f t="shared" si="203"/>
        <v>756597.93774241046</v>
      </c>
      <c r="AF499" s="43">
        <f t="shared" si="204"/>
        <v>540427.09838743601</v>
      </c>
      <c r="AG499" s="43">
        <f t="shared" si="205"/>
        <v>324256.25903246156</v>
      </c>
      <c r="AH499" s="43">
        <f t="shared" si="206"/>
        <v>108085.41967748709</v>
      </c>
      <c r="AJ499" s="43">
        <f t="shared" si="191"/>
        <v>330504.64186643239</v>
      </c>
      <c r="AK499" s="43">
        <f t="shared" si="192"/>
        <v>257204.74850774504</v>
      </c>
      <c r="AL499" s="43">
        <f t="shared" si="193"/>
        <v>236707.06909369701</v>
      </c>
      <c r="AM499" s="43">
        <f t="shared" si="194"/>
        <v>228492.57719820799</v>
      </c>
      <c r="AN499" s="43">
        <f t="shared" si="195"/>
        <v>220278.08530271897</v>
      </c>
    </row>
    <row r="500" spans="2:40">
      <c r="B500" s="37" t="str">
        <f t="shared" ref="B500:B549" si="279">B252</f>
        <v>Asset 194</v>
      </c>
      <c r="F500" s="37" t="str">
        <f t="shared" ref="F500:L500" si="280">F252</f>
        <v>14 Overig rollend materieel</v>
      </c>
      <c r="G500" s="37">
        <f t="shared" si="280"/>
        <v>2017</v>
      </c>
      <c r="H500" s="52">
        <f t="shared" si="280"/>
        <v>68624.022512808762</v>
      </c>
      <c r="I500" s="37">
        <f t="shared" si="280"/>
        <v>2021</v>
      </c>
      <c r="J500" s="52">
        <f t="shared" si="280"/>
        <v>10</v>
      </c>
      <c r="K500" s="175">
        <f t="shared" si="280"/>
        <v>1</v>
      </c>
      <c r="L500" s="52">
        <f t="shared" si="280"/>
        <v>40373.685632465487</v>
      </c>
      <c r="N500" s="43">
        <f t="shared" si="201"/>
        <v>40373.685632465487</v>
      </c>
      <c r="P500" s="38">
        <f t="shared" ref="P500:P549" si="281">MAX(0,IF(G500&lt;=2021, J500-2021+G500-0.5,J500))</f>
        <v>5.5</v>
      </c>
      <c r="R500" s="43">
        <f t="shared" si="275"/>
        <v>8588.5840345426586</v>
      </c>
      <c r="S500" s="43">
        <f t="shared" si="275"/>
        <v>6558.5550809234837</v>
      </c>
      <c r="T500" s="43">
        <f t="shared" si="275"/>
        <v>6054.0508439293699</v>
      </c>
      <c r="U500" s="43">
        <f t="shared" si="275"/>
        <v>6054.0508439293699</v>
      </c>
      <c r="V500" s="43">
        <f t="shared" si="275"/>
        <v>6054.0508439293699</v>
      </c>
      <c r="X500" s="43">
        <f t="shared" si="276"/>
        <v>734.0670114993726</v>
      </c>
      <c r="Y500" s="43">
        <f t="shared" si="276"/>
        <v>734.06701149937248</v>
      </c>
      <c r="Z500" s="43">
        <f t="shared" si="276"/>
        <v>734.06701149937248</v>
      </c>
      <c r="AA500" s="43">
        <f t="shared" si="276"/>
        <v>734.06701149937248</v>
      </c>
      <c r="AB500" s="43">
        <f t="shared" si="276"/>
        <v>734.06701149937248</v>
      </c>
      <c r="AD500" s="43">
        <f t="shared" si="202"/>
        <v>31051.034586423455</v>
      </c>
      <c r="AE500" s="43">
        <f t="shared" si="203"/>
        <v>23758.412494000597</v>
      </c>
      <c r="AF500" s="43">
        <f t="shared" si="204"/>
        <v>16970.294638571853</v>
      </c>
      <c r="AG500" s="43">
        <f t="shared" si="205"/>
        <v>10182.176783143112</v>
      </c>
      <c r="AH500" s="43">
        <f t="shared" si="206"/>
        <v>3394.058927714369</v>
      </c>
      <c r="AJ500" s="43">
        <f t="shared" ref="AJ500:AJ549" si="282">(R500+X500+AD500*I$16)*IF($K500=1,$F$19,1)</f>
        <v>10378.386221980429</v>
      </c>
      <c r="AK500" s="43">
        <f t="shared" ref="AK500:AK549" si="283">(S500+Y500+AE500*J$16)*IF($K500=1,$F$19,1)</f>
        <v>8076.6497047248758</v>
      </c>
      <c r="AL500" s="43">
        <f t="shared" ref="AL500:AL549" si="284">(T500+Z500+AF500*K$16)*IF($K500=1,$F$19,1)</f>
        <v>7432.9890516944733</v>
      </c>
      <c r="AM500" s="43">
        <f t="shared" ref="AM500:AM549" si="285">(U500+AA500+AG500*L$16)*IF($K500=1,$F$19,1)</f>
        <v>7175.040573188181</v>
      </c>
      <c r="AN500" s="43">
        <f t="shared" ref="AN500:AN549" si="286">(V500+AB500+AH500*M$16)*IF($K500=1,$F$19,1)</f>
        <v>6917.0920946818887</v>
      </c>
    </row>
    <row r="501" spans="2:40">
      <c r="B501" s="37" t="str">
        <f t="shared" si="279"/>
        <v>Asset 195</v>
      </c>
      <c r="F501" s="37" t="str">
        <f t="shared" ref="F501:L501" si="287">F253</f>
        <v>09 Bedrijfsinventaris</v>
      </c>
      <c r="G501" s="37">
        <f t="shared" si="287"/>
        <v>2017</v>
      </c>
      <c r="H501" s="52">
        <f t="shared" si="287"/>
        <v>75086.588886849713</v>
      </c>
      <c r="I501" s="37">
        <f t="shared" si="287"/>
        <v>2021</v>
      </c>
      <c r="J501" s="52">
        <f t="shared" si="287"/>
        <v>10</v>
      </c>
      <c r="K501" s="175">
        <f t="shared" si="287"/>
        <v>1</v>
      </c>
      <c r="L501" s="52">
        <f t="shared" si="287"/>
        <v>44175.81808711389</v>
      </c>
      <c r="N501" s="43">
        <f t="shared" si="201"/>
        <v>44175.81808711389</v>
      </c>
      <c r="P501" s="38">
        <f t="shared" si="281"/>
        <v>5.5</v>
      </c>
      <c r="R501" s="43">
        <f t="shared" si="275"/>
        <v>9397.4013021678638</v>
      </c>
      <c r="S501" s="43">
        <f t="shared" si="275"/>
        <v>7176.197358019097</v>
      </c>
      <c r="T501" s="43">
        <f t="shared" si="275"/>
        <v>6624.1821766330122</v>
      </c>
      <c r="U501" s="43">
        <f t="shared" si="275"/>
        <v>6624.1821766330122</v>
      </c>
      <c r="V501" s="43">
        <f t="shared" si="275"/>
        <v>6624.1821766330122</v>
      </c>
      <c r="X501" s="43">
        <f t="shared" si="276"/>
        <v>803.19669249297988</v>
      </c>
      <c r="Y501" s="43">
        <f t="shared" si="276"/>
        <v>803.19669249297988</v>
      </c>
      <c r="Z501" s="43">
        <f t="shared" si="276"/>
        <v>803.19669249297988</v>
      </c>
      <c r="AA501" s="43">
        <f t="shared" si="276"/>
        <v>803.19669249297988</v>
      </c>
      <c r="AB501" s="43">
        <f t="shared" si="276"/>
        <v>803.19669249297988</v>
      </c>
      <c r="AD501" s="43">
        <f t="shared" si="202"/>
        <v>33975.220092453048</v>
      </c>
      <c r="AE501" s="43">
        <f t="shared" si="203"/>
        <v>25995.826041940971</v>
      </c>
      <c r="AF501" s="43">
        <f t="shared" si="204"/>
        <v>18568.44717281498</v>
      </c>
      <c r="AG501" s="43">
        <f t="shared" si="205"/>
        <v>11141.068303688988</v>
      </c>
      <c r="AH501" s="43">
        <f t="shared" si="206"/>
        <v>3713.6894345629958</v>
      </c>
      <c r="AJ501" s="43">
        <f t="shared" si="282"/>
        <v>11355.755477804247</v>
      </c>
      <c r="AK501" s="43">
        <f t="shared" si="283"/>
        <v>8837.2563098961291</v>
      </c>
      <c r="AL501" s="43">
        <f t="shared" si="284"/>
        <v>8132.979861692962</v>
      </c>
      <c r="AM501" s="43">
        <f t="shared" si="285"/>
        <v>7850.7394646661742</v>
      </c>
      <c r="AN501" s="43">
        <f t="shared" si="286"/>
        <v>7568.4990676393863</v>
      </c>
    </row>
    <row r="502" spans="2:40">
      <c r="B502" s="37" t="str">
        <f t="shared" si="279"/>
        <v>Asset 196</v>
      </c>
      <c r="F502" s="37" t="str">
        <f t="shared" ref="F502:L502" si="288">F254</f>
        <v>08 Inrichting gebouwen</v>
      </c>
      <c r="G502" s="37">
        <f t="shared" si="288"/>
        <v>2017</v>
      </c>
      <c r="H502" s="52">
        <f t="shared" si="288"/>
        <v>894081.48176313401</v>
      </c>
      <c r="I502" s="37">
        <f t="shared" si="288"/>
        <v>2021</v>
      </c>
      <c r="J502" s="52">
        <f t="shared" si="288"/>
        <v>10</v>
      </c>
      <c r="K502" s="175">
        <f t="shared" si="288"/>
        <v>0</v>
      </c>
      <c r="L502" s="52">
        <f t="shared" si="288"/>
        <v>526016.44952794898</v>
      </c>
      <c r="N502" s="43">
        <f t="shared" si="201"/>
        <v>526016.44952794898</v>
      </c>
      <c r="P502" s="38">
        <f t="shared" si="281"/>
        <v>5.5</v>
      </c>
      <c r="R502" s="43">
        <f t="shared" si="275"/>
        <v>111898.0447177637</v>
      </c>
      <c r="S502" s="43">
        <f t="shared" si="275"/>
        <v>85449.415966292276</v>
      </c>
      <c r="T502" s="43">
        <f t="shared" si="275"/>
        <v>78876.383968885188</v>
      </c>
      <c r="U502" s="43">
        <f t="shared" si="275"/>
        <v>78876.383968885188</v>
      </c>
      <c r="V502" s="43">
        <f t="shared" si="275"/>
        <v>78876.383968885188</v>
      </c>
      <c r="X502" s="43">
        <f t="shared" si="276"/>
        <v>9563.9354459627102</v>
      </c>
      <c r="Y502" s="43">
        <f t="shared" si="276"/>
        <v>9563.9354459627102</v>
      </c>
      <c r="Z502" s="43">
        <f t="shared" si="276"/>
        <v>9563.9354459627102</v>
      </c>
      <c r="AA502" s="43">
        <f t="shared" si="276"/>
        <v>9563.9354459627102</v>
      </c>
      <c r="AB502" s="43">
        <f t="shared" si="276"/>
        <v>9563.9354459627102</v>
      </c>
      <c r="AD502" s="43">
        <f t="shared" si="202"/>
        <v>404554.4693642226</v>
      </c>
      <c r="AE502" s="43">
        <f t="shared" si="203"/>
        <v>309541.11795196764</v>
      </c>
      <c r="AF502" s="43">
        <f t="shared" si="204"/>
        <v>221100.79853711976</v>
      </c>
      <c r="AG502" s="43">
        <f t="shared" si="205"/>
        <v>132660.47912227188</v>
      </c>
      <c r="AH502" s="43">
        <f t="shared" si="206"/>
        <v>44220.159707423983</v>
      </c>
      <c r="AJ502" s="43">
        <f t="shared" si="282"/>
        <v>135216.83212210998</v>
      </c>
      <c r="AK502" s="43">
        <f t="shared" si="283"/>
        <v>105228.20830466991</v>
      </c>
      <c r="AL502" s="43">
        <f t="shared" si="284"/>
        <v>96842.149759258449</v>
      </c>
      <c r="AM502" s="43">
        <f t="shared" si="285"/>
        <v>93481.417621494227</v>
      </c>
      <c r="AN502" s="43">
        <f t="shared" si="286"/>
        <v>90120.685483730005</v>
      </c>
    </row>
    <row r="503" spans="2:40">
      <c r="B503" s="37" t="str">
        <f t="shared" si="279"/>
        <v>Asset 197</v>
      </c>
      <c r="F503" s="37" t="str">
        <f t="shared" ref="F503:L503" si="289">F255</f>
        <v>09 Bedrijfsinventaris</v>
      </c>
      <c r="G503" s="37">
        <f t="shared" si="289"/>
        <v>2018</v>
      </c>
      <c r="H503" s="52">
        <f t="shared" si="289"/>
        <v>490885.08786120504</v>
      </c>
      <c r="I503" s="37">
        <f t="shared" si="289"/>
        <v>2021</v>
      </c>
      <c r="J503" s="52">
        <f t="shared" si="289"/>
        <v>10</v>
      </c>
      <c r="K503" s="175">
        <f t="shared" si="289"/>
        <v>1</v>
      </c>
      <c r="L503" s="52">
        <f t="shared" si="289"/>
        <v>336600.51580018562</v>
      </c>
      <c r="N503" s="43">
        <f t="shared" ref="N503:N549" si="290">L503*IF(K503=1,$F$19,1)</f>
        <v>336600.51580018562</v>
      </c>
      <c r="P503" s="38">
        <f t="shared" si="281"/>
        <v>6.5</v>
      </c>
      <c r="R503" s="43">
        <f t="shared" si="275"/>
        <v>60588.092844033417</v>
      </c>
      <c r="S503" s="43">
        <f t="shared" si="275"/>
        <v>48470.474275226734</v>
      </c>
      <c r="T503" s="43">
        <f t="shared" si="275"/>
        <v>43084.866022423761</v>
      </c>
      <c r="U503" s="43">
        <f t="shared" si="275"/>
        <v>43084.866022423761</v>
      </c>
      <c r="V503" s="43">
        <f t="shared" si="275"/>
        <v>43084.866022423761</v>
      </c>
      <c r="X503" s="43">
        <f t="shared" si="276"/>
        <v>5178.4694738490098</v>
      </c>
      <c r="Y503" s="43">
        <f t="shared" si="276"/>
        <v>5178.4694738490089</v>
      </c>
      <c r="Z503" s="43">
        <f t="shared" si="276"/>
        <v>5178.4694738490089</v>
      </c>
      <c r="AA503" s="43">
        <f t="shared" si="276"/>
        <v>5178.4694738490089</v>
      </c>
      <c r="AB503" s="43">
        <f t="shared" si="276"/>
        <v>5178.4694738490089</v>
      </c>
      <c r="AD503" s="43">
        <f t="shared" ref="AD503:AD549" si="291">IF(OR(AD$305&lt;=$G503+$J503,$J503=0),IF(AC503=0,$L503,AC503)-R503-X503,0)</f>
        <v>270833.95348230319</v>
      </c>
      <c r="AE503" s="43">
        <f t="shared" ref="AE503:AE549" si="292">IF(OR(AE$305&lt;=$G503+$J503,$J503=0),IF(AD503=0,$L503,AD503)-S503-Y503,0)</f>
        <v>217185.00973322743</v>
      </c>
      <c r="AF503" s="43">
        <f t="shared" ref="AF503:AF549" si="293">IF(OR(AF$305&lt;=$G503+$J503,$J503=0),IF(AE503=0,$L503,AE503)-T503-Z503,0)</f>
        <v>168921.67423695466</v>
      </c>
      <c r="AG503" s="43">
        <f t="shared" ref="AG503:AG549" si="294">IF(OR(AG$305&lt;=$G503+$J503,$J503=0),IF(AF503=0,$L503,AF503)-U503-AA503,0)</f>
        <v>120658.33874068189</v>
      </c>
      <c r="AH503" s="43">
        <f t="shared" ref="AH503:AH549" si="295">IF(OR(AH$305&lt;=$G503+$J503,$J503=0),IF(AG503=0,$L503,AG503)-V503-AB503,0)</f>
        <v>72395.003244409119</v>
      </c>
      <c r="AJ503" s="43">
        <f t="shared" si="282"/>
        <v>74974.916736280735</v>
      </c>
      <c r="AK503" s="43">
        <f t="shared" si="283"/>
        <v>60816.049070272245</v>
      </c>
      <c r="AL503" s="43">
        <f t="shared" si="284"/>
        <v>54682.359117277047</v>
      </c>
      <c r="AM503" s="43">
        <f t="shared" si="285"/>
        <v>52848.35236841868</v>
      </c>
      <c r="AN503" s="43">
        <f t="shared" si="286"/>
        <v>51014.345619560314</v>
      </c>
    </row>
    <row r="504" spans="2:40">
      <c r="B504" s="37" t="str">
        <f t="shared" si="279"/>
        <v>Asset 198</v>
      </c>
      <c r="F504" s="37" t="str">
        <f t="shared" ref="F504:L504" si="296">F256</f>
        <v>08 Inrichting gebouwen</v>
      </c>
      <c r="G504" s="37">
        <f t="shared" si="296"/>
        <v>2018</v>
      </c>
      <c r="H504" s="52">
        <f t="shared" si="296"/>
        <v>533703.76265516167</v>
      </c>
      <c r="I504" s="37">
        <f t="shared" si="296"/>
        <v>2021</v>
      </c>
      <c r="J504" s="52">
        <f t="shared" si="296"/>
        <v>10</v>
      </c>
      <c r="K504" s="175">
        <f t="shared" si="296"/>
        <v>0</v>
      </c>
      <c r="L504" s="52">
        <f t="shared" si="296"/>
        <v>365961.33440708811</v>
      </c>
      <c r="N504" s="43">
        <f t="shared" si="290"/>
        <v>365961.33440708811</v>
      </c>
      <c r="P504" s="38">
        <f t="shared" si="281"/>
        <v>6.5</v>
      </c>
      <c r="R504" s="43">
        <f t="shared" si="275"/>
        <v>65873.040193275869</v>
      </c>
      <c r="S504" s="43">
        <f t="shared" si="275"/>
        <v>52698.432154620699</v>
      </c>
      <c r="T504" s="43">
        <f t="shared" si="275"/>
        <v>46843.050804107283</v>
      </c>
      <c r="U504" s="43">
        <f t="shared" si="275"/>
        <v>46843.050804107283</v>
      </c>
      <c r="V504" s="43">
        <f t="shared" si="275"/>
        <v>46843.050804107283</v>
      </c>
      <c r="X504" s="43">
        <f t="shared" si="276"/>
        <v>5630.1743754936642</v>
      </c>
      <c r="Y504" s="43">
        <f t="shared" si="276"/>
        <v>5630.1743754936633</v>
      </c>
      <c r="Z504" s="43">
        <f t="shared" si="276"/>
        <v>5630.1743754936633</v>
      </c>
      <c r="AA504" s="43">
        <f t="shared" si="276"/>
        <v>5630.1743754936633</v>
      </c>
      <c r="AB504" s="43">
        <f t="shared" si="276"/>
        <v>5630.1743754936633</v>
      </c>
      <c r="AD504" s="43">
        <f t="shared" si="291"/>
        <v>294458.11983831855</v>
      </c>
      <c r="AE504" s="43">
        <f t="shared" si="292"/>
        <v>236129.51330820419</v>
      </c>
      <c r="AF504" s="43">
        <f t="shared" si="293"/>
        <v>183656.28812860325</v>
      </c>
      <c r="AG504" s="43">
        <f t="shared" si="294"/>
        <v>131183.06294900231</v>
      </c>
      <c r="AH504" s="43">
        <f t="shared" si="295"/>
        <v>78709.837769401376</v>
      </c>
      <c r="AJ504" s="43">
        <f t="shared" si="282"/>
        <v>81514.790643272368</v>
      </c>
      <c r="AK504" s="43">
        <f t="shared" si="283"/>
        <v>66120.880469285097</v>
      </c>
      <c r="AL504" s="43">
        <f t="shared" si="284"/>
        <v>59452.164128487871</v>
      </c>
      <c r="AM504" s="43">
        <f t="shared" si="285"/>
        <v>57458.18157166303</v>
      </c>
      <c r="AN504" s="43">
        <f t="shared" si="286"/>
        <v>55464.199014838196</v>
      </c>
    </row>
    <row r="505" spans="2:40">
      <c r="B505" s="37" t="str">
        <f t="shared" si="279"/>
        <v>Asset 199</v>
      </c>
      <c r="F505" s="37" t="str">
        <f t="shared" ref="F505:L505" si="297">F257</f>
        <v>11 Werktuigen</v>
      </c>
      <c r="G505" s="37">
        <f t="shared" si="297"/>
        <v>2018</v>
      </c>
      <c r="H505" s="52">
        <f t="shared" si="297"/>
        <v>2619455.826851733</v>
      </c>
      <c r="I505" s="37">
        <f t="shared" si="297"/>
        <v>2021</v>
      </c>
      <c r="J505" s="52">
        <f t="shared" si="297"/>
        <v>10</v>
      </c>
      <c r="K505" s="175">
        <f t="shared" si="297"/>
        <v>1</v>
      </c>
      <c r="L505" s="52">
        <f t="shared" si="297"/>
        <v>1796164.1211708463</v>
      </c>
      <c r="N505" s="43">
        <f t="shared" si="290"/>
        <v>1796164.1211708463</v>
      </c>
      <c r="P505" s="38">
        <f t="shared" si="281"/>
        <v>6.5</v>
      </c>
      <c r="R505" s="43">
        <f t="shared" si="275"/>
        <v>323309.54181075236</v>
      </c>
      <c r="S505" s="43">
        <f t="shared" si="275"/>
        <v>258647.6334486019</v>
      </c>
      <c r="T505" s="43">
        <f t="shared" si="275"/>
        <v>229909.00750986833</v>
      </c>
      <c r="U505" s="43">
        <f t="shared" si="275"/>
        <v>229909.00750986833</v>
      </c>
      <c r="V505" s="43">
        <f t="shared" si="275"/>
        <v>229909.00750986833</v>
      </c>
      <c r="X505" s="43">
        <f t="shared" si="276"/>
        <v>27633.294171859176</v>
      </c>
      <c r="Y505" s="43">
        <f t="shared" si="276"/>
        <v>27633.294171859172</v>
      </c>
      <c r="Z505" s="43">
        <f t="shared" si="276"/>
        <v>27633.294171859172</v>
      </c>
      <c r="AA505" s="43">
        <f t="shared" si="276"/>
        <v>27633.294171859172</v>
      </c>
      <c r="AB505" s="43">
        <f t="shared" si="276"/>
        <v>27633.294171859172</v>
      </c>
      <c r="AD505" s="43">
        <f t="shared" si="291"/>
        <v>1445221.2851882346</v>
      </c>
      <c r="AE505" s="43">
        <f t="shared" si="292"/>
        <v>1158940.3575677734</v>
      </c>
      <c r="AF505" s="43">
        <f t="shared" si="293"/>
        <v>901398.05588604591</v>
      </c>
      <c r="AG505" s="43">
        <f t="shared" si="294"/>
        <v>643855.75420431839</v>
      </c>
      <c r="AH505" s="43">
        <f t="shared" si="295"/>
        <v>386313.45252259087</v>
      </c>
      <c r="AJ505" s="43">
        <f t="shared" si="282"/>
        <v>400080.35967901151</v>
      </c>
      <c r="AK505" s="43">
        <f t="shared" si="283"/>
        <v>324525.95942019764</v>
      </c>
      <c r="AL505" s="43">
        <f t="shared" si="284"/>
        <v>291795.42780539725</v>
      </c>
      <c r="AM505" s="43">
        <f t="shared" si="285"/>
        <v>282008.82034149161</v>
      </c>
      <c r="AN505" s="43">
        <f t="shared" si="286"/>
        <v>272222.21287758596</v>
      </c>
    </row>
    <row r="506" spans="2:40">
      <c r="B506" s="37" t="str">
        <f t="shared" si="279"/>
        <v>Asset 200</v>
      </c>
      <c r="F506" s="37" t="str">
        <f t="shared" ref="F506:L506" si="298">F258</f>
        <v>10 Gereedschap</v>
      </c>
      <c r="G506" s="37">
        <f t="shared" si="298"/>
        <v>2018</v>
      </c>
      <c r="H506" s="52">
        <f t="shared" si="298"/>
        <v>252164.79428194632</v>
      </c>
      <c r="I506" s="37">
        <f t="shared" si="298"/>
        <v>2021</v>
      </c>
      <c r="J506" s="52">
        <f t="shared" si="298"/>
        <v>10</v>
      </c>
      <c r="K506" s="175">
        <f t="shared" si="298"/>
        <v>1</v>
      </c>
      <c r="L506" s="52">
        <f t="shared" si="298"/>
        <v>172909.7133338665</v>
      </c>
      <c r="N506" s="43">
        <f t="shared" si="290"/>
        <v>172909.7133338665</v>
      </c>
      <c r="P506" s="38">
        <f t="shared" si="281"/>
        <v>6.5</v>
      </c>
      <c r="R506" s="43">
        <f t="shared" si="275"/>
        <v>31123.748400095974</v>
      </c>
      <c r="S506" s="43">
        <f t="shared" si="275"/>
        <v>24898.998720076779</v>
      </c>
      <c r="T506" s="43">
        <f t="shared" si="275"/>
        <v>22132.443306734916</v>
      </c>
      <c r="U506" s="43">
        <f t="shared" si="275"/>
        <v>22132.443306734916</v>
      </c>
      <c r="V506" s="43">
        <f t="shared" si="275"/>
        <v>22132.443306734916</v>
      </c>
      <c r="X506" s="43">
        <f t="shared" si="276"/>
        <v>2660.1494359056387</v>
      </c>
      <c r="Y506" s="43">
        <f t="shared" si="276"/>
        <v>2660.1494359056383</v>
      </c>
      <c r="Z506" s="43">
        <f t="shared" si="276"/>
        <v>2660.1494359056383</v>
      </c>
      <c r="AA506" s="43">
        <f t="shared" si="276"/>
        <v>2660.1494359056383</v>
      </c>
      <c r="AB506" s="43">
        <f t="shared" si="276"/>
        <v>2660.1494359056383</v>
      </c>
      <c r="AD506" s="43">
        <f t="shared" si="291"/>
        <v>139125.81549786488</v>
      </c>
      <c r="AE506" s="43">
        <f t="shared" si="292"/>
        <v>111566.66734188246</v>
      </c>
      <c r="AF506" s="43">
        <f t="shared" si="293"/>
        <v>86774.074599241911</v>
      </c>
      <c r="AG506" s="43">
        <f t="shared" si="294"/>
        <v>61981.481856601356</v>
      </c>
      <c r="AH506" s="43">
        <f t="shared" si="295"/>
        <v>37188.889113960802</v>
      </c>
      <c r="AJ506" s="43">
        <f t="shared" si="282"/>
        <v>38514.17556292902</v>
      </c>
      <c r="AK506" s="43">
        <f t="shared" si="283"/>
        <v>31240.848178264539</v>
      </c>
      <c r="AL506" s="43">
        <f t="shared" si="284"/>
        <v>28090.007577411747</v>
      </c>
      <c r="AM506" s="43">
        <f t="shared" si="285"/>
        <v>27147.889053191408</v>
      </c>
      <c r="AN506" s="43">
        <f t="shared" si="286"/>
        <v>26205.770528971065</v>
      </c>
    </row>
    <row r="507" spans="2:40">
      <c r="B507" s="37" t="str">
        <f t="shared" si="279"/>
        <v>Asset 201</v>
      </c>
      <c r="F507" s="37" t="str">
        <f t="shared" ref="F507:L507" si="299">F259</f>
        <v>11 Werktuigen (KC)</v>
      </c>
      <c r="G507" s="37">
        <f t="shared" si="299"/>
        <v>2018</v>
      </c>
      <c r="H507" s="52">
        <f t="shared" si="299"/>
        <v>13021546.318391869</v>
      </c>
      <c r="I507" s="37">
        <f t="shared" si="299"/>
        <v>2021</v>
      </c>
      <c r="J507" s="52">
        <f t="shared" si="299"/>
        <v>10</v>
      </c>
      <c r="K507" s="175">
        <f t="shared" si="299"/>
        <v>0</v>
      </c>
      <c r="L507" s="52">
        <f t="shared" si="299"/>
        <v>8928890.519742161</v>
      </c>
      <c r="N507" s="43">
        <f t="shared" si="290"/>
        <v>8928890.519742161</v>
      </c>
      <c r="P507" s="38">
        <f t="shared" si="281"/>
        <v>6.5</v>
      </c>
      <c r="R507" s="43">
        <f t="shared" ref="R507:V516" si="300">IF(R$305&lt;=$G507+$J507,VDB($L507*(1-$F$25),0,$P507,R$305-2022,MIN(R$305-2021,$P507),$F$22),0)</f>
        <v>1607200.2935535891</v>
      </c>
      <c r="S507" s="43">
        <f t="shared" si="300"/>
        <v>1285760.2348428713</v>
      </c>
      <c r="T507" s="43">
        <f t="shared" si="300"/>
        <v>1142897.9865269968</v>
      </c>
      <c r="U507" s="43">
        <f t="shared" si="300"/>
        <v>1142897.9865269968</v>
      </c>
      <c r="V507" s="43">
        <f t="shared" si="300"/>
        <v>1142897.9865269968</v>
      </c>
      <c r="X507" s="43">
        <f t="shared" ref="X507:AB516" si="301">IF(X$305&lt;=$G507+$J507,VDB($L507*$F$25,0,$P507,X$305-2022,MIN(X$305-2021,$P507),1),0)</f>
        <v>137367.54645757171</v>
      </c>
      <c r="Y507" s="43">
        <f t="shared" si="301"/>
        <v>137367.54645757171</v>
      </c>
      <c r="Z507" s="43">
        <f t="shared" si="301"/>
        <v>137367.54645757171</v>
      </c>
      <c r="AA507" s="43">
        <f t="shared" si="301"/>
        <v>137367.54645757171</v>
      </c>
      <c r="AB507" s="43">
        <f t="shared" si="301"/>
        <v>137367.54645757171</v>
      </c>
      <c r="AD507" s="43">
        <f t="shared" si="291"/>
        <v>7184322.6797310002</v>
      </c>
      <c r="AE507" s="43">
        <f t="shared" si="292"/>
        <v>5761194.898430557</v>
      </c>
      <c r="AF507" s="43">
        <f t="shared" si="293"/>
        <v>4480929.3654459883</v>
      </c>
      <c r="AG507" s="43">
        <f t="shared" si="294"/>
        <v>3200663.8324614195</v>
      </c>
      <c r="AH507" s="43">
        <f t="shared" si="295"/>
        <v>1920398.299476851</v>
      </c>
      <c r="AJ507" s="43">
        <f t="shared" si="282"/>
        <v>1988834.8111220149</v>
      </c>
      <c r="AK507" s="43">
        <f t="shared" si="283"/>
        <v>1613247.2129486513</v>
      </c>
      <c r="AL507" s="43">
        <f t="shared" si="284"/>
        <v>1450540.8488715161</v>
      </c>
      <c r="AM507" s="43">
        <f t="shared" si="285"/>
        <v>1401890.7586181024</v>
      </c>
      <c r="AN507" s="43">
        <f t="shared" si="286"/>
        <v>1353240.6683646888</v>
      </c>
    </row>
    <row r="508" spans="2:40">
      <c r="B508" s="37" t="str">
        <f t="shared" si="279"/>
        <v>Asset 202</v>
      </c>
      <c r="F508" s="37" t="str">
        <f t="shared" ref="F508:L508" si="302">F260</f>
        <v>20 Kantoorgebouwen</v>
      </c>
      <c r="G508" s="37">
        <f t="shared" si="302"/>
        <v>2018</v>
      </c>
      <c r="H508" s="52">
        <f t="shared" si="302"/>
        <v>5158473.573657441</v>
      </c>
      <c r="I508" s="37">
        <f t="shared" si="302"/>
        <v>2021</v>
      </c>
      <c r="J508" s="52">
        <f t="shared" si="302"/>
        <v>30</v>
      </c>
      <c r="K508" s="175">
        <f t="shared" si="302"/>
        <v>0</v>
      </c>
      <c r="L508" s="52">
        <f t="shared" si="302"/>
        <v>4806925.7125234623</v>
      </c>
      <c r="N508" s="43">
        <f t="shared" si="290"/>
        <v>4806925.7125234623</v>
      </c>
      <c r="P508" s="38">
        <f t="shared" si="281"/>
        <v>26.5</v>
      </c>
      <c r="R508" s="43">
        <f t="shared" si="300"/>
        <v>212230.30504348874</v>
      </c>
      <c r="S508" s="43">
        <f t="shared" si="300"/>
        <v>201819.00706022326</v>
      </c>
      <c r="T508" s="43">
        <f t="shared" si="300"/>
        <v>191918.45199689153</v>
      </c>
      <c r="U508" s="43">
        <f t="shared" si="300"/>
        <v>182503.58454044024</v>
      </c>
      <c r="V508" s="43">
        <f t="shared" si="300"/>
        <v>173550.5785063809</v>
      </c>
      <c r="X508" s="43">
        <f t="shared" si="301"/>
        <v>18139.342311409295</v>
      </c>
      <c r="Y508" s="43">
        <f t="shared" si="301"/>
        <v>18139.342311409295</v>
      </c>
      <c r="Z508" s="43">
        <f t="shared" si="301"/>
        <v>18139.342311409295</v>
      </c>
      <c r="AA508" s="43">
        <f t="shared" si="301"/>
        <v>18139.342311409295</v>
      </c>
      <c r="AB508" s="43">
        <f t="shared" si="301"/>
        <v>18139.342311409295</v>
      </c>
      <c r="AD508" s="43">
        <f t="shared" si="291"/>
        <v>4576556.0651685642</v>
      </c>
      <c r="AE508" s="43">
        <f t="shared" si="292"/>
        <v>4356597.7157969316</v>
      </c>
      <c r="AF508" s="43">
        <f t="shared" si="293"/>
        <v>4146539.9214886306</v>
      </c>
      <c r="AG508" s="43">
        <f t="shared" si="294"/>
        <v>3945896.994636781</v>
      </c>
      <c r="AH508" s="43">
        <f t="shared" si="295"/>
        <v>3754207.073818991</v>
      </c>
      <c r="AJ508" s="43">
        <f t="shared" si="282"/>
        <v>385972.55357062921</v>
      </c>
      <c r="AK508" s="43">
        <f t="shared" si="283"/>
        <v>363726.07399293128</v>
      </c>
      <c r="AL508" s="43">
        <f t="shared" si="284"/>
        <v>367626.31132486882</v>
      </c>
      <c r="AM508" s="43">
        <f t="shared" si="285"/>
        <v>350587.01264804718</v>
      </c>
      <c r="AN508" s="43">
        <f t="shared" si="286"/>
        <v>334349.78962291183</v>
      </c>
    </row>
    <row r="509" spans="2:40">
      <c r="B509" s="37" t="str">
        <f t="shared" si="279"/>
        <v>Asset 203</v>
      </c>
      <c r="F509" s="37" t="str">
        <f t="shared" ref="F509:L509" si="303">F261</f>
        <v>39 ICT middelen 3 (KC)</v>
      </c>
      <c r="G509" s="37">
        <f t="shared" si="303"/>
        <v>2018</v>
      </c>
      <c r="H509" s="52">
        <f t="shared" si="303"/>
        <v>21147142.000000007</v>
      </c>
      <c r="I509" s="37">
        <f t="shared" si="303"/>
        <v>2021</v>
      </c>
      <c r="J509" s="52">
        <f t="shared" si="303"/>
        <v>15</v>
      </c>
      <c r="K509" s="175">
        <f t="shared" si="303"/>
        <v>0</v>
      </c>
      <c r="L509" s="52">
        <f t="shared" si="303"/>
        <v>17103297.263965867</v>
      </c>
      <c r="N509" s="43">
        <f t="shared" si="290"/>
        <v>17103297.263965867</v>
      </c>
      <c r="P509" s="38">
        <f t="shared" si="281"/>
        <v>11.5</v>
      </c>
      <c r="R509" s="43">
        <f t="shared" si="300"/>
        <v>1740074.591203484</v>
      </c>
      <c r="S509" s="43">
        <f t="shared" si="300"/>
        <v>1543370.5069804813</v>
      </c>
      <c r="T509" s="43">
        <f t="shared" si="300"/>
        <v>1368902.5366261662</v>
      </c>
      <c r="U509" s="43">
        <f t="shared" si="300"/>
        <v>1263602.3415010765</v>
      </c>
      <c r="V509" s="43">
        <f t="shared" si="300"/>
        <v>1263602.3415010765</v>
      </c>
      <c r="X509" s="43">
        <f t="shared" si="301"/>
        <v>148724.32403448579</v>
      </c>
      <c r="Y509" s="43">
        <f t="shared" si="301"/>
        <v>148724.32403448582</v>
      </c>
      <c r="Z509" s="43">
        <f t="shared" si="301"/>
        <v>148724.32403448582</v>
      </c>
      <c r="AA509" s="43">
        <f t="shared" si="301"/>
        <v>148724.32403448582</v>
      </c>
      <c r="AB509" s="43">
        <f t="shared" si="301"/>
        <v>148724.32403448582</v>
      </c>
      <c r="AD509" s="43">
        <f t="shared" si="291"/>
        <v>15214498.348727897</v>
      </c>
      <c r="AE509" s="43">
        <f t="shared" si="292"/>
        <v>13522403.51771293</v>
      </c>
      <c r="AF509" s="43">
        <f t="shared" si="293"/>
        <v>12004776.657052279</v>
      </c>
      <c r="AG509" s="43">
        <f t="shared" si="294"/>
        <v>10592449.991516717</v>
      </c>
      <c r="AH509" s="43">
        <f t="shared" si="295"/>
        <v>9180123.325981155</v>
      </c>
      <c r="AJ509" s="43">
        <f t="shared" si="282"/>
        <v>2406091.8590947185</v>
      </c>
      <c r="AK509" s="43">
        <f t="shared" si="283"/>
        <v>2138334.147099494</v>
      </c>
      <c r="AL509" s="43">
        <f t="shared" si="284"/>
        <v>1973808.3736286385</v>
      </c>
      <c r="AM509" s="43">
        <f t="shared" si="285"/>
        <v>1814839.7652131976</v>
      </c>
      <c r="AN509" s="43">
        <f t="shared" si="286"/>
        <v>1761171.3519228462</v>
      </c>
    </row>
    <row r="510" spans="2:40">
      <c r="B510" s="37" t="str">
        <f t="shared" si="279"/>
        <v>Asset 204</v>
      </c>
      <c r="F510" s="37" t="str">
        <f t="shared" ref="F510:L510" si="304">F262</f>
        <v>37 ICT middelen 1 (KC)</v>
      </c>
      <c r="G510" s="37">
        <f t="shared" si="304"/>
        <v>2018</v>
      </c>
      <c r="H510" s="52">
        <f t="shared" si="304"/>
        <v>1669649.9999999995</v>
      </c>
      <c r="I510" s="37">
        <f t="shared" si="304"/>
        <v>2021</v>
      </c>
      <c r="J510" s="52">
        <f t="shared" si="304"/>
        <v>5</v>
      </c>
      <c r="K510" s="175">
        <f t="shared" si="304"/>
        <v>0</v>
      </c>
      <c r="L510" s="52">
        <f t="shared" si="304"/>
        <v>528406.65386783984</v>
      </c>
      <c r="N510" s="43">
        <f t="shared" si="290"/>
        <v>528406.65386783984</v>
      </c>
      <c r="P510" s="38">
        <f t="shared" si="281"/>
        <v>1.5</v>
      </c>
      <c r="R510" s="43">
        <f t="shared" si="300"/>
        <v>412157.19001691509</v>
      </c>
      <c r="S510" s="43">
        <f t="shared" si="300"/>
        <v>63408.798464140797</v>
      </c>
      <c r="T510" s="43">
        <f t="shared" si="300"/>
        <v>0</v>
      </c>
      <c r="U510" s="43">
        <f t="shared" si="300"/>
        <v>0</v>
      </c>
      <c r="V510" s="43">
        <f t="shared" si="300"/>
        <v>0</v>
      </c>
      <c r="X510" s="43">
        <f t="shared" si="301"/>
        <v>35227.110257855988</v>
      </c>
      <c r="Y510" s="43">
        <f t="shared" si="301"/>
        <v>17613.555128927997</v>
      </c>
      <c r="Z510" s="43">
        <f t="shared" si="301"/>
        <v>0</v>
      </c>
      <c r="AA510" s="43">
        <f t="shared" si="301"/>
        <v>0</v>
      </c>
      <c r="AB510" s="43">
        <f t="shared" si="301"/>
        <v>0</v>
      </c>
      <c r="AD510" s="43">
        <f t="shared" si="291"/>
        <v>81022.35359306875</v>
      </c>
      <c r="AE510" s="43">
        <f t="shared" si="292"/>
        <v>-4.3655745685100555E-11</v>
      </c>
      <c r="AF510" s="43">
        <f t="shared" si="293"/>
        <v>0</v>
      </c>
      <c r="AG510" s="43">
        <f t="shared" si="294"/>
        <v>0</v>
      </c>
      <c r="AH510" s="43">
        <f t="shared" si="295"/>
        <v>0</v>
      </c>
      <c r="AJ510" s="43">
        <f t="shared" si="282"/>
        <v>450139.06029693538</v>
      </c>
      <c r="AK510" s="43">
        <f t="shared" si="283"/>
        <v>81022.353593068794</v>
      </c>
      <c r="AL510" s="43">
        <f t="shared" si="284"/>
        <v>0</v>
      </c>
      <c r="AM510" s="43">
        <f t="shared" si="285"/>
        <v>0</v>
      </c>
      <c r="AN510" s="43">
        <f t="shared" si="286"/>
        <v>0</v>
      </c>
    </row>
    <row r="511" spans="2:40">
      <c r="B511" s="37" t="str">
        <f t="shared" si="279"/>
        <v>Asset 205</v>
      </c>
      <c r="F511" s="37" t="str">
        <f t="shared" ref="F511:L511" si="305">F263</f>
        <v>05 Wegen en terreinvoorzieningen</v>
      </c>
      <c r="G511" s="37">
        <f t="shared" si="305"/>
        <v>2017</v>
      </c>
      <c r="H511" s="52">
        <f t="shared" si="305"/>
        <v>41129.587663444909</v>
      </c>
      <c r="I511" s="37">
        <f t="shared" si="305"/>
        <v>2021</v>
      </c>
      <c r="J511" s="52">
        <f t="shared" si="305"/>
        <v>10</v>
      </c>
      <c r="K511" s="175">
        <f t="shared" si="305"/>
        <v>0</v>
      </c>
      <c r="L511" s="52">
        <f t="shared" si="305"/>
        <v>24197.83891576614</v>
      </c>
      <c r="N511" s="43">
        <f t="shared" si="290"/>
        <v>24197.83891576614</v>
      </c>
      <c r="P511" s="38">
        <f t="shared" si="281"/>
        <v>5.5</v>
      </c>
      <c r="R511" s="43">
        <f t="shared" si="300"/>
        <v>5147.540278444797</v>
      </c>
      <c r="S511" s="43">
        <f t="shared" si="300"/>
        <v>3930.8489399032992</v>
      </c>
      <c r="T511" s="43">
        <f t="shared" si="300"/>
        <v>3628.4759445261225</v>
      </c>
      <c r="U511" s="43">
        <f t="shared" si="300"/>
        <v>3628.4759445261225</v>
      </c>
      <c r="V511" s="43">
        <f t="shared" si="300"/>
        <v>3628.4759445261225</v>
      </c>
      <c r="X511" s="43">
        <f t="shared" si="301"/>
        <v>439.96070755938439</v>
      </c>
      <c r="Y511" s="43">
        <f t="shared" si="301"/>
        <v>439.96070755938439</v>
      </c>
      <c r="Z511" s="43">
        <f t="shared" si="301"/>
        <v>439.96070755938439</v>
      </c>
      <c r="AA511" s="43">
        <f t="shared" si="301"/>
        <v>439.96070755938439</v>
      </c>
      <c r="AB511" s="43">
        <f t="shared" si="301"/>
        <v>439.96070755938439</v>
      </c>
      <c r="AD511" s="43">
        <f t="shared" si="291"/>
        <v>18610.337929761958</v>
      </c>
      <c r="AE511" s="43">
        <f t="shared" si="292"/>
        <v>14239.528282299274</v>
      </c>
      <c r="AF511" s="43">
        <f t="shared" si="293"/>
        <v>10171.091630213767</v>
      </c>
      <c r="AG511" s="43">
        <f t="shared" si="294"/>
        <v>6102.6549781282602</v>
      </c>
      <c r="AH511" s="43">
        <f t="shared" si="295"/>
        <v>2034.2183260427532</v>
      </c>
      <c r="AJ511" s="43">
        <f t="shared" si="282"/>
        <v>6220.2524756160874</v>
      </c>
      <c r="AK511" s="43">
        <f t="shared" si="283"/>
        <v>4840.7140807785599</v>
      </c>
      <c r="AL511" s="43">
        <f t="shared" si="284"/>
        <v>4454.9381340336304</v>
      </c>
      <c r="AM511" s="43">
        <f t="shared" si="285"/>
        <v>4300.337541254381</v>
      </c>
      <c r="AN511" s="43">
        <f t="shared" si="286"/>
        <v>4145.7369484751316</v>
      </c>
    </row>
    <row r="512" spans="2:40">
      <c r="B512" s="37" t="str">
        <f t="shared" si="279"/>
        <v>Asset 206</v>
      </c>
      <c r="F512" s="37" t="str">
        <f t="shared" ref="F512:L512" si="306">F264</f>
        <v>06 Utiliteitsgebouwen</v>
      </c>
      <c r="G512" s="37">
        <f t="shared" si="306"/>
        <v>2018</v>
      </c>
      <c r="H512" s="52">
        <f t="shared" si="306"/>
        <v>1769813.2968497979</v>
      </c>
      <c r="I512" s="37">
        <f t="shared" si="306"/>
        <v>2021</v>
      </c>
      <c r="J512" s="52">
        <f t="shared" si="306"/>
        <v>30</v>
      </c>
      <c r="K512" s="175">
        <f t="shared" si="306"/>
        <v>0</v>
      </c>
      <c r="L512" s="52">
        <f t="shared" si="306"/>
        <v>1649201.2455850111</v>
      </c>
      <c r="N512" s="43">
        <f t="shared" si="290"/>
        <v>1649201.2455850111</v>
      </c>
      <c r="P512" s="38">
        <f t="shared" si="281"/>
        <v>26.5</v>
      </c>
      <c r="R512" s="43">
        <f t="shared" si="300"/>
        <v>72813.790842809918</v>
      </c>
      <c r="S512" s="43">
        <f t="shared" si="300"/>
        <v>69241.79355618151</v>
      </c>
      <c r="T512" s="43">
        <f t="shared" si="300"/>
        <v>65845.026325123559</v>
      </c>
      <c r="U512" s="43">
        <f t="shared" si="300"/>
        <v>62614.892958230696</v>
      </c>
      <c r="V512" s="43">
        <f t="shared" si="300"/>
        <v>59543.218964053332</v>
      </c>
      <c r="X512" s="43">
        <f t="shared" si="301"/>
        <v>6223.4009267358915</v>
      </c>
      <c r="Y512" s="43">
        <f t="shared" si="301"/>
        <v>6223.4009267358915</v>
      </c>
      <c r="Z512" s="43">
        <f t="shared" si="301"/>
        <v>6223.4009267358915</v>
      </c>
      <c r="AA512" s="43">
        <f t="shared" si="301"/>
        <v>6223.4009267358915</v>
      </c>
      <c r="AB512" s="43">
        <f t="shared" si="301"/>
        <v>6223.4009267358915</v>
      </c>
      <c r="AD512" s="43">
        <f t="shared" si="291"/>
        <v>1570164.0538154652</v>
      </c>
      <c r="AE512" s="43">
        <f t="shared" si="292"/>
        <v>1494698.8593325478</v>
      </c>
      <c r="AF512" s="43">
        <f t="shared" si="293"/>
        <v>1422630.4320806882</v>
      </c>
      <c r="AG512" s="43">
        <f t="shared" si="294"/>
        <v>1353792.1381957214</v>
      </c>
      <c r="AH512" s="43">
        <f t="shared" si="295"/>
        <v>1288025.5183049322</v>
      </c>
      <c r="AJ512" s="43">
        <f t="shared" si="282"/>
        <v>132422.76959927165</v>
      </c>
      <c r="AK512" s="43">
        <f t="shared" si="283"/>
        <v>124790.25684089148</v>
      </c>
      <c r="AL512" s="43">
        <f t="shared" si="284"/>
        <v>126128.3836709256</v>
      </c>
      <c r="AM512" s="43">
        <f t="shared" si="285"/>
        <v>120282.395136404</v>
      </c>
      <c r="AN512" s="43">
        <f t="shared" si="286"/>
        <v>114711.58958637665</v>
      </c>
    </row>
    <row r="513" spans="2:40">
      <c r="B513" s="37" t="str">
        <f t="shared" si="279"/>
        <v>Asset 207</v>
      </c>
      <c r="F513" s="37" t="str">
        <f t="shared" ref="F513:L513" si="307">F265</f>
        <v>14 Overig rollend materieel</v>
      </c>
      <c r="G513" s="37">
        <f t="shared" si="307"/>
        <v>2018</v>
      </c>
      <c r="H513" s="52">
        <f t="shared" si="307"/>
        <v>20291.448993786991</v>
      </c>
      <c r="I513" s="37">
        <f t="shared" si="307"/>
        <v>2021</v>
      </c>
      <c r="J513" s="52">
        <f t="shared" si="307"/>
        <v>10</v>
      </c>
      <c r="K513" s="175">
        <f t="shared" si="307"/>
        <v>1</v>
      </c>
      <c r="L513" s="52">
        <f t="shared" si="307"/>
        <v>13913.871833835448</v>
      </c>
      <c r="N513" s="43">
        <f t="shared" si="290"/>
        <v>13913.871833835448</v>
      </c>
      <c r="P513" s="38">
        <f t="shared" si="281"/>
        <v>6.5</v>
      </c>
      <c r="R513" s="43">
        <f t="shared" si="300"/>
        <v>2504.4969300903813</v>
      </c>
      <c r="S513" s="43">
        <f t="shared" si="300"/>
        <v>2003.5975440723048</v>
      </c>
      <c r="T513" s="43">
        <f t="shared" si="300"/>
        <v>1780.9755947309375</v>
      </c>
      <c r="U513" s="43">
        <f t="shared" si="300"/>
        <v>1780.9755947309375</v>
      </c>
      <c r="V513" s="43">
        <f t="shared" si="300"/>
        <v>1780.9755947309375</v>
      </c>
      <c r="X513" s="43">
        <f t="shared" si="301"/>
        <v>214.05956667439153</v>
      </c>
      <c r="Y513" s="43">
        <f t="shared" si="301"/>
        <v>214.0595666743915</v>
      </c>
      <c r="Z513" s="43">
        <f t="shared" si="301"/>
        <v>214.0595666743915</v>
      </c>
      <c r="AA513" s="43">
        <f t="shared" si="301"/>
        <v>214.0595666743915</v>
      </c>
      <c r="AB513" s="43">
        <f t="shared" si="301"/>
        <v>214.0595666743915</v>
      </c>
      <c r="AD513" s="43">
        <f t="shared" si="291"/>
        <v>11195.315337070675</v>
      </c>
      <c r="AE513" s="43">
        <f t="shared" si="292"/>
        <v>8977.6582263239779</v>
      </c>
      <c r="AF513" s="43">
        <f t="shared" si="293"/>
        <v>6982.6230649186491</v>
      </c>
      <c r="AG513" s="43">
        <f t="shared" si="294"/>
        <v>4987.5879035133203</v>
      </c>
      <c r="AH513" s="43">
        <f t="shared" si="295"/>
        <v>2992.552742107991</v>
      </c>
      <c r="AJ513" s="43">
        <f t="shared" si="282"/>
        <v>3099.1972182251757</v>
      </c>
      <c r="AK513" s="43">
        <f t="shared" si="283"/>
        <v>2513.9198322153875</v>
      </c>
      <c r="AL513" s="43">
        <f t="shared" si="284"/>
        <v>2260.3748378722375</v>
      </c>
      <c r="AM513" s="43">
        <f t="shared" si="285"/>
        <v>2184.5635017388354</v>
      </c>
      <c r="AN513" s="43">
        <f t="shared" si="286"/>
        <v>2108.7521656054328</v>
      </c>
    </row>
    <row r="514" spans="2:40">
      <c r="B514" s="37" t="str">
        <f t="shared" si="279"/>
        <v>Asset 208</v>
      </c>
      <c r="F514" s="37" t="str">
        <f t="shared" ref="F514:L514" si="308">F266</f>
        <v>10 Gereedschap (odorisatie)</v>
      </c>
      <c r="G514" s="37">
        <f t="shared" si="308"/>
        <v>2018</v>
      </c>
      <c r="H514" s="52">
        <f t="shared" si="308"/>
        <v>59796.38767845487</v>
      </c>
      <c r="I514" s="37">
        <f t="shared" si="308"/>
        <v>2021</v>
      </c>
      <c r="J514" s="52">
        <f t="shared" si="308"/>
        <v>10</v>
      </c>
      <c r="K514" s="175">
        <f t="shared" si="308"/>
        <v>0</v>
      </c>
      <c r="L514" s="52">
        <f t="shared" si="308"/>
        <v>41002.457465659885</v>
      </c>
      <c r="N514" s="43">
        <f t="shared" si="290"/>
        <v>41002.457465659885</v>
      </c>
      <c r="P514" s="38">
        <f t="shared" si="281"/>
        <v>6.5</v>
      </c>
      <c r="R514" s="43">
        <f t="shared" si="300"/>
        <v>7380.4423438187796</v>
      </c>
      <c r="S514" s="43">
        <f t="shared" si="300"/>
        <v>5904.3538750550233</v>
      </c>
      <c r="T514" s="43">
        <f t="shared" si="300"/>
        <v>5248.3145556044656</v>
      </c>
      <c r="U514" s="43">
        <f t="shared" si="300"/>
        <v>5248.3145556044656</v>
      </c>
      <c r="V514" s="43">
        <f t="shared" si="300"/>
        <v>5248.3145556044656</v>
      </c>
      <c r="X514" s="43">
        <f t="shared" si="301"/>
        <v>630.80703793322914</v>
      </c>
      <c r="Y514" s="43">
        <f t="shared" si="301"/>
        <v>630.80703793322903</v>
      </c>
      <c r="Z514" s="43">
        <f t="shared" si="301"/>
        <v>630.80703793322903</v>
      </c>
      <c r="AA514" s="43">
        <f t="shared" si="301"/>
        <v>630.80703793322903</v>
      </c>
      <c r="AB514" s="43">
        <f t="shared" si="301"/>
        <v>630.80703793322903</v>
      </c>
      <c r="AD514" s="43">
        <f t="shared" si="291"/>
        <v>32991.208083907877</v>
      </c>
      <c r="AE514" s="43">
        <f t="shared" si="292"/>
        <v>26456.047170919628</v>
      </c>
      <c r="AF514" s="43">
        <f t="shared" si="293"/>
        <v>20576.925577381935</v>
      </c>
      <c r="AG514" s="43">
        <f t="shared" si="294"/>
        <v>14697.80398384424</v>
      </c>
      <c r="AH514" s="43">
        <f t="shared" si="295"/>
        <v>8818.6823903065451</v>
      </c>
      <c r="AJ514" s="43">
        <f t="shared" si="282"/>
        <v>9132.9504566048763</v>
      </c>
      <c r="AK514" s="43">
        <f t="shared" si="283"/>
        <v>7408.2104696286005</v>
      </c>
      <c r="AL514" s="43">
        <f t="shared" si="284"/>
        <v>6661.0447654782083</v>
      </c>
      <c r="AM514" s="43">
        <f t="shared" si="285"/>
        <v>6437.6381449237761</v>
      </c>
      <c r="AN514" s="43">
        <f t="shared" si="286"/>
        <v>6214.2315243693438</v>
      </c>
    </row>
    <row r="515" spans="2:40">
      <c r="B515" s="37" t="str">
        <f t="shared" si="279"/>
        <v>Asset 209</v>
      </c>
      <c r="F515" s="37" t="str">
        <f t="shared" ref="F515:L515" si="309">F267</f>
        <v>05 Wegen en terreinvoorzieningen</v>
      </c>
      <c r="G515" s="37">
        <f t="shared" si="309"/>
        <v>2018</v>
      </c>
      <c r="H515" s="52">
        <f t="shared" si="309"/>
        <v>70537.619152208252</v>
      </c>
      <c r="I515" s="37">
        <f t="shared" si="309"/>
        <v>2021</v>
      </c>
      <c r="J515" s="52">
        <f t="shared" si="309"/>
        <v>10</v>
      </c>
      <c r="K515" s="175">
        <f t="shared" si="309"/>
        <v>0</v>
      </c>
      <c r="L515" s="52">
        <f t="shared" si="309"/>
        <v>48367.733257897518</v>
      </c>
      <c r="N515" s="43">
        <f t="shared" si="290"/>
        <v>48367.733257897518</v>
      </c>
      <c r="P515" s="38">
        <f t="shared" si="281"/>
        <v>6.5</v>
      </c>
      <c r="R515" s="43">
        <f t="shared" si="300"/>
        <v>8706.1919864215542</v>
      </c>
      <c r="S515" s="43">
        <f t="shared" si="300"/>
        <v>6964.9535891372434</v>
      </c>
      <c r="T515" s="43">
        <f t="shared" si="300"/>
        <v>6191.0698570108834</v>
      </c>
      <c r="U515" s="43">
        <f t="shared" si="300"/>
        <v>6191.0698570108834</v>
      </c>
      <c r="V515" s="43">
        <f t="shared" si="300"/>
        <v>6191.0698570108834</v>
      </c>
      <c r="X515" s="43">
        <f t="shared" si="301"/>
        <v>744.11897319842342</v>
      </c>
      <c r="Y515" s="43">
        <f t="shared" si="301"/>
        <v>744.1189731984233</v>
      </c>
      <c r="Z515" s="43">
        <f t="shared" si="301"/>
        <v>744.1189731984233</v>
      </c>
      <c r="AA515" s="43">
        <f t="shared" si="301"/>
        <v>744.1189731984233</v>
      </c>
      <c r="AB515" s="43">
        <f t="shared" si="301"/>
        <v>744.1189731984233</v>
      </c>
      <c r="AD515" s="43">
        <f t="shared" si="291"/>
        <v>38917.422298277539</v>
      </c>
      <c r="AE515" s="43">
        <f t="shared" si="292"/>
        <v>31208.349735941872</v>
      </c>
      <c r="AF515" s="43">
        <f t="shared" si="293"/>
        <v>24273.160905732566</v>
      </c>
      <c r="AG515" s="43">
        <f t="shared" si="294"/>
        <v>17337.972075523259</v>
      </c>
      <c r="AH515" s="43">
        <f t="shared" si="295"/>
        <v>10402.783245313953</v>
      </c>
      <c r="AJ515" s="43">
        <f t="shared" si="282"/>
        <v>10773.503317761413</v>
      </c>
      <c r="AK515" s="43">
        <f t="shared" si="283"/>
        <v>8738.9481036217476</v>
      </c>
      <c r="AL515" s="43">
        <f t="shared" si="284"/>
        <v>7857.5689446271444</v>
      </c>
      <c r="AM515" s="43">
        <f t="shared" si="285"/>
        <v>7594.0317690791908</v>
      </c>
      <c r="AN515" s="43">
        <f t="shared" si="286"/>
        <v>7330.4945935312371</v>
      </c>
    </row>
    <row r="516" spans="2:40">
      <c r="B516" s="37" t="str">
        <f t="shared" si="279"/>
        <v>Asset 210</v>
      </c>
      <c r="F516" s="37" t="str">
        <f t="shared" ref="F516:L516" si="310">F268</f>
        <v>37 ICT middelen 1 (balancering)</v>
      </c>
      <c r="G516" s="37">
        <f t="shared" si="310"/>
        <v>2018</v>
      </c>
      <c r="H516" s="52">
        <f t="shared" si="310"/>
        <v>1033593</v>
      </c>
      <c r="I516" s="37">
        <f t="shared" si="310"/>
        <v>2021</v>
      </c>
      <c r="J516" s="52">
        <f t="shared" si="310"/>
        <v>5</v>
      </c>
      <c r="K516" s="175">
        <f t="shared" si="310"/>
        <v>0</v>
      </c>
      <c r="L516" s="52">
        <f t="shared" si="310"/>
        <v>327108.92617687664</v>
      </c>
      <c r="N516" s="43">
        <f t="shared" si="290"/>
        <v>327108.92617687664</v>
      </c>
      <c r="P516" s="38">
        <f t="shared" si="281"/>
        <v>1.5</v>
      </c>
      <c r="R516" s="43">
        <f t="shared" si="300"/>
        <v>255144.9624179638</v>
      </c>
      <c r="S516" s="43">
        <f t="shared" si="300"/>
        <v>39253.071141225199</v>
      </c>
      <c r="T516" s="43">
        <f t="shared" si="300"/>
        <v>0</v>
      </c>
      <c r="U516" s="43">
        <f t="shared" si="300"/>
        <v>0</v>
      </c>
      <c r="V516" s="43">
        <f t="shared" si="300"/>
        <v>0</v>
      </c>
      <c r="X516" s="43">
        <f t="shared" si="301"/>
        <v>21807.26174512511</v>
      </c>
      <c r="Y516" s="43">
        <f t="shared" si="301"/>
        <v>10903.630872562557</v>
      </c>
      <c r="Z516" s="43">
        <f t="shared" si="301"/>
        <v>0</v>
      </c>
      <c r="AA516" s="43">
        <f t="shared" si="301"/>
        <v>0</v>
      </c>
      <c r="AB516" s="43">
        <f t="shared" si="301"/>
        <v>0</v>
      </c>
      <c r="AD516" s="43">
        <f t="shared" si="291"/>
        <v>50156.702013787726</v>
      </c>
      <c r="AE516" s="43">
        <f t="shared" si="292"/>
        <v>-2.9103830456733704E-11</v>
      </c>
      <c r="AF516" s="43">
        <f t="shared" si="293"/>
        <v>0</v>
      </c>
      <c r="AG516" s="43">
        <f t="shared" si="294"/>
        <v>0</v>
      </c>
      <c r="AH516" s="43">
        <f t="shared" si="295"/>
        <v>0</v>
      </c>
      <c r="AJ516" s="43">
        <f t="shared" si="282"/>
        <v>278657.55203155766</v>
      </c>
      <c r="AK516" s="43">
        <f t="shared" si="283"/>
        <v>50156.702013787755</v>
      </c>
      <c r="AL516" s="43">
        <f t="shared" si="284"/>
        <v>0</v>
      </c>
      <c r="AM516" s="43">
        <f t="shared" si="285"/>
        <v>0</v>
      </c>
      <c r="AN516" s="43">
        <f t="shared" si="286"/>
        <v>0</v>
      </c>
    </row>
    <row r="517" spans="2:40">
      <c r="B517" s="37" t="str">
        <f t="shared" si="279"/>
        <v>Asset 211</v>
      </c>
      <c r="F517" s="37" t="str">
        <f t="shared" ref="F517:L517" si="311">F269</f>
        <v>37 ICT middelen 1</v>
      </c>
      <c r="G517" s="37">
        <f t="shared" si="311"/>
        <v>2019</v>
      </c>
      <c r="H517" s="52">
        <f t="shared" si="311"/>
        <v>7023542.7917365544</v>
      </c>
      <c r="I517" s="37">
        <f t="shared" si="311"/>
        <v>2021</v>
      </c>
      <c r="J517" s="52">
        <f t="shared" si="311"/>
        <v>5</v>
      </c>
      <c r="K517" s="175">
        <f t="shared" si="311"/>
        <v>1</v>
      </c>
      <c r="L517" s="52">
        <f t="shared" si="311"/>
        <v>3660726.6913954271</v>
      </c>
      <c r="N517" s="43">
        <f t="shared" si="290"/>
        <v>3660726.6913954271</v>
      </c>
      <c r="P517" s="38">
        <f t="shared" si="281"/>
        <v>2.5</v>
      </c>
      <c r="R517" s="43">
        <f t="shared" ref="R517:V526" si="312">IF(R$305&lt;=$G517+$J517,VDB($L517*(1-$F$25),0,$P517,R$305-2022,MIN(R$305-2021,$P517),$F$22),0)</f>
        <v>1713220.09157306</v>
      </c>
      <c r="S517" s="43">
        <f t="shared" si="312"/>
        <v>1054289.2871218829</v>
      </c>
      <c r="T517" s="43">
        <f t="shared" si="312"/>
        <v>527144.64356094145</v>
      </c>
      <c r="U517" s="43">
        <f t="shared" si="312"/>
        <v>0</v>
      </c>
      <c r="V517" s="43">
        <f t="shared" si="312"/>
        <v>0</v>
      </c>
      <c r="X517" s="43">
        <f t="shared" ref="X517:AB526" si="313">IF(X$305&lt;=$G517+$J517,VDB($L517*$F$25,0,$P517,X$305-2022,MIN(X$305-2021,$P517),1),0)</f>
        <v>146429.06765581711</v>
      </c>
      <c r="Y517" s="43">
        <f t="shared" si="313"/>
        <v>146429.06765581708</v>
      </c>
      <c r="Z517" s="43">
        <f t="shared" si="313"/>
        <v>73214.533827908541</v>
      </c>
      <c r="AA517" s="43">
        <f t="shared" si="313"/>
        <v>0</v>
      </c>
      <c r="AB517" s="43">
        <f t="shared" si="313"/>
        <v>0</v>
      </c>
      <c r="AD517" s="43">
        <f t="shared" si="291"/>
        <v>1801077.5321665499</v>
      </c>
      <c r="AE517" s="43">
        <f t="shared" si="292"/>
        <v>600359.1773888499</v>
      </c>
      <c r="AF517" s="43">
        <f t="shared" si="293"/>
        <v>-8.7311491370201111E-11</v>
      </c>
      <c r="AG517" s="43">
        <f t="shared" si="294"/>
        <v>0</v>
      </c>
      <c r="AH517" s="43">
        <f t="shared" si="295"/>
        <v>0</v>
      </c>
      <c r="AJ517" s="43">
        <f t="shared" si="282"/>
        <v>1920885.7953225398</v>
      </c>
      <c r="AK517" s="43">
        <f t="shared" si="283"/>
        <v>1220530.2076315321</v>
      </c>
      <c r="AL517" s="43">
        <f t="shared" si="284"/>
        <v>600359.17738885002</v>
      </c>
      <c r="AM517" s="43">
        <f t="shared" si="285"/>
        <v>0</v>
      </c>
      <c r="AN517" s="43">
        <f t="shared" si="286"/>
        <v>0</v>
      </c>
    </row>
    <row r="518" spans="2:40">
      <c r="B518" s="37" t="str">
        <f t="shared" si="279"/>
        <v>Asset 212</v>
      </c>
      <c r="F518" s="37" t="str">
        <f t="shared" ref="F518:L518" si="314">F270</f>
        <v>14 Overig rollend materieel</v>
      </c>
      <c r="G518" s="37">
        <f t="shared" si="314"/>
        <v>2019</v>
      </c>
      <c r="H518" s="52">
        <f t="shared" si="314"/>
        <v>857388.09237261105</v>
      </c>
      <c r="I518" s="37">
        <f t="shared" si="314"/>
        <v>2021</v>
      </c>
      <c r="J518" s="52">
        <f t="shared" si="314"/>
        <v>10</v>
      </c>
      <c r="K518" s="175">
        <f t="shared" si="314"/>
        <v>1</v>
      </c>
      <c r="L518" s="52">
        <f t="shared" si="314"/>
        <v>670316.29927401594</v>
      </c>
      <c r="N518" s="43">
        <f t="shared" si="290"/>
        <v>670316.29927401594</v>
      </c>
      <c r="P518" s="38">
        <f t="shared" si="281"/>
        <v>7.5</v>
      </c>
      <c r="R518" s="43">
        <f t="shared" si="312"/>
        <v>104569.3426867465</v>
      </c>
      <c r="S518" s="43">
        <f t="shared" si="312"/>
        <v>86443.989954377103</v>
      </c>
      <c r="T518" s="43">
        <f t="shared" si="312"/>
        <v>74958.424855543781</v>
      </c>
      <c r="U518" s="43">
        <f t="shared" si="312"/>
        <v>74958.424855543781</v>
      </c>
      <c r="V518" s="43">
        <f t="shared" si="312"/>
        <v>74958.424855543781</v>
      </c>
      <c r="X518" s="43">
        <f t="shared" si="313"/>
        <v>8937.5506569868794</v>
      </c>
      <c r="Y518" s="43">
        <f t="shared" si="313"/>
        <v>8937.5506569868776</v>
      </c>
      <c r="Z518" s="43">
        <f t="shared" si="313"/>
        <v>8937.5506569868776</v>
      </c>
      <c r="AA518" s="43">
        <f t="shared" si="313"/>
        <v>8937.5506569868776</v>
      </c>
      <c r="AB518" s="43">
        <f t="shared" si="313"/>
        <v>8937.5506569868776</v>
      </c>
      <c r="AD518" s="43">
        <f t="shared" si="291"/>
        <v>556809.40593028255</v>
      </c>
      <c r="AE518" s="43">
        <f t="shared" si="292"/>
        <v>461427.86531891854</v>
      </c>
      <c r="AF518" s="43">
        <f t="shared" si="293"/>
        <v>377531.88980638789</v>
      </c>
      <c r="AG518" s="43">
        <f t="shared" si="294"/>
        <v>293635.91429385723</v>
      </c>
      <c r="AH518" s="43">
        <f t="shared" si="295"/>
        <v>209739.93878132658</v>
      </c>
      <c r="AJ518" s="43">
        <f t="shared" si="282"/>
        <v>132438.41314536298</v>
      </c>
      <c r="AK518" s="43">
        <f t="shared" si="283"/>
        <v>110608.66016688829</v>
      </c>
      <c r="AL518" s="43">
        <f t="shared" si="284"/>
        <v>98242.187325173392</v>
      </c>
      <c r="AM518" s="43">
        <f t="shared" si="285"/>
        <v>95054.140255697232</v>
      </c>
      <c r="AN518" s="43">
        <f t="shared" si="286"/>
        <v>91866.093186221071</v>
      </c>
    </row>
    <row r="519" spans="2:40">
      <c r="B519" s="37" t="str">
        <f t="shared" si="279"/>
        <v>Asset 213</v>
      </c>
      <c r="F519" s="37" t="str">
        <f t="shared" ref="F519:L519" si="315">F271</f>
        <v>08 Inrichting gebouwen</v>
      </c>
      <c r="G519" s="37">
        <f t="shared" si="315"/>
        <v>2019</v>
      </c>
      <c r="H519" s="52">
        <f t="shared" si="315"/>
        <v>460067.29247706069</v>
      </c>
      <c r="I519" s="37">
        <f t="shared" si="315"/>
        <v>2021</v>
      </c>
      <c r="J519" s="52">
        <f t="shared" si="315"/>
        <v>10</v>
      </c>
      <c r="K519" s="175">
        <f t="shared" si="315"/>
        <v>0</v>
      </c>
      <c r="L519" s="52">
        <f t="shared" si="315"/>
        <v>359686.13006607577</v>
      </c>
      <c r="N519" s="43">
        <f t="shared" si="290"/>
        <v>359686.13006607577</v>
      </c>
      <c r="P519" s="38">
        <f t="shared" si="281"/>
        <v>7.5</v>
      </c>
      <c r="R519" s="43">
        <f t="shared" si="312"/>
        <v>56111.03629030782</v>
      </c>
      <c r="S519" s="43">
        <f t="shared" si="312"/>
        <v>46385.123333321135</v>
      </c>
      <c r="T519" s="43">
        <f t="shared" si="312"/>
        <v>40222.064988334409</v>
      </c>
      <c r="U519" s="43">
        <f t="shared" si="312"/>
        <v>40222.064988334409</v>
      </c>
      <c r="V519" s="43">
        <f t="shared" si="312"/>
        <v>40222.064988334409</v>
      </c>
      <c r="X519" s="43">
        <f t="shared" si="313"/>
        <v>4795.8150675476772</v>
      </c>
      <c r="Y519" s="43">
        <f t="shared" si="313"/>
        <v>4795.8150675476772</v>
      </c>
      <c r="Z519" s="43">
        <f t="shared" si="313"/>
        <v>4795.8150675476772</v>
      </c>
      <c r="AA519" s="43">
        <f t="shared" si="313"/>
        <v>4795.8150675476772</v>
      </c>
      <c r="AB519" s="43">
        <f t="shared" si="313"/>
        <v>4795.8150675476772</v>
      </c>
      <c r="AD519" s="43">
        <f t="shared" si="291"/>
        <v>298779.27870822028</v>
      </c>
      <c r="AE519" s="43">
        <f t="shared" si="292"/>
        <v>247598.34030735149</v>
      </c>
      <c r="AF519" s="43">
        <f t="shared" si="293"/>
        <v>202580.46025146943</v>
      </c>
      <c r="AG519" s="43">
        <f t="shared" si="294"/>
        <v>157562.58019558736</v>
      </c>
      <c r="AH519" s="43">
        <f t="shared" si="295"/>
        <v>112544.70013970528</v>
      </c>
      <c r="AJ519" s="43">
        <f t="shared" si="282"/>
        <v>71065.346833934993</v>
      </c>
      <c r="AK519" s="43">
        <f t="shared" si="283"/>
        <v>59351.683631011416</v>
      </c>
      <c r="AL519" s="43">
        <f t="shared" si="284"/>
        <v>52715.937545437926</v>
      </c>
      <c r="AM519" s="43">
        <f t="shared" si="285"/>
        <v>51005.258103314409</v>
      </c>
      <c r="AN519" s="43">
        <f t="shared" si="286"/>
        <v>49294.578661190884</v>
      </c>
    </row>
    <row r="520" spans="2:40">
      <c r="B520" s="37" t="str">
        <f t="shared" si="279"/>
        <v>Asset 214</v>
      </c>
      <c r="F520" s="37" t="str">
        <f t="shared" ref="F520:L520" si="316">F272</f>
        <v>37 ICT middelen 1 (KC)</v>
      </c>
      <c r="G520" s="37">
        <f t="shared" si="316"/>
        <v>2019</v>
      </c>
      <c r="H520" s="52">
        <f t="shared" si="316"/>
        <v>119060</v>
      </c>
      <c r="I520" s="37">
        <f t="shared" si="316"/>
        <v>2021</v>
      </c>
      <c r="J520" s="52">
        <f t="shared" si="316"/>
        <v>5</v>
      </c>
      <c r="K520" s="175">
        <f t="shared" si="316"/>
        <v>0</v>
      </c>
      <c r="L520" s="52">
        <f t="shared" si="316"/>
        <v>62055.024479999985</v>
      </c>
      <c r="N520" s="43">
        <f t="shared" si="290"/>
        <v>62055.024479999985</v>
      </c>
      <c r="P520" s="38">
        <f t="shared" si="281"/>
        <v>2.5</v>
      </c>
      <c r="R520" s="43">
        <f t="shared" si="312"/>
        <v>29041.751456639995</v>
      </c>
      <c r="S520" s="43">
        <f t="shared" si="312"/>
        <v>17871.847050239994</v>
      </c>
      <c r="T520" s="43">
        <f t="shared" si="312"/>
        <v>8935.9235251199971</v>
      </c>
      <c r="U520" s="43">
        <f t="shared" si="312"/>
        <v>0</v>
      </c>
      <c r="V520" s="43">
        <f t="shared" si="312"/>
        <v>0</v>
      </c>
      <c r="X520" s="43">
        <f t="shared" si="313"/>
        <v>2482.2009791999999</v>
      </c>
      <c r="Y520" s="43">
        <f t="shared" si="313"/>
        <v>2482.2009791999994</v>
      </c>
      <c r="Z520" s="43">
        <f t="shared" si="313"/>
        <v>1241.1004895999997</v>
      </c>
      <c r="AA520" s="43">
        <f t="shared" si="313"/>
        <v>0</v>
      </c>
      <c r="AB520" s="43">
        <f t="shared" si="313"/>
        <v>0</v>
      </c>
      <c r="AD520" s="43">
        <f t="shared" si="291"/>
        <v>30531.072044159988</v>
      </c>
      <c r="AE520" s="43">
        <f t="shared" si="292"/>
        <v>10177.024014719995</v>
      </c>
      <c r="AF520" s="43">
        <f t="shared" si="293"/>
        <v>-2.0463630789890885E-12</v>
      </c>
      <c r="AG520" s="43">
        <f t="shared" si="294"/>
        <v>0</v>
      </c>
      <c r="AH520" s="43">
        <f t="shared" si="295"/>
        <v>0</v>
      </c>
      <c r="AJ520" s="43">
        <f t="shared" si="282"/>
        <v>32562.008885341435</v>
      </c>
      <c r="AK520" s="43">
        <f t="shared" si="283"/>
        <v>20689.889821925753</v>
      </c>
      <c r="AL520" s="43">
        <f t="shared" si="284"/>
        <v>10177.024014719997</v>
      </c>
      <c r="AM520" s="43">
        <f t="shared" si="285"/>
        <v>0</v>
      </c>
      <c r="AN520" s="43">
        <f t="shared" si="286"/>
        <v>0</v>
      </c>
    </row>
    <row r="521" spans="2:40">
      <c r="B521" s="37" t="str">
        <f t="shared" si="279"/>
        <v>Asset 215</v>
      </c>
      <c r="F521" s="37" t="str">
        <f t="shared" ref="F521:L521" si="317">F273</f>
        <v>11 Werktuigen</v>
      </c>
      <c r="G521" s="37">
        <f t="shared" si="317"/>
        <v>2019</v>
      </c>
      <c r="H521" s="52">
        <f t="shared" si="317"/>
        <v>288666.6970011855</v>
      </c>
      <c r="I521" s="37">
        <f t="shared" si="317"/>
        <v>2021</v>
      </c>
      <c r="J521" s="52">
        <f t="shared" si="317"/>
        <v>10</v>
      </c>
      <c r="K521" s="175">
        <f t="shared" si="317"/>
        <v>1</v>
      </c>
      <c r="L521" s="52">
        <f t="shared" si="317"/>
        <v>225683.08771589081</v>
      </c>
      <c r="N521" s="43">
        <f t="shared" si="290"/>
        <v>225683.08771589081</v>
      </c>
      <c r="P521" s="38">
        <f t="shared" si="281"/>
        <v>7.5</v>
      </c>
      <c r="R521" s="43">
        <f t="shared" si="312"/>
        <v>35206.56168367897</v>
      </c>
      <c r="S521" s="43">
        <f t="shared" si="312"/>
        <v>29104.09099184128</v>
      </c>
      <c r="T521" s="43">
        <f t="shared" si="312"/>
        <v>25237.113867051179</v>
      </c>
      <c r="U521" s="43">
        <f t="shared" si="312"/>
        <v>25237.113867051179</v>
      </c>
      <c r="V521" s="43">
        <f t="shared" si="312"/>
        <v>25237.113867051179</v>
      </c>
      <c r="X521" s="43">
        <f t="shared" si="313"/>
        <v>3009.1078362118778</v>
      </c>
      <c r="Y521" s="43">
        <f t="shared" si="313"/>
        <v>3009.1078362118778</v>
      </c>
      <c r="Z521" s="43">
        <f t="shared" si="313"/>
        <v>3009.1078362118778</v>
      </c>
      <c r="AA521" s="43">
        <f t="shared" si="313"/>
        <v>3009.1078362118778</v>
      </c>
      <c r="AB521" s="43">
        <f t="shared" si="313"/>
        <v>3009.1078362118778</v>
      </c>
      <c r="AD521" s="43">
        <f t="shared" si="291"/>
        <v>187467.41819599996</v>
      </c>
      <c r="AE521" s="43">
        <f t="shared" si="292"/>
        <v>155354.21936794679</v>
      </c>
      <c r="AF521" s="43">
        <f t="shared" si="293"/>
        <v>127107.99766468375</v>
      </c>
      <c r="AG521" s="43">
        <f t="shared" si="294"/>
        <v>98861.775961420688</v>
      </c>
      <c r="AH521" s="43">
        <f t="shared" si="295"/>
        <v>70615.55425815763</v>
      </c>
      <c r="AJ521" s="43">
        <f t="shared" si="282"/>
        <v>44589.561738554847</v>
      </c>
      <c r="AK521" s="43">
        <f t="shared" si="283"/>
        <v>37239.888067195403</v>
      </c>
      <c r="AL521" s="43">
        <f t="shared" si="284"/>
        <v>33076.32561452104</v>
      </c>
      <c r="AM521" s="43">
        <f t="shared" si="285"/>
        <v>32002.969189797044</v>
      </c>
      <c r="AN521" s="43">
        <f t="shared" si="286"/>
        <v>30929.612765073049</v>
      </c>
    </row>
    <row r="522" spans="2:40">
      <c r="B522" s="37" t="str">
        <f t="shared" si="279"/>
        <v>Asset 216</v>
      </c>
      <c r="F522" s="37" t="str">
        <f t="shared" ref="F522:L522" si="318">F274</f>
        <v>20 Kantoorgebouwen</v>
      </c>
      <c r="G522" s="37">
        <f t="shared" si="318"/>
        <v>2019</v>
      </c>
      <c r="H522" s="52">
        <f t="shared" si="318"/>
        <v>1170372.8470650064</v>
      </c>
      <c r="I522" s="37">
        <f t="shared" si="318"/>
        <v>2021</v>
      </c>
      <c r="J522" s="52">
        <f t="shared" si="318"/>
        <v>30</v>
      </c>
      <c r="K522" s="175">
        <f t="shared" si="318"/>
        <v>0</v>
      </c>
      <c r="L522" s="52">
        <f t="shared" si="318"/>
        <v>1118347.433267273</v>
      </c>
      <c r="N522" s="43">
        <f t="shared" si="290"/>
        <v>1118347.433267273</v>
      </c>
      <c r="P522" s="38">
        <f t="shared" si="281"/>
        <v>27.5</v>
      </c>
      <c r="R522" s="43">
        <f t="shared" si="312"/>
        <v>47580.599888098521</v>
      </c>
      <c r="S522" s="43">
        <f t="shared" si="312"/>
        <v>45331.335166115685</v>
      </c>
      <c r="T522" s="43">
        <f t="shared" si="312"/>
        <v>43188.399321899306</v>
      </c>
      <c r="U522" s="43">
        <f t="shared" si="312"/>
        <v>41146.765899409525</v>
      </c>
      <c r="V522" s="43">
        <f t="shared" si="312"/>
        <v>39201.646056891979</v>
      </c>
      <c r="X522" s="43">
        <f t="shared" si="313"/>
        <v>4066.7179391537202</v>
      </c>
      <c r="Y522" s="43">
        <f t="shared" si="313"/>
        <v>4066.7179391537202</v>
      </c>
      <c r="Z522" s="43">
        <f t="shared" si="313"/>
        <v>4066.7179391537202</v>
      </c>
      <c r="AA522" s="43">
        <f t="shared" si="313"/>
        <v>4066.7179391537202</v>
      </c>
      <c r="AB522" s="43">
        <f t="shared" si="313"/>
        <v>4066.7179391537202</v>
      </c>
      <c r="AD522" s="43">
        <f t="shared" si="291"/>
        <v>1066700.1154400208</v>
      </c>
      <c r="AE522" s="43">
        <f t="shared" si="292"/>
        <v>1017302.0623347515</v>
      </c>
      <c r="AF522" s="43">
        <f t="shared" si="293"/>
        <v>970046.94507369853</v>
      </c>
      <c r="AG522" s="43">
        <f t="shared" si="294"/>
        <v>924833.46123513533</v>
      </c>
      <c r="AH522" s="43">
        <f t="shared" si="295"/>
        <v>881565.09723908966</v>
      </c>
      <c r="AJ522" s="43">
        <f t="shared" si="282"/>
        <v>87915.121752212959</v>
      </c>
      <c r="AK522" s="43">
        <f t="shared" si="283"/>
        <v>82969.021162316203</v>
      </c>
      <c r="AL522" s="43">
        <f t="shared" si="284"/>
        <v>84116.901173853577</v>
      </c>
      <c r="AM522" s="43">
        <f t="shared" si="285"/>
        <v>80357.155365498387</v>
      </c>
      <c r="AN522" s="43">
        <f t="shared" si="286"/>
        <v>76767.837691131106</v>
      </c>
    </row>
    <row r="523" spans="2:40">
      <c r="B523" s="37" t="str">
        <f t="shared" si="279"/>
        <v>Asset 217</v>
      </c>
      <c r="F523" s="37" t="str">
        <f t="shared" ref="F523:L523" si="319">F275</f>
        <v>37 ICT middelen 1 (balancering)</v>
      </c>
      <c r="G523" s="37">
        <f t="shared" si="319"/>
        <v>2019</v>
      </c>
      <c r="H523" s="52">
        <f t="shared" si="319"/>
        <v>73704</v>
      </c>
      <c r="I523" s="37">
        <f t="shared" si="319"/>
        <v>2021</v>
      </c>
      <c r="J523" s="52">
        <f t="shared" si="319"/>
        <v>5</v>
      </c>
      <c r="K523" s="175">
        <f t="shared" si="319"/>
        <v>0</v>
      </c>
      <c r="L523" s="52">
        <f t="shared" si="319"/>
        <v>38415.114431999995</v>
      </c>
      <c r="N523" s="43">
        <f t="shared" si="290"/>
        <v>38415.114431999995</v>
      </c>
      <c r="P523" s="38">
        <f t="shared" si="281"/>
        <v>2.5</v>
      </c>
      <c r="R523" s="43">
        <f t="shared" si="312"/>
        <v>17978.273554175998</v>
      </c>
      <c r="S523" s="43">
        <f t="shared" si="312"/>
        <v>11063.552956416001</v>
      </c>
      <c r="T523" s="43">
        <f t="shared" si="312"/>
        <v>5531.7764782080003</v>
      </c>
      <c r="U523" s="43">
        <f t="shared" si="312"/>
        <v>0</v>
      </c>
      <c r="V523" s="43">
        <f t="shared" si="312"/>
        <v>0</v>
      </c>
      <c r="X523" s="43">
        <f t="shared" si="313"/>
        <v>1536.6045772799998</v>
      </c>
      <c r="Y523" s="43">
        <f t="shared" si="313"/>
        <v>1536.6045772799998</v>
      </c>
      <c r="Z523" s="43">
        <f t="shared" si="313"/>
        <v>768.30228863999992</v>
      </c>
      <c r="AA523" s="43">
        <f t="shared" si="313"/>
        <v>0</v>
      </c>
      <c r="AB523" s="43">
        <f t="shared" si="313"/>
        <v>0</v>
      </c>
      <c r="AD523" s="43">
        <f t="shared" si="291"/>
        <v>18900.236300543998</v>
      </c>
      <c r="AE523" s="43">
        <f t="shared" si="292"/>
        <v>6300.0787668479979</v>
      </c>
      <c r="AF523" s="43">
        <f t="shared" si="293"/>
        <v>-2.2737367544323206E-12</v>
      </c>
      <c r="AG523" s="43">
        <f t="shared" si="294"/>
        <v>0</v>
      </c>
      <c r="AH523" s="43">
        <f t="shared" si="295"/>
        <v>0</v>
      </c>
      <c r="AJ523" s="43">
        <f t="shared" si="282"/>
        <v>20157.486165674491</v>
      </c>
      <c r="AK523" s="43">
        <f t="shared" si="283"/>
        <v>12808.060133001985</v>
      </c>
      <c r="AL523" s="43">
        <f t="shared" si="284"/>
        <v>6300.0787668480007</v>
      </c>
      <c r="AM523" s="43">
        <f t="shared" si="285"/>
        <v>0</v>
      </c>
      <c r="AN523" s="43">
        <f t="shared" si="286"/>
        <v>0</v>
      </c>
    </row>
    <row r="524" spans="2:40">
      <c r="B524" s="37" t="str">
        <f t="shared" si="279"/>
        <v>Asset 218</v>
      </c>
      <c r="F524" s="37" t="str">
        <f t="shared" ref="F524:L524" si="320">F276</f>
        <v>37 ICT middelen 1 (gaschromatografen en comptabele meting)</v>
      </c>
      <c r="G524" s="37">
        <f t="shared" si="320"/>
        <v>2019</v>
      </c>
      <c r="H524" s="52">
        <f t="shared" si="320"/>
        <v>138775.45971332947</v>
      </c>
      <c r="I524" s="37">
        <f t="shared" si="320"/>
        <v>2021</v>
      </c>
      <c r="J524" s="52">
        <f t="shared" si="320"/>
        <v>5</v>
      </c>
      <c r="K524" s="175">
        <f t="shared" si="320"/>
        <v>0</v>
      </c>
      <c r="L524" s="52">
        <f t="shared" si="320"/>
        <v>72330.879806265031</v>
      </c>
      <c r="N524" s="43">
        <f t="shared" si="290"/>
        <v>72330.879806265031</v>
      </c>
      <c r="P524" s="38">
        <f t="shared" si="281"/>
        <v>2.5</v>
      </c>
      <c r="R524" s="43">
        <f t="shared" si="312"/>
        <v>33850.85174933204</v>
      </c>
      <c r="S524" s="43">
        <f t="shared" si="312"/>
        <v>20831.293384204328</v>
      </c>
      <c r="T524" s="43">
        <f t="shared" si="312"/>
        <v>10415.646692102164</v>
      </c>
      <c r="U524" s="43">
        <f t="shared" si="312"/>
        <v>0</v>
      </c>
      <c r="V524" s="43">
        <f t="shared" si="312"/>
        <v>0</v>
      </c>
      <c r="X524" s="43">
        <f t="shared" si="313"/>
        <v>2893.2351922506018</v>
      </c>
      <c r="Y524" s="43">
        <f t="shared" si="313"/>
        <v>2893.2351922506009</v>
      </c>
      <c r="Z524" s="43">
        <f t="shared" si="313"/>
        <v>1446.6175961253005</v>
      </c>
      <c r="AA524" s="43">
        <f t="shared" si="313"/>
        <v>0</v>
      </c>
      <c r="AB524" s="43">
        <f t="shared" si="313"/>
        <v>0</v>
      </c>
      <c r="AD524" s="43">
        <f t="shared" si="291"/>
        <v>35586.792864682393</v>
      </c>
      <c r="AE524" s="43">
        <f t="shared" si="292"/>
        <v>11862.264288227465</v>
      </c>
      <c r="AF524" s="43">
        <f t="shared" si="293"/>
        <v>6.8212102632969618E-13</v>
      </c>
      <c r="AG524" s="43">
        <f t="shared" si="294"/>
        <v>0</v>
      </c>
      <c r="AH524" s="43">
        <f t="shared" si="295"/>
        <v>0</v>
      </c>
      <c r="AJ524" s="43">
        <f t="shared" si="282"/>
        <v>37954.037898981842</v>
      </c>
      <c r="AK524" s="43">
        <f t="shared" si="283"/>
        <v>24115.983297966435</v>
      </c>
      <c r="AL524" s="43">
        <f t="shared" si="284"/>
        <v>11862.264288227465</v>
      </c>
      <c r="AM524" s="43">
        <f t="shared" si="285"/>
        <v>0</v>
      </c>
      <c r="AN524" s="43">
        <f t="shared" si="286"/>
        <v>0</v>
      </c>
    </row>
    <row r="525" spans="2:40">
      <c r="B525" s="37" t="str">
        <f t="shared" si="279"/>
        <v>Asset 219</v>
      </c>
      <c r="F525" s="37" t="str">
        <f t="shared" ref="F525:L525" si="321">F277</f>
        <v>10 Gereedschap</v>
      </c>
      <c r="G525" s="37">
        <f t="shared" si="321"/>
        <v>2019</v>
      </c>
      <c r="H525" s="52">
        <f t="shared" si="321"/>
        <v>142771.1801450084</v>
      </c>
      <c r="I525" s="37">
        <f t="shared" si="321"/>
        <v>2021</v>
      </c>
      <c r="J525" s="52">
        <f t="shared" si="321"/>
        <v>10</v>
      </c>
      <c r="K525" s="175">
        <f t="shared" si="321"/>
        <v>1</v>
      </c>
      <c r="L525" s="52">
        <f t="shared" si="321"/>
        <v>111620.22189152931</v>
      </c>
      <c r="N525" s="43">
        <f t="shared" si="290"/>
        <v>111620.22189152931</v>
      </c>
      <c r="P525" s="38">
        <f t="shared" si="281"/>
        <v>7.5</v>
      </c>
      <c r="R525" s="43">
        <f t="shared" si="312"/>
        <v>17412.754615078575</v>
      </c>
      <c r="S525" s="43">
        <f t="shared" si="312"/>
        <v>14394.543815131619</v>
      </c>
      <c r="T525" s="43">
        <f t="shared" si="312"/>
        <v>12481.982049484761</v>
      </c>
      <c r="U525" s="43">
        <f t="shared" si="312"/>
        <v>12481.982049484761</v>
      </c>
      <c r="V525" s="43">
        <f t="shared" si="312"/>
        <v>12481.982049484761</v>
      </c>
      <c r="X525" s="43">
        <f t="shared" si="313"/>
        <v>1488.2696252203907</v>
      </c>
      <c r="Y525" s="43">
        <f t="shared" si="313"/>
        <v>1488.2696252203907</v>
      </c>
      <c r="Z525" s="43">
        <f t="shared" si="313"/>
        <v>1488.2696252203907</v>
      </c>
      <c r="AA525" s="43">
        <f t="shared" si="313"/>
        <v>1488.2696252203907</v>
      </c>
      <c r="AB525" s="43">
        <f t="shared" si="313"/>
        <v>1488.2696252203907</v>
      </c>
      <c r="AD525" s="43">
        <f t="shared" si="291"/>
        <v>92719.197651230337</v>
      </c>
      <c r="AE525" s="43">
        <f t="shared" si="292"/>
        <v>76836.384210878328</v>
      </c>
      <c r="AF525" s="43">
        <f t="shared" si="293"/>
        <v>62866.13253617318</v>
      </c>
      <c r="AG525" s="43">
        <f t="shared" si="294"/>
        <v>48895.880861468031</v>
      </c>
      <c r="AH525" s="43">
        <f t="shared" si="295"/>
        <v>34925.629186762882</v>
      </c>
      <c r="AJ525" s="43">
        <f t="shared" si="282"/>
        <v>22053.476960440796</v>
      </c>
      <c r="AK525" s="43">
        <f t="shared" si="283"/>
        <v>18418.414119310997</v>
      </c>
      <c r="AL525" s="43">
        <f t="shared" si="284"/>
        <v>16359.164711079733</v>
      </c>
      <c r="AM525" s="43">
        <f t="shared" si="285"/>
        <v>15828.295147440938</v>
      </c>
      <c r="AN525" s="43">
        <f t="shared" si="286"/>
        <v>15297.425583802142</v>
      </c>
    </row>
    <row r="526" spans="2:40">
      <c r="B526" s="37" t="str">
        <f t="shared" si="279"/>
        <v>Asset 220</v>
      </c>
      <c r="F526" s="37" t="str">
        <f t="shared" ref="F526:L526" si="322">F278</f>
        <v>39 ICT middelen 3</v>
      </c>
      <c r="G526" s="37">
        <f t="shared" si="322"/>
        <v>2018</v>
      </c>
      <c r="H526" s="52">
        <f t="shared" si="322"/>
        <v>66462443.599999994</v>
      </c>
      <c r="I526" s="37">
        <f t="shared" si="322"/>
        <v>2021</v>
      </c>
      <c r="J526" s="52">
        <f t="shared" si="322"/>
        <v>15</v>
      </c>
      <c r="K526" s="175">
        <f t="shared" si="322"/>
        <v>1</v>
      </c>
      <c r="L526" s="52">
        <f t="shared" si="322"/>
        <v>53753217.800323352</v>
      </c>
      <c r="N526" s="43">
        <f t="shared" si="290"/>
        <v>53753217.800323352</v>
      </c>
      <c r="P526" s="38">
        <f t="shared" si="281"/>
        <v>11.5</v>
      </c>
      <c r="R526" s="43">
        <f t="shared" si="312"/>
        <v>5468805.637076376</v>
      </c>
      <c r="S526" s="43">
        <f t="shared" si="312"/>
        <v>4850592.8259286107</v>
      </c>
      <c r="T526" s="43">
        <f t="shared" si="312"/>
        <v>4302264.9412584202</v>
      </c>
      <c r="U526" s="43">
        <f t="shared" si="312"/>
        <v>3971321.4842385412</v>
      </c>
      <c r="V526" s="43">
        <f t="shared" si="312"/>
        <v>3971321.4842385412</v>
      </c>
      <c r="X526" s="43">
        <f t="shared" si="313"/>
        <v>467419.28522020311</v>
      </c>
      <c r="Y526" s="43">
        <f t="shared" si="313"/>
        <v>467419.28522020311</v>
      </c>
      <c r="Z526" s="43">
        <f t="shared" si="313"/>
        <v>467419.28522020311</v>
      </c>
      <c r="AA526" s="43">
        <f t="shared" si="313"/>
        <v>467419.28522020311</v>
      </c>
      <c r="AB526" s="43">
        <f t="shared" si="313"/>
        <v>467419.28522020311</v>
      </c>
      <c r="AD526" s="43">
        <f t="shared" si="291"/>
        <v>47816992.878026769</v>
      </c>
      <c r="AE526" s="43">
        <f t="shared" si="292"/>
        <v>42498980.766877949</v>
      </c>
      <c r="AF526" s="43">
        <f t="shared" si="293"/>
        <v>37729296.54039932</v>
      </c>
      <c r="AG526" s="43">
        <f t="shared" si="294"/>
        <v>33290555.770940576</v>
      </c>
      <c r="AH526" s="43">
        <f t="shared" si="295"/>
        <v>28851815.001481831</v>
      </c>
      <c r="AJ526" s="43">
        <f t="shared" si="282"/>
        <v>7562002.6801494891</v>
      </c>
      <c r="AK526" s="43">
        <f t="shared" si="283"/>
        <v>6720478.4764557863</v>
      </c>
      <c r="AL526" s="43">
        <f t="shared" si="284"/>
        <v>6203397.4950137977</v>
      </c>
      <c r="AM526" s="43">
        <f t="shared" si="285"/>
        <v>5703781.888754487</v>
      </c>
      <c r="AN526" s="43">
        <f t="shared" si="286"/>
        <v>5535109.739515054</v>
      </c>
    </row>
    <row r="527" spans="2:40">
      <c r="B527" s="37" t="str">
        <f t="shared" si="279"/>
        <v>Asset 221</v>
      </c>
      <c r="F527" s="37" t="str">
        <f t="shared" ref="F527:L527" si="323">F279</f>
        <v>39 ICT middelen 3 (balancering)</v>
      </c>
      <c r="G527" s="37">
        <f t="shared" si="323"/>
        <v>2018</v>
      </c>
      <c r="H527" s="52">
        <f t="shared" si="323"/>
        <v>13091088</v>
      </c>
      <c r="I527" s="37">
        <f t="shared" si="323"/>
        <v>2021</v>
      </c>
      <c r="J527" s="52">
        <f t="shared" si="323"/>
        <v>15</v>
      </c>
      <c r="K527" s="175">
        <f t="shared" si="323"/>
        <v>0</v>
      </c>
      <c r="L527" s="52">
        <f t="shared" si="323"/>
        <v>10587755.526147995</v>
      </c>
      <c r="N527" s="43">
        <f t="shared" si="290"/>
        <v>10587755.526147995</v>
      </c>
      <c r="P527" s="38">
        <f t="shared" si="281"/>
        <v>11.5</v>
      </c>
      <c r="R527" s="43">
        <f t="shared" ref="R527:V536" si="324">IF(R$305&lt;=$G527+$J527,VDB($L527*(1-$F$25),0,$P527,R$305-2022,MIN(R$305-2021,$P527),$F$22),0)</f>
        <v>1077189.0404863614</v>
      </c>
      <c r="S527" s="43">
        <f t="shared" si="324"/>
        <v>955419.84460529429</v>
      </c>
      <c r="T527" s="43">
        <f t="shared" si="324"/>
        <v>847415.86217165238</v>
      </c>
      <c r="U527" s="43">
        <f t="shared" si="324"/>
        <v>782230.02661998675</v>
      </c>
      <c r="V527" s="43">
        <f t="shared" si="324"/>
        <v>782230.02661998675</v>
      </c>
      <c r="X527" s="43">
        <f t="shared" ref="X527:AB536" si="325">IF(X$305&lt;=$G527+$J527,VDB($L527*$F$25,0,$P527,X$305-2022,MIN(X$305-2021,$P527),1),0)</f>
        <v>92067.439357808646</v>
      </c>
      <c r="Y527" s="43">
        <f t="shared" si="325"/>
        <v>92067.439357808646</v>
      </c>
      <c r="Z527" s="43">
        <f t="shared" si="325"/>
        <v>92067.439357808646</v>
      </c>
      <c r="AA527" s="43">
        <f t="shared" si="325"/>
        <v>92067.439357808646</v>
      </c>
      <c r="AB527" s="43">
        <f t="shared" si="325"/>
        <v>92067.439357808646</v>
      </c>
      <c r="AD527" s="43">
        <f t="shared" si="291"/>
        <v>9418499.0463038255</v>
      </c>
      <c r="AE527" s="43">
        <f t="shared" si="292"/>
        <v>8371011.7623407217</v>
      </c>
      <c r="AF527" s="43">
        <f t="shared" si="293"/>
        <v>7431528.4608112602</v>
      </c>
      <c r="AG527" s="43">
        <f t="shared" si="294"/>
        <v>6557230.9948334647</v>
      </c>
      <c r="AH527" s="43">
        <f t="shared" si="295"/>
        <v>5682933.5288556693</v>
      </c>
      <c r="AJ527" s="43">
        <f t="shared" si="282"/>
        <v>1489485.4474185</v>
      </c>
      <c r="AK527" s="43">
        <f t="shared" si="283"/>
        <v>1323730.6721203467</v>
      </c>
      <c r="AL527" s="43">
        <f t="shared" si="284"/>
        <v>1221881.3830402889</v>
      </c>
      <c r="AM527" s="43">
        <f t="shared" si="285"/>
        <v>1123472.243781467</v>
      </c>
      <c r="AN527" s="43">
        <f t="shared" si="286"/>
        <v>1090248.9400743109</v>
      </c>
    </row>
    <row r="528" spans="2:40">
      <c r="B528" s="37" t="str">
        <f t="shared" si="279"/>
        <v>Asset 222</v>
      </c>
      <c r="F528" s="37" t="str">
        <f t="shared" ref="F528:L528" si="326">F280</f>
        <v>39 ICT middelen 3 (KC)</v>
      </c>
      <c r="G528" s="37">
        <f t="shared" si="326"/>
        <v>2019</v>
      </c>
      <c r="H528" s="52">
        <f t="shared" si="326"/>
        <v>510273.00000000006</v>
      </c>
      <c r="I528" s="37">
        <f t="shared" si="326"/>
        <v>2021</v>
      </c>
      <c r="J528" s="52">
        <f t="shared" si="326"/>
        <v>15</v>
      </c>
      <c r="K528" s="175">
        <f t="shared" si="326"/>
        <v>0</v>
      </c>
      <c r="L528" s="52">
        <f t="shared" si="326"/>
        <v>443263.94964000006</v>
      </c>
      <c r="N528" s="43">
        <f t="shared" si="290"/>
        <v>443263.94964000006</v>
      </c>
      <c r="P528" s="38">
        <f t="shared" si="281"/>
        <v>12.5</v>
      </c>
      <c r="R528" s="43">
        <f t="shared" si="324"/>
        <v>41489.505686304015</v>
      </c>
      <c r="S528" s="43">
        <f t="shared" si="324"/>
        <v>37174.597094928395</v>
      </c>
      <c r="T528" s="43">
        <f t="shared" si="324"/>
        <v>33308.43899705584</v>
      </c>
      <c r="U528" s="43">
        <f t="shared" si="324"/>
        <v>30206.843462917033</v>
      </c>
      <c r="V528" s="43">
        <f t="shared" si="324"/>
        <v>30206.843462917033</v>
      </c>
      <c r="X528" s="43">
        <f t="shared" si="325"/>
        <v>3546.1115971200006</v>
      </c>
      <c r="Y528" s="43">
        <f t="shared" si="325"/>
        <v>3546.1115971200006</v>
      </c>
      <c r="Z528" s="43">
        <f t="shared" si="325"/>
        <v>3546.1115971200006</v>
      </c>
      <c r="AA528" s="43">
        <f t="shared" si="325"/>
        <v>3546.1115971200006</v>
      </c>
      <c r="AB528" s="43">
        <f t="shared" si="325"/>
        <v>3546.1115971200006</v>
      </c>
      <c r="AD528" s="43">
        <f t="shared" si="291"/>
        <v>398228.33235657605</v>
      </c>
      <c r="AE528" s="43">
        <f t="shared" si="292"/>
        <v>357507.62366452767</v>
      </c>
      <c r="AF528" s="43">
        <f t="shared" si="293"/>
        <v>320653.07307035179</v>
      </c>
      <c r="AG528" s="43">
        <f t="shared" si="294"/>
        <v>286900.11801031476</v>
      </c>
      <c r="AH528" s="43">
        <f t="shared" si="295"/>
        <v>253147.16295027774</v>
      </c>
      <c r="AJ528" s="43">
        <f t="shared" si="282"/>
        <v>58575.380583547601</v>
      </c>
      <c r="AK528" s="43">
        <f t="shared" si="283"/>
        <v>52518.460272977805</v>
      </c>
      <c r="AL528" s="43">
        <f t="shared" si="284"/>
        <v>49039.367370849206</v>
      </c>
      <c r="AM528" s="43">
        <f t="shared" si="285"/>
        <v>44655.159544429</v>
      </c>
      <c r="AN528" s="43">
        <f t="shared" si="286"/>
        <v>43372.547252147589</v>
      </c>
    </row>
    <row r="529" spans="2:40">
      <c r="B529" s="37" t="str">
        <f t="shared" si="279"/>
        <v>Asset 223</v>
      </c>
      <c r="F529" s="37" t="str">
        <f t="shared" ref="F529:L529" si="327">F281</f>
        <v>37 ICT middelen 1</v>
      </c>
      <c r="G529" s="37">
        <f t="shared" si="327"/>
        <v>2020</v>
      </c>
      <c r="H529" s="52">
        <f t="shared" si="327"/>
        <v>4054436.8604233577</v>
      </c>
      <c r="I529" s="37">
        <f t="shared" si="327"/>
        <v>2021</v>
      </c>
      <c r="J529" s="52">
        <f t="shared" si="327"/>
        <v>5</v>
      </c>
      <c r="K529" s="175">
        <f t="shared" si="327"/>
        <v>1</v>
      </c>
      <c r="L529" s="52">
        <f t="shared" si="327"/>
        <v>2883515.4951330922</v>
      </c>
      <c r="N529" s="43">
        <f t="shared" si="290"/>
        <v>2883515.4951330922</v>
      </c>
      <c r="P529" s="38">
        <f t="shared" si="281"/>
        <v>3.5</v>
      </c>
      <c r="R529" s="43">
        <f t="shared" si="324"/>
        <v>963918.03694449086</v>
      </c>
      <c r="S529" s="43">
        <f t="shared" si="324"/>
        <v>652498.36347011686</v>
      </c>
      <c r="T529" s="43">
        <f t="shared" si="324"/>
        <v>652498.36347011686</v>
      </c>
      <c r="U529" s="43">
        <f t="shared" si="324"/>
        <v>326249.18173505843</v>
      </c>
      <c r="V529" s="43">
        <f t="shared" si="324"/>
        <v>0</v>
      </c>
      <c r="X529" s="43">
        <f t="shared" si="325"/>
        <v>82386.157003802626</v>
      </c>
      <c r="Y529" s="43">
        <f t="shared" si="325"/>
        <v>82386.157003802626</v>
      </c>
      <c r="Z529" s="43">
        <f t="shared" si="325"/>
        <v>82386.157003802626</v>
      </c>
      <c r="AA529" s="43">
        <f t="shared" si="325"/>
        <v>41193.078501901313</v>
      </c>
      <c r="AB529" s="43">
        <f t="shared" si="325"/>
        <v>0</v>
      </c>
      <c r="AD529" s="43">
        <f t="shared" si="291"/>
        <v>1837211.3011847986</v>
      </c>
      <c r="AE529" s="43">
        <f t="shared" si="292"/>
        <v>1102326.780710879</v>
      </c>
      <c r="AF529" s="43">
        <f t="shared" si="293"/>
        <v>367442.26023695956</v>
      </c>
      <c r="AG529" s="43">
        <f t="shared" si="294"/>
        <v>-1.8917489796876907E-10</v>
      </c>
      <c r="AH529" s="43">
        <f t="shared" si="295"/>
        <v>0</v>
      </c>
      <c r="AJ529" s="43">
        <f t="shared" si="282"/>
        <v>1108769.3781885765</v>
      </c>
      <c r="AK529" s="43">
        <f t="shared" si="283"/>
        <v>771261.30423737853</v>
      </c>
      <c r="AL529" s="43">
        <f t="shared" si="284"/>
        <v>748847.32636292395</v>
      </c>
      <c r="AM529" s="43">
        <f t="shared" si="285"/>
        <v>367442.26023695973</v>
      </c>
      <c r="AN529" s="43">
        <f t="shared" si="286"/>
        <v>0</v>
      </c>
    </row>
    <row r="530" spans="2:40">
      <c r="B530" s="37" t="str">
        <f t="shared" si="279"/>
        <v>Asset 224</v>
      </c>
      <c r="F530" s="37" t="str">
        <f t="shared" ref="F530:L530" si="328">F282</f>
        <v>11 Werktuigen</v>
      </c>
      <c r="G530" s="37">
        <f t="shared" si="328"/>
        <v>2021</v>
      </c>
      <c r="H530" s="52">
        <f t="shared" si="328"/>
        <v>2667062.5363170211</v>
      </c>
      <c r="I530" s="37">
        <f t="shared" si="328"/>
        <v>2021</v>
      </c>
      <c r="J530" s="52">
        <f t="shared" si="328"/>
        <v>10</v>
      </c>
      <c r="K530" s="175">
        <f t="shared" si="328"/>
        <v>1</v>
      </c>
      <c r="L530" s="52">
        <f t="shared" si="328"/>
        <v>2533709.4095011703</v>
      </c>
      <c r="N530" s="43">
        <f t="shared" si="290"/>
        <v>2533709.4095011703</v>
      </c>
      <c r="P530" s="38">
        <f t="shared" si="281"/>
        <v>9.5</v>
      </c>
      <c r="R530" s="43">
        <f t="shared" si="324"/>
        <v>312046.31674909149</v>
      </c>
      <c r="S530" s="43">
        <f t="shared" si="324"/>
        <v>269345.24182553164</v>
      </c>
      <c r="T530" s="43">
        <f t="shared" si="324"/>
        <v>232487.47189151149</v>
      </c>
      <c r="U530" s="43">
        <f t="shared" si="324"/>
        <v>225609.14432075669</v>
      </c>
      <c r="V530" s="43">
        <f t="shared" si="324"/>
        <v>225609.14432075669</v>
      </c>
      <c r="X530" s="43">
        <f t="shared" si="325"/>
        <v>26670.625363170217</v>
      </c>
      <c r="Y530" s="43">
        <f t="shared" si="325"/>
        <v>26670.625363170217</v>
      </c>
      <c r="Z530" s="43">
        <f t="shared" si="325"/>
        <v>26670.625363170217</v>
      </c>
      <c r="AA530" s="43">
        <f t="shared" si="325"/>
        <v>26670.625363170217</v>
      </c>
      <c r="AB530" s="43">
        <f t="shared" si="325"/>
        <v>26670.625363170217</v>
      </c>
      <c r="AD530" s="43">
        <f t="shared" si="291"/>
        <v>2194992.4673889084</v>
      </c>
      <c r="AE530" s="43">
        <f t="shared" si="292"/>
        <v>1898976.6002002065</v>
      </c>
      <c r="AF530" s="43">
        <f t="shared" si="293"/>
        <v>1639818.5029455249</v>
      </c>
      <c r="AG530" s="43">
        <f t="shared" si="294"/>
        <v>1387538.733261598</v>
      </c>
      <c r="AH530" s="43">
        <f t="shared" si="295"/>
        <v>1135258.9635776712</v>
      </c>
      <c r="AJ530" s="43">
        <f t="shared" si="282"/>
        <v>413346.68600348465</v>
      </c>
      <c r="AK530" s="43">
        <f t="shared" si="283"/>
        <v>358682.09499530867</v>
      </c>
      <c r="AL530" s="43">
        <f t="shared" si="284"/>
        <v>321471.20036661165</v>
      </c>
      <c r="AM530" s="43">
        <f t="shared" si="285"/>
        <v>305006.24154786766</v>
      </c>
      <c r="AN530" s="43">
        <f t="shared" si="286"/>
        <v>295419.6102998784</v>
      </c>
    </row>
    <row r="531" spans="2:40">
      <c r="B531" s="37" t="str">
        <f t="shared" si="279"/>
        <v>Asset 225</v>
      </c>
      <c r="F531" s="37" t="str">
        <f t="shared" ref="F531:L531" si="329">F283</f>
        <v>10 Gereedschap</v>
      </c>
      <c r="G531" s="37">
        <f t="shared" si="329"/>
        <v>2021</v>
      </c>
      <c r="H531" s="52">
        <f t="shared" si="329"/>
        <v>467492.45719026914</v>
      </c>
      <c r="I531" s="37">
        <f t="shared" si="329"/>
        <v>2021</v>
      </c>
      <c r="J531" s="52">
        <f t="shared" si="329"/>
        <v>10</v>
      </c>
      <c r="K531" s="175">
        <f t="shared" si="329"/>
        <v>1</v>
      </c>
      <c r="L531" s="52">
        <f t="shared" si="329"/>
        <v>444117.83433075569</v>
      </c>
      <c r="N531" s="43">
        <f t="shared" si="290"/>
        <v>444117.83433075569</v>
      </c>
      <c r="P531" s="38">
        <f t="shared" si="281"/>
        <v>9.5</v>
      </c>
      <c r="R531" s="43">
        <f t="shared" si="324"/>
        <v>54696.617491261495</v>
      </c>
      <c r="S531" s="43">
        <f t="shared" si="324"/>
        <v>47211.817202983599</v>
      </c>
      <c r="T531" s="43">
        <f t="shared" si="324"/>
        <v>40751.252743627949</v>
      </c>
      <c r="U531" s="43">
        <f t="shared" si="324"/>
        <v>39545.594378431859</v>
      </c>
      <c r="V531" s="43">
        <f t="shared" si="324"/>
        <v>39545.594378431859</v>
      </c>
      <c r="X531" s="43">
        <f t="shared" si="325"/>
        <v>4674.9245719026922</v>
      </c>
      <c r="Y531" s="43">
        <f t="shared" si="325"/>
        <v>4674.9245719026922</v>
      </c>
      <c r="Z531" s="43">
        <f t="shared" si="325"/>
        <v>4674.9245719026922</v>
      </c>
      <c r="AA531" s="43">
        <f t="shared" si="325"/>
        <v>4674.9245719026922</v>
      </c>
      <c r="AB531" s="43">
        <f t="shared" si="325"/>
        <v>4674.9245719026922</v>
      </c>
      <c r="AD531" s="43">
        <f t="shared" si="291"/>
        <v>384746.29226759152</v>
      </c>
      <c r="AE531" s="43">
        <f t="shared" si="292"/>
        <v>332859.55049270525</v>
      </c>
      <c r="AF531" s="43">
        <f t="shared" si="293"/>
        <v>287433.37317717465</v>
      </c>
      <c r="AG531" s="43">
        <f t="shared" si="294"/>
        <v>243212.85422684011</v>
      </c>
      <c r="AH531" s="43">
        <f t="shared" si="295"/>
        <v>198992.33527650556</v>
      </c>
      <c r="AJ531" s="43">
        <f t="shared" si="282"/>
        <v>72452.91600026231</v>
      </c>
      <c r="AK531" s="43">
        <f t="shared" si="283"/>
        <v>62871.106941145568</v>
      </c>
      <c r="AL531" s="43">
        <f t="shared" si="284"/>
        <v>56348.645496263278</v>
      </c>
      <c r="AM531" s="43">
        <f t="shared" si="285"/>
        <v>53462.607410954479</v>
      </c>
      <c r="AN531" s="43">
        <f t="shared" si="286"/>
        <v>51782.227690841763</v>
      </c>
    </row>
    <row r="532" spans="2:40">
      <c r="B532" s="37" t="str">
        <f t="shared" si="279"/>
        <v>Asset 226</v>
      </c>
      <c r="F532" s="37" t="str">
        <f t="shared" ref="F532:L532" si="330">F284</f>
        <v>38 ICT middelen 2</v>
      </c>
      <c r="G532" s="37">
        <f t="shared" si="330"/>
        <v>2021</v>
      </c>
      <c r="H532" s="52">
        <f t="shared" si="330"/>
        <v>3432262.7310020467</v>
      </c>
      <c r="I532" s="37">
        <f t="shared" si="330"/>
        <v>2021</v>
      </c>
      <c r="J532" s="52">
        <f t="shared" si="330"/>
        <v>10</v>
      </c>
      <c r="K532" s="175">
        <f t="shared" si="330"/>
        <v>1</v>
      </c>
      <c r="L532" s="52">
        <f t="shared" si="330"/>
        <v>3260649.5944519443</v>
      </c>
      <c r="N532" s="43">
        <f t="shared" si="290"/>
        <v>3260649.5944519443</v>
      </c>
      <c r="P532" s="38">
        <f t="shared" si="281"/>
        <v>9.5</v>
      </c>
      <c r="R532" s="43">
        <f t="shared" si="324"/>
        <v>401574.73952723952</v>
      </c>
      <c r="S532" s="43">
        <f t="shared" si="324"/>
        <v>346622.40674982779</v>
      </c>
      <c r="T532" s="43">
        <f t="shared" si="324"/>
        <v>299189.8668787987</v>
      </c>
      <c r="U532" s="43">
        <f t="shared" si="324"/>
        <v>290338.09566936677</v>
      </c>
      <c r="V532" s="43">
        <f t="shared" si="324"/>
        <v>290338.09566936677</v>
      </c>
      <c r="X532" s="43">
        <f t="shared" si="325"/>
        <v>34322.627310020471</v>
      </c>
      <c r="Y532" s="43">
        <f t="shared" si="325"/>
        <v>34322.627310020463</v>
      </c>
      <c r="Z532" s="43">
        <f t="shared" si="325"/>
        <v>34322.627310020463</v>
      </c>
      <c r="AA532" s="43">
        <f t="shared" si="325"/>
        <v>34322.627310020463</v>
      </c>
      <c r="AB532" s="43">
        <f t="shared" si="325"/>
        <v>34322.627310020463</v>
      </c>
      <c r="AD532" s="43">
        <f t="shared" si="291"/>
        <v>2824752.2276146845</v>
      </c>
      <c r="AE532" s="43">
        <f t="shared" si="292"/>
        <v>2443807.1935548363</v>
      </c>
      <c r="AF532" s="43">
        <f t="shared" si="293"/>
        <v>2110294.6993660172</v>
      </c>
      <c r="AG532" s="43">
        <f t="shared" si="294"/>
        <v>1785633.97638663</v>
      </c>
      <c r="AH532" s="43">
        <f t="shared" si="295"/>
        <v>1460973.2534072427</v>
      </c>
      <c r="AJ532" s="43">
        <f t="shared" si="282"/>
        <v>531938.94257615926</v>
      </c>
      <c r="AK532" s="43">
        <f t="shared" si="283"/>
        <v>461590.67144715786</v>
      </c>
      <c r="AL532" s="43">
        <f t="shared" si="284"/>
        <v>413703.69276472781</v>
      </c>
      <c r="AM532" s="43">
        <f t="shared" si="285"/>
        <v>392514.81408207916</v>
      </c>
      <c r="AN532" s="43">
        <f t="shared" si="286"/>
        <v>380177.70660886244</v>
      </c>
    </row>
    <row r="533" spans="2:40">
      <c r="B533" s="37" t="str">
        <f t="shared" si="279"/>
        <v>Asset 227</v>
      </c>
      <c r="F533" s="37" t="str">
        <f t="shared" ref="F533:L533" si="331">F285</f>
        <v>37 ICT middelen 1</v>
      </c>
      <c r="G533" s="37">
        <f t="shared" si="331"/>
        <v>2021</v>
      </c>
      <c r="H533" s="52">
        <f t="shared" si="331"/>
        <v>8176022.700880779</v>
      </c>
      <c r="I533" s="37">
        <f t="shared" si="331"/>
        <v>2021</v>
      </c>
      <c r="J533" s="52">
        <f t="shared" si="331"/>
        <v>5</v>
      </c>
      <c r="K533" s="175">
        <f t="shared" si="331"/>
        <v>1</v>
      </c>
      <c r="L533" s="52">
        <f t="shared" si="331"/>
        <v>7358420.4307927005</v>
      </c>
      <c r="N533" s="43">
        <f t="shared" si="290"/>
        <v>7358420.4307927005</v>
      </c>
      <c r="P533" s="38">
        <f t="shared" si="281"/>
        <v>4.5</v>
      </c>
      <c r="R533" s="43">
        <f t="shared" si="324"/>
        <v>1913189.3120061024</v>
      </c>
      <c r="S533" s="43">
        <f t="shared" si="324"/>
        <v>1360490.1774265615</v>
      </c>
      <c r="T533" s="43">
        <f t="shared" si="324"/>
        <v>1339559.5593123063</v>
      </c>
      <c r="U533" s="43">
        <f t="shared" si="324"/>
        <v>1339559.5593123063</v>
      </c>
      <c r="V533" s="43">
        <f t="shared" si="324"/>
        <v>669779.77965615317</v>
      </c>
      <c r="X533" s="43">
        <f t="shared" si="325"/>
        <v>163520.45401761556</v>
      </c>
      <c r="Y533" s="43">
        <f t="shared" si="325"/>
        <v>163520.45401761559</v>
      </c>
      <c r="Z533" s="43">
        <f t="shared" si="325"/>
        <v>163520.45401761559</v>
      </c>
      <c r="AA533" s="43">
        <f t="shared" si="325"/>
        <v>163520.45401761559</v>
      </c>
      <c r="AB533" s="43">
        <f t="shared" si="325"/>
        <v>81760.227008807793</v>
      </c>
      <c r="AD533" s="43">
        <f t="shared" si="291"/>
        <v>5281710.6647689817</v>
      </c>
      <c r="AE533" s="43">
        <f t="shared" si="292"/>
        <v>3757700.0333248046</v>
      </c>
      <c r="AF533" s="43">
        <f t="shared" si="293"/>
        <v>2254620.0199948829</v>
      </c>
      <c r="AG533" s="43">
        <f t="shared" si="294"/>
        <v>751540.00666496088</v>
      </c>
      <c r="AH533" s="43">
        <f t="shared" si="295"/>
        <v>-8.7311491370201111E-11</v>
      </c>
      <c r="AJ533" s="43">
        <f t="shared" si="282"/>
        <v>2256287.9286258635</v>
      </c>
      <c r="AK533" s="43">
        <f t="shared" si="283"/>
        <v>1648014.7325438957</v>
      </c>
      <c r="AL533" s="43">
        <f t="shared" si="284"/>
        <v>1588755.5740897276</v>
      </c>
      <c r="AM533" s="43">
        <f t="shared" si="285"/>
        <v>1531638.5335831905</v>
      </c>
      <c r="AN533" s="43">
        <f t="shared" si="286"/>
        <v>751540.00666496099</v>
      </c>
    </row>
    <row r="534" spans="2:40">
      <c r="B534" s="37" t="str">
        <f t="shared" si="279"/>
        <v>Asset 228</v>
      </c>
      <c r="F534" s="37" t="str">
        <f t="shared" ref="F534:L534" si="332">F286</f>
        <v>39 ICT middelen 3</v>
      </c>
      <c r="G534" s="37">
        <f t="shared" si="332"/>
        <v>2019</v>
      </c>
      <c r="H534" s="52">
        <f t="shared" si="332"/>
        <v>1603714.1720507673</v>
      </c>
      <c r="I534" s="37">
        <f t="shared" si="332"/>
        <v>2021</v>
      </c>
      <c r="J534" s="52">
        <f t="shared" si="332"/>
        <v>15</v>
      </c>
      <c r="K534" s="175">
        <f t="shared" si="332"/>
        <v>1</v>
      </c>
      <c r="L534" s="52">
        <f t="shared" si="332"/>
        <v>1393114.426977061</v>
      </c>
      <c r="N534" s="43">
        <f t="shared" si="290"/>
        <v>1393114.426977061</v>
      </c>
      <c r="P534" s="38">
        <f t="shared" si="281"/>
        <v>12.5</v>
      </c>
      <c r="R534" s="43">
        <f t="shared" si="324"/>
        <v>130395.51036505291</v>
      </c>
      <c r="S534" s="43">
        <f t="shared" si="324"/>
        <v>116834.37728708741</v>
      </c>
      <c r="T534" s="43">
        <f t="shared" si="324"/>
        <v>104683.60204923032</v>
      </c>
      <c r="U534" s="43">
        <f t="shared" si="324"/>
        <v>94935.736271366753</v>
      </c>
      <c r="V534" s="43">
        <f t="shared" si="324"/>
        <v>94935.736271366753</v>
      </c>
      <c r="X534" s="43">
        <f t="shared" si="325"/>
        <v>11144.915415816489</v>
      </c>
      <c r="Y534" s="43">
        <f t="shared" si="325"/>
        <v>11144.915415816489</v>
      </c>
      <c r="Z534" s="43">
        <f t="shared" si="325"/>
        <v>11144.915415816489</v>
      </c>
      <c r="AA534" s="43">
        <f t="shared" si="325"/>
        <v>11144.915415816489</v>
      </c>
      <c r="AB534" s="43">
        <f t="shared" si="325"/>
        <v>11144.915415816489</v>
      </c>
      <c r="AD534" s="43">
        <f t="shared" si="291"/>
        <v>1251574.0011961916</v>
      </c>
      <c r="AE534" s="43">
        <f t="shared" si="292"/>
        <v>1123594.7084932877</v>
      </c>
      <c r="AF534" s="43">
        <f t="shared" si="293"/>
        <v>1007766.1910282408</v>
      </c>
      <c r="AG534" s="43">
        <f t="shared" si="294"/>
        <v>901685.53934105765</v>
      </c>
      <c r="AH534" s="43">
        <f t="shared" si="295"/>
        <v>795604.88765387447</v>
      </c>
      <c r="AJ534" s="43">
        <f t="shared" si="282"/>
        <v>184093.94182153989</v>
      </c>
      <c r="AK534" s="43">
        <f t="shared" si="283"/>
        <v>165057.91808318239</v>
      </c>
      <c r="AL534" s="43">
        <f t="shared" si="284"/>
        <v>154123.63272411996</v>
      </c>
      <c r="AM534" s="43">
        <f t="shared" si="285"/>
        <v>140344.70218214343</v>
      </c>
      <c r="AN534" s="43">
        <f t="shared" si="286"/>
        <v>136313.63741803047</v>
      </c>
    </row>
    <row r="535" spans="2:40">
      <c r="B535" s="37" t="str">
        <f t="shared" si="279"/>
        <v>Asset 229</v>
      </c>
      <c r="F535" s="37" t="str">
        <f t="shared" ref="F535:L535" si="333">F287</f>
        <v>39 ICT middelen 3 (balancering)</v>
      </c>
      <c r="G535" s="37">
        <f t="shared" si="333"/>
        <v>2019</v>
      </c>
      <c r="H535" s="52">
        <f t="shared" si="333"/>
        <v>315883</v>
      </c>
      <c r="I535" s="37">
        <f t="shared" si="333"/>
        <v>2021</v>
      </c>
      <c r="J535" s="52">
        <f t="shared" si="333"/>
        <v>15</v>
      </c>
      <c r="K535" s="175">
        <f t="shared" si="333"/>
        <v>0</v>
      </c>
      <c r="L535" s="52">
        <f t="shared" si="333"/>
        <v>274401.24443999998</v>
      </c>
      <c r="N535" s="43">
        <f t="shared" si="290"/>
        <v>274401.24443999998</v>
      </c>
      <c r="P535" s="38">
        <f t="shared" si="281"/>
        <v>12.5</v>
      </c>
      <c r="R535" s="43">
        <f t="shared" si="324"/>
        <v>25683.956479584001</v>
      </c>
      <c r="S535" s="43">
        <f t="shared" si="324"/>
        <v>23012.825005707266</v>
      </c>
      <c r="T535" s="43">
        <f t="shared" si="324"/>
        <v>20619.491205113707</v>
      </c>
      <c r="U535" s="43">
        <f t="shared" si="324"/>
        <v>18699.457611115264</v>
      </c>
      <c r="V535" s="43">
        <f t="shared" si="324"/>
        <v>18699.457611115264</v>
      </c>
      <c r="X535" s="43">
        <f t="shared" si="325"/>
        <v>2195.2099555200002</v>
      </c>
      <c r="Y535" s="43">
        <f t="shared" si="325"/>
        <v>2195.2099555200002</v>
      </c>
      <c r="Z535" s="43">
        <f t="shared" si="325"/>
        <v>2195.2099555200002</v>
      </c>
      <c r="AA535" s="43">
        <f t="shared" si="325"/>
        <v>2195.2099555200002</v>
      </c>
      <c r="AB535" s="43">
        <f t="shared" si="325"/>
        <v>2195.2099555200002</v>
      </c>
      <c r="AD535" s="43">
        <f t="shared" si="291"/>
        <v>246522.07800489597</v>
      </c>
      <c r="AE535" s="43">
        <f t="shared" si="292"/>
        <v>221314.0430436687</v>
      </c>
      <c r="AF535" s="43">
        <f t="shared" si="293"/>
        <v>198499.341883035</v>
      </c>
      <c r="AG535" s="43">
        <f t="shared" si="294"/>
        <v>177604.67431639973</v>
      </c>
      <c r="AH535" s="43">
        <f t="shared" si="295"/>
        <v>156710.00674976446</v>
      </c>
      <c r="AJ535" s="43">
        <f t="shared" si="282"/>
        <v>36260.917087270464</v>
      </c>
      <c r="AK535" s="43">
        <f t="shared" si="283"/>
        <v>32511.398381668332</v>
      </c>
      <c r="AL535" s="43">
        <f t="shared" si="284"/>
        <v>30357.676152189037</v>
      </c>
      <c r="AM535" s="43">
        <f t="shared" si="285"/>
        <v>27643.645190658455</v>
      </c>
      <c r="AN535" s="43">
        <f t="shared" si="286"/>
        <v>26849.647823126314</v>
      </c>
    </row>
    <row r="536" spans="2:40">
      <c r="B536" s="37" t="str">
        <f t="shared" si="279"/>
        <v>Asset 230</v>
      </c>
      <c r="F536" s="37" t="str">
        <f t="shared" ref="F536:L536" si="334">F288</f>
        <v>39 ICT middelen 3</v>
      </c>
      <c r="G536" s="37">
        <f t="shared" si="334"/>
        <v>2020</v>
      </c>
      <c r="H536" s="52">
        <f t="shared" si="334"/>
        <v>437.7361508808076</v>
      </c>
      <c r="I536" s="37">
        <f t="shared" si="334"/>
        <v>2021</v>
      </c>
      <c r="J536" s="52">
        <f t="shared" si="334"/>
        <v>15</v>
      </c>
      <c r="K536" s="175">
        <f t="shared" si="334"/>
        <v>1</v>
      </c>
      <c r="L536" s="52">
        <f t="shared" si="334"/>
        <v>400.26593636541048</v>
      </c>
      <c r="N536" s="43">
        <f t="shared" si="290"/>
        <v>400.26593636541048</v>
      </c>
      <c r="P536" s="38">
        <f t="shared" si="281"/>
        <v>13.5</v>
      </c>
      <c r="R536" s="43">
        <f t="shared" si="324"/>
        <v>34.689714485002241</v>
      </c>
      <c r="S536" s="43">
        <f t="shared" si="324"/>
        <v>31.349223460520545</v>
      </c>
      <c r="T536" s="43">
        <f t="shared" si="324"/>
        <v>28.330409349507455</v>
      </c>
      <c r="U536" s="43">
        <f t="shared" si="324"/>
        <v>25.602295856591919</v>
      </c>
      <c r="V536" s="43">
        <f t="shared" si="324"/>
        <v>25.291336797604973</v>
      </c>
      <c r="X536" s="43">
        <f t="shared" si="325"/>
        <v>2.9649328619660036</v>
      </c>
      <c r="Y536" s="43">
        <f t="shared" si="325"/>
        <v>2.9649328619660036</v>
      </c>
      <c r="Z536" s="43">
        <f t="shared" si="325"/>
        <v>2.9649328619660036</v>
      </c>
      <c r="AA536" s="43">
        <f t="shared" si="325"/>
        <v>2.9649328619660036</v>
      </c>
      <c r="AB536" s="43">
        <f t="shared" si="325"/>
        <v>2.9649328619660036</v>
      </c>
      <c r="AD536" s="43">
        <f t="shared" si="291"/>
        <v>362.61128901844222</v>
      </c>
      <c r="AE536" s="43">
        <f t="shared" si="292"/>
        <v>328.29713269595567</v>
      </c>
      <c r="AF536" s="43">
        <f t="shared" si="293"/>
        <v>297.00179048448217</v>
      </c>
      <c r="AG536" s="43">
        <f t="shared" si="294"/>
        <v>268.43456176592423</v>
      </c>
      <c r="AH536" s="43">
        <f t="shared" si="295"/>
        <v>240.17829210635327</v>
      </c>
      <c r="AJ536" s="43">
        <f t="shared" si="282"/>
        <v>49.983431173595285</v>
      </c>
      <c r="AK536" s="43">
        <f t="shared" si="283"/>
        <v>45.147961701453085</v>
      </c>
      <c r="AL536" s="43">
        <f t="shared" si="284"/>
        <v>42.581410249883781</v>
      </c>
      <c r="AM536" s="43">
        <f t="shared" si="285"/>
        <v>38.767742065663043</v>
      </c>
      <c r="AN536" s="43">
        <f t="shared" si="286"/>
        <v>37.383044759612403</v>
      </c>
    </row>
    <row r="537" spans="2:40">
      <c r="B537" s="37" t="str">
        <f t="shared" si="279"/>
        <v>Asset 231</v>
      </c>
      <c r="F537" s="37" t="str">
        <f t="shared" ref="F537:L537" si="335">F289</f>
        <v>05 Wegen en terreinvoorzieningen</v>
      </c>
      <c r="G537" s="37">
        <f t="shared" si="335"/>
        <v>2020</v>
      </c>
      <c r="H537" s="52">
        <f t="shared" si="335"/>
        <v>274981.09053004743</v>
      </c>
      <c r="I537" s="37">
        <f t="shared" si="335"/>
        <v>2021</v>
      </c>
      <c r="J537" s="52">
        <f t="shared" si="335"/>
        <v>10</v>
      </c>
      <c r="K537" s="175">
        <f t="shared" si="335"/>
        <v>0</v>
      </c>
      <c r="L537" s="52">
        <f t="shared" si="335"/>
        <v>237473.66978174893</v>
      </c>
      <c r="N537" s="43">
        <f t="shared" si="290"/>
        <v>237473.66978174893</v>
      </c>
      <c r="P537" s="38">
        <f t="shared" si="281"/>
        <v>8.5</v>
      </c>
      <c r="R537" s="43">
        <f t="shared" ref="R537:V549" si="336">IF(R$305&lt;=$G537+$J537,VDB($L537*(1-$F$25),0,$P537,R$305-2022,MIN(R$305-2021,$P537),$F$22),0)</f>
        <v>32687.552193487798</v>
      </c>
      <c r="S537" s="43">
        <f t="shared" si="336"/>
        <v>27688.279505072016</v>
      </c>
      <c r="T537" s="43">
        <f t="shared" si="336"/>
        <v>23592.38017000219</v>
      </c>
      <c r="U537" s="43">
        <f t="shared" si="336"/>
        <v>23592.38017000219</v>
      </c>
      <c r="V537" s="43">
        <f t="shared" si="336"/>
        <v>23592.38017000219</v>
      </c>
      <c r="X537" s="43">
        <f t="shared" ref="X537:AB549" si="337">IF(X$305&lt;=$G537+$J537,VDB($L537*$F$25,0,$P537,X$305-2022,MIN(X$305-2021,$P537),1),0)</f>
        <v>2793.8078797852818</v>
      </c>
      <c r="Y537" s="43">
        <f t="shared" si="337"/>
        <v>2793.8078797852813</v>
      </c>
      <c r="Z537" s="43">
        <f t="shared" si="337"/>
        <v>2793.8078797852813</v>
      </c>
      <c r="AA537" s="43">
        <f t="shared" si="337"/>
        <v>2793.8078797852813</v>
      </c>
      <c r="AB537" s="43">
        <f t="shared" si="337"/>
        <v>2793.8078797852813</v>
      </c>
      <c r="AD537" s="43">
        <f t="shared" si="291"/>
        <v>201992.30970847586</v>
      </c>
      <c r="AE537" s="43">
        <f t="shared" si="292"/>
        <v>171510.22232361857</v>
      </c>
      <c r="AF537" s="43">
        <f t="shared" si="293"/>
        <v>145124.03427383109</v>
      </c>
      <c r="AG537" s="43">
        <f t="shared" si="294"/>
        <v>118737.84622404362</v>
      </c>
      <c r="AH537" s="43">
        <f t="shared" si="295"/>
        <v>92351.658174256154</v>
      </c>
      <c r="AJ537" s="43">
        <f t="shared" si="282"/>
        <v>42349.098603361257</v>
      </c>
      <c r="AK537" s="43">
        <f t="shared" si="283"/>
        <v>36141.924721536707</v>
      </c>
      <c r="AL537" s="43">
        <f t="shared" si="284"/>
        <v>31900.901352193054</v>
      </c>
      <c r="AM537" s="43">
        <f t="shared" si="285"/>
        <v>30898.226206301129</v>
      </c>
      <c r="AN537" s="43">
        <f t="shared" si="286"/>
        <v>29895.551060409209</v>
      </c>
    </row>
    <row r="538" spans="2:40">
      <c r="B538" s="37" t="str">
        <f t="shared" si="279"/>
        <v>Asset 232</v>
      </c>
      <c r="F538" s="37" t="str">
        <f t="shared" ref="F538:L538" si="338">F290</f>
        <v>04 Terreinen</v>
      </c>
      <c r="G538" s="37">
        <f t="shared" si="338"/>
        <v>2020</v>
      </c>
      <c r="H538" s="52">
        <f t="shared" si="338"/>
        <v>1155506.2616599156</v>
      </c>
      <c r="I538" s="37">
        <f t="shared" si="338"/>
        <v>2021</v>
      </c>
      <c r="J538" s="52">
        <f t="shared" si="338"/>
        <v>0</v>
      </c>
      <c r="K538" s="175">
        <f t="shared" si="338"/>
        <v>0</v>
      </c>
      <c r="L538" s="52">
        <f t="shared" si="338"/>
        <v>1173994.3618464742</v>
      </c>
      <c r="N538" s="43">
        <f t="shared" si="290"/>
        <v>1173994.3618464742</v>
      </c>
      <c r="P538" s="38">
        <f t="shared" si="281"/>
        <v>0</v>
      </c>
      <c r="R538" s="43">
        <f t="shared" si="336"/>
        <v>0</v>
      </c>
      <c r="S538" s="43">
        <f t="shared" si="336"/>
        <v>0</v>
      </c>
      <c r="T538" s="43">
        <f t="shared" si="336"/>
        <v>0</v>
      </c>
      <c r="U538" s="43">
        <f t="shared" si="336"/>
        <v>0</v>
      </c>
      <c r="V538" s="43">
        <f t="shared" si="336"/>
        <v>0</v>
      </c>
      <c r="X538" s="43">
        <f t="shared" si="337"/>
        <v>0</v>
      </c>
      <c r="Y538" s="43">
        <f t="shared" si="337"/>
        <v>0</v>
      </c>
      <c r="Z538" s="43">
        <f t="shared" si="337"/>
        <v>0</v>
      </c>
      <c r="AA538" s="43">
        <f t="shared" si="337"/>
        <v>0</v>
      </c>
      <c r="AB538" s="43">
        <f t="shared" si="337"/>
        <v>0</v>
      </c>
      <c r="AD538" s="43">
        <f t="shared" si="291"/>
        <v>1173994.3618464742</v>
      </c>
      <c r="AE538" s="43">
        <f t="shared" si="292"/>
        <v>1173994.3618464742</v>
      </c>
      <c r="AF538" s="43">
        <f t="shared" si="293"/>
        <v>1173994.3618464742</v>
      </c>
      <c r="AG538" s="43">
        <f t="shared" si="294"/>
        <v>1173994.3618464742</v>
      </c>
      <c r="AH538" s="43">
        <f t="shared" si="295"/>
        <v>1173994.3618464742</v>
      </c>
      <c r="AJ538" s="43">
        <f t="shared" si="282"/>
        <v>39915.808302780126</v>
      </c>
      <c r="AK538" s="43">
        <f t="shared" si="283"/>
        <v>38741.813940933651</v>
      </c>
      <c r="AL538" s="43">
        <f t="shared" si="284"/>
        <v>44611.785750166018</v>
      </c>
      <c r="AM538" s="43">
        <f t="shared" si="285"/>
        <v>44611.785750166018</v>
      </c>
      <c r="AN538" s="43">
        <f t="shared" si="286"/>
        <v>44611.785750166018</v>
      </c>
    </row>
    <row r="539" spans="2:40">
      <c r="B539" s="37" t="str">
        <f t="shared" si="279"/>
        <v>Asset 233</v>
      </c>
      <c r="F539" s="37" t="str">
        <f t="shared" ref="F539:L539" si="339">F291</f>
        <v>08 Inrichting gebouwen</v>
      </c>
      <c r="G539" s="37">
        <f t="shared" si="339"/>
        <v>2020</v>
      </c>
      <c r="H539" s="52">
        <f t="shared" si="339"/>
        <v>227204.18889764068</v>
      </c>
      <c r="I539" s="37">
        <f t="shared" si="339"/>
        <v>2021</v>
      </c>
      <c r="J539" s="52">
        <f t="shared" si="339"/>
        <v>10</v>
      </c>
      <c r="K539" s="175">
        <f t="shared" si="339"/>
        <v>0</v>
      </c>
      <c r="L539" s="52">
        <f t="shared" si="339"/>
        <v>196213.53753200249</v>
      </c>
      <c r="N539" s="43">
        <f t="shared" si="290"/>
        <v>196213.53753200249</v>
      </c>
      <c r="P539" s="38">
        <f t="shared" si="281"/>
        <v>8.5</v>
      </c>
      <c r="R539" s="43">
        <f t="shared" si="336"/>
        <v>27008.216342640346</v>
      </c>
      <c r="S539" s="43">
        <f t="shared" si="336"/>
        <v>22877.547960824766</v>
      </c>
      <c r="T539" s="43">
        <f t="shared" si="336"/>
        <v>19493.295303898023</v>
      </c>
      <c r="U539" s="43">
        <f t="shared" si="336"/>
        <v>19493.295303898023</v>
      </c>
      <c r="V539" s="43">
        <f t="shared" si="336"/>
        <v>19493.295303898023</v>
      </c>
      <c r="X539" s="43">
        <f t="shared" si="337"/>
        <v>2308.3945592000291</v>
      </c>
      <c r="Y539" s="43">
        <f t="shared" si="337"/>
        <v>2308.3945592000296</v>
      </c>
      <c r="Z539" s="43">
        <f t="shared" si="337"/>
        <v>2308.3945592000296</v>
      </c>
      <c r="AA539" s="43">
        <f t="shared" si="337"/>
        <v>2308.3945592000296</v>
      </c>
      <c r="AB539" s="43">
        <f t="shared" si="337"/>
        <v>2308.3945592000296</v>
      </c>
      <c r="AD539" s="43">
        <f t="shared" si="291"/>
        <v>166896.92663016211</v>
      </c>
      <c r="AE539" s="43">
        <f t="shared" si="292"/>
        <v>141710.9841101373</v>
      </c>
      <c r="AF539" s="43">
        <f t="shared" si="293"/>
        <v>119909.29424703926</v>
      </c>
      <c r="AG539" s="43">
        <f t="shared" si="294"/>
        <v>98107.604383941216</v>
      </c>
      <c r="AH539" s="43">
        <f t="shared" si="295"/>
        <v>76305.914520843173</v>
      </c>
      <c r="AJ539" s="43">
        <f t="shared" si="282"/>
        <v>34991.106407265885</v>
      </c>
      <c r="AK539" s="43">
        <f t="shared" si="283"/>
        <v>29862.40499565933</v>
      </c>
      <c r="AL539" s="43">
        <f t="shared" si="284"/>
        <v>26358.243044485545</v>
      </c>
      <c r="AM539" s="43">
        <f t="shared" si="285"/>
        <v>25529.778829687821</v>
      </c>
      <c r="AN539" s="43">
        <f t="shared" si="286"/>
        <v>24701.314614890096</v>
      </c>
    </row>
    <row r="540" spans="2:40">
      <c r="B540" s="37" t="str">
        <f t="shared" si="279"/>
        <v>Asset 234</v>
      </c>
      <c r="F540" s="37" t="str">
        <f t="shared" ref="F540:L540" si="340">F292</f>
        <v>11 Werktuigen</v>
      </c>
      <c r="G540" s="37">
        <f t="shared" si="340"/>
        <v>2020</v>
      </c>
      <c r="H540" s="52">
        <f t="shared" si="340"/>
        <v>880855.41897943604</v>
      </c>
      <c r="I540" s="37">
        <f t="shared" si="340"/>
        <v>2021</v>
      </c>
      <c r="J540" s="52">
        <f t="shared" si="340"/>
        <v>10</v>
      </c>
      <c r="K540" s="175">
        <f t="shared" si="340"/>
        <v>1</v>
      </c>
      <c r="L540" s="52">
        <f t="shared" si="340"/>
        <v>760706.73983064084</v>
      </c>
      <c r="N540" s="43">
        <f t="shared" si="290"/>
        <v>760706.73983064084</v>
      </c>
      <c r="P540" s="38">
        <f t="shared" si="281"/>
        <v>8.5</v>
      </c>
      <c r="R540" s="43">
        <f t="shared" si="336"/>
        <v>104709.04536492353</v>
      </c>
      <c r="S540" s="43">
        <f t="shared" si="336"/>
        <v>88694.720779699928</v>
      </c>
      <c r="T540" s="43">
        <f t="shared" si="336"/>
        <v>75574.199954300522</v>
      </c>
      <c r="U540" s="43">
        <f t="shared" si="336"/>
        <v>75574.199954300522</v>
      </c>
      <c r="V540" s="43">
        <f t="shared" si="336"/>
        <v>75574.199954300522</v>
      </c>
      <c r="X540" s="43">
        <f t="shared" si="337"/>
        <v>8949.4910568310697</v>
      </c>
      <c r="Y540" s="43">
        <f t="shared" si="337"/>
        <v>8949.4910568310679</v>
      </c>
      <c r="Z540" s="43">
        <f t="shared" si="337"/>
        <v>8949.4910568310679</v>
      </c>
      <c r="AA540" s="43">
        <f t="shared" si="337"/>
        <v>8949.4910568310679</v>
      </c>
      <c r="AB540" s="43">
        <f t="shared" si="337"/>
        <v>8949.4910568310679</v>
      </c>
      <c r="AD540" s="43">
        <f t="shared" si="291"/>
        <v>647048.20340888621</v>
      </c>
      <c r="AE540" s="43">
        <f t="shared" si="292"/>
        <v>549403.99157235515</v>
      </c>
      <c r="AF540" s="43">
        <f t="shared" si="293"/>
        <v>464880.30056122353</v>
      </c>
      <c r="AG540" s="43">
        <f t="shared" si="294"/>
        <v>380356.6095500919</v>
      </c>
      <c r="AH540" s="43">
        <f t="shared" si="295"/>
        <v>295832.91853896028</v>
      </c>
      <c r="AJ540" s="43">
        <f t="shared" si="282"/>
        <v>135658.17533765675</v>
      </c>
      <c r="AK540" s="43">
        <f t="shared" si="283"/>
        <v>115774.54355841872</v>
      </c>
      <c r="AL540" s="43">
        <f t="shared" si="284"/>
        <v>102189.14243245809</v>
      </c>
      <c r="AM540" s="43">
        <f t="shared" si="285"/>
        <v>98977.242174035084</v>
      </c>
      <c r="AN540" s="43">
        <f t="shared" si="286"/>
        <v>95765.34191561208</v>
      </c>
    </row>
    <row r="541" spans="2:40">
      <c r="B541" s="37" t="str">
        <f t="shared" si="279"/>
        <v>Asset 235</v>
      </c>
      <c r="F541" s="37" t="str">
        <f t="shared" ref="F541:L541" si="341">F293</f>
        <v>14 Overig rollend materieel</v>
      </c>
      <c r="G541" s="37">
        <f t="shared" si="341"/>
        <v>2020</v>
      </c>
      <c r="H541" s="52">
        <f t="shared" si="341"/>
        <v>111163.8757407683</v>
      </c>
      <c r="I541" s="37">
        <f t="shared" si="341"/>
        <v>2021</v>
      </c>
      <c r="J541" s="52">
        <f t="shared" si="341"/>
        <v>10</v>
      </c>
      <c r="K541" s="175">
        <f t="shared" si="341"/>
        <v>1</v>
      </c>
      <c r="L541" s="52">
        <f t="shared" si="341"/>
        <v>96001.123089727509</v>
      </c>
      <c r="N541" s="43">
        <f t="shared" si="290"/>
        <v>96001.123089727509</v>
      </c>
      <c r="P541" s="38">
        <f t="shared" si="281"/>
        <v>8.5</v>
      </c>
      <c r="R541" s="43">
        <f t="shared" si="336"/>
        <v>13214.272237056612</v>
      </c>
      <c r="S541" s="43">
        <f t="shared" si="336"/>
        <v>11193.265894918542</v>
      </c>
      <c r="T541" s="43">
        <f t="shared" si="336"/>
        <v>9537.4573305814793</v>
      </c>
      <c r="U541" s="43">
        <f t="shared" si="336"/>
        <v>9537.4573305814793</v>
      </c>
      <c r="V541" s="43">
        <f t="shared" si="336"/>
        <v>9537.4573305814793</v>
      </c>
      <c r="X541" s="43">
        <f t="shared" si="337"/>
        <v>1129.424977526206</v>
      </c>
      <c r="Y541" s="43">
        <f t="shared" si="337"/>
        <v>1129.424977526206</v>
      </c>
      <c r="Z541" s="43">
        <f t="shared" si="337"/>
        <v>1129.424977526206</v>
      </c>
      <c r="AA541" s="43">
        <f t="shared" si="337"/>
        <v>1129.424977526206</v>
      </c>
      <c r="AB541" s="43">
        <f t="shared" si="337"/>
        <v>1129.424977526206</v>
      </c>
      <c r="AD541" s="43">
        <f t="shared" si="291"/>
        <v>81657.425875144705</v>
      </c>
      <c r="AE541" s="43">
        <f t="shared" si="292"/>
        <v>69334.735002699963</v>
      </c>
      <c r="AF541" s="43">
        <f t="shared" si="293"/>
        <v>58667.852694592279</v>
      </c>
      <c r="AG541" s="43">
        <f t="shared" si="294"/>
        <v>48000.970386484594</v>
      </c>
      <c r="AH541" s="43">
        <f t="shared" si="295"/>
        <v>37334.08807837691</v>
      </c>
      <c r="AJ541" s="43">
        <f t="shared" si="282"/>
        <v>17120.04969433774</v>
      </c>
      <c r="AK541" s="43">
        <f t="shared" si="283"/>
        <v>14610.737127533848</v>
      </c>
      <c r="AL541" s="43">
        <f t="shared" si="284"/>
        <v>12896.260710502191</v>
      </c>
      <c r="AM541" s="43">
        <f t="shared" si="285"/>
        <v>12490.919182794099</v>
      </c>
      <c r="AN541" s="43">
        <f t="shared" si="286"/>
        <v>12085.577655086006</v>
      </c>
    </row>
    <row r="542" spans="2:40">
      <c r="B542" s="37" t="str">
        <f t="shared" si="279"/>
        <v>Asset 236</v>
      </c>
      <c r="F542" s="37" t="str">
        <f t="shared" ref="F542:L542" si="342">F294</f>
        <v>38 ICT middelen 2</v>
      </c>
      <c r="G542" s="37">
        <f t="shared" si="342"/>
        <v>2020</v>
      </c>
      <c r="H542" s="52">
        <f t="shared" si="342"/>
        <v>2253829.6322485749</v>
      </c>
      <c r="I542" s="37">
        <f t="shared" si="342"/>
        <v>2021</v>
      </c>
      <c r="J542" s="52">
        <f t="shared" si="342"/>
        <v>10</v>
      </c>
      <c r="K542" s="175">
        <f t="shared" si="342"/>
        <v>1</v>
      </c>
      <c r="L542" s="52">
        <f t="shared" si="342"/>
        <v>1946407.2704098693</v>
      </c>
      <c r="N542" s="43">
        <f t="shared" si="290"/>
        <v>1946407.2704098693</v>
      </c>
      <c r="P542" s="38">
        <f t="shared" si="281"/>
        <v>8.5</v>
      </c>
      <c r="R542" s="43">
        <f t="shared" si="336"/>
        <v>267917.23604465259</v>
      </c>
      <c r="S542" s="43">
        <f t="shared" si="336"/>
        <v>226941.65876723515</v>
      </c>
      <c r="T542" s="43">
        <f t="shared" si="336"/>
        <v>193370.40747030685</v>
      </c>
      <c r="U542" s="43">
        <f t="shared" si="336"/>
        <v>193370.40747030685</v>
      </c>
      <c r="V542" s="43">
        <f t="shared" si="336"/>
        <v>193370.40747030685</v>
      </c>
      <c r="X542" s="43">
        <f t="shared" si="337"/>
        <v>22898.909063645522</v>
      </c>
      <c r="Y542" s="43">
        <f t="shared" si="337"/>
        <v>22898.909063645522</v>
      </c>
      <c r="Z542" s="43">
        <f t="shared" si="337"/>
        <v>22898.909063645522</v>
      </c>
      <c r="AA542" s="43">
        <f t="shared" si="337"/>
        <v>22898.909063645522</v>
      </c>
      <c r="AB542" s="43">
        <f t="shared" si="337"/>
        <v>22898.909063645522</v>
      </c>
      <c r="AD542" s="43">
        <f t="shared" si="291"/>
        <v>1655591.1253015711</v>
      </c>
      <c r="AE542" s="43">
        <f t="shared" si="292"/>
        <v>1405750.5574706905</v>
      </c>
      <c r="AF542" s="43">
        <f t="shared" si="293"/>
        <v>1189481.240936738</v>
      </c>
      <c r="AG542" s="43">
        <f t="shared" si="294"/>
        <v>973211.9244027856</v>
      </c>
      <c r="AH542" s="43">
        <f t="shared" si="295"/>
        <v>756942.60786883323</v>
      </c>
      <c r="AJ542" s="43">
        <f t="shared" si="282"/>
        <v>347106.24336855154</v>
      </c>
      <c r="AK542" s="43">
        <f t="shared" si="283"/>
        <v>296230.33622741344</v>
      </c>
      <c r="AL542" s="43">
        <f t="shared" si="284"/>
        <v>261469.60368954841</v>
      </c>
      <c r="AM542" s="43">
        <f t="shared" si="285"/>
        <v>253251.36966125821</v>
      </c>
      <c r="AN542" s="43">
        <f t="shared" si="286"/>
        <v>245033.13563296804</v>
      </c>
    </row>
    <row r="543" spans="2:40">
      <c r="B543" s="37" t="str">
        <f t="shared" si="279"/>
        <v>Asset 237</v>
      </c>
      <c r="F543" s="37" t="str">
        <f t="shared" ref="F543:L543" si="343">F295</f>
        <v>20 Kantoorgebouwen</v>
      </c>
      <c r="G543" s="37">
        <f t="shared" si="343"/>
        <v>2020</v>
      </c>
      <c r="H543" s="52">
        <f t="shared" si="343"/>
        <v>715175.01653112471</v>
      </c>
      <c r="I543" s="37">
        <f t="shared" si="343"/>
        <v>2021</v>
      </c>
      <c r="J543" s="52">
        <f t="shared" si="343"/>
        <v>30</v>
      </c>
      <c r="K543" s="175">
        <f t="shared" si="343"/>
        <v>0</v>
      </c>
      <c r="L543" s="52">
        <f t="shared" si="343"/>
        <v>690286.92595584155</v>
      </c>
      <c r="N543" s="43">
        <f t="shared" si="290"/>
        <v>690286.92595584155</v>
      </c>
      <c r="P543" s="38">
        <f t="shared" si="281"/>
        <v>28.5</v>
      </c>
      <c r="R543" s="43">
        <f t="shared" si="336"/>
        <v>28338.094855029289</v>
      </c>
      <c r="S543" s="43">
        <f t="shared" si="336"/>
        <v>27045.480001992866</v>
      </c>
      <c r="T543" s="43">
        <f t="shared" si="336"/>
        <v>25811.826528217753</v>
      </c>
      <c r="U543" s="43">
        <f t="shared" si="336"/>
        <v>24634.444967281503</v>
      </c>
      <c r="V543" s="43">
        <f t="shared" si="336"/>
        <v>23510.768530177436</v>
      </c>
      <c r="X543" s="43">
        <f t="shared" si="337"/>
        <v>2422.0593893187424</v>
      </c>
      <c r="Y543" s="43">
        <f t="shared" si="337"/>
        <v>2422.0593893187424</v>
      </c>
      <c r="Z543" s="43">
        <f t="shared" si="337"/>
        <v>2422.0593893187424</v>
      </c>
      <c r="AA543" s="43">
        <f t="shared" si="337"/>
        <v>2422.0593893187424</v>
      </c>
      <c r="AB543" s="43">
        <f t="shared" si="337"/>
        <v>2422.0593893187424</v>
      </c>
      <c r="AD543" s="43">
        <f t="shared" si="291"/>
        <v>659526.77171149361</v>
      </c>
      <c r="AE543" s="43">
        <f t="shared" si="292"/>
        <v>630059.23232018203</v>
      </c>
      <c r="AF543" s="43">
        <f t="shared" si="293"/>
        <v>601825.34640264558</v>
      </c>
      <c r="AG543" s="43">
        <f t="shared" si="294"/>
        <v>574768.84204604535</v>
      </c>
      <c r="AH543" s="43">
        <f t="shared" si="295"/>
        <v>548836.01412654924</v>
      </c>
      <c r="AJ543" s="43">
        <f t="shared" si="282"/>
        <v>53184.064482538815</v>
      </c>
      <c r="AK543" s="43">
        <f t="shared" si="283"/>
        <v>50259.494057877615</v>
      </c>
      <c r="AL543" s="43">
        <f t="shared" si="284"/>
        <v>51103.249080837028</v>
      </c>
      <c r="AM543" s="43">
        <f t="shared" si="285"/>
        <v>48897.720354349964</v>
      </c>
      <c r="AN543" s="43">
        <f t="shared" si="286"/>
        <v>46788.596456305051</v>
      </c>
    </row>
    <row r="544" spans="2:40">
      <c r="B544" s="37" t="str">
        <f t="shared" si="279"/>
        <v>Asset 238</v>
      </c>
      <c r="F544" s="37" t="str">
        <f t="shared" ref="F544:L544" si="344">F296</f>
        <v>06 Utiliteitsgebouwen</v>
      </c>
      <c r="G544" s="37">
        <f t="shared" si="344"/>
        <v>2020</v>
      </c>
      <c r="H544" s="52">
        <f t="shared" si="344"/>
        <v>611310.12783119339</v>
      </c>
      <c r="I544" s="37">
        <f t="shared" si="344"/>
        <v>2021</v>
      </c>
      <c r="J544" s="52">
        <f t="shared" si="344"/>
        <v>30</v>
      </c>
      <c r="K544" s="175">
        <f t="shared" si="344"/>
        <v>0</v>
      </c>
      <c r="L544" s="52">
        <f t="shared" si="344"/>
        <v>590036.53538266791</v>
      </c>
      <c r="N544" s="43">
        <f t="shared" si="290"/>
        <v>590036.53538266791</v>
      </c>
      <c r="P544" s="38">
        <f t="shared" si="281"/>
        <v>28.5</v>
      </c>
      <c r="R544" s="43">
        <f t="shared" si="336"/>
        <v>24222.552505183212</v>
      </c>
      <c r="S544" s="43">
        <f t="shared" si="336"/>
        <v>23117.664145297662</v>
      </c>
      <c r="T544" s="43">
        <f t="shared" si="336"/>
        <v>22063.174201827944</v>
      </c>
      <c r="U544" s="43">
        <f t="shared" si="336"/>
        <v>21056.783799639299</v>
      </c>
      <c r="V544" s="43">
        <f t="shared" si="336"/>
        <v>20096.298924568033</v>
      </c>
      <c r="X544" s="43">
        <f t="shared" si="337"/>
        <v>2070.303632921642</v>
      </c>
      <c r="Y544" s="43">
        <f t="shared" si="337"/>
        <v>2070.303632921642</v>
      </c>
      <c r="Z544" s="43">
        <f t="shared" si="337"/>
        <v>2070.303632921642</v>
      </c>
      <c r="AA544" s="43">
        <f t="shared" si="337"/>
        <v>2070.303632921642</v>
      </c>
      <c r="AB544" s="43">
        <f t="shared" si="337"/>
        <v>2070.303632921642</v>
      </c>
      <c r="AD544" s="43">
        <f t="shared" si="291"/>
        <v>563743.67924456298</v>
      </c>
      <c r="AE544" s="43">
        <f t="shared" si="292"/>
        <v>538555.71146634372</v>
      </c>
      <c r="AF544" s="43">
        <f t="shared" si="293"/>
        <v>514422.23363159411</v>
      </c>
      <c r="AG544" s="43">
        <f t="shared" si="294"/>
        <v>491295.14619903313</v>
      </c>
      <c r="AH544" s="43">
        <f t="shared" si="295"/>
        <v>469128.54364154342</v>
      </c>
      <c r="AJ544" s="43">
        <f t="shared" si="282"/>
        <v>45460.141232419992</v>
      </c>
      <c r="AK544" s="43">
        <f t="shared" si="283"/>
        <v>42960.306256608645</v>
      </c>
      <c r="AL544" s="43">
        <f t="shared" si="284"/>
        <v>43681.522712750157</v>
      </c>
      <c r="AM544" s="43">
        <f t="shared" si="285"/>
        <v>41796.302988124196</v>
      </c>
      <c r="AN544" s="43">
        <f t="shared" si="286"/>
        <v>39993.487215868328</v>
      </c>
    </row>
    <row r="545" spans="2:40">
      <c r="B545" s="37" t="str">
        <f t="shared" si="279"/>
        <v>Asset 239</v>
      </c>
      <c r="F545" s="37" t="str">
        <f t="shared" ref="F545:L545" si="345">F297</f>
        <v>08 Inrichting gebouwen</v>
      </c>
      <c r="G545" s="37">
        <f t="shared" si="345"/>
        <v>2021</v>
      </c>
      <c r="H545" s="52">
        <f t="shared" si="345"/>
        <v>384242.51972392667</v>
      </c>
      <c r="I545" s="37">
        <f t="shared" si="345"/>
        <v>2021</v>
      </c>
      <c r="J545" s="52">
        <f t="shared" si="345"/>
        <v>10</v>
      </c>
      <c r="K545" s="175">
        <f t="shared" si="345"/>
        <v>0</v>
      </c>
      <c r="L545" s="52">
        <f t="shared" si="345"/>
        <v>365030.39373773034</v>
      </c>
      <c r="N545" s="43">
        <f t="shared" si="290"/>
        <v>365030.39373773034</v>
      </c>
      <c r="P545" s="38">
        <f t="shared" si="281"/>
        <v>9.5</v>
      </c>
      <c r="R545" s="43">
        <f t="shared" si="336"/>
        <v>44956.374807699423</v>
      </c>
      <c r="S545" s="43">
        <f t="shared" si="336"/>
        <v>38804.449834014238</v>
      </c>
      <c r="T545" s="43">
        <f t="shared" si="336"/>
        <v>33494.367225149137</v>
      </c>
      <c r="U545" s="43">
        <f t="shared" si="336"/>
        <v>32503.40961493762</v>
      </c>
      <c r="V545" s="43">
        <f t="shared" si="336"/>
        <v>32503.40961493762</v>
      </c>
      <c r="X545" s="43">
        <f t="shared" si="337"/>
        <v>3842.4251972392667</v>
      </c>
      <c r="Y545" s="43">
        <f t="shared" si="337"/>
        <v>3842.4251972392667</v>
      </c>
      <c r="Z545" s="43">
        <f t="shared" si="337"/>
        <v>3842.4251972392667</v>
      </c>
      <c r="AA545" s="43">
        <f t="shared" si="337"/>
        <v>3842.4251972392667</v>
      </c>
      <c r="AB545" s="43">
        <f t="shared" si="337"/>
        <v>3842.4251972392667</v>
      </c>
      <c r="AD545" s="43">
        <f t="shared" si="291"/>
        <v>316231.59373279166</v>
      </c>
      <c r="AE545" s="43">
        <f t="shared" si="292"/>
        <v>273584.71870153816</v>
      </c>
      <c r="AF545" s="43">
        <f t="shared" si="293"/>
        <v>236247.92627914977</v>
      </c>
      <c r="AG545" s="43">
        <f t="shared" si="294"/>
        <v>199902.0914669729</v>
      </c>
      <c r="AH545" s="43">
        <f t="shared" si="295"/>
        <v>163556.25665479602</v>
      </c>
      <c r="AJ545" s="43">
        <f t="shared" si="282"/>
        <v>59550.674191853606</v>
      </c>
      <c r="AK545" s="43">
        <f t="shared" si="283"/>
        <v>51675.170748404264</v>
      </c>
      <c r="AL545" s="43">
        <f t="shared" si="284"/>
        <v>46314.213620996095</v>
      </c>
      <c r="AM545" s="43">
        <f t="shared" si="285"/>
        <v>43942.114287921853</v>
      </c>
      <c r="AN545" s="43">
        <f t="shared" si="286"/>
        <v>42560.972565059135</v>
      </c>
    </row>
    <row r="546" spans="2:40">
      <c r="B546" s="37" t="str">
        <f t="shared" si="279"/>
        <v>Asset 240</v>
      </c>
      <c r="F546" s="37" t="str">
        <f t="shared" ref="F546:L546" si="346">F298</f>
        <v>20 Kantoorgebouwen</v>
      </c>
      <c r="G546" s="37">
        <f t="shared" si="346"/>
        <v>2021</v>
      </c>
      <c r="H546" s="52">
        <f t="shared" si="346"/>
        <v>1098657.1778898467</v>
      </c>
      <c r="I546" s="37">
        <f t="shared" si="346"/>
        <v>2021</v>
      </c>
      <c r="J546" s="52">
        <f t="shared" si="346"/>
        <v>30</v>
      </c>
      <c r="K546" s="175">
        <f t="shared" si="346"/>
        <v>0</v>
      </c>
      <c r="L546" s="52">
        <f t="shared" si="346"/>
        <v>1080346.2249250161</v>
      </c>
      <c r="N546" s="43">
        <f t="shared" si="290"/>
        <v>1080346.2249250161</v>
      </c>
      <c r="P546" s="38">
        <f t="shared" si="281"/>
        <v>29.5</v>
      </c>
      <c r="R546" s="43">
        <f t="shared" si="336"/>
        <v>42847.629937704027</v>
      </c>
      <c r="S546" s="43">
        <f t="shared" si="336"/>
        <v>40959.429296381473</v>
      </c>
      <c r="T546" s="43">
        <f t="shared" si="336"/>
        <v>39154.437496879917</v>
      </c>
      <c r="U546" s="43">
        <f t="shared" si="336"/>
        <v>37428.987708881818</v>
      </c>
      <c r="V546" s="43">
        <f t="shared" si="336"/>
        <v>35779.574691202281</v>
      </c>
      <c r="X546" s="43">
        <f t="shared" si="337"/>
        <v>3662.1905929661566</v>
      </c>
      <c r="Y546" s="43">
        <f t="shared" si="337"/>
        <v>3662.1905929661561</v>
      </c>
      <c r="Z546" s="43">
        <f t="shared" si="337"/>
        <v>3662.1905929661561</v>
      </c>
      <c r="AA546" s="43">
        <f t="shared" si="337"/>
        <v>3662.1905929661561</v>
      </c>
      <c r="AB546" s="43">
        <f t="shared" si="337"/>
        <v>3662.1905929661561</v>
      </c>
      <c r="AD546" s="43">
        <f t="shared" si="291"/>
        <v>1033836.4043943458</v>
      </c>
      <c r="AE546" s="43">
        <f t="shared" si="292"/>
        <v>989214.78450499824</v>
      </c>
      <c r="AF546" s="43">
        <f t="shared" si="293"/>
        <v>946398.15641515213</v>
      </c>
      <c r="AG546" s="43">
        <f t="shared" si="294"/>
        <v>905306.97811330413</v>
      </c>
      <c r="AH546" s="43">
        <f t="shared" si="295"/>
        <v>865865.21282913571</v>
      </c>
      <c r="AJ546" s="43">
        <f t="shared" si="282"/>
        <v>81660.258280077949</v>
      </c>
      <c r="AK546" s="43">
        <f t="shared" si="283"/>
        <v>77265.707778012584</v>
      </c>
      <c r="AL546" s="43">
        <f t="shared" si="284"/>
        <v>78779.758033621853</v>
      </c>
      <c r="AM546" s="43">
        <f t="shared" si="285"/>
        <v>75492.84347015353</v>
      </c>
      <c r="AN546" s="43">
        <f t="shared" si="286"/>
        <v>72344.6433716756</v>
      </c>
    </row>
    <row r="547" spans="2:40">
      <c r="B547" s="37" t="str">
        <f t="shared" si="279"/>
        <v>Asset 241</v>
      </c>
      <c r="F547" s="37" t="str">
        <f t="shared" ref="F547:L547" si="347">F299</f>
        <v>03 Verremeting</v>
      </c>
      <c r="G547" s="37">
        <f t="shared" si="347"/>
        <v>1993</v>
      </c>
      <c r="H547" s="52">
        <f t="shared" si="347"/>
        <v>27208128.690000001</v>
      </c>
      <c r="I547" s="37">
        <f t="shared" si="347"/>
        <v>2021</v>
      </c>
      <c r="J547" s="52">
        <f t="shared" si="347"/>
        <v>5</v>
      </c>
      <c r="K547" s="175">
        <f t="shared" si="347"/>
        <v>1</v>
      </c>
      <c r="L547" s="52">
        <f t="shared" si="347"/>
        <v>0</v>
      </c>
      <c r="N547" s="43">
        <f t="shared" si="290"/>
        <v>0</v>
      </c>
      <c r="P547" s="38">
        <f t="shared" si="281"/>
        <v>0</v>
      </c>
      <c r="R547" s="43">
        <f t="shared" si="336"/>
        <v>0</v>
      </c>
      <c r="S547" s="43">
        <f t="shared" si="336"/>
        <v>0</v>
      </c>
      <c r="T547" s="43">
        <f t="shared" si="336"/>
        <v>0</v>
      </c>
      <c r="U547" s="43">
        <f t="shared" si="336"/>
        <v>0</v>
      </c>
      <c r="V547" s="43">
        <f t="shared" si="336"/>
        <v>0</v>
      </c>
      <c r="X547" s="43">
        <f t="shared" si="337"/>
        <v>0</v>
      </c>
      <c r="Y547" s="43">
        <f t="shared" si="337"/>
        <v>0</v>
      </c>
      <c r="Z547" s="43">
        <f t="shared" si="337"/>
        <v>0</v>
      </c>
      <c r="AA547" s="43">
        <f t="shared" si="337"/>
        <v>0</v>
      </c>
      <c r="AB547" s="43">
        <f t="shared" si="337"/>
        <v>0</v>
      </c>
      <c r="AD547" s="43">
        <f t="shared" si="291"/>
        <v>0</v>
      </c>
      <c r="AE547" s="43">
        <f t="shared" si="292"/>
        <v>0</v>
      </c>
      <c r="AF547" s="43">
        <f t="shared" si="293"/>
        <v>0</v>
      </c>
      <c r="AG547" s="43">
        <f t="shared" si="294"/>
        <v>0</v>
      </c>
      <c r="AH547" s="43">
        <f t="shared" si="295"/>
        <v>0</v>
      </c>
      <c r="AJ547" s="43">
        <f t="shared" si="282"/>
        <v>0</v>
      </c>
      <c r="AK547" s="43">
        <f t="shared" si="283"/>
        <v>0</v>
      </c>
      <c r="AL547" s="43">
        <f t="shared" si="284"/>
        <v>0</v>
      </c>
      <c r="AM547" s="43">
        <f t="shared" si="285"/>
        <v>0</v>
      </c>
      <c r="AN547" s="43">
        <f t="shared" si="286"/>
        <v>0</v>
      </c>
    </row>
    <row r="548" spans="2:40">
      <c r="B548" s="37" t="str">
        <f t="shared" si="279"/>
        <v>Asset 242</v>
      </c>
      <c r="F548" s="37" t="str">
        <f t="shared" ref="F548:L548" si="348">F300</f>
        <v>06 Utiliteitsgebouwen</v>
      </c>
      <c r="G548" s="37">
        <f t="shared" si="348"/>
        <v>2021</v>
      </c>
      <c r="H548" s="52">
        <f t="shared" si="348"/>
        <v>114485.52709029273</v>
      </c>
      <c r="I548" s="37">
        <f t="shared" si="348"/>
        <v>2021</v>
      </c>
      <c r="J548" s="52">
        <f t="shared" si="348"/>
        <v>30</v>
      </c>
      <c r="K548" s="175">
        <f t="shared" si="348"/>
        <v>0</v>
      </c>
      <c r="L548" s="52">
        <f t="shared" si="348"/>
        <v>112577.43497212119</v>
      </c>
      <c r="N548" s="43">
        <f t="shared" si="290"/>
        <v>112577.43497212119</v>
      </c>
      <c r="P548" s="38">
        <f t="shared" si="281"/>
        <v>29.5</v>
      </c>
      <c r="R548" s="43">
        <f t="shared" si="336"/>
        <v>4464.9355565214173</v>
      </c>
      <c r="S548" s="43">
        <f t="shared" si="336"/>
        <v>4268.1756845391174</v>
      </c>
      <c r="T548" s="43">
        <f t="shared" si="336"/>
        <v>4080.0865865763762</v>
      </c>
      <c r="U548" s="43">
        <f t="shared" si="336"/>
        <v>3900.2861607272475</v>
      </c>
      <c r="V548" s="43">
        <f t="shared" si="336"/>
        <v>3728.4091434748602</v>
      </c>
      <c r="X548" s="43">
        <f t="shared" si="337"/>
        <v>381.61842363430912</v>
      </c>
      <c r="Y548" s="43">
        <f t="shared" si="337"/>
        <v>381.61842363430912</v>
      </c>
      <c r="Z548" s="43">
        <f t="shared" si="337"/>
        <v>381.61842363430912</v>
      </c>
      <c r="AA548" s="43">
        <f t="shared" si="337"/>
        <v>381.61842363430912</v>
      </c>
      <c r="AB548" s="43">
        <f t="shared" si="337"/>
        <v>381.61842363430912</v>
      </c>
      <c r="AD548" s="43">
        <f t="shared" si="291"/>
        <v>107730.88099196546</v>
      </c>
      <c r="AE548" s="43">
        <f t="shared" si="292"/>
        <v>103081.08688379203</v>
      </c>
      <c r="AF548" s="43">
        <f t="shared" si="293"/>
        <v>98619.38187358134</v>
      </c>
      <c r="AG548" s="43">
        <f t="shared" si="294"/>
        <v>94337.47728921978</v>
      </c>
      <c r="AH548" s="43">
        <f t="shared" si="295"/>
        <v>90227.449722110614</v>
      </c>
      <c r="AJ548" s="43">
        <f t="shared" si="282"/>
        <v>8509.4039338825514</v>
      </c>
      <c r="AK548" s="43">
        <f t="shared" si="283"/>
        <v>8051.469975338563</v>
      </c>
      <c r="AL548" s="43">
        <f t="shared" si="284"/>
        <v>8209.2415214067769</v>
      </c>
      <c r="AM548" s="43">
        <f t="shared" si="285"/>
        <v>7866.7287213519085</v>
      </c>
      <c r="AN548" s="43">
        <f t="shared" si="286"/>
        <v>7538.6706565493732</v>
      </c>
    </row>
    <row r="549" spans="2:40">
      <c r="B549" s="37" t="str">
        <f t="shared" si="279"/>
        <v>Asset 243</v>
      </c>
      <c r="F549" s="37" t="str">
        <f t="shared" ref="F549:L549" si="349">F301</f>
        <v>38 ICT middelen 2</v>
      </c>
      <c r="G549" s="37">
        <f t="shared" si="349"/>
        <v>2019</v>
      </c>
      <c r="H549" s="52">
        <f t="shared" si="349"/>
        <v>5155994.869123158</v>
      </c>
      <c r="I549" s="37">
        <f t="shared" si="349"/>
        <v>2021</v>
      </c>
      <c r="J549" s="52">
        <f t="shared" si="349"/>
        <v>10</v>
      </c>
      <c r="K549" s="175">
        <f t="shared" si="349"/>
        <v>1</v>
      </c>
      <c r="L549" s="52">
        <f t="shared" si="349"/>
        <v>4031018.6606189152</v>
      </c>
      <c r="N549" s="43">
        <f t="shared" si="290"/>
        <v>4031018.6606189152</v>
      </c>
      <c r="P549" s="38">
        <f t="shared" si="281"/>
        <v>7.5</v>
      </c>
      <c r="R549" s="43">
        <f t="shared" si="336"/>
        <v>628838.9110565508</v>
      </c>
      <c r="S549" s="43">
        <f t="shared" si="336"/>
        <v>519840.16647341533</v>
      </c>
      <c r="T549" s="43">
        <f t="shared" si="336"/>
        <v>450770.4940049196</v>
      </c>
      <c r="U549" s="43">
        <f t="shared" si="336"/>
        <v>450770.4940049196</v>
      </c>
      <c r="V549" s="43">
        <f t="shared" si="336"/>
        <v>450770.4940049196</v>
      </c>
      <c r="X549" s="43">
        <f t="shared" si="337"/>
        <v>53746.915474918875</v>
      </c>
      <c r="Y549" s="43">
        <f t="shared" si="337"/>
        <v>53746.915474918867</v>
      </c>
      <c r="Z549" s="43">
        <f t="shared" si="337"/>
        <v>53746.915474918867</v>
      </c>
      <c r="AA549" s="43">
        <f t="shared" si="337"/>
        <v>53746.915474918867</v>
      </c>
      <c r="AB549" s="43">
        <f t="shared" si="337"/>
        <v>53746.915474918867</v>
      </c>
      <c r="AD549" s="43">
        <f t="shared" si="291"/>
        <v>3348432.8340874459</v>
      </c>
      <c r="AE549" s="43">
        <f t="shared" si="292"/>
        <v>2774845.752139112</v>
      </c>
      <c r="AF549" s="43">
        <f t="shared" si="293"/>
        <v>2270328.3426592737</v>
      </c>
      <c r="AG549" s="43">
        <f t="shared" si="294"/>
        <v>1765810.9331794351</v>
      </c>
      <c r="AH549" s="43">
        <f t="shared" si="295"/>
        <v>1261293.5236995965</v>
      </c>
      <c r="AJ549" s="43">
        <f t="shared" si="282"/>
        <v>796432.54289044288</v>
      </c>
      <c r="AK549" s="43">
        <f t="shared" si="283"/>
        <v>665156.99176892499</v>
      </c>
      <c r="AL549" s="43">
        <f t="shared" si="284"/>
        <v>590789.88650089083</v>
      </c>
      <c r="AM549" s="43">
        <f t="shared" si="285"/>
        <v>571618.22494065692</v>
      </c>
      <c r="AN549" s="43">
        <f t="shared" si="286"/>
        <v>552446.56338042312</v>
      </c>
    </row>
    <row r="550" spans="2:40">
      <c r="AM550" s="88"/>
    </row>
    <row r="551" spans="2:40" s="33" customFormat="1">
      <c r="B551" s="33" t="s">
        <v>1080</v>
      </c>
    </row>
    <row r="552" spans="2:40" s="36" customFormat="1">
      <c r="P552" s="36" t="s">
        <v>1081</v>
      </c>
      <c r="V552" s="36" t="s">
        <v>914</v>
      </c>
      <c r="AB552" s="36" t="s">
        <v>915</v>
      </c>
    </row>
    <row r="553" spans="2:40" s="39" customFormat="1">
      <c r="B553" s="39" t="s">
        <v>1076</v>
      </c>
      <c r="F553" s="39" t="s">
        <v>920</v>
      </c>
      <c r="G553" s="39" t="s">
        <v>576</v>
      </c>
      <c r="H553" s="39" t="s">
        <v>1077</v>
      </c>
      <c r="I553" s="39" t="s">
        <v>1078</v>
      </c>
      <c r="J553" s="39" t="s">
        <v>303</v>
      </c>
      <c r="K553" s="39" t="s">
        <v>1073</v>
      </c>
      <c r="L553" s="39" t="s">
        <v>579</v>
      </c>
      <c r="N553" s="39" t="s">
        <v>956</v>
      </c>
      <c r="P553" s="45">
        <v>2022</v>
      </c>
      <c r="Q553" s="45">
        <v>2023</v>
      </c>
      <c r="R553" s="45">
        <v>2024</v>
      </c>
      <c r="S553" s="45">
        <v>2025</v>
      </c>
      <c r="T553" s="45">
        <v>2026</v>
      </c>
      <c r="V553" s="45">
        <v>2022</v>
      </c>
      <c r="W553" s="45">
        <v>2023</v>
      </c>
      <c r="X553" s="45">
        <v>2024</v>
      </c>
      <c r="Y553" s="45">
        <v>2025</v>
      </c>
      <c r="Z553" s="45">
        <v>2026</v>
      </c>
      <c r="AB553" s="45">
        <v>2022</v>
      </c>
      <c r="AC553" s="45">
        <v>2023</v>
      </c>
      <c r="AD553" s="45">
        <v>2024</v>
      </c>
      <c r="AE553" s="45">
        <v>2025</v>
      </c>
      <c r="AF553" s="45">
        <v>2026</v>
      </c>
    </row>
    <row r="555" spans="2:40">
      <c r="B555" s="37" t="str">
        <f>B59</f>
        <v>Asset 1</v>
      </c>
      <c r="F555" s="37" t="str">
        <f t="shared" ref="F555:L557" si="350">F59</f>
        <v>05 Wegen en terreinvoorzieningen</v>
      </c>
      <c r="G555" s="37">
        <f t="shared" si="350"/>
        <v>1971</v>
      </c>
      <c r="H555" s="42">
        <f t="shared" si="350"/>
        <v>47083.78</v>
      </c>
      <c r="I555" s="37">
        <f t="shared" si="350"/>
        <v>2021</v>
      </c>
      <c r="J555" s="37">
        <f t="shared" si="350"/>
        <v>10</v>
      </c>
      <c r="K555" s="37">
        <f t="shared" si="350"/>
        <v>0</v>
      </c>
      <c r="L555" s="42">
        <f t="shared" si="350"/>
        <v>0</v>
      </c>
      <c r="N555" s="38">
        <f>MAX(0,IF(G555&lt;=2021, J555-2021+G555-0.5,J555))</f>
        <v>0</v>
      </c>
      <c r="P555" s="43">
        <f>IF(P$553&lt;=$G555+$J555,VDB($L555,0,$N555,P$553-2022,MIN(P$553-2021,$N555),1),0)</f>
        <v>0</v>
      </c>
      <c r="Q555" s="43">
        <f t="shared" ref="Q555:T570" si="351">IF(Q$553&lt;=$G555+$J555,VDB($L555,0,$N555,Q$553-2022,MIN(Q$553-2021,$N555),1),0)</f>
        <v>0</v>
      </c>
      <c r="R555" s="43">
        <f t="shared" si="351"/>
        <v>0</v>
      </c>
      <c r="S555" s="43">
        <f t="shared" si="351"/>
        <v>0</v>
      </c>
      <c r="T555" s="43">
        <f t="shared" si="351"/>
        <v>0</v>
      </c>
      <c r="V555" s="47">
        <f>IF(OR(V$553&lt;=$G555+$J555,$J555=0),IF(U555=0,$L555,U555)-P555,0)</f>
        <v>0</v>
      </c>
      <c r="W555" s="47">
        <f t="shared" ref="W555:Z555" si="352">IF(OR(W$553&lt;=$G555+$J555,$J555=0),IF(V555=0,$L555,V555)-Q555,0)</f>
        <v>0</v>
      </c>
      <c r="X555" s="47">
        <f t="shared" si="352"/>
        <v>0</v>
      </c>
      <c r="Y555" s="47">
        <f t="shared" si="352"/>
        <v>0</v>
      </c>
      <c r="Z555" s="47">
        <f t="shared" si="352"/>
        <v>0</v>
      </c>
      <c r="AB555" s="47">
        <f>(P555+V555*I$16)*IF($K555=1,$F$19,1)</f>
        <v>0</v>
      </c>
      <c r="AC555" s="47">
        <f t="shared" ref="AC555:AF555" si="353">(Q555+W555*J$16)*IF($K555=1,$F$19,1)</f>
        <v>0</v>
      </c>
      <c r="AD555" s="47">
        <f t="shared" si="353"/>
        <v>0</v>
      </c>
      <c r="AE555" s="47">
        <f t="shared" si="353"/>
        <v>0</v>
      </c>
      <c r="AF555" s="47">
        <f t="shared" si="353"/>
        <v>0</v>
      </c>
    </row>
    <row r="556" spans="2:40">
      <c r="B556" s="37" t="str">
        <f t="shared" ref="B556:B619" si="354">B60</f>
        <v>Asset 2</v>
      </c>
      <c r="F556" s="37" t="str">
        <f t="shared" si="350"/>
        <v>06 Utiliteitsgebouwen</v>
      </c>
      <c r="G556" s="37">
        <f t="shared" si="350"/>
        <v>1961</v>
      </c>
      <c r="H556" s="42">
        <f t="shared" si="350"/>
        <v>50334.43</v>
      </c>
      <c r="I556" s="37">
        <f t="shared" si="350"/>
        <v>2021</v>
      </c>
      <c r="J556" s="37">
        <f t="shared" si="350"/>
        <v>30</v>
      </c>
      <c r="K556" s="37">
        <f t="shared" si="350"/>
        <v>0</v>
      </c>
      <c r="L556" s="42">
        <f t="shared" si="350"/>
        <v>0</v>
      </c>
      <c r="N556" s="38">
        <f t="shared" ref="N556:N619" si="355">MAX(0,IF(G556&lt;=2021, J556-2021+G556-0.5,J556))</f>
        <v>0</v>
      </c>
      <c r="P556" s="43">
        <f t="shared" ref="P556:T571" si="356">IF(P$553&lt;=$G556+$J556,VDB($L556,0,$N556,P$553-2022,MIN(P$553-2021,$N556),1),0)</f>
        <v>0</v>
      </c>
      <c r="Q556" s="43">
        <f t="shared" si="351"/>
        <v>0</v>
      </c>
      <c r="R556" s="43">
        <f t="shared" si="351"/>
        <v>0</v>
      </c>
      <c r="S556" s="43">
        <f t="shared" si="351"/>
        <v>0</v>
      </c>
      <c r="T556" s="43">
        <f t="shared" si="351"/>
        <v>0</v>
      </c>
      <c r="V556" s="47">
        <f t="shared" ref="V556:V558" si="357">IF(OR(V$553&lt;=$G556+$J556,$J556=0),IF(U556=0,$L556,U556)-P556,0)</f>
        <v>0</v>
      </c>
      <c r="W556" s="47">
        <f t="shared" ref="W556:W558" si="358">IF(OR(W$553&lt;=$G556+$J556,$J556=0),IF(V556=0,$L556,V556)-Q556,0)</f>
        <v>0</v>
      </c>
      <c r="X556" s="47">
        <f t="shared" ref="X556:X558" si="359">IF(OR(X$553&lt;=$G556+$J556,$J556=0),IF(W556=0,$L556,W556)-R556,0)</f>
        <v>0</v>
      </c>
      <c r="Y556" s="47">
        <f t="shared" ref="Y556:Y558" si="360">IF(OR(Y$553&lt;=$G556+$J556,$J556=0),IF(X556=0,$L556,X556)-S556,0)</f>
        <v>0</v>
      </c>
      <c r="Z556" s="47">
        <f t="shared" ref="Z556:Z558" si="361">IF(OR(Z$553&lt;=$G556+$J556,$J556=0),IF(Y556=0,$L556,Y556)-T556,0)</f>
        <v>0</v>
      </c>
      <c r="AB556" s="47">
        <f t="shared" ref="AB556:AB619" si="362">(P556+V556*I$16)*IF($K556=1,$F$19,1)</f>
        <v>0</v>
      </c>
      <c r="AC556" s="47">
        <f t="shared" ref="AC556:AC619" si="363">(Q556+W556*J$16)*IF($K556=1,$F$19,1)</f>
        <v>0</v>
      </c>
      <c r="AD556" s="47">
        <f t="shared" ref="AD556:AD619" si="364">(R556+X556*K$16)*IF($K556=1,$F$19,1)</f>
        <v>0</v>
      </c>
      <c r="AE556" s="47">
        <f t="shared" ref="AE556:AE619" si="365">(S556+Y556*L$16)*IF($K556=1,$F$19,1)</f>
        <v>0</v>
      </c>
      <c r="AF556" s="47">
        <f t="shared" ref="AF556:AF619" si="366">(T556+Z556*M$16)*IF($K556=1,$F$19,1)</f>
        <v>0</v>
      </c>
    </row>
    <row r="557" spans="2:40">
      <c r="B557" s="37" t="str">
        <f t="shared" si="354"/>
        <v>Asset 3</v>
      </c>
      <c r="F557" s="37" t="str">
        <f t="shared" si="350"/>
        <v>06 Utiliteitsgebouwen</v>
      </c>
      <c r="G557" s="37">
        <f t="shared" si="350"/>
        <v>1972</v>
      </c>
      <c r="H557" s="42">
        <f t="shared" si="350"/>
        <v>2621.49</v>
      </c>
      <c r="I557" s="37">
        <f t="shared" si="350"/>
        <v>2021</v>
      </c>
      <c r="J557" s="37">
        <f t="shared" si="350"/>
        <v>30</v>
      </c>
      <c r="K557" s="37">
        <f t="shared" si="350"/>
        <v>0</v>
      </c>
      <c r="L557" s="42">
        <f t="shared" si="350"/>
        <v>0</v>
      </c>
      <c r="N557" s="38">
        <f t="shared" si="355"/>
        <v>0</v>
      </c>
      <c r="P557" s="43">
        <f t="shared" si="356"/>
        <v>0</v>
      </c>
      <c r="Q557" s="43">
        <f t="shared" si="351"/>
        <v>0</v>
      </c>
      <c r="R557" s="43">
        <f t="shared" si="351"/>
        <v>0</v>
      </c>
      <c r="S557" s="43">
        <f t="shared" si="351"/>
        <v>0</v>
      </c>
      <c r="T557" s="43">
        <f t="shared" si="351"/>
        <v>0</v>
      </c>
      <c r="V557" s="47">
        <f t="shared" si="357"/>
        <v>0</v>
      </c>
      <c r="W557" s="47">
        <f t="shared" si="358"/>
        <v>0</v>
      </c>
      <c r="X557" s="47">
        <f t="shared" si="359"/>
        <v>0</v>
      </c>
      <c r="Y557" s="47">
        <f t="shared" si="360"/>
        <v>0</v>
      </c>
      <c r="Z557" s="47">
        <f t="shared" si="361"/>
        <v>0</v>
      </c>
      <c r="AB557" s="47">
        <f t="shared" si="362"/>
        <v>0</v>
      </c>
      <c r="AC557" s="47">
        <f t="shared" si="363"/>
        <v>0</v>
      </c>
      <c r="AD557" s="47">
        <f t="shared" si="364"/>
        <v>0</v>
      </c>
      <c r="AE557" s="47">
        <f t="shared" si="365"/>
        <v>0</v>
      </c>
      <c r="AF557" s="47">
        <f t="shared" si="366"/>
        <v>0</v>
      </c>
    </row>
    <row r="558" spans="2:40">
      <c r="B558" s="37" t="str">
        <f t="shared" si="354"/>
        <v>Asset 4</v>
      </c>
      <c r="F558" s="37" t="str">
        <f t="shared" ref="F558:L558" si="367">F62</f>
        <v>08 Inrichting gebouwen</v>
      </c>
      <c r="G558" s="37">
        <f t="shared" si="367"/>
        <v>1997</v>
      </c>
      <c r="H558" s="42">
        <f t="shared" si="367"/>
        <v>151227.48000000004</v>
      </c>
      <c r="I558" s="37">
        <f t="shared" si="367"/>
        <v>2021</v>
      </c>
      <c r="J558" s="37">
        <f t="shared" si="367"/>
        <v>10</v>
      </c>
      <c r="K558" s="37">
        <f t="shared" si="367"/>
        <v>0</v>
      </c>
      <c r="L558" s="42">
        <f t="shared" si="367"/>
        <v>0</v>
      </c>
      <c r="N558" s="38">
        <f t="shared" si="355"/>
        <v>0</v>
      </c>
      <c r="P558" s="43">
        <f t="shared" si="356"/>
        <v>0</v>
      </c>
      <c r="Q558" s="43">
        <f t="shared" si="351"/>
        <v>0</v>
      </c>
      <c r="R558" s="43">
        <f t="shared" si="351"/>
        <v>0</v>
      </c>
      <c r="S558" s="43">
        <f t="shared" si="351"/>
        <v>0</v>
      </c>
      <c r="T558" s="43">
        <f t="shared" si="351"/>
        <v>0</v>
      </c>
      <c r="V558" s="47">
        <f t="shared" si="357"/>
        <v>0</v>
      </c>
      <c r="W558" s="47">
        <f t="shared" si="358"/>
        <v>0</v>
      </c>
      <c r="X558" s="47">
        <f t="shared" si="359"/>
        <v>0</v>
      </c>
      <c r="Y558" s="47">
        <f t="shared" si="360"/>
        <v>0</v>
      </c>
      <c r="Z558" s="47">
        <f t="shared" si="361"/>
        <v>0</v>
      </c>
      <c r="AB558" s="47">
        <f t="shared" si="362"/>
        <v>0</v>
      </c>
      <c r="AC558" s="47">
        <f t="shared" si="363"/>
        <v>0</v>
      </c>
      <c r="AD558" s="47">
        <f t="shared" si="364"/>
        <v>0</v>
      </c>
      <c r="AE558" s="47">
        <f t="shared" si="365"/>
        <v>0</v>
      </c>
      <c r="AF558" s="47">
        <f t="shared" si="366"/>
        <v>0</v>
      </c>
    </row>
    <row r="559" spans="2:40">
      <c r="B559" s="37" t="str">
        <f t="shared" si="354"/>
        <v>Asset 5</v>
      </c>
      <c r="F559" s="37" t="str">
        <f t="shared" ref="F559:L559" si="368">F63</f>
        <v>11 Werktuigen</v>
      </c>
      <c r="G559" s="37">
        <f t="shared" si="368"/>
        <v>2009</v>
      </c>
      <c r="H559" s="42">
        <f t="shared" si="368"/>
        <v>1313895.18</v>
      </c>
      <c r="I559" s="37">
        <f t="shared" si="368"/>
        <v>2021</v>
      </c>
      <c r="J559" s="37">
        <f t="shared" si="368"/>
        <v>10</v>
      </c>
      <c r="K559" s="37">
        <f t="shared" si="368"/>
        <v>1</v>
      </c>
      <c r="L559" s="42">
        <f t="shared" si="368"/>
        <v>0</v>
      </c>
      <c r="N559" s="38">
        <f t="shared" si="355"/>
        <v>0</v>
      </c>
      <c r="P559" s="43">
        <f t="shared" si="356"/>
        <v>0</v>
      </c>
      <c r="Q559" s="43">
        <f t="shared" si="351"/>
        <v>0</v>
      </c>
      <c r="R559" s="43">
        <f t="shared" si="351"/>
        <v>0</v>
      </c>
      <c r="S559" s="43">
        <f t="shared" si="351"/>
        <v>0</v>
      </c>
      <c r="T559" s="43">
        <f t="shared" si="351"/>
        <v>0</v>
      </c>
      <c r="V559" s="47">
        <f t="shared" ref="V559:V622" si="369">IF(OR(V$553&lt;=$G559+$J559,$J559=0),IF(U559=0,$L559,U559)-P559,0)</f>
        <v>0</v>
      </c>
      <c r="W559" s="47">
        <f t="shared" ref="W559:W622" si="370">IF(OR(W$553&lt;=$G559+$J559,$J559=0),IF(V559=0,$L559,V559)-Q559,0)</f>
        <v>0</v>
      </c>
      <c r="X559" s="47">
        <f t="shared" ref="X559:X622" si="371">IF(OR(X$553&lt;=$G559+$J559,$J559=0),IF(W559=0,$L559,W559)-R559,0)</f>
        <v>0</v>
      </c>
      <c r="Y559" s="47">
        <f t="shared" ref="Y559:Y622" si="372">IF(OR(Y$553&lt;=$G559+$J559,$J559=0),IF(X559=0,$L559,X559)-S559,0)</f>
        <v>0</v>
      </c>
      <c r="Z559" s="47">
        <f t="shared" ref="Z559:Z622" si="373">IF(OR(Z$553&lt;=$G559+$J559,$J559=0),IF(Y559=0,$L559,Y559)-T559,0)</f>
        <v>0</v>
      </c>
      <c r="AB559" s="47">
        <f t="shared" si="362"/>
        <v>0</v>
      </c>
      <c r="AC559" s="47">
        <f t="shared" si="363"/>
        <v>0</v>
      </c>
      <c r="AD559" s="47">
        <f t="shared" si="364"/>
        <v>0</v>
      </c>
      <c r="AE559" s="47">
        <f t="shared" si="365"/>
        <v>0</v>
      </c>
      <c r="AF559" s="47">
        <f t="shared" si="366"/>
        <v>0</v>
      </c>
    </row>
    <row r="560" spans="2:40">
      <c r="B560" s="37" t="str">
        <f t="shared" si="354"/>
        <v>Asset 6</v>
      </c>
      <c r="F560" s="37" t="str">
        <f t="shared" ref="F560:L560" si="374">F64</f>
        <v>37 ICT middelen 1</v>
      </c>
      <c r="G560" s="37">
        <f t="shared" si="374"/>
        <v>2009</v>
      </c>
      <c r="H560" s="42">
        <f t="shared" si="374"/>
        <v>3658553.4539964925</v>
      </c>
      <c r="I560" s="37">
        <f t="shared" si="374"/>
        <v>2021</v>
      </c>
      <c r="J560" s="37">
        <f t="shared" si="374"/>
        <v>5</v>
      </c>
      <c r="K560" s="37">
        <f t="shared" si="374"/>
        <v>1</v>
      </c>
      <c r="L560" s="42">
        <f t="shared" si="374"/>
        <v>0</v>
      </c>
      <c r="N560" s="38">
        <f t="shared" si="355"/>
        <v>0</v>
      </c>
      <c r="P560" s="43">
        <f t="shared" si="356"/>
        <v>0</v>
      </c>
      <c r="Q560" s="43">
        <f t="shared" si="351"/>
        <v>0</v>
      </c>
      <c r="R560" s="43">
        <f t="shared" si="351"/>
        <v>0</v>
      </c>
      <c r="S560" s="43">
        <f t="shared" si="351"/>
        <v>0</v>
      </c>
      <c r="T560" s="43">
        <f t="shared" si="351"/>
        <v>0</v>
      </c>
      <c r="V560" s="47">
        <f t="shared" si="369"/>
        <v>0</v>
      </c>
      <c r="W560" s="47">
        <f t="shared" si="370"/>
        <v>0</v>
      </c>
      <c r="X560" s="47">
        <f t="shared" si="371"/>
        <v>0</v>
      </c>
      <c r="Y560" s="47">
        <f t="shared" si="372"/>
        <v>0</v>
      </c>
      <c r="Z560" s="47">
        <f t="shared" si="373"/>
        <v>0</v>
      </c>
      <c r="AB560" s="47">
        <f t="shared" si="362"/>
        <v>0</v>
      </c>
      <c r="AC560" s="47">
        <f t="shared" si="363"/>
        <v>0</v>
      </c>
      <c r="AD560" s="47">
        <f t="shared" si="364"/>
        <v>0</v>
      </c>
      <c r="AE560" s="47">
        <f t="shared" si="365"/>
        <v>0</v>
      </c>
      <c r="AF560" s="47">
        <f t="shared" si="366"/>
        <v>0</v>
      </c>
    </row>
    <row r="561" spans="2:32">
      <c r="B561" s="37" t="str">
        <f t="shared" si="354"/>
        <v>Asset 7</v>
      </c>
      <c r="F561" s="37" t="str">
        <f t="shared" ref="F561:L561" si="375">F65</f>
        <v>37 ICT middelen 1</v>
      </c>
      <c r="G561" s="37">
        <f t="shared" si="375"/>
        <v>2010</v>
      </c>
      <c r="H561" s="42">
        <f t="shared" si="375"/>
        <v>17379179.522018339</v>
      </c>
      <c r="I561" s="37">
        <f t="shared" si="375"/>
        <v>2021</v>
      </c>
      <c r="J561" s="37">
        <f t="shared" si="375"/>
        <v>5</v>
      </c>
      <c r="K561" s="37">
        <f t="shared" si="375"/>
        <v>1</v>
      </c>
      <c r="L561" s="42">
        <f t="shared" si="375"/>
        <v>0</v>
      </c>
      <c r="N561" s="38">
        <f t="shared" si="355"/>
        <v>0</v>
      </c>
      <c r="P561" s="43">
        <f t="shared" si="356"/>
        <v>0</v>
      </c>
      <c r="Q561" s="43">
        <f t="shared" si="351"/>
        <v>0</v>
      </c>
      <c r="R561" s="43">
        <f t="shared" si="351"/>
        <v>0</v>
      </c>
      <c r="S561" s="43">
        <f t="shared" si="351"/>
        <v>0</v>
      </c>
      <c r="T561" s="43">
        <f t="shared" si="351"/>
        <v>0</v>
      </c>
      <c r="V561" s="47">
        <f t="shared" si="369"/>
        <v>0</v>
      </c>
      <c r="W561" s="47">
        <f t="shared" si="370"/>
        <v>0</v>
      </c>
      <c r="X561" s="47">
        <f t="shared" si="371"/>
        <v>0</v>
      </c>
      <c r="Y561" s="47">
        <f t="shared" si="372"/>
        <v>0</v>
      </c>
      <c r="Z561" s="47">
        <f t="shared" si="373"/>
        <v>0</v>
      </c>
      <c r="AB561" s="47">
        <f t="shared" si="362"/>
        <v>0</v>
      </c>
      <c r="AC561" s="47">
        <f t="shared" si="363"/>
        <v>0</v>
      </c>
      <c r="AD561" s="47">
        <f t="shared" si="364"/>
        <v>0</v>
      </c>
      <c r="AE561" s="47">
        <f t="shared" si="365"/>
        <v>0</v>
      </c>
      <c r="AF561" s="47">
        <f t="shared" si="366"/>
        <v>0</v>
      </c>
    </row>
    <row r="562" spans="2:32">
      <c r="B562" s="37" t="str">
        <f t="shared" si="354"/>
        <v>Asset 8</v>
      </c>
      <c r="F562" s="37" t="str">
        <f t="shared" ref="F562:L562" si="376">F66</f>
        <v>10 Gereedschap</v>
      </c>
      <c r="G562" s="37">
        <f t="shared" si="376"/>
        <v>2010</v>
      </c>
      <c r="H562" s="42">
        <f t="shared" si="376"/>
        <v>2369604.1752097155</v>
      </c>
      <c r="I562" s="37">
        <f t="shared" si="376"/>
        <v>2021</v>
      </c>
      <c r="J562" s="37">
        <f t="shared" si="376"/>
        <v>10</v>
      </c>
      <c r="K562" s="37">
        <f t="shared" si="376"/>
        <v>1</v>
      </c>
      <c r="L562" s="42">
        <f t="shared" si="376"/>
        <v>0</v>
      </c>
      <c r="N562" s="38">
        <f t="shared" si="355"/>
        <v>0</v>
      </c>
      <c r="P562" s="43">
        <f t="shared" si="356"/>
        <v>0</v>
      </c>
      <c r="Q562" s="43">
        <f t="shared" si="351"/>
        <v>0</v>
      </c>
      <c r="R562" s="43">
        <f t="shared" si="351"/>
        <v>0</v>
      </c>
      <c r="S562" s="43">
        <f t="shared" si="351"/>
        <v>0</v>
      </c>
      <c r="T562" s="43">
        <f t="shared" si="351"/>
        <v>0</v>
      </c>
      <c r="V562" s="47">
        <f t="shared" si="369"/>
        <v>0</v>
      </c>
      <c r="W562" s="47">
        <f t="shared" si="370"/>
        <v>0</v>
      </c>
      <c r="X562" s="47">
        <f t="shared" si="371"/>
        <v>0</v>
      </c>
      <c r="Y562" s="47">
        <f t="shared" si="372"/>
        <v>0</v>
      </c>
      <c r="Z562" s="47">
        <f t="shared" si="373"/>
        <v>0</v>
      </c>
      <c r="AB562" s="47">
        <f t="shared" si="362"/>
        <v>0</v>
      </c>
      <c r="AC562" s="47">
        <f t="shared" si="363"/>
        <v>0</v>
      </c>
      <c r="AD562" s="47">
        <f t="shared" si="364"/>
        <v>0</v>
      </c>
      <c r="AE562" s="47">
        <f t="shared" si="365"/>
        <v>0</v>
      </c>
      <c r="AF562" s="47">
        <f t="shared" si="366"/>
        <v>0</v>
      </c>
    </row>
    <row r="563" spans="2:32">
      <c r="B563" s="37" t="str">
        <f t="shared" si="354"/>
        <v>Asset 9</v>
      </c>
      <c r="F563" s="37" t="str">
        <f t="shared" ref="F563:L563" si="377">F67</f>
        <v>37 ICT middelen 1 (transparency)</v>
      </c>
      <c r="G563" s="37">
        <f t="shared" si="377"/>
        <v>2010</v>
      </c>
      <c r="H563" s="42">
        <f t="shared" si="377"/>
        <v>137063.35897796138</v>
      </c>
      <c r="I563" s="37">
        <f t="shared" si="377"/>
        <v>2021</v>
      </c>
      <c r="J563" s="37">
        <f t="shared" si="377"/>
        <v>5</v>
      </c>
      <c r="K563" s="37">
        <f t="shared" si="377"/>
        <v>0</v>
      </c>
      <c r="L563" s="42">
        <f t="shared" si="377"/>
        <v>0</v>
      </c>
      <c r="N563" s="38">
        <f t="shared" si="355"/>
        <v>0</v>
      </c>
      <c r="P563" s="43">
        <f t="shared" si="356"/>
        <v>0</v>
      </c>
      <c r="Q563" s="43">
        <f t="shared" si="351"/>
        <v>0</v>
      </c>
      <c r="R563" s="43">
        <f t="shared" si="351"/>
        <v>0</v>
      </c>
      <c r="S563" s="43">
        <f t="shared" si="351"/>
        <v>0</v>
      </c>
      <c r="T563" s="43">
        <f t="shared" si="351"/>
        <v>0</v>
      </c>
      <c r="V563" s="47">
        <f t="shared" si="369"/>
        <v>0</v>
      </c>
      <c r="W563" s="47">
        <f t="shared" si="370"/>
        <v>0</v>
      </c>
      <c r="X563" s="47">
        <f t="shared" si="371"/>
        <v>0</v>
      </c>
      <c r="Y563" s="47">
        <f t="shared" si="372"/>
        <v>0</v>
      </c>
      <c r="Z563" s="47">
        <f t="shared" si="373"/>
        <v>0</v>
      </c>
      <c r="AB563" s="47">
        <f t="shared" si="362"/>
        <v>0</v>
      </c>
      <c r="AC563" s="47">
        <f t="shared" si="363"/>
        <v>0</v>
      </c>
      <c r="AD563" s="47">
        <f t="shared" si="364"/>
        <v>0</v>
      </c>
      <c r="AE563" s="47">
        <f t="shared" si="365"/>
        <v>0</v>
      </c>
      <c r="AF563" s="47">
        <f t="shared" si="366"/>
        <v>0</v>
      </c>
    </row>
    <row r="564" spans="2:32">
      <c r="B564" s="37" t="str">
        <f t="shared" si="354"/>
        <v>Asset 10</v>
      </c>
      <c r="F564" s="37" t="str">
        <f t="shared" ref="F564:L564" si="378">F68</f>
        <v>11 Werktuigen (gaschromatografen en comptabele meters)</v>
      </c>
      <c r="G564" s="37">
        <f t="shared" si="378"/>
        <v>2011</v>
      </c>
      <c r="H564" s="42">
        <f t="shared" si="378"/>
        <v>852201.48356837523</v>
      </c>
      <c r="I564" s="37">
        <f t="shared" si="378"/>
        <v>2021</v>
      </c>
      <c r="J564" s="37">
        <f t="shared" si="378"/>
        <v>10</v>
      </c>
      <c r="K564" s="37">
        <f t="shared" si="378"/>
        <v>0</v>
      </c>
      <c r="L564" s="42">
        <f t="shared" si="378"/>
        <v>0</v>
      </c>
      <c r="N564" s="38">
        <f t="shared" si="355"/>
        <v>0</v>
      </c>
      <c r="P564" s="43">
        <f t="shared" si="356"/>
        <v>0</v>
      </c>
      <c r="Q564" s="43">
        <f t="shared" si="351"/>
        <v>0</v>
      </c>
      <c r="R564" s="43">
        <f t="shared" si="351"/>
        <v>0</v>
      </c>
      <c r="S564" s="43">
        <f t="shared" si="351"/>
        <v>0</v>
      </c>
      <c r="T564" s="43">
        <f t="shared" si="351"/>
        <v>0</v>
      </c>
      <c r="V564" s="47">
        <f t="shared" si="369"/>
        <v>0</v>
      </c>
      <c r="W564" s="47">
        <f t="shared" si="370"/>
        <v>0</v>
      </c>
      <c r="X564" s="47">
        <f t="shared" si="371"/>
        <v>0</v>
      </c>
      <c r="Y564" s="47">
        <f t="shared" si="372"/>
        <v>0</v>
      </c>
      <c r="Z564" s="47">
        <f t="shared" si="373"/>
        <v>0</v>
      </c>
      <c r="AB564" s="47">
        <f t="shared" si="362"/>
        <v>0</v>
      </c>
      <c r="AC564" s="47">
        <f t="shared" si="363"/>
        <v>0</v>
      </c>
      <c r="AD564" s="47">
        <f t="shared" si="364"/>
        <v>0</v>
      </c>
      <c r="AE564" s="47">
        <f t="shared" si="365"/>
        <v>0</v>
      </c>
      <c r="AF564" s="47">
        <f t="shared" si="366"/>
        <v>0</v>
      </c>
    </row>
    <row r="565" spans="2:32">
      <c r="B565" s="37" t="str">
        <f t="shared" si="354"/>
        <v>Asset 11</v>
      </c>
      <c r="F565" s="37" t="str">
        <f t="shared" ref="F565:L565" si="379">F69</f>
        <v>20 Kantoorgebouwen</v>
      </c>
      <c r="G565" s="37">
        <f t="shared" si="379"/>
        <v>2011</v>
      </c>
      <c r="H565" s="42">
        <f t="shared" si="379"/>
        <v>3100554.2541983742</v>
      </c>
      <c r="I565" s="37">
        <f t="shared" si="379"/>
        <v>2021</v>
      </c>
      <c r="J565" s="37">
        <f t="shared" si="379"/>
        <v>30</v>
      </c>
      <c r="K565" s="37">
        <f t="shared" si="379"/>
        <v>0</v>
      </c>
      <c r="L565" s="42">
        <f t="shared" si="379"/>
        <v>2372891.9585730941</v>
      </c>
      <c r="N565" s="38">
        <f t="shared" si="355"/>
        <v>19.5</v>
      </c>
      <c r="P565" s="43">
        <f t="shared" si="356"/>
        <v>121686.76710631252</v>
      </c>
      <c r="Q565" s="43">
        <f t="shared" si="351"/>
        <v>121686.76710631253</v>
      </c>
      <c r="R565" s="43">
        <f t="shared" si="351"/>
        <v>121686.76710631253</v>
      </c>
      <c r="S565" s="43">
        <f t="shared" si="351"/>
        <v>121686.76710631253</v>
      </c>
      <c r="T565" s="43">
        <f t="shared" si="351"/>
        <v>121686.76710631253</v>
      </c>
      <c r="V565" s="47">
        <f t="shared" si="369"/>
        <v>2251205.1914667818</v>
      </c>
      <c r="W565" s="47">
        <f t="shared" si="370"/>
        <v>2129518.4243604694</v>
      </c>
      <c r="X565" s="47">
        <f t="shared" si="371"/>
        <v>2007831.6572541569</v>
      </c>
      <c r="Y565" s="47">
        <f t="shared" si="372"/>
        <v>1886144.8901478443</v>
      </c>
      <c r="Z565" s="47">
        <f t="shared" si="373"/>
        <v>1764458.1230415318</v>
      </c>
      <c r="AB565" s="47">
        <f t="shared" si="362"/>
        <v>198227.74361618311</v>
      </c>
      <c r="AC565" s="47">
        <f t="shared" si="363"/>
        <v>191960.87511020803</v>
      </c>
      <c r="AD565" s="47">
        <f t="shared" si="364"/>
        <v>197984.3700819705</v>
      </c>
      <c r="AE565" s="47">
        <f t="shared" si="365"/>
        <v>193360.27293193061</v>
      </c>
      <c r="AF565" s="47">
        <f t="shared" si="366"/>
        <v>188736.17578189075</v>
      </c>
    </row>
    <row r="566" spans="2:32">
      <c r="B566" s="37" t="str">
        <f t="shared" si="354"/>
        <v>Asset 12</v>
      </c>
      <c r="F566" s="37" t="str">
        <f t="shared" ref="F566:L566" si="380">F70</f>
        <v>37 ICT middelen 1</v>
      </c>
      <c r="G566" s="37">
        <f t="shared" si="380"/>
        <v>2011</v>
      </c>
      <c r="H566" s="42">
        <f t="shared" si="380"/>
        <v>30115806.268534236</v>
      </c>
      <c r="I566" s="37">
        <f t="shared" si="380"/>
        <v>2021</v>
      </c>
      <c r="J566" s="37">
        <f t="shared" si="380"/>
        <v>5</v>
      </c>
      <c r="K566" s="37">
        <f t="shared" si="380"/>
        <v>1</v>
      </c>
      <c r="L566" s="42">
        <f t="shared" si="380"/>
        <v>0</v>
      </c>
      <c r="N566" s="38">
        <f t="shared" si="355"/>
        <v>0</v>
      </c>
      <c r="P566" s="43">
        <f t="shared" si="356"/>
        <v>0</v>
      </c>
      <c r="Q566" s="43">
        <f t="shared" si="351"/>
        <v>0</v>
      </c>
      <c r="R566" s="43">
        <f t="shared" si="351"/>
        <v>0</v>
      </c>
      <c r="S566" s="43">
        <f t="shared" si="351"/>
        <v>0</v>
      </c>
      <c r="T566" s="43">
        <f t="shared" si="351"/>
        <v>0</v>
      </c>
      <c r="V566" s="47">
        <f t="shared" si="369"/>
        <v>0</v>
      </c>
      <c r="W566" s="47">
        <f t="shared" si="370"/>
        <v>0</v>
      </c>
      <c r="X566" s="47">
        <f t="shared" si="371"/>
        <v>0</v>
      </c>
      <c r="Y566" s="47">
        <f t="shared" si="372"/>
        <v>0</v>
      </c>
      <c r="Z566" s="47">
        <f t="shared" si="373"/>
        <v>0</v>
      </c>
      <c r="AB566" s="47">
        <f t="shared" si="362"/>
        <v>0</v>
      </c>
      <c r="AC566" s="47">
        <f t="shared" si="363"/>
        <v>0</v>
      </c>
      <c r="AD566" s="47">
        <f t="shared" si="364"/>
        <v>0</v>
      </c>
      <c r="AE566" s="47">
        <f t="shared" si="365"/>
        <v>0</v>
      </c>
      <c r="AF566" s="47">
        <f t="shared" si="366"/>
        <v>0</v>
      </c>
    </row>
    <row r="567" spans="2:32">
      <c r="B567" s="37" t="str">
        <f t="shared" si="354"/>
        <v>Asset 13</v>
      </c>
      <c r="F567" s="37" t="str">
        <f t="shared" ref="F567:L567" si="381">F71</f>
        <v>06 Utiliteitsgebouwen</v>
      </c>
      <c r="G567" s="37">
        <f t="shared" si="381"/>
        <v>2011</v>
      </c>
      <c r="H567" s="42">
        <f t="shared" si="381"/>
        <v>2437521.6070272112</v>
      </c>
      <c r="I567" s="37">
        <f t="shared" si="381"/>
        <v>2021</v>
      </c>
      <c r="J567" s="37">
        <f t="shared" si="381"/>
        <v>30</v>
      </c>
      <c r="K567" s="37">
        <f t="shared" si="381"/>
        <v>0</v>
      </c>
      <c r="L567" s="42">
        <f t="shared" si="381"/>
        <v>1865464.9930189459</v>
      </c>
      <c r="N567" s="38">
        <f t="shared" si="355"/>
        <v>19.5</v>
      </c>
      <c r="P567" s="43">
        <f t="shared" si="356"/>
        <v>95664.871436869027</v>
      </c>
      <c r="Q567" s="43">
        <f t="shared" si="351"/>
        <v>95664.871436869027</v>
      </c>
      <c r="R567" s="43">
        <f t="shared" si="351"/>
        <v>95664.871436869027</v>
      </c>
      <c r="S567" s="43">
        <f t="shared" si="351"/>
        <v>95664.871436869027</v>
      </c>
      <c r="T567" s="43">
        <f t="shared" si="351"/>
        <v>95664.871436869027</v>
      </c>
      <c r="V567" s="47">
        <f t="shared" si="369"/>
        <v>1769800.1215820769</v>
      </c>
      <c r="W567" s="47">
        <f t="shared" si="370"/>
        <v>1674135.2501452079</v>
      </c>
      <c r="X567" s="47">
        <f t="shared" si="371"/>
        <v>1578470.3787083388</v>
      </c>
      <c r="Y567" s="47">
        <f t="shared" si="372"/>
        <v>1482805.5072714698</v>
      </c>
      <c r="Z567" s="47">
        <f t="shared" si="373"/>
        <v>1387140.6358346008</v>
      </c>
      <c r="AB567" s="47">
        <f t="shared" si="362"/>
        <v>155838.07557065965</v>
      </c>
      <c r="AC567" s="47">
        <f t="shared" si="363"/>
        <v>150911.33469166089</v>
      </c>
      <c r="AD567" s="47">
        <f t="shared" si="364"/>
        <v>155646.7458277859</v>
      </c>
      <c r="AE567" s="47">
        <f t="shared" si="365"/>
        <v>152011.48071318486</v>
      </c>
      <c r="AF567" s="47">
        <f t="shared" si="366"/>
        <v>148376.21559858386</v>
      </c>
    </row>
    <row r="568" spans="2:32">
      <c r="B568" s="37" t="str">
        <f t="shared" si="354"/>
        <v>Asset 14</v>
      </c>
      <c r="F568" s="37" t="str">
        <f t="shared" ref="F568:L568" si="382">F72</f>
        <v>10 Gereedschap</v>
      </c>
      <c r="G568" s="37">
        <f t="shared" si="382"/>
        <v>2011</v>
      </c>
      <c r="H568" s="42">
        <f t="shared" si="382"/>
        <v>322323.48030063207</v>
      </c>
      <c r="I568" s="37">
        <f t="shared" si="382"/>
        <v>2021</v>
      </c>
      <c r="J568" s="37">
        <f t="shared" si="382"/>
        <v>10</v>
      </c>
      <c r="K568" s="37">
        <f t="shared" si="382"/>
        <v>1</v>
      </c>
      <c r="L568" s="42">
        <f t="shared" si="382"/>
        <v>0</v>
      </c>
      <c r="N568" s="38">
        <f t="shared" si="355"/>
        <v>0</v>
      </c>
      <c r="P568" s="43">
        <f t="shared" si="356"/>
        <v>0</v>
      </c>
      <c r="Q568" s="43">
        <f t="shared" si="351"/>
        <v>0</v>
      </c>
      <c r="R568" s="43">
        <f t="shared" si="351"/>
        <v>0</v>
      </c>
      <c r="S568" s="43">
        <f t="shared" si="351"/>
        <v>0</v>
      </c>
      <c r="T568" s="43">
        <f t="shared" si="351"/>
        <v>0</v>
      </c>
      <c r="V568" s="47">
        <f t="shared" si="369"/>
        <v>0</v>
      </c>
      <c r="W568" s="47">
        <f t="shared" si="370"/>
        <v>0</v>
      </c>
      <c r="X568" s="47">
        <f t="shared" si="371"/>
        <v>0</v>
      </c>
      <c r="Y568" s="47">
        <f t="shared" si="372"/>
        <v>0</v>
      </c>
      <c r="Z568" s="47">
        <f t="shared" si="373"/>
        <v>0</v>
      </c>
      <c r="AB568" s="47">
        <f t="shared" si="362"/>
        <v>0</v>
      </c>
      <c r="AC568" s="47">
        <f t="shared" si="363"/>
        <v>0</v>
      </c>
      <c r="AD568" s="47">
        <f t="shared" si="364"/>
        <v>0</v>
      </c>
      <c r="AE568" s="47">
        <f t="shared" si="365"/>
        <v>0</v>
      </c>
      <c r="AF568" s="47">
        <f t="shared" si="366"/>
        <v>0</v>
      </c>
    </row>
    <row r="569" spans="2:32">
      <c r="B569" s="37" t="str">
        <f t="shared" si="354"/>
        <v>Asset 15</v>
      </c>
      <c r="F569" s="37" t="str">
        <f t="shared" ref="F569:L569" si="383">F73</f>
        <v>14 Overig rollend materieel</v>
      </c>
      <c r="G569" s="37">
        <f t="shared" si="383"/>
        <v>2011</v>
      </c>
      <c r="H569" s="42">
        <f t="shared" si="383"/>
        <v>4126005.7948834877</v>
      </c>
      <c r="I569" s="37">
        <f t="shared" si="383"/>
        <v>2021</v>
      </c>
      <c r="J569" s="37">
        <f t="shared" si="383"/>
        <v>10</v>
      </c>
      <c r="K569" s="37">
        <f t="shared" si="383"/>
        <v>1</v>
      </c>
      <c r="L569" s="42">
        <f t="shared" si="383"/>
        <v>0</v>
      </c>
      <c r="N569" s="38">
        <f t="shared" si="355"/>
        <v>0</v>
      </c>
      <c r="P569" s="43">
        <f t="shared" si="356"/>
        <v>0</v>
      </c>
      <c r="Q569" s="43">
        <f t="shared" si="351"/>
        <v>0</v>
      </c>
      <c r="R569" s="43">
        <f t="shared" si="351"/>
        <v>0</v>
      </c>
      <c r="S569" s="43">
        <f t="shared" si="351"/>
        <v>0</v>
      </c>
      <c r="T569" s="43">
        <f t="shared" si="351"/>
        <v>0</v>
      </c>
      <c r="V569" s="47">
        <f t="shared" si="369"/>
        <v>0</v>
      </c>
      <c r="W569" s="47">
        <f t="shared" si="370"/>
        <v>0</v>
      </c>
      <c r="X569" s="47">
        <f t="shared" si="371"/>
        <v>0</v>
      </c>
      <c r="Y569" s="47">
        <f t="shared" si="372"/>
        <v>0</v>
      </c>
      <c r="Z569" s="47">
        <f t="shared" si="373"/>
        <v>0</v>
      </c>
      <c r="AB569" s="47">
        <f t="shared" si="362"/>
        <v>0</v>
      </c>
      <c r="AC569" s="47">
        <f t="shared" si="363"/>
        <v>0</v>
      </c>
      <c r="AD569" s="47">
        <f t="shared" si="364"/>
        <v>0</v>
      </c>
      <c r="AE569" s="47">
        <f t="shared" si="365"/>
        <v>0</v>
      </c>
      <c r="AF569" s="47">
        <f t="shared" si="366"/>
        <v>0</v>
      </c>
    </row>
    <row r="570" spans="2:32">
      <c r="B570" s="37" t="str">
        <f t="shared" si="354"/>
        <v>Asset 16</v>
      </c>
      <c r="F570" s="37" t="str">
        <f t="shared" ref="F570:L570" si="384">F74</f>
        <v>37 ICT middelen 1</v>
      </c>
      <c r="G570" s="37">
        <f t="shared" si="384"/>
        <v>2012</v>
      </c>
      <c r="H570" s="42">
        <f t="shared" si="384"/>
        <v>22695798.709637098</v>
      </c>
      <c r="I570" s="37">
        <f t="shared" si="384"/>
        <v>2021</v>
      </c>
      <c r="J570" s="37">
        <f t="shared" si="384"/>
        <v>5</v>
      </c>
      <c r="K570" s="37">
        <f t="shared" si="384"/>
        <v>1</v>
      </c>
      <c r="L570" s="42">
        <f t="shared" si="384"/>
        <v>0</v>
      </c>
      <c r="N570" s="38">
        <f t="shared" si="355"/>
        <v>0</v>
      </c>
      <c r="P570" s="43">
        <f t="shared" si="356"/>
        <v>0</v>
      </c>
      <c r="Q570" s="43">
        <f t="shared" si="351"/>
        <v>0</v>
      </c>
      <c r="R570" s="43">
        <f t="shared" si="351"/>
        <v>0</v>
      </c>
      <c r="S570" s="43">
        <f t="shared" si="351"/>
        <v>0</v>
      </c>
      <c r="T570" s="43">
        <f t="shared" si="351"/>
        <v>0</v>
      </c>
      <c r="V570" s="47">
        <f t="shared" si="369"/>
        <v>0</v>
      </c>
      <c r="W570" s="47">
        <f t="shared" si="370"/>
        <v>0</v>
      </c>
      <c r="X570" s="47">
        <f t="shared" si="371"/>
        <v>0</v>
      </c>
      <c r="Y570" s="47">
        <f t="shared" si="372"/>
        <v>0</v>
      </c>
      <c r="Z570" s="47">
        <f t="shared" si="373"/>
        <v>0</v>
      </c>
      <c r="AB570" s="47">
        <f t="shared" si="362"/>
        <v>0</v>
      </c>
      <c r="AC570" s="47">
        <f t="shared" si="363"/>
        <v>0</v>
      </c>
      <c r="AD570" s="47">
        <f t="shared" si="364"/>
        <v>0</v>
      </c>
      <c r="AE570" s="47">
        <f t="shared" si="365"/>
        <v>0</v>
      </c>
      <c r="AF570" s="47">
        <f t="shared" si="366"/>
        <v>0</v>
      </c>
    </row>
    <row r="571" spans="2:32">
      <c r="B571" s="37" t="str">
        <f t="shared" si="354"/>
        <v>Asset 17</v>
      </c>
      <c r="F571" s="37" t="str">
        <f t="shared" ref="F571:L571" si="385">F75</f>
        <v>37 ICT middelen 1</v>
      </c>
      <c r="G571" s="37">
        <f t="shared" si="385"/>
        <v>2013</v>
      </c>
      <c r="H571" s="42">
        <f t="shared" si="385"/>
        <v>18719949.80436749</v>
      </c>
      <c r="I571" s="37">
        <f t="shared" si="385"/>
        <v>2021</v>
      </c>
      <c r="J571" s="37">
        <f t="shared" si="385"/>
        <v>5</v>
      </c>
      <c r="K571" s="37">
        <f t="shared" si="385"/>
        <v>1</v>
      </c>
      <c r="L571" s="42">
        <f t="shared" si="385"/>
        <v>0</v>
      </c>
      <c r="N571" s="38">
        <f t="shared" si="355"/>
        <v>0</v>
      </c>
      <c r="P571" s="43">
        <f t="shared" si="356"/>
        <v>0</v>
      </c>
      <c r="Q571" s="43">
        <f t="shared" si="356"/>
        <v>0</v>
      </c>
      <c r="R571" s="43">
        <f t="shared" si="356"/>
        <v>0</v>
      </c>
      <c r="S571" s="43">
        <f t="shared" si="356"/>
        <v>0</v>
      </c>
      <c r="T571" s="43">
        <f t="shared" si="356"/>
        <v>0</v>
      </c>
      <c r="V571" s="47">
        <f t="shared" si="369"/>
        <v>0</v>
      </c>
      <c r="W571" s="47">
        <f t="shared" si="370"/>
        <v>0</v>
      </c>
      <c r="X571" s="47">
        <f t="shared" si="371"/>
        <v>0</v>
      </c>
      <c r="Y571" s="47">
        <f t="shared" si="372"/>
        <v>0</v>
      </c>
      <c r="Z571" s="47">
        <f t="shared" si="373"/>
        <v>0</v>
      </c>
      <c r="AB571" s="47">
        <f t="shared" si="362"/>
        <v>0</v>
      </c>
      <c r="AC571" s="47">
        <f t="shared" si="363"/>
        <v>0</v>
      </c>
      <c r="AD571" s="47">
        <f t="shared" si="364"/>
        <v>0</v>
      </c>
      <c r="AE571" s="47">
        <f t="shared" si="365"/>
        <v>0</v>
      </c>
      <c r="AF571" s="47">
        <f t="shared" si="366"/>
        <v>0</v>
      </c>
    </row>
    <row r="572" spans="2:32">
      <c r="B572" s="37" t="str">
        <f t="shared" si="354"/>
        <v>Asset 18</v>
      </c>
      <c r="F572" s="37" t="str">
        <f t="shared" ref="F572:L572" si="386">F76</f>
        <v>14 Overig rollend materieel</v>
      </c>
      <c r="G572" s="37">
        <f t="shared" si="386"/>
        <v>2013</v>
      </c>
      <c r="H572" s="42">
        <f t="shared" si="386"/>
        <v>14233.766853302437</v>
      </c>
      <c r="I572" s="37">
        <f t="shared" si="386"/>
        <v>2021</v>
      </c>
      <c r="J572" s="37">
        <f t="shared" si="386"/>
        <v>10</v>
      </c>
      <c r="K572" s="37">
        <f t="shared" si="386"/>
        <v>1</v>
      </c>
      <c r="L572" s="42">
        <f t="shared" si="386"/>
        <v>2395.0433871794298</v>
      </c>
      <c r="N572" s="38">
        <f t="shared" si="355"/>
        <v>1.5</v>
      </c>
      <c r="P572" s="43">
        <f t="shared" ref="P572:T622" si="387">IF(P$553&lt;=$G572+$J572,VDB($L572,0,$N572,P$553-2022,MIN(P$553-2021,$N572),1),0)</f>
        <v>1596.6955914529533</v>
      </c>
      <c r="Q572" s="43">
        <f t="shared" si="387"/>
        <v>798.34779572647665</v>
      </c>
      <c r="R572" s="43">
        <f t="shared" si="387"/>
        <v>0</v>
      </c>
      <c r="S572" s="43">
        <f t="shared" si="387"/>
        <v>0</v>
      </c>
      <c r="T572" s="43">
        <f t="shared" si="387"/>
        <v>0</v>
      </c>
      <c r="V572" s="47">
        <f t="shared" si="369"/>
        <v>798.34779572647653</v>
      </c>
      <c r="W572" s="47">
        <f t="shared" si="370"/>
        <v>-1.1368683772161603E-13</v>
      </c>
      <c r="X572" s="47">
        <f t="shared" si="371"/>
        <v>0</v>
      </c>
      <c r="Y572" s="47">
        <f t="shared" si="372"/>
        <v>0</v>
      </c>
      <c r="Z572" s="47">
        <f t="shared" si="373"/>
        <v>0</v>
      </c>
      <c r="AB572" s="47">
        <f t="shared" si="362"/>
        <v>1623.8394165076536</v>
      </c>
      <c r="AC572" s="47">
        <f t="shared" si="363"/>
        <v>798.34779572647665</v>
      </c>
      <c r="AD572" s="47">
        <f t="shared" si="364"/>
        <v>0</v>
      </c>
      <c r="AE572" s="47">
        <f t="shared" si="365"/>
        <v>0</v>
      </c>
      <c r="AF572" s="47">
        <f t="shared" si="366"/>
        <v>0</v>
      </c>
    </row>
    <row r="573" spans="2:32">
      <c r="B573" s="37" t="str">
        <f t="shared" si="354"/>
        <v>Asset 19</v>
      </c>
      <c r="F573" s="37" t="str">
        <f t="shared" ref="F573:L573" si="388">F77</f>
        <v>10 Gereedschap</v>
      </c>
      <c r="G573" s="37">
        <f t="shared" si="388"/>
        <v>2013</v>
      </c>
      <c r="H573" s="42">
        <f t="shared" si="388"/>
        <v>717715.3058753697</v>
      </c>
      <c r="I573" s="37">
        <f t="shared" si="388"/>
        <v>2021</v>
      </c>
      <c r="J573" s="37">
        <f t="shared" si="388"/>
        <v>10</v>
      </c>
      <c r="K573" s="37">
        <f t="shared" si="388"/>
        <v>1</v>
      </c>
      <c r="L573" s="42">
        <f t="shared" si="388"/>
        <v>120766.29573396736</v>
      </c>
      <c r="N573" s="38">
        <f t="shared" si="355"/>
        <v>1.5</v>
      </c>
      <c r="P573" s="43">
        <f t="shared" si="387"/>
        <v>80510.863822644911</v>
      </c>
      <c r="Q573" s="43">
        <f t="shared" si="387"/>
        <v>40255.431911322456</v>
      </c>
      <c r="R573" s="43">
        <f t="shared" si="387"/>
        <v>0</v>
      </c>
      <c r="S573" s="43">
        <f t="shared" si="387"/>
        <v>0</v>
      </c>
      <c r="T573" s="43">
        <f t="shared" si="387"/>
        <v>0</v>
      </c>
      <c r="V573" s="47">
        <f t="shared" si="369"/>
        <v>40255.431911322448</v>
      </c>
      <c r="W573" s="47">
        <f t="shared" si="370"/>
        <v>-7.2759576141834259E-12</v>
      </c>
      <c r="X573" s="47">
        <f t="shared" si="371"/>
        <v>0</v>
      </c>
      <c r="Y573" s="47">
        <f t="shared" si="372"/>
        <v>0</v>
      </c>
      <c r="Z573" s="47">
        <f t="shared" si="373"/>
        <v>0</v>
      </c>
      <c r="AB573" s="47">
        <f t="shared" si="362"/>
        <v>81879.548507629879</v>
      </c>
      <c r="AC573" s="47">
        <f t="shared" si="363"/>
        <v>40255.431911322456</v>
      </c>
      <c r="AD573" s="47">
        <f t="shared" si="364"/>
        <v>0</v>
      </c>
      <c r="AE573" s="47">
        <f t="shared" si="365"/>
        <v>0</v>
      </c>
      <c r="AF573" s="47">
        <f t="shared" si="366"/>
        <v>0</v>
      </c>
    </row>
    <row r="574" spans="2:32">
      <c r="B574" s="37" t="str">
        <f t="shared" si="354"/>
        <v>Asset 20</v>
      </c>
      <c r="F574" s="37" t="str">
        <f t="shared" ref="F574:L574" si="389">F78</f>
        <v>37 ICT middelen 1</v>
      </c>
      <c r="G574" s="37">
        <f t="shared" si="389"/>
        <v>2014</v>
      </c>
      <c r="H574" s="42">
        <f t="shared" si="389"/>
        <v>29278944.009914741</v>
      </c>
      <c r="I574" s="37">
        <f t="shared" si="389"/>
        <v>2021</v>
      </c>
      <c r="J574" s="37">
        <f t="shared" si="389"/>
        <v>5</v>
      </c>
      <c r="K574" s="37">
        <f t="shared" si="389"/>
        <v>1</v>
      </c>
      <c r="L574" s="42">
        <f t="shared" si="389"/>
        <v>0</v>
      </c>
      <c r="N574" s="38">
        <f t="shared" si="355"/>
        <v>0</v>
      </c>
      <c r="P574" s="43">
        <f t="shared" si="387"/>
        <v>0</v>
      </c>
      <c r="Q574" s="43">
        <f t="shared" si="387"/>
        <v>0</v>
      </c>
      <c r="R574" s="43">
        <f t="shared" si="387"/>
        <v>0</v>
      </c>
      <c r="S574" s="43">
        <f t="shared" si="387"/>
        <v>0</v>
      </c>
      <c r="T574" s="43">
        <f t="shared" si="387"/>
        <v>0</v>
      </c>
      <c r="V574" s="47">
        <f t="shared" si="369"/>
        <v>0</v>
      </c>
      <c r="W574" s="47">
        <f t="shared" si="370"/>
        <v>0</v>
      </c>
      <c r="X574" s="47">
        <f t="shared" si="371"/>
        <v>0</v>
      </c>
      <c r="Y574" s="47">
        <f t="shared" si="372"/>
        <v>0</v>
      </c>
      <c r="Z574" s="47">
        <f t="shared" si="373"/>
        <v>0</v>
      </c>
      <c r="AB574" s="47">
        <f t="shared" si="362"/>
        <v>0</v>
      </c>
      <c r="AC574" s="47">
        <f t="shared" si="363"/>
        <v>0</v>
      </c>
      <c r="AD574" s="47">
        <f t="shared" si="364"/>
        <v>0</v>
      </c>
      <c r="AE574" s="47">
        <f t="shared" si="365"/>
        <v>0</v>
      </c>
      <c r="AF574" s="47">
        <f t="shared" si="366"/>
        <v>0</v>
      </c>
    </row>
    <row r="575" spans="2:32">
      <c r="B575" s="37" t="str">
        <f t="shared" si="354"/>
        <v>Asset 21</v>
      </c>
      <c r="F575" s="37" t="str">
        <f t="shared" ref="F575:L575" si="390">F79</f>
        <v>38 ICT middelen 2</v>
      </c>
      <c r="G575" s="37">
        <f t="shared" si="390"/>
        <v>2014</v>
      </c>
      <c r="H575" s="42">
        <f t="shared" si="390"/>
        <v>149619.99545874962</v>
      </c>
      <c r="I575" s="37">
        <f t="shared" si="390"/>
        <v>2021</v>
      </c>
      <c r="J575" s="37">
        <f t="shared" si="390"/>
        <v>10</v>
      </c>
      <c r="K575" s="37">
        <f t="shared" si="390"/>
        <v>1</v>
      </c>
      <c r="L575" s="42">
        <f t="shared" si="390"/>
        <v>40816.786477904512</v>
      </c>
      <c r="N575" s="38">
        <f t="shared" si="355"/>
        <v>2.5</v>
      </c>
      <c r="P575" s="43">
        <f t="shared" si="387"/>
        <v>16326.714591161806</v>
      </c>
      <c r="Q575" s="43">
        <f t="shared" si="387"/>
        <v>16326.714591161804</v>
      </c>
      <c r="R575" s="43">
        <f t="shared" si="387"/>
        <v>8163.3572955809022</v>
      </c>
      <c r="S575" s="43">
        <f t="shared" si="387"/>
        <v>0</v>
      </c>
      <c r="T575" s="43">
        <f t="shared" si="387"/>
        <v>0</v>
      </c>
      <c r="V575" s="47">
        <f t="shared" si="369"/>
        <v>24490.071886742706</v>
      </c>
      <c r="W575" s="47">
        <f t="shared" si="370"/>
        <v>8163.3572955809013</v>
      </c>
      <c r="X575" s="47">
        <f t="shared" si="371"/>
        <v>-9.0949470177292824E-13</v>
      </c>
      <c r="Y575" s="47">
        <f t="shared" si="372"/>
        <v>0</v>
      </c>
      <c r="Z575" s="47">
        <f t="shared" si="373"/>
        <v>0</v>
      </c>
      <c r="AB575" s="47">
        <f t="shared" si="362"/>
        <v>17159.377035311059</v>
      </c>
      <c r="AC575" s="47">
        <f t="shared" si="363"/>
        <v>16596.105381915975</v>
      </c>
      <c r="AD575" s="47">
        <f t="shared" si="364"/>
        <v>8163.3572955809022</v>
      </c>
      <c r="AE575" s="47">
        <f t="shared" si="365"/>
        <v>0</v>
      </c>
      <c r="AF575" s="47">
        <f t="shared" si="366"/>
        <v>0</v>
      </c>
    </row>
    <row r="576" spans="2:32">
      <c r="B576" s="37" t="str">
        <f t="shared" si="354"/>
        <v>Asset 22</v>
      </c>
      <c r="F576" s="37" t="str">
        <f t="shared" ref="F576:L576" si="391">F80</f>
        <v>37 ICT middelen 1 (transparency)</v>
      </c>
      <c r="G576" s="37">
        <f t="shared" si="391"/>
        <v>2014</v>
      </c>
      <c r="H576" s="42">
        <f t="shared" si="391"/>
        <v>180341</v>
      </c>
      <c r="I576" s="37">
        <f t="shared" si="391"/>
        <v>2021</v>
      </c>
      <c r="J576" s="37">
        <f t="shared" si="391"/>
        <v>5</v>
      </c>
      <c r="K576" s="37">
        <f t="shared" si="391"/>
        <v>0</v>
      </c>
      <c r="L576" s="42">
        <f t="shared" si="391"/>
        <v>0</v>
      </c>
      <c r="N576" s="38">
        <f t="shared" si="355"/>
        <v>0</v>
      </c>
      <c r="P576" s="43">
        <f t="shared" si="387"/>
        <v>0</v>
      </c>
      <c r="Q576" s="43">
        <f t="shared" si="387"/>
        <v>0</v>
      </c>
      <c r="R576" s="43">
        <f t="shared" si="387"/>
        <v>0</v>
      </c>
      <c r="S576" s="43">
        <f t="shared" si="387"/>
        <v>0</v>
      </c>
      <c r="T576" s="43">
        <f t="shared" si="387"/>
        <v>0</v>
      </c>
      <c r="V576" s="47">
        <f t="shared" si="369"/>
        <v>0</v>
      </c>
      <c r="W576" s="47">
        <f t="shared" si="370"/>
        <v>0</v>
      </c>
      <c r="X576" s="47">
        <f t="shared" si="371"/>
        <v>0</v>
      </c>
      <c r="Y576" s="47">
        <f t="shared" si="372"/>
        <v>0</v>
      </c>
      <c r="Z576" s="47">
        <f t="shared" si="373"/>
        <v>0</v>
      </c>
      <c r="AB576" s="47">
        <f t="shared" si="362"/>
        <v>0</v>
      </c>
      <c r="AC576" s="47">
        <f t="shared" si="363"/>
        <v>0</v>
      </c>
      <c r="AD576" s="47">
        <f t="shared" si="364"/>
        <v>0</v>
      </c>
      <c r="AE576" s="47">
        <f t="shared" si="365"/>
        <v>0</v>
      </c>
      <c r="AF576" s="47">
        <f t="shared" si="366"/>
        <v>0</v>
      </c>
    </row>
    <row r="577" spans="2:32">
      <c r="B577" s="37" t="str">
        <f t="shared" si="354"/>
        <v>Asset 23</v>
      </c>
      <c r="F577" s="37" t="str">
        <f t="shared" ref="F577:L577" si="392">F81</f>
        <v>37 ICT middelen 1</v>
      </c>
      <c r="G577" s="37">
        <f t="shared" si="392"/>
        <v>2015</v>
      </c>
      <c r="H577" s="42">
        <f t="shared" si="392"/>
        <v>16219637.049707994</v>
      </c>
      <c r="I577" s="37">
        <f t="shared" si="392"/>
        <v>2021</v>
      </c>
      <c r="J577" s="37">
        <f t="shared" si="392"/>
        <v>5</v>
      </c>
      <c r="K577" s="37">
        <f t="shared" si="392"/>
        <v>1</v>
      </c>
      <c r="L577" s="42">
        <f t="shared" si="392"/>
        <v>0</v>
      </c>
      <c r="N577" s="38">
        <f t="shared" si="355"/>
        <v>0</v>
      </c>
      <c r="P577" s="43">
        <f t="shared" si="387"/>
        <v>0</v>
      </c>
      <c r="Q577" s="43">
        <f t="shared" si="387"/>
        <v>0</v>
      </c>
      <c r="R577" s="43">
        <f t="shared" si="387"/>
        <v>0</v>
      </c>
      <c r="S577" s="43">
        <f t="shared" si="387"/>
        <v>0</v>
      </c>
      <c r="T577" s="43">
        <f t="shared" si="387"/>
        <v>0</v>
      </c>
      <c r="V577" s="47">
        <f t="shared" si="369"/>
        <v>0</v>
      </c>
      <c r="W577" s="47">
        <f t="shared" si="370"/>
        <v>0</v>
      </c>
      <c r="X577" s="47">
        <f t="shared" si="371"/>
        <v>0</v>
      </c>
      <c r="Y577" s="47">
        <f t="shared" si="372"/>
        <v>0</v>
      </c>
      <c r="Z577" s="47">
        <f t="shared" si="373"/>
        <v>0</v>
      </c>
      <c r="AB577" s="47">
        <f t="shared" si="362"/>
        <v>0</v>
      </c>
      <c r="AC577" s="47">
        <f t="shared" si="363"/>
        <v>0</v>
      </c>
      <c r="AD577" s="47">
        <f t="shared" si="364"/>
        <v>0</v>
      </c>
      <c r="AE577" s="47">
        <f t="shared" si="365"/>
        <v>0</v>
      </c>
      <c r="AF577" s="47">
        <f t="shared" si="366"/>
        <v>0</v>
      </c>
    </row>
    <row r="578" spans="2:32">
      <c r="B578" s="37" t="str">
        <f t="shared" si="354"/>
        <v>Asset 24</v>
      </c>
      <c r="F578" s="37" t="str">
        <f t="shared" ref="F578:L578" si="393">F82</f>
        <v>14 Overig rollend materieel</v>
      </c>
      <c r="G578" s="37">
        <f t="shared" si="393"/>
        <v>2015</v>
      </c>
      <c r="H578" s="42">
        <f t="shared" si="393"/>
        <v>9111235.8707030155</v>
      </c>
      <c r="I578" s="37">
        <f t="shared" si="393"/>
        <v>2021</v>
      </c>
      <c r="J578" s="37">
        <f t="shared" si="393"/>
        <v>10</v>
      </c>
      <c r="K578" s="37">
        <f t="shared" si="393"/>
        <v>1</v>
      </c>
      <c r="L578" s="42">
        <f t="shared" si="393"/>
        <v>3445348.23215965</v>
      </c>
      <c r="N578" s="38">
        <f t="shared" si="355"/>
        <v>3.5</v>
      </c>
      <c r="P578" s="43">
        <f t="shared" si="387"/>
        <v>984385.20918847143</v>
      </c>
      <c r="Q578" s="43">
        <f t="shared" si="387"/>
        <v>984385.20918847143</v>
      </c>
      <c r="R578" s="43">
        <f t="shared" si="387"/>
        <v>984385.20918847143</v>
      </c>
      <c r="S578" s="43">
        <f t="shared" si="387"/>
        <v>492192.60459423572</v>
      </c>
      <c r="T578" s="43">
        <f t="shared" si="387"/>
        <v>0</v>
      </c>
      <c r="V578" s="47">
        <f t="shared" si="369"/>
        <v>2460963.0229711784</v>
      </c>
      <c r="W578" s="47">
        <f t="shared" si="370"/>
        <v>1476577.8137827069</v>
      </c>
      <c r="X578" s="47">
        <f t="shared" si="371"/>
        <v>492192.60459423542</v>
      </c>
      <c r="Y578" s="47">
        <f t="shared" si="372"/>
        <v>-2.9103830456733704E-10</v>
      </c>
      <c r="Z578" s="47">
        <f t="shared" si="373"/>
        <v>0</v>
      </c>
      <c r="AB578" s="47">
        <f t="shared" si="362"/>
        <v>1068057.9519694916</v>
      </c>
      <c r="AC578" s="47">
        <f t="shared" si="363"/>
        <v>1033112.2770433008</v>
      </c>
      <c r="AD578" s="47">
        <f t="shared" si="364"/>
        <v>1003088.5281630524</v>
      </c>
      <c r="AE578" s="47">
        <f t="shared" si="365"/>
        <v>492192.60459423572</v>
      </c>
      <c r="AF578" s="47">
        <f t="shared" si="366"/>
        <v>0</v>
      </c>
    </row>
    <row r="579" spans="2:32">
      <c r="B579" s="37" t="str">
        <f t="shared" si="354"/>
        <v>Asset 25</v>
      </c>
      <c r="F579" s="37" t="str">
        <f t="shared" ref="F579:L579" si="394">F83</f>
        <v>10 Gereedschap</v>
      </c>
      <c r="G579" s="37">
        <f t="shared" si="394"/>
        <v>2015</v>
      </c>
      <c r="H579" s="42">
        <f t="shared" si="394"/>
        <v>1215996.3265953835</v>
      </c>
      <c r="I579" s="37">
        <f t="shared" si="394"/>
        <v>2021</v>
      </c>
      <c r="J579" s="37">
        <f t="shared" si="394"/>
        <v>10</v>
      </c>
      <c r="K579" s="37">
        <f t="shared" si="394"/>
        <v>1</v>
      </c>
      <c r="L579" s="42">
        <f t="shared" si="394"/>
        <v>459820.25420057232</v>
      </c>
      <c r="N579" s="38">
        <f t="shared" si="355"/>
        <v>3.5</v>
      </c>
      <c r="P579" s="43">
        <f t="shared" si="387"/>
        <v>131377.21548587779</v>
      </c>
      <c r="Q579" s="43">
        <f t="shared" si="387"/>
        <v>131377.21548587782</v>
      </c>
      <c r="R579" s="43">
        <f t="shared" si="387"/>
        <v>131377.21548587782</v>
      </c>
      <c r="S579" s="43">
        <f t="shared" si="387"/>
        <v>65688.607742938912</v>
      </c>
      <c r="T579" s="43">
        <f t="shared" si="387"/>
        <v>0</v>
      </c>
      <c r="V579" s="47">
        <f t="shared" si="369"/>
        <v>328443.03871469456</v>
      </c>
      <c r="W579" s="47">
        <f t="shared" si="370"/>
        <v>197065.82322881673</v>
      </c>
      <c r="X579" s="47">
        <f t="shared" si="371"/>
        <v>65688.607742938912</v>
      </c>
      <c r="Y579" s="47">
        <f t="shared" si="372"/>
        <v>0</v>
      </c>
      <c r="Z579" s="47">
        <f t="shared" si="373"/>
        <v>0</v>
      </c>
      <c r="AB579" s="47">
        <f t="shared" si="362"/>
        <v>142544.2788021774</v>
      </c>
      <c r="AC579" s="47">
        <f t="shared" si="363"/>
        <v>137880.38765242876</v>
      </c>
      <c r="AD579" s="47">
        <f t="shared" si="364"/>
        <v>133873.38258010949</v>
      </c>
      <c r="AE579" s="47">
        <f t="shared" si="365"/>
        <v>65688.607742938912</v>
      </c>
      <c r="AF579" s="47">
        <f t="shared" si="366"/>
        <v>0</v>
      </c>
    </row>
    <row r="580" spans="2:32">
      <c r="B580" s="37" t="str">
        <f t="shared" si="354"/>
        <v>Asset 26</v>
      </c>
      <c r="F580" s="37" t="str">
        <f t="shared" ref="F580:L580" si="395">F84</f>
        <v>13 Aanhangwagens (gaschromatografen en comptabele meters)</v>
      </c>
      <c r="G580" s="37">
        <f t="shared" si="395"/>
        <v>2015</v>
      </c>
      <c r="H580" s="42">
        <f t="shared" si="395"/>
        <v>7968.6502792695001</v>
      </c>
      <c r="I580" s="37">
        <f t="shared" si="395"/>
        <v>2021</v>
      </c>
      <c r="J580" s="37">
        <f t="shared" si="395"/>
        <v>10</v>
      </c>
      <c r="K580" s="37">
        <f t="shared" si="395"/>
        <v>0</v>
      </c>
      <c r="L580" s="42">
        <f t="shared" si="395"/>
        <v>3013.2877188110033</v>
      </c>
      <c r="N580" s="38">
        <f t="shared" si="355"/>
        <v>3.5</v>
      </c>
      <c r="P580" s="43">
        <f t="shared" si="387"/>
        <v>860.93934823171526</v>
      </c>
      <c r="Q580" s="43">
        <f t="shared" si="387"/>
        <v>860.93934823171526</v>
      </c>
      <c r="R580" s="43">
        <f t="shared" si="387"/>
        <v>860.93934823171526</v>
      </c>
      <c r="S580" s="43">
        <f t="shared" si="387"/>
        <v>430.46967411585763</v>
      </c>
      <c r="T580" s="43">
        <f t="shared" si="387"/>
        <v>0</v>
      </c>
      <c r="V580" s="47">
        <f t="shared" si="369"/>
        <v>2152.3483705792878</v>
      </c>
      <c r="W580" s="47">
        <f t="shared" si="370"/>
        <v>1291.4090223475725</v>
      </c>
      <c r="X580" s="47">
        <f t="shared" si="371"/>
        <v>430.46967411585729</v>
      </c>
      <c r="Y580" s="47">
        <f t="shared" si="372"/>
        <v>-3.4106051316484809E-13</v>
      </c>
      <c r="Z580" s="47">
        <f t="shared" si="373"/>
        <v>0</v>
      </c>
      <c r="AB580" s="47">
        <f t="shared" si="362"/>
        <v>934.11919283141106</v>
      </c>
      <c r="AC580" s="47">
        <f t="shared" si="363"/>
        <v>903.55584596918516</v>
      </c>
      <c r="AD580" s="47">
        <f t="shared" si="364"/>
        <v>877.29719584811778</v>
      </c>
      <c r="AE580" s="47">
        <f t="shared" si="365"/>
        <v>430.46967411585763</v>
      </c>
      <c r="AF580" s="47">
        <f t="shared" si="366"/>
        <v>0</v>
      </c>
    </row>
    <row r="581" spans="2:32">
      <c r="B581" s="37" t="str">
        <f t="shared" si="354"/>
        <v>Asset 27</v>
      </c>
      <c r="F581" s="37" t="str">
        <f t="shared" ref="F581:L581" si="396">F85</f>
        <v>37 ICT middelen 1</v>
      </c>
      <c r="G581" s="37">
        <f t="shared" si="396"/>
        <v>2016</v>
      </c>
      <c r="H581" s="42">
        <f t="shared" si="396"/>
        <v>15289349.60564645</v>
      </c>
      <c r="I581" s="37">
        <f t="shared" si="396"/>
        <v>2021</v>
      </c>
      <c r="J581" s="37">
        <f t="shared" si="396"/>
        <v>5</v>
      </c>
      <c r="K581" s="37">
        <f t="shared" si="396"/>
        <v>1</v>
      </c>
      <c r="L581" s="42">
        <f t="shared" si="396"/>
        <v>0</v>
      </c>
      <c r="N581" s="38">
        <f t="shared" si="355"/>
        <v>0</v>
      </c>
      <c r="P581" s="43">
        <f t="shared" si="387"/>
        <v>0</v>
      </c>
      <c r="Q581" s="43">
        <f t="shared" si="387"/>
        <v>0</v>
      </c>
      <c r="R581" s="43">
        <f t="shared" si="387"/>
        <v>0</v>
      </c>
      <c r="S581" s="43">
        <f t="shared" si="387"/>
        <v>0</v>
      </c>
      <c r="T581" s="43">
        <f t="shared" si="387"/>
        <v>0</v>
      </c>
      <c r="V581" s="47">
        <f t="shared" si="369"/>
        <v>0</v>
      </c>
      <c r="W581" s="47">
        <f t="shared" si="370"/>
        <v>0</v>
      </c>
      <c r="X581" s="47">
        <f t="shared" si="371"/>
        <v>0</v>
      </c>
      <c r="Y581" s="47">
        <f t="shared" si="372"/>
        <v>0</v>
      </c>
      <c r="Z581" s="47">
        <f t="shared" si="373"/>
        <v>0</v>
      </c>
      <c r="AB581" s="47">
        <f t="shared" si="362"/>
        <v>0</v>
      </c>
      <c r="AC581" s="47">
        <f t="shared" si="363"/>
        <v>0</v>
      </c>
      <c r="AD581" s="47">
        <f t="shared" si="364"/>
        <v>0</v>
      </c>
      <c r="AE581" s="47">
        <f t="shared" si="365"/>
        <v>0</v>
      </c>
      <c r="AF581" s="47">
        <f t="shared" si="366"/>
        <v>0</v>
      </c>
    </row>
    <row r="582" spans="2:32">
      <c r="B582" s="37" t="str">
        <f t="shared" si="354"/>
        <v>Asset 28</v>
      </c>
      <c r="F582" s="37" t="str">
        <f t="shared" ref="F582:L582" si="397">F86</f>
        <v>11 Werktuigen</v>
      </c>
      <c r="G582" s="37">
        <f t="shared" si="397"/>
        <v>2016</v>
      </c>
      <c r="H582" s="42">
        <f t="shared" si="397"/>
        <v>1481397.6896878041</v>
      </c>
      <c r="I582" s="37">
        <f t="shared" si="397"/>
        <v>2021</v>
      </c>
      <c r="J582" s="37">
        <f t="shared" si="397"/>
        <v>10</v>
      </c>
      <c r="K582" s="37">
        <f t="shared" si="397"/>
        <v>1</v>
      </c>
      <c r="L582" s="42">
        <f t="shared" si="397"/>
        <v>714515.13830443297</v>
      </c>
      <c r="N582" s="38">
        <f t="shared" si="355"/>
        <v>4.5</v>
      </c>
      <c r="P582" s="43">
        <f>IF(P$553&lt;=$G582+$J582,VDB($L582,0,$N582,P$553-2022,MIN(P$553-2021,$N582),1),0)</f>
        <v>158781.14184542955</v>
      </c>
      <c r="Q582" s="43">
        <f t="shared" si="387"/>
        <v>158781.14184542955</v>
      </c>
      <c r="R582" s="43">
        <f t="shared" si="387"/>
        <v>158781.14184542955</v>
      </c>
      <c r="S582" s="43">
        <f t="shared" si="387"/>
        <v>158781.14184542955</v>
      </c>
      <c r="T582" s="43">
        <f t="shared" si="387"/>
        <v>79390.570922714774</v>
      </c>
      <c r="V582" s="47">
        <f t="shared" si="369"/>
        <v>555733.99645900342</v>
      </c>
      <c r="W582" s="47">
        <f t="shared" si="370"/>
        <v>396952.85461357387</v>
      </c>
      <c r="X582" s="47">
        <f t="shared" si="371"/>
        <v>238171.71276814432</v>
      </c>
      <c r="Y582" s="47">
        <f t="shared" si="372"/>
        <v>79390.570922714774</v>
      </c>
      <c r="Z582" s="47">
        <f t="shared" si="373"/>
        <v>0</v>
      </c>
      <c r="AB582" s="47">
        <f t="shared" si="362"/>
        <v>177676.09772503568</v>
      </c>
      <c r="AC582" s="47">
        <f t="shared" si="363"/>
        <v>171880.5860476775</v>
      </c>
      <c r="AD582" s="47">
        <f t="shared" si="364"/>
        <v>167831.66693061905</v>
      </c>
      <c r="AE582" s="47">
        <f t="shared" si="365"/>
        <v>161797.98354049271</v>
      </c>
      <c r="AF582" s="47">
        <f t="shared" si="366"/>
        <v>79390.570922714774</v>
      </c>
    </row>
    <row r="583" spans="2:32">
      <c r="B583" s="37" t="str">
        <f t="shared" si="354"/>
        <v>Asset 29</v>
      </c>
      <c r="F583" s="37" t="str">
        <f t="shared" ref="F583:L583" si="398">F87</f>
        <v>14 Overig rollend materieel</v>
      </c>
      <c r="G583" s="37">
        <f t="shared" si="398"/>
        <v>2016</v>
      </c>
      <c r="H583" s="42">
        <f t="shared" si="398"/>
        <v>5338260.5379699524</v>
      </c>
      <c r="I583" s="37">
        <f t="shared" si="398"/>
        <v>2021</v>
      </c>
      <c r="J583" s="37">
        <f t="shared" si="398"/>
        <v>10</v>
      </c>
      <c r="K583" s="37">
        <f t="shared" si="398"/>
        <v>1</v>
      </c>
      <c r="L583" s="42">
        <f t="shared" si="398"/>
        <v>2574776.5054207225</v>
      </c>
      <c r="N583" s="38">
        <f t="shared" si="355"/>
        <v>4.5</v>
      </c>
      <c r="P583" s="43">
        <f t="shared" si="387"/>
        <v>572172.5567601606</v>
      </c>
      <c r="Q583" s="43">
        <f t="shared" si="387"/>
        <v>572172.5567601606</v>
      </c>
      <c r="R583" s="43">
        <f t="shared" si="387"/>
        <v>572172.5567601606</v>
      </c>
      <c r="S583" s="43">
        <f t="shared" si="387"/>
        <v>572172.5567601606</v>
      </c>
      <c r="T583" s="43">
        <f t="shared" si="387"/>
        <v>286086.2783800803</v>
      </c>
      <c r="V583" s="47">
        <f t="shared" si="369"/>
        <v>2002603.9486605618</v>
      </c>
      <c r="W583" s="47">
        <f t="shared" si="370"/>
        <v>1430431.3919004011</v>
      </c>
      <c r="X583" s="47">
        <f t="shared" si="371"/>
        <v>858258.8351402405</v>
      </c>
      <c r="Y583" s="47">
        <f t="shared" si="372"/>
        <v>286086.27838007989</v>
      </c>
      <c r="Z583" s="47">
        <f t="shared" si="373"/>
        <v>-4.0745362639427185E-10</v>
      </c>
      <c r="AB583" s="47">
        <f t="shared" si="362"/>
        <v>640261.09101461968</v>
      </c>
      <c r="AC583" s="47">
        <f t="shared" si="363"/>
        <v>619376.79269287386</v>
      </c>
      <c r="AD583" s="47">
        <f t="shared" si="364"/>
        <v>604786.3924954898</v>
      </c>
      <c r="AE583" s="47">
        <f t="shared" si="365"/>
        <v>583043.83533860359</v>
      </c>
      <c r="AF583" s="47">
        <f t="shared" si="366"/>
        <v>286086.2783800803</v>
      </c>
    </row>
    <row r="584" spans="2:32">
      <c r="B584" s="37" t="str">
        <f t="shared" si="354"/>
        <v>Asset 30</v>
      </c>
      <c r="F584" s="37" t="str">
        <f t="shared" ref="F584:L584" si="399">F88</f>
        <v>37 ICT middelen 1</v>
      </c>
      <c r="G584" s="37">
        <f t="shared" si="399"/>
        <v>2017</v>
      </c>
      <c r="H584" s="42">
        <f t="shared" si="399"/>
        <v>17348227.126304951</v>
      </c>
      <c r="I584" s="37">
        <f t="shared" si="399"/>
        <v>2021</v>
      </c>
      <c r="J584" s="37">
        <f t="shared" si="399"/>
        <v>5</v>
      </c>
      <c r="K584" s="37">
        <f t="shared" si="399"/>
        <v>1</v>
      </c>
      <c r="L584" s="42">
        <f t="shared" si="399"/>
        <v>1855729.3459505453</v>
      </c>
      <c r="N584" s="38">
        <f t="shared" si="355"/>
        <v>0.5</v>
      </c>
      <c r="P584" s="43">
        <f t="shared" si="387"/>
        <v>1855729.3459505453</v>
      </c>
      <c r="Q584" s="43">
        <f t="shared" si="387"/>
        <v>0</v>
      </c>
      <c r="R584" s="43">
        <f t="shared" si="387"/>
        <v>0</v>
      </c>
      <c r="S584" s="43">
        <f t="shared" si="387"/>
        <v>0</v>
      </c>
      <c r="T584" s="43">
        <f t="shared" si="387"/>
        <v>0</v>
      </c>
      <c r="V584" s="47">
        <f t="shared" si="369"/>
        <v>0</v>
      </c>
      <c r="W584" s="47">
        <f t="shared" si="370"/>
        <v>0</v>
      </c>
      <c r="X584" s="47">
        <f t="shared" si="371"/>
        <v>0</v>
      </c>
      <c r="Y584" s="47">
        <f t="shared" si="372"/>
        <v>0</v>
      </c>
      <c r="Z584" s="47">
        <f t="shared" si="373"/>
        <v>0</v>
      </c>
      <c r="AB584" s="47">
        <f t="shared" si="362"/>
        <v>1855729.3459505453</v>
      </c>
      <c r="AC584" s="47">
        <f t="shared" si="363"/>
        <v>0</v>
      </c>
      <c r="AD584" s="47">
        <f t="shared" si="364"/>
        <v>0</v>
      </c>
      <c r="AE584" s="47">
        <f t="shared" si="365"/>
        <v>0</v>
      </c>
      <c r="AF584" s="47">
        <f t="shared" si="366"/>
        <v>0</v>
      </c>
    </row>
    <row r="585" spans="2:32">
      <c r="B585" s="37" t="str">
        <f t="shared" si="354"/>
        <v>Asset 31</v>
      </c>
      <c r="F585" s="37" t="str">
        <f t="shared" ref="F585:L585" si="400">F89</f>
        <v>05 Wegen en terreinvoorzieningen</v>
      </c>
      <c r="G585" s="37">
        <f t="shared" si="400"/>
        <v>2012</v>
      </c>
      <c r="H585" s="42">
        <f t="shared" si="400"/>
        <v>56189.23</v>
      </c>
      <c r="I585" s="37">
        <f t="shared" si="400"/>
        <v>2021</v>
      </c>
      <c r="J585" s="37">
        <f t="shared" si="400"/>
        <v>10</v>
      </c>
      <c r="K585" s="37">
        <f t="shared" si="400"/>
        <v>0</v>
      </c>
      <c r="L585" s="42">
        <f t="shared" si="400"/>
        <v>3224.0442736663617</v>
      </c>
      <c r="N585" s="38">
        <f t="shared" si="355"/>
        <v>0.5</v>
      </c>
      <c r="P585" s="43">
        <f t="shared" si="387"/>
        <v>3224.0442736663617</v>
      </c>
      <c r="Q585" s="43">
        <f t="shared" si="387"/>
        <v>0</v>
      </c>
      <c r="R585" s="43">
        <f t="shared" si="387"/>
        <v>0</v>
      </c>
      <c r="S585" s="43">
        <f t="shared" si="387"/>
        <v>0</v>
      </c>
      <c r="T585" s="43">
        <f t="shared" si="387"/>
        <v>0</v>
      </c>
      <c r="V585" s="47">
        <f t="shared" si="369"/>
        <v>0</v>
      </c>
      <c r="W585" s="47">
        <f t="shared" si="370"/>
        <v>0</v>
      </c>
      <c r="X585" s="47">
        <f t="shared" si="371"/>
        <v>0</v>
      </c>
      <c r="Y585" s="47">
        <f t="shared" si="372"/>
        <v>0</v>
      </c>
      <c r="Z585" s="47">
        <f t="shared" si="373"/>
        <v>0</v>
      </c>
      <c r="AB585" s="47">
        <f t="shared" si="362"/>
        <v>3224.0442736663617</v>
      </c>
      <c r="AC585" s="47">
        <f t="shared" si="363"/>
        <v>0</v>
      </c>
      <c r="AD585" s="47">
        <f t="shared" si="364"/>
        <v>0</v>
      </c>
      <c r="AE585" s="47">
        <f t="shared" si="365"/>
        <v>0</v>
      </c>
      <c r="AF585" s="47">
        <f t="shared" si="366"/>
        <v>0</v>
      </c>
    </row>
    <row r="586" spans="2:32">
      <c r="B586" s="37" t="str">
        <f t="shared" si="354"/>
        <v>Asset 32</v>
      </c>
      <c r="F586" s="37" t="str">
        <f t="shared" ref="F586:L586" si="401">F90</f>
        <v>37 ICT middelen 1</v>
      </c>
      <c r="G586" s="37">
        <f t="shared" si="401"/>
        <v>2018</v>
      </c>
      <c r="H586" s="42">
        <f t="shared" si="401"/>
        <v>20811887.293785572</v>
      </c>
      <c r="I586" s="37">
        <f t="shared" si="401"/>
        <v>2021</v>
      </c>
      <c r="J586" s="37">
        <f t="shared" si="401"/>
        <v>5</v>
      </c>
      <c r="K586" s="37">
        <f t="shared" si="401"/>
        <v>1</v>
      </c>
      <c r="L586" s="42">
        <f t="shared" si="401"/>
        <v>6586494.0110704908</v>
      </c>
      <c r="N586" s="38">
        <f t="shared" si="355"/>
        <v>1.5</v>
      </c>
      <c r="P586" s="43">
        <f t="shared" si="387"/>
        <v>4390996.0073803272</v>
      </c>
      <c r="Q586" s="43">
        <f t="shared" si="387"/>
        <v>2195498.0036901636</v>
      </c>
      <c r="R586" s="43">
        <f t="shared" si="387"/>
        <v>0</v>
      </c>
      <c r="S586" s="43">
        <f t="shared" si="387"/>
        <v>0</v>
      </c>
      <c r="T586" s="43">
        <f t="shared" si="387"/>
        <v>0</v>
      </c>
      <c r="V586" s="47">
        <f t="shared" si="369"/>
        <v>2195498.0036901636</v>
      </c>
      <c r="W586" s="47">
        <f t="shared" si="370"/>
        <v>0</v>
      </c>
      <c r="X586" s="47">
        <f t="shared" si="371"/>
        <v>0</v>
      </c>
      <c r="Y586" s="47">
        <f t="shared" si="372"/>
        <v>0</v>
      </c>
      <c r="Z586" s="47">
        <f t="shared" si="373"/>
        <v>0</v>
      </c>
      <c r="AB586" s="47">
        <f t="shared" si="362"/>
        <v>4465642.9395057932</v>
      </c>
      <c r="AC586" s="47">
        <f t="shared" si="363"/>
        <v>2195498.0036901636</v>
      </c>
      <c r="AD586" s="47">
        <f t="shared" si="364"/>
        <v>0</v>
      </c>
      <c r="AE586" s="47">
        <f t="shared" si="365"/>
        <v>0</v>
      </c>
      <c r="AF586" s="47">
        <f t="shared" si="366"/>
        <v>0</v>
      </c>
    </row>
    <row r="587" spans="2:32">
      <c r="B587" s="37" t="str">
        <f t="shared" si="354"/>
        <v>Asset 33</v>
      </c>
      <c r="F587" s="37" t="str">
        <f t="shared" ref="F587:L587" si="402">F91</f>
        <v>37 ICT middelen 1</v>
      </c>
      <c r="G587" s="37">
        <f t="shared" si="402"/>
        <v>2005</v>
      </c>
      <c r="H587" s="42">
        <f t="shared" si="402"/>
        <v>3284081.86</v>
      </c>
      <c r="I587" s="37">
        <f t="shared" si="402"/>
        <v>2021</v>
      </c>
      <c r="J587" s="37">
        <f t="shared" si="402"/>
        <v>5</v>
      </c>
      <c r="K587" s="37">
        <f t="shared" si="402"/>
        <v>1</v>
      </c>
      <c r="L587" s="42">
        <f t="shared" si="402"/>
        <v>0</v>
      </c>
      <c r="N587" s="38">
        <f t="shared" si="355"/>
        <v>0</v>
      </c>
      <c r="P587" s="43">
        <f t="shared" si="387"/>
        <v>0</v>
      </c>
      <c r="Q587" s="43">
        <f t="shared" si="387"/>
        <v>0</v>
      </c>
      <c r="R587" s="43">
        <f t="shared" si="387"/>
        <v>0</v>
      </c>
      <c r="S587" s="43">
        <f t="shared" si="387"/>
        <v>0</v>
      </c>
      <c r="T587" s="43">
        <f t="shared" si="387"/>
        <v>0</v>
      </c>
      <c r="V587" s="47">
        <f t="shared" si="369"/>
        <v>0</v>
      </c>
      <c r="W587" s="47">
        <f t="shared" si="370"/>
        <v>0</v>
      </c>
      <c r="X587" s="47">
        <f t="shared" si="371"/>
        <v>0</v>
      </c>
      <c r="Y587" s="47">
        <f t="shared" si="372"/>
        <v>0</v>
      </c>
      <c r="Z587" s="47">
        <f t="shared" si="373"/>
        <v>0</v>
      </c>
      <c r="AB587" s="47">
        <f t="shared" si="362"/>
        <v>0</v>
      </c>
      <c r="AC587" s="47">
        <f t="shared" si="363"/>
        <v>0</v>
      </c>
      <c r="AD587" s="47">
        <f t="shared" si="364"/>
        <v>0</v>
      </c>
      <c r="AE587" s="47">
        <f t="shared" si="365"/>
        <v>0</v>
      </c>
      <c r="AF587" s="47">
        <f t="shared" si="366"/>
        <v>0</v>
      </c>
    </row>
    <row r="588" spans="2:32">
      <c r="B588" s="37" t="str">
        <f t="shared" si="354"/>
        <v>Asset 34</v>
      </c>
      <c r="F588" s="37" t="str">
        <f t="shared" ref="F588:L588" si="403">F92</f>
        <v>14 Overig rollend materieel</v>
      </c>
      <c r="G588" s="37">
        <f t="shared" si="403"/>
        <v>2005</v>
      </c>
      <c r="H588" s="42">
        <f t="shared" si="403"/>
        <v>1438517.3199999998</v>
      </c>
      <c r="I588" s="37">
        <f t="shared" si="403"/>
        <v>2021</v>
      </c>
      <c r="J588" s="37">
        <f t="shared" si="403"/>
        <v>10</v>
      </c>
      <c r="K588" s="37">
        <f t="shared" si="403"/>
        <v>1</v>
      </c>
      <c r="L588" s="42">
        <f t="shared" si="403"/>
        <v>0</v>
      </c>
      <c r="N588" s="38">
        <f t="shared" si="355"/>
        <v>0</v>
      </c>
      <c r="P588" s="43">
        <f t="shared" si="387"/>
        <v>0</v>
      </c>
      <c r="Q588" s="43">
        <f t="shared" si="387"/>
        <v>0</v>
      </c>
      <c r="R588" s="43">
        <f t="shared" si="387"/>
        <v>0</v>
      </c>
      <c r="S588" s="43">
        <f t="shared" si="387"/>
        <v>0</v>
      </c>
      <c r="T588" s="43">
        <f t="shared" si="387"/>
        <v>0</v>
      </c>
      <c r="V588" s="47">
        <f t="shared" si="369"/>
        <v>0</v>
      </c>
      <c r="W588" s="47">
        <f t="shared" si="370"/>
        <v>0</v>
      </c>
      <c r="X588" s="47">
        <f t="shared" si="371"/>
        <v>0</v>
      </c>
      <c r="Y588" s="47">
        <f t="shared" si="372"/>
        <v>0</v>
      </c>
      <c r="Z588" s="47">
        <f t="shared" si="373"/>
        <v>0</v>
      </c>
      <c r="AB588" s="47">
        <f t="shared" si="362"/>
        <v>0</v>
      </c>
      <c r="AC588" s="47">
        <f t="shared" si="363"/>
        <v>0</v>
      </c>
      <c r="AD588" s="47">
        <f t="shared" si="364"/>
        <v>0</v>
      </c>
      <c r="AE588" s="47">
        <f t="shared" si="365"/>
        <v>0</v>
      </c>
      <c r="AF588" s="47">
        <f t="shared" si="366"/>
        <v>0</v>
      </c>
    </row>
    <row r="589" spans="2:32">
      <c r="B589" s="37" t="str">
        <f t="shared" si="354"/>
        <v>Asset 35</v>
      </c>
      <c r="F589" s="37" t="str">
        <f t="shared" ref="F589:L589" si="404">F93</f>
        <v>11 Werktuigen</v>
      </c>
      <c r="G589" s="37">
        <f t="shared" si="404"/>
        <v>2005</v>
      </c>
      <c r="H589" s="42">
        <f t="shared" si="404"/>
        <v>499809.02999999997</v>
      </c>
      <c r="I589" s="37">
        <f t="shared" si="404"/>
        <v>2021</v>
      </c>
      <c r="J589" s="37">
        <f t="shared" si="404"/>
        <v>10</v>
      </c>
      <c r="K589" s="37">
        <f t="shared" si="404"/>
        <v>1</v>
      </c>
      <c r="L589" s="42">
        <f t="shared" si="404"/>
        <v>0</v>
      </c>
      <c r="N589" s="38">
        <f t="shared" si="355"/>
        <v>0</v>
      </c>
      <c r="P589" s="43">
        <f t="shared" si="387"/>
        <v>0</v>
      </c>
      <c r="Q589" s="43">
        <f t="shared" si="387"/>
        <v>0</v>
      </c>
      <c r="R589" s="43">
        <f t="shared" si="387"/>
        <v>0</v>
      </c>
      <c r="S589" s="43">
        <f t="shared" si="387"/>
        <v>0</v>
      </c>
      <c r="T589" s="43">
        <f t="shared" si="387"/>
        <v>0</v>
      </c>
      <c r="V589" s="47">
        <f t="shared" si="369"/>
        <v>0</v>
      </c>
      <c r="W589" s="47">
        <f t="shared" si="370"/>
        <v>0</v>
      </c>
      <c r="X589" s="47">
        <f t="shared" si="371"/>
        <v>0</v>
      </c>
      <c r="Y589" s="47">
        <f t="shared" si="372"/>
        <v>0</v>
      </c>
      <c r="Z589" s="47">
        <f t="shared" si="373"/>
        <v>0</v>
      </c>
      <c r="AB589" s="47">
        <f t="shared" si="362"/>
        <v>0</v>
      </c>
      <c r="AC589" s="47">
        <f t="shared" si="363"/>
        <v>0</v>
      </c>
      <c r="AD589" s="47">
        <f t="shared" si="364"/>
        <v>0</v>
      </c>
      <c r="AE589" s="47">
        <f t="shared" si="365"/>
        <v>0</v>
      </c>
      <c r="AF589" s="47">
        <f t="shared" si="366"/>
        <v>0</v>
      </c>
    </row>
    <row r="590" spans="2:32">
      <c r="B590" s="37" t="str">
        <f t="shared" si="354"/>
        <v>Asset 36</v>
      </c>
      <c r="F590" s="37" t="str">
        <f t="shared" ref="F590:L590" si="405">F94</f>
        <v>14 Overig rollend materieel (odorisatie)</v>
      </c>
      <c r="G590" s="37">
        <f t="shared" si="405"/>
        <v>2005</v>
      </c>
      <c r="H590" s="42">
        <f t="shared" si="405"/>
        <v>245809.3</v>
      </c>
      <c r="I590" s="37">
        <f t="shared" si="405"/>
        <v>2021</v>
      </c>
      <c r="J590" s="37">
        <f t="shared" si="405"/>
        <v>10</v>
      </c>
      <c r="K590" s="37">
        <f t="shared" si="405"/>
        <v>0</v>
      </c>
      <c r="L590" s="42">
        <f t="shared" si="405"/>
        <v>0</v>
      </c>
      <c r="N590" s="38">
        <f t="shared" si="355"/>
        <v>0</v>
      </c>
      <c r="P590" s="43">
        <f t="shared" si="387"/>
        <v>0</v>
      </c>
      <c r="Q590" s="43">
        <f t="shared" si="387"/>
        <v>0</v>
      </c>
      <c r="R590" s="43">
        <f t="shared" si="387"/>
        <v>0</v>
      </c>
      <c r="S590" s="43">
        <f t="shared" si="387"/>
        <v>0</v>
      </c>
      <c r="T590" s="43">
        <f t="shared" si="387"/>
        <v>0</v>
      </c>
      <c r="V590" s="47">
        <f t="shared" si="369"/>
        <v>0</v>
      </c>
      <c r="W590" s="47">
        <f t="shared" si="370"/>
        <v>0</v>
      </c>
      <c r="X590" s="47">
        <f t="shared" si="371"/>
        <v>0</v>
      </c>
      <c r="Y590" s="47">
        <f t="shared" si="372"/>
        <v>0</v>
      </c>
      <c r="Z590" s="47">
        <f t="shared" si="373"/>
        <v>0</v>
      </c>
      <c r="AB590" s="47">
        <f t="shared" si="362"/>
        <v>0</v>
      </c>
      <c r="AC590" s="47">
        <f t="shared" si="363"/>
        <v>0</v>
      </c>
      <c r="AD590" s="47">
        <f t="shared" si="364"/>
        <v>0</v>
      </c>
      <c r="AE590" s="47">
        <f t="shared" si="365"/>
        <v>0</v>
      </c>
      <c r="AF590" s="47">
        <f t="shared" si="366"/>
        <v>0</v>
      </c>
    </row>
    <row r="591" spans="2:32">
      <c r="B591" s="37" t="str">
        <f t="shared" si="354"/>
        <v>Asset 37</v>
      </c>
      <c r="F591" s="37" t="str">
        <f t="shared" ref="F591:L591" si="406">F95</f>
        <v>10 Gereedschap</v>
      </c>
      <c r="G591" s="37">
        <f t="shared" si="406"/>
        <v>2005</v>
      </c>
      <c r="H591" s="42">
        <f t="shared" si="406"/>
        <v>58217.59</v>
      </c>
      <c r="I591" s="37">
        <f t="shared" si="406"/>
        <v>2021</v>
      </c>
      <c r="J591" s="37">
        <f t="shared" si="406"/>
        <v>10</v>
      </c>
      <c r="K591" s="37">
        <f t="shared" si="406"/>
        <v>1</v>
      </c>
      <c r="L591" s="42">
        <f t="shared" si="406"/>
        <v>0</v>
      </c>
      <c r="N591" s="38">
        <f t="shared" si="355"/>
        <v>0</v>
      </c>
      <c r="P591" s="43">
        <f t="shared" si="387"/>
        <v>0</v>
      </c>
      <c r="Q591" s="43">
        <f t="shared" si="387"/>
        <v>0</v>
      </c>
      <c r="R591" s="43">
        <f t="shared" si="387"/>
        <v>0</v>
      </c>
      <c r="S591" s="43">
        <f t="shared" si="387"/>
        <v>0</v>
      </c>
      <c r="T591" s="43">
        <f t="shared" si="387"/>
        <v>0</v>
      </c>
      <c r="V591" s="47">
        <f t="shared" si="369"/>
        <v>0</v>
      </c>
      <c r="W591" s="47">
        <f t="shared" si="370"/>
        <v>0</v>
      </c>
      <c r="X591" s="47">
        <f t="shared" si="371"/>
        <v>0</v>
      </c>
      <c r="Y591" s="47">
        <f t="shared" si="372"/>
        <v>0</v>
      </c>
      <c r="Z591" s="47">
        <f t="shared" si="373"/>
        <v>0</v>
      </c>
      <c r="AB591" s="47">
        <f t="shared" si="362"/>
        <v>0</v>
      </c>
      <c r="AC591" s="47">
        <f t="shared" si="363"/>
        <v>0</v>
      </c>
      <c r="AD591" s="47">
        <f t="shared" si="364"/>
        <v>0</v>
      </c>
      <c r="AE591" s="47">
        <f t="shared" si="365"/>
        <v>0</v>
      </c>
      <c r="AF591" s="47">
        <f t="shared" si="366"/>
        <v>0</v>
      </c>
    </row>
    <row r="592" spans="2:32">
      <c r="B592" s="37" t="str">
        <f t="shared" si="354"/>
        <v>Asset 38</v>
      </c>
      <c r="F592" s="37" t="str">
        <f t="shared" ref="F592:L592" si="407">F96</f>
        <v>37 ICT middelen 1</v>
      </c>
      <c r="G592" s="37">
        <f t="shared" si="407"/>
        <v>2006</v>
      </c>
      <c r="H592" s="42">
        <f t="shared" si="407"/>
        <v>4639319.7116944697</v>
      </c>
      <c r="I592" s="37">
        <f t="shared" si="407"/>
        <v>2021</v>
      </c>
      <c r="J592" s="37">
        <f t="shared" si="407"/>
        <v>5</v>
      </c>
      <c r="K592" s="37">
        <f t="shared" si="407"/>
        <v>1</v>
      </c>
      <c r="L592" s="42">
        <f t="shared" si="407"/>
        <v>0</v>
      </c>
      <c r="N592" s="38">
        <f t="shared" si="355"/>
        <v>0</v>
      </c>
      <c r="P592" s="43">
        <f t="shared" si="387"/>
        <v>0</v>
      </c>
      <c r="Q592" s="43">
        <f t="shared" si="387"/>
        <v>0</v>
      </c>
      <c r="R592" s="43">
        <f t="shared" si="387"/>
        <v>0</v>
      </c>
      <c r="S592" s="43">
        <f t="shared" si="387"/>
        <v>0</v>
      </c>
      <c r="T592" s="43">
        <f t="shared" si="387"/>
        <v>0</v>
      </c>
      <c r="V592" s="47">
        <f t="shared" si="369"/>
        <v>0</v>
      </c>
      <c r="W592" s="47">
        <f t="shared" si="370"/>
        <v>0</v>
      </c>
      <c r="X592" s="47">
        <f t="shared" si="371"/>
        <v>0</v>
      </c>
      <c r="Y592" s="47">
        <f t="shared" si="372"/>
        <v>0</v>
      </c>
      <c r="Z592" s="47">
        <f t="shared" si="373"/>
        <v>0</v>
      </c>
      <c r="AB592" s="47">
        <f t="shared" si="362"/>
        <v>0</v>
      </c>
      <c r="AC592" s="47">
        <f t="shared" si="363"/>
        <v>0</v>
      </c>
      <c r="AD592" s="47">
        <f t="shared" si="364"/>
        <v>0</v>
      </c>
      <c r="AE592" s="47">
        <f t="shared" si="365"/>
        <v>0</v>
      </c>
      <c r="AF592" s="47">
        <f t="shared" si="366"/>
        <v>0</v>
      </c>
    </row>
    <row r="593" spans="2:32">
      <c r="B593" s="37" t="str">
        <f t="shared" si="354"/>
        <v>Asset 39</v>
      </c>
      <c r="F593" s="37" t="str">
        <f t="shared" ref="F593:L593" si="408">F97</f>
        <v>08 Inrichting gebouwen</v>
      </c>
      <c r="G593" s="37">
        <f t="shared" si="408"/>
        <v>2006</v>
      </c>
      <c r="H593" s="42">
        <f t="shared" si="408"/>
        <v>68586.959999999992</v>
      </c>
      <c r="I593" s="37">
        <f t="shared" si="408"/>
        <v>2021</v>
      </c>
      <c r="J593" s="37">
        <f t="shared" si="408"/>
        <v>10</v>
      </c>
      <c r="K593" s="37">
        <f t="shared" si="408"/>
        <v>0</v>
      </c>
      <c r="L593" s="42">
        <f t="shared" si="408"/>
        <v>0</v>
      </c>
      <c r="N593" s="38">
        <f t="shared" si="355"/>
        <v>0</v>
      </c>
      <c r="P593" s="43">
        <f t="shared" si="387"/>
        <v>0</v>
      </c>
      <c r="Q593" s="43">
        <f t="shared" si="387"/>
        <v>0</v>
      </c>
      <c r="R593" s="43">
        <f t="shared" si="387"/>
        <v>0</v>
      </c>
      <c r="S593" s="43">
        <f t="shared" si="387"/>
        <v>0</v>
      </c>
      <c r="T593" s="43">
        <f t="shared" si="387"/>
        <v>0</v>
      </c>
      <c r="V593" s="47">
        <f t="shared" si="369"/>
        <v>0</v>
      </c>
      <c r="W593" s="47">
        <f t="shared" si="370"/>
        <v>0</v>
      </c>
      <c r="X593" s="47">
        <f t="shared" si="371"/>
        <v>0</v>
      </c>
      <c r="Y593" s="47">
        <f t="shared" si="372"/>
        <v>0</v>
      </c>
      <c r="Z593" s="47">
        <f t="shared" si="373"/>
        <v>0</v>
      </c>
      <c r="AB593" s="47">
        <f t="shared" si="362"/>
        <v>0</v>
      </c>
      <c r="AC593" s="47">
        <f t="shared" si="363"/>
        <v>0</v>
      </c>
      <c r="AD593" s="47">
        <f t="shared" si="364"/>
        <v>0</v>
      </c>
      <c r="AE593" s="47">
        <f t="shared" si="365"/>
        <v>0</v>
      </c>
      <c r="AF593" s="47">
        <f t="shared" si="366"/>
        <v>0</v>
      </c>
    </row>
    <row r="594" spans="2:32">
      <c r="B594" s="37" t="str">
        <f t="shared" si="354"/>
        <v>Asset 40</v>
      </c>
      <c r="F594" s="37" t="str">
        <f t="shared" ref="F594:L594" si="409">F98</f>
        <v>20 Kantoorgebouwen</v>
      </c>
      <c r="G594" s="37">
        <f t="shared" si="409"/>
        <v>2006</v>
      </c>
      <c r="H594" s="42">
        <f t="shared" si="409"/>
        <v>104600</v>
      </c>
      <c r="I594" s="37">
        <f t="shared" si="409"/>
        <v>2021</v>
      </c>
      <c r="J594" s="37">
        <f t="shared" si="409"/>
        <v>30</v>
      </c>
      <c r="K594" s="37">
        <f t="shared" si="409"/>
        <v>0</v>
      </c>
      <c r="L594" s="42">
        <f t="shared" si="409"/>
        <v>64112.024048213396</v>
      </c>
      <c r="N594" s="38">
        <f t="shared" si="355"/>
        <v>14.5</v>
      </c>
      <c r="P594" s="43">
        <f t="shared" si="387"/>
        <v>4421.5188998767862</v>
      </c>
      <c r="Q594" s="43">
        <f t="shared" si="387"/>
        <v>4421.5188998767862</v>
      </c>
      <c r="R594" s="43">
        <f t="shared" si="387"/>
        <v>4421.5188998767862</v>
      </c>
      <c r="S594" s="43">
        <f t="shared" si="387"/>
        <v>4421.5188998767862</v>
      </c>
      <c r="T594" s="43">
        <f t="shared" si="387"/>
        <v>4421.5188998767862</v>
      </c>
      <c r="V594" s="47">
        <f t="shared" si="369"/>
        <v>59690.505148336611</v>
      </c>
      <c r="W594" s="47">
        <f t="shared" si="370"/>
        <v>55268.986248459827</v>
      </c>
      <c r="X594" s="47">
        <f t="shared" si="371"/>
        <v>50847.467348583043</v>
      </c>
      <c r="Y594" s="47">
        <f t="shared" si="372"/>
        <v>46425.948448706258</v>
      </c>
      <c r="Z594" s="47">
        <f t="shared" si="373"/>
        <v>42004.429548829474</v>
      </c>
      <c r="AB594" s="47">
        <f t="shared" si="362"/>
        <v>6450.996074920231</v>
      </c>
      <c r="AC594" s="47">
        <f t="shared" si="363"/>
        <v>6245.3954460759605</v>
      </c>
      <c r="AD594" s="47">
        <f t="shared" si="364"/>
        <v>6353.7226591229419</v>
      </c>
      <c r="AE594" s="47">
        <f t="shared" si="365"/>
        <v>6185.7049409276242</v>
      </c>
      <c r="AF594" s="47">
        <f t="shared" si="366"/>
        <v>6017.6872227323065</v>
      </c>
    </row>
    <row r="595" spans="2:32">
      <c r="B595" s="37" t="str">
        <f t="shared" si="354"/>
        <v>Asset 41</v>
      </c>
      <c r="F595" s="37" t="str">
        <f t="shared" ref="F595:L595" si="410">F99</f>
        <v>09 Bedrijfsinventaris</v>
      </c>
      <c r="G595" s="37">
        <f t="shared" si="410"/>
        <v>2006</v>
      </c>
      <c r="H595" s="42">
        <f t="shared" si="410"/>
        <v>243251.93</v>
      </c>
      <c r="I595" s="37">
        <f t="shared" si="410"/>
        <v>2021</v>
      </c>
      <c r="J595" s="37">
        <f t="shared" si="410"/>
        <v>10</v>
      </c>
      <c r="K595" s="37">
        <f t="shared" si="410"/>
        <v>1</v>
      </c>
      <c r="L595" s="42">
        <f t="shared" si="410"/>
        <v>0</v>
      </c>
      <c r="N595" s="38">
        <f t="shared" si="355"/>
        <v>0</v>
      </c>
      <c r="P595" s="43">
        <f t="shared" si="387"/>
        <v>0</v>
      </c>
      <c r="Q595" s="43">
        <f t="shared" si="387"/>
        <v>0</v>
      </c>
      <c r="R595" s="43">
        <f t="shared" si="387"/>
        <v>0</v>
      </c>
      <c r="S595" s="43">
        <f t="shared" si="387"/>
        <v>0</v>
      </c>
      <c r="T595" s="43">
        <f t="shared" si="387"/>
        <v>0</v>
      </c>
      <c r="V595" s="47">
        <f t="shared" si="369"/>
        <v>0</v>
      </c>
      <c r="W595" s="47">
        <f t="shared" si="370"/>
        <v>0</v>
      </c>
      <c r="X595" s="47">
        <f t="shared" si="371"/>
        <v>0</v>
      </c>
      <c r="Y595" s="47">
        <f t="shared" si="372"/>
        <v>0</v>
      </c>
      <c r="Z595" s="47">
        <f t="shared" si="373"/>
        <v>0</v>
      </c>
      <c r="AB595" s="47">
        <f t="shared" si="362"/>
        <v>0</v>
      </c>
      <c r="AC595" s="47">
        <f t="shared" si="363"/>
        <v>0</v>
      </c>
      <c r="AD595" s="47">
        <f t="shared" si="364"/>
        <v>0</v>
      </c>
      <c r="AE595" s="47">
        <f t="shared" si="365"/>
        <v>0</v>
      </c>
      <c r="AF595" s="47">
        <f t="shared" si="366"/>
        <v>0</v>
      </c>
    </row>
    <row r="596" spans="2:32">
      <c r="B596" s="37" t="str">
        <f t="shared" si="354"/>
        <v>Asset 42</v>
      </c>
      <c r="F596" s="37" t="str">
        <f t="shared" ref="F596:L596" si="411">F100</f>
        <v>10 Gereedschap</v>
      </c>
      <c r="G596" s="37">
        <f t="shared" si="411"/>
        <v>2006</v>
      </c>
      <c r="H596" s="42">
        <f t="shared" si="411"/>
        <v>585474.13</v>
      </c>
      <c r="I596" s="37">
        <f t="shared" si="411"/>
        <v>2021</v>
      </c>
      <c r="J596" s="37">
        <f t="shared" si="411"/>
        <v>10</v>
      </c>
      <c r="K596" s="37">
        <f t="shared" si="411"/>
        <v>1</v>
      </c>
      <c r="L596" s="42">
        <f t="shared" si="411"/>
        <v>0</v>
      </c>
      <c r="N596" s="38">
        <f t="shared" si="355"/>
        <v>0</v>
      </c>
      <c r="P596" s="43">
        <f t="shared" si="387"/>
        <v>0</v>
      </c>
      <c r="Q596" s="43">
        <f t="shared" si="387"/>
        <v>0</v>
      </c>
      <c r="R596" s="43">
        <f t="shared" si="387"/>
        <v>0</v>
      </c>
      <c r="S596" s="43">
        <f t="shared" si="387"/>
        <v>0</v>
      </c>
      <c r="T596" s="43">
        <f t="shared" si="387"/>
        <v>0</v>
      </c>
      <c r="V596" s="47">
        <f t="shared" si="369"/>
        <v>0</v>
      </c>
      <c r="W596" s="47">
        <f t="shared" si="370"/>
        <v>0</v>
      </c>
      <c r="X596" s="47">
        <f t="shared" si="371"/>
        <v>0</v>
      </c>
      <c r="Y596" s="47">
        <f t="shared" si="372"/>
        <v>0</v>
      </c>
      <c r="Z596" s="47">
        <f t="shared" si="373"/>
        <v>0</v>
      </c>
      <c r="AB596" s="47">
        <f t="shared" si="362"/>
        <v>0</v>
      </c>
      <c r="AC596" s="47">
        <f t="shared" si="363"/>
        <v>0</v>
      </c>
      <c r="AD596" s="47">
        <f t="shared" si="364"/>
        <v>0</v>
      </c>
      <c r="AE596" s="47">
        <f t="shared" si="365"/>
        <v>0</v>
      </c>
      <c r="AF596" s="47">
        <f t="shared" si="366"/>
        <v>0</v>
      </c>
    </row>
    <row r="597" spans="2:32">
      <c r="B597" s="37" t="str">
        <f t="shared" si="354"/>
        <v>Asset 43</v>
      </c>
      <c r="F597" s="37" t="str">
        <f t="shared" ref="F597:L597" si="412">F101</f>
        <v>08 Inrichting gebouwen</v>
      </c>
      <c r="G597" s="37">
        <f t="shared" si="412"/>
        <v>2007</v>
      </c>
      <c r="H597" s="42">
        <f t="shared" si="412"/>
        <v>332079.90999999997</v>
      </c>
      <c r="I597" s="37">
        <f t="shared" si="412"/>
        <v>2021</v>
      </c>
      <c r="J597" s="37">
        <f t="shared" si="412"/>
        <v>10</v>
      </c>
      <c r="K597" s="37">
        <f t="shared" si="412"/>
        <v>0</v>
      </c>
      <c r="L597" s="42">
        <f t="shared" si="412"/>
        <v>0</v>
      </c>
      <c r="N597" s="38">
        <f t="shared" si="355"/>
        <v>0</v>
      </c>
      <c r="P597" s="43">
        <f t="shared" si="387"/>
        <v>0</v>
      </c>
      <c r="Q597" s="43">
        <f t="shared" si="387"/>
        <v>0</v>
      </c>
      <c r="R597" s="43">
        <f t="shared" si="387"/>
        <v>0</v>
      </c>
      <c r="S597" s="43">
        <f t="shared" si="387"/>
        <v>0</v>
      </c>
      <c r="T597" s="43">
        <f t="shared" si="387"/>
        <v>0</v>
      </c>
      <c r="V597" s="47">
        <f t="shared" si="369"/>
        <v>0</v>
      </c>
      <c r="W597" s="47">
        <f t="shared" si="370"/>
        <v>0</v>
      </c>
      <c r="X597" s="47">
        <f t="shared" si="371"/>
        <v>0</v>
      </c>
      <c r="Y597" s="47">
        <f t="shared" si="372"/>
        <v>0</v>
      </c>
      <c r="Z597" s="47">
        <f t="shared" si="373"/>
        <v>0</v>
      </c>
      <c r="AB597" s="47">
        <f t="shared" si="362"/>
        <v>0</v>
      </c>
      <c r="AC597" s="47">
        <f t="shared" si="363"/>
        <v>0</v>
      </c>
      <c r="AD597" s="47">
        <f t="shared" si="364"/>
        <v>0</v>
      </c>
      <c r="AE597" s="47">
        <f t="shared" si="365"/>
        <v>0</v>
      </c>
      <c r="AF597" s="47">
        <f t="shared" si="366"/>
        <v>0</v>
      </c>
    </row>
    <row r="598" spans="2:32">
      <c r="B598" s="37" t="str">
        <f t="shared" si="354"/>
        <v>Asset 44</v>
      </c>
      <c r="F598" s="37" t="str">
        <f t="shared" ref="F598:L598" si="413">F102</f>
        <v>20 Kantoorgebouwen</v>
      </c>
      <c r="G598" s="37">
        <f t="shared" si="413"/>
        <v>2007</v>
      </c>
      <c r="H598" s="42">
        <f t="shared" si="413"/>
        <v>163550.16999999998</v>
      </c>
      <c r="I598" s="37">
        <f t="shared" si="413"/>
        <v>2021</v>
      </c>
      <c r="J598" s="37">
        <f t="shared" si="413"/>
        <v>30</v>
      </c>
      <c r="K598" s="37">
        <f t="shared" si="413"/>
        <v>0</v>
      </c>
      <c r="L598" s="42">
        <f t="shared" si="413"/>
        <v>105677.9899746046</v>
      </c>
      <c r="N598" s="38">
        <f t="shared" si="355"/>
        <v>15.5</v>
      </c>
      <c r="P598" s="43">
        <f t="shared" si="387"/>
        <v>6817.9348370712642</v>
      </c>
      <c r="Q598" s="43">
        <f t="shared" si="387"/>
        <v>6817.9348370712642</v>
      </c>
      <c r="R598" s="43">
        <f t="shared" si="387"/>
        <v>6817.9348370712642</v>
      </c>
      <c r="S598" s="43">
        <f t="shared" si="387"/>
        <v>6817.9348370712642</v>
      </c>
      <c r="T598" s="43">
        <f t="shared" si="387"/>
        <v>6817.9348370712642</v>
      </c>
      <c r="V598" s="47">
        <f t="shared" si="369"/>
        <v>98860.055137533331</v>
      </c>
      <c r="W598" s="47">
        <f t="shared" si="370"/>
        <v>92042.120300462062</v>
      </c>
      <c r="X598" s="47">
        <f t="shared" si="371"/>
        <v>85224.185463390793</v>
      </c>
      <c r="Y598" s="47">
        <f t="shared" si="372"/>
        <v>78406.250626319525</v>
      </c>
      <c r="Z598" s="47">
        <f t="shared" si="373"/>
        <v>71588.315789248256</v>
      </c>
      <c r="AB598" s="47">
        <f t="shared" si="362"/>
        <v>10179.176711747397</v>
      </c>
      <c r="AC598" s="47">
        <f t="shared" si="363"/>
        <v>9855.3248069865112</v>
      </c>
      <c r="AD598" s="47">
        <f t="shared" si="364"/>
        <v>10056.453884680115</v>
      </c>
      <c r="AE598" s="47">
        <f t="shared" si="365"/>
        <v>9797.3723608714063</v>
      </c>
      <c r="AF598" s="47">
        <f t="shared" si="366"/>
        <v>9538.2908370626974</v>
      </c>
    </row>
    <row r="599" spans="2:32">
      <c r="B599" s="37" t="str">
        <f t="shared" si="354"/>
        <v>Asset 45</v>
      </c>
      <c r="F599" s="37" t="str">
        <f t="shared" ref="F599:L599" si="414">F103</f>
        <v>37 ICT middelen 1</v>
      </c>
      <c r="G599" s="37">
        <f t="shared" si="414"/>
        <v>2007</v>
      </c>
      <c r="H599" s="42">
        <f t="shared" si="414"/>
        <v>21517730.71653875</v>
      </c>
      <c r="I599" s="37">
        <f t="shared" si="414"/>
        <v>2021</v>
      </c>
      <c r="J599" s="37">
        <f t="shared" si="414"/>
        <v>5</v>
      </c>
      <c r="K599" s="37">
        <f t="shared" si="414"/>
        <v>1</v>
      </c>
      <c r="L599" s="42">
        <f t="shared" si="414"/>
        <v>0</v>
      </c>
      <c r="N599" s="38">
        <f t="shared" si="355"/>
        <v>0</v>
      </c>
      <c r="P599" s="43">
        <f t="shared" si="387"/>
        <v>0</v>
      </c>
      <c r="Q599" s="43">
        <f t="shared" si="387"/>
        <v>0</v>
      </c>
      <c r="R599" s="43">
        <f t="shared" si="387"/>
        <v>0</v>
      </c>
      <c r="S599" s="43">
        <f t="shared" si="387"/>
        <v>0</v>
      </c>
      <c r="T599" s="43">
        <f t="shared" si="387"/>
        <v>0</v>
      </c>
      <c r="V599" s="47">
        <f t="shared" si="369"/>
        <v>0</v>
      </c>
      <c r="W599" s="47">
        <f t="shared" si="370"/>
        <v>0</v>
      </c>
      <c r="X599" s="47">
        <f t="shared" si="371"/>
        <v>0</v>
      </c>
      <c r="Y599" s="47">
        <f t="shared" si="372"/>
        <v>0</v>
      </c>
      <c r="Z599" s="47">
        <f t="shared" si="373"/>
        <v>0</v>
      </c>
      <c r="AB599" s="47">
        <f t="shared" si="362"/>
        <v>0</v>
      </c>
      <c r="AC599" s="47">
        <f t="shared" si="363"/>
        <v>0</v>
      </c>
      <c r="AD599" s="47">
        <f t="shared" si="364"/>
        <v>0</v>
      </c>
      <c r="AE599" s="47">
        <f t="shared" si="365"/>
        <v>0</v>
      </c>
      <c r="AF599" s="47">
        <f t="shared" si="366"/>
        <v>0</v>
      </c>
    </row>
    <row r="600" spans="2:32">
      <c r="B600" s="37" t="str">
        <f t="shared" si="354"/>
        <v>Asset 46</v>
      </c>
      <c r="F600" s="37" t="str">
        <f t="shared" ref="F600:L600" si="415">F104</f>
        <v>10 Gereedschap</v>
      </c>
      <c r="G600" s="37">
        <f t="shared" si="415"/>
        <v>2007</v>
      </c>
      <c r="H600" s="42">
        <f t="shared" si="415"/>
        <v>611283.49</v>
      </c>
      <c r="I600" s="37">
        <f t="shared" si="415"/>
        <v>2021</v>
      </c>
      <c r="J600" s="37">
        <f t="shared" si="415"/>
        <v>10</v>
      </c>
      <c r="K600" s="37">
        <f t="shared" si="415"/>
        <v>1</v>
      </c>
      <c r="L600" s="42">
        <f t="shared" si="415"/>
        <v>0</v>
      </c>
      <c r="N600" s="38">
        <f t="shared" si="355"/>
        <v>0</v>
      </c>
      <c r="P600" s="43">
        <f t="shared" si="387"/>
        <v>0</v>
      </c>
      <c r="Q600" s="43">
        <f t="shared" si="387"/>
        <v>0</v>
      </c>
      <c r="R600" s="43">
        <f t="shared" si="387"/>
        <v>0</v>
      </c>
      <c r="S600" s="43">
        <f t="shared" si="387"/>
        <v>0</v>
      </c>
      <c r="T600" s="43">
        <f t="shared" si="387"/>
        <v>0</v>
      </c>
      <c r="V600" s="47">
        <f t="shared" si="369"/>
        <v>0</v>
      </c>
      <c r="W600" s="47">
        <f t="shared" si="370"/>
        <v>0</v>
      </c>
      <c r="X600" s="47">
        <f t="shared" si="371"/>
        <v>0</v>
      </c>
      <c r="Y600" s="47">
        <f t="shared" si="372"/>
        <v>0</v>
      </c>
      <c r="Z600" s="47">
        <f t="shared" si="373"/>
        <v>0</v>
      </c>
      <c r="AB600" s="47">
        <f t="shared" si="362"/>
        <v>0</v>
      </c>
      <c r="AC600" s="47">
        <f t="shared" si="363"/>
        <v>0</v>
      </c>
      <c r="AD600" s="47">
        <f t="shared" si="364"/>
        <v>0</v>
      </c>
      <c r="AE600" s="47">
        <f t="shared" si="365"/>
        <v>0</v>
      </c>
      <c r="AF600" s="47">
        <f t="shared" si="366"/>
        <v>0</v>
      </c>
    </row>
    <row r="601" spans="2:32">
      <c r="B601" s="37" t="str">
        <f t="shared" si="354"/>
        <v>Asset 47</v>
      </c>
      <c r="F601" s="37" t="str">
        <f t="shared" ref="F601:L601" si="416">F105</f>
        <v>09 Bedrijfsinventaris</v>
      </c>
      <c r="G601" s="37">
        <f t="shared" si="416"/>
        <v>2007</v>
      </c>
      <c r="H601" s="42">
        <f t="shared" si="416"/>
        <v>87193.72</v>
      </c>
      <c r="I601" s="37">
        <f t="shared" si="416"/>
        <v>2021</v>
      </c>
      <c r="J601" s="37">
        <f t="shared" si="416"/>
        <v>10</v>
      </c>
      <c r="K601" s="37">
        <f t="shared" si="416"/>
        <v>1</v>
      </c>
      <c r="L601" s="42">
        <f t="shared" si="416"/>
        <v>0</v>
      </c>
      <c r="N601" s="38">
        <f t="shared" si="355"/>
        <v>0</v>
      </c>
      <c r="P601" s="43">
        <f t="shared" si="387"/>
        <v>0</v>
      </c>
      <c r="Q601" s="43">
        <f t="shared" si="387"/>
        <v>0</v>
      </c>
      <c r="R601" s="43">
        <f t="shared" si="387"/>
        <v>0</v>
      </c>
      <c r="S601" s="43">
        <f t="shared" si="387"/>
        <v>0</v>
      </c>
      <c r="T601" s="43">
        <f t="shared" si="387"/>
        <v>0</v>
      </c>
      <c r="V601" s="47">
        <f t="shared" si="369"/>
        <v>0</v>
      </c>
      <c r="W601" s="47">
        <f t="shared" si="370"/>
        <v>0</v>
      </c>
      <c r="X601" s="47">
        <f t="shared" si="371"/>
        <v>0</v>
      </c>
      <c r="Y601" s="47">
        <f t="shared" si="372"/>
        <v>0</v>
      </c>
      <c r="Z601" s="47">
        <f t="shared" si="373"/>
        <v>0</v>
      </c>
      <c r="AB601" s="47">
        <f t="shared" si="362"/>
        <v>0</v>
      </c>
      <c r="AC601" s="47">
        <f t="shared" si="363"/>
        <v>0</v>
      </c>
      <c r="AD601" s="47">
        <f t="shared" si="364"/>
        <v>0</v>
      </c>
      <c r="AE601" s="47">
        <f t="shared" si="365"/>
        <v>0</v>
      </c>
      <c r="AF601" s="47">
        <f t="shared" si="366"/>
        <v>0</v>
      </c>
    </row>
    <row r="602" spans="2:32">
      <c r="B602" s="37" t="str">
        <f t="shared" si="354"/>
        <v>Asset 48</v>
      </c>
      <c r="F602" s="37" t="str">
        <f t="shared" ref="F602:L602" si="417">F106</f>
        <v>13 Aanhangwagens</v>
      </c>
      <c r="G602" s="37">
        <f t="shared" si="417"/>
        <v>2007</v>
      </c>
      <c r="H602" s="42">
        <f t="shared" si="417"/>
        <v>25760.58</v>
      </c>
      <c r="I602" s="37">
        <f t="shared" si="417"/>
        <v>2021</v>
      </c>
      <c r="J602" s="37">
        <f t="shared" si="417"/>
        <v>10</v>
      </c>
      <c r="K602" s="37">
        <f t="shared" si="417"/>
        <v>1</v>
      </c>
      <c r="L602" s="42">
        <f t="shared" si="417"/>
        <v>0</v>
      </c>
      <c r="N602" s="38">
        <f t="shared" si="355"/>
        <v>0</v>
      </c>
      <c r="P602" s="43">
        <f t="shared" si="387"/>
        <v>0</v>
      </c>
      <c r="Q602" s="43">
        <f t="shared" si="387"/>
        <v>0</v>
      </c>
      <c r="R602" s="43">
        <f t="shared" si="387"/>
        <v>0</v>
      </c>
      <c r="S602" s="43">
        <f t="shared" si="387"/>
        <v>0</v>
      </c>
      <c r="T602" s="43">
        <f t="shared" si="387"/>
        <v>0</v>
      </c>
      <c r="V602" s="47">
        <f t="shared" si="369"/>
        <v>0</v>
      </c>
      <c r="W602" s="47">
        <f t="shared" si="370"/>
        <v>0</v>
      </c>
      <c r="X602" s="47">
        <f t="shared" si="371"/>
        <v>0</v>
      </c>
      <c r="Y602" s="47">
        <f t="shared" si="372"/>
        <v>0</v>
      </c>
      <c r="Z602" s="47">
        <f t="shared" si="373"/>
        <v>0</v>
      </c>
      <c r="AB602" s="47">
        <f t="shared" si="362"/>
        <v>0</v>
      </c>
      <c r="AC602" s="47">
        <f t="shared" si="363"/>
        <v>0</v>
      </c>
      <c r="AD602" s="47">
        <f t="shared" si="364"/>
        <v>0</v>
      </c>
      <c r="AE602" s="47">
        <f t="shared" si="365"/>
        <v>0</v>
      </c>
      <c r="AF602" s="47">
        <f t="shared" si="366"/>
        <v>0</v>
      </c>
    </row>
    <row r="603" spans="2:32">
      <c r="B603" s="37" t="str">
        <f t="shared" si="354"/>
        <v>Asset 49</v>
      </c>
      <c r="F603" s="37" t="str">
        <f t="shared" ref="F603:L603" si="418">F107</f>
        <v>37 ICT middelen 1 (gaschromatografen en comptabele meting)</v>
      </c>
      <c r="G603" s="37">
        <f t="shared" si="418"/>
        <v>2007</v>
      </c>
      <c r="H603" s="42">
        <f t="shared" si="418"/>
        <v>140047.50693888956</v>
      </c>
      <c r="I603" s="37">
        <f t="shared" si="418"/>
        <v>2021</v>
      </c>
      <c r="J603" s="37">
        <f t="shared" si="418"/>
        <v>5</v>
      </c>
      <c r="K603" s="37">
        <f t="shared" si="418"/>
        <v>0</v>
      </c>
      <c r="L603" s="42">
        <f t="shared" si="418"/>
        <v>0</v>
      </c>
      <c r="N603" s="38">
        <f t="shared" si="355"/>
        <v>0</v>
      </c>
      <c r="P603" s="43">
        <f t="shared" si="387"/>
        <v>0</v>
      </c>
      <c r="Q603" s="43">
        <f t="shared" si="387"/>
        <v>0</v>
      </c>
      <c r="R603" s="43">
        <f t="shared" si="387"/>
        <v>0</v>
      </c>
      <c r="S603" s="43">
        <f t="shared" si="387"/>
        <v>0</v>
      </c>
      <c r="T603" s="43">
        <f t="shared" si="387"/>
        <v>0</v>
      </c>
      <c r="V603" s="47">
        <f t="shared" si="369"/>
        <v>0</v>
      </c>
      <c r="W603" s="47">
        <f t="shared" si="370"/>
        <v>0</v>
      </c>
      <c r="X603" s="47">
        <f t="shared" si="371"/>
        <v>0</v>
      </c>
      <c r="Y603" s="47">
        <f t="shared" si="372"/>
        <v>0</v>
      </c>
      <c r="Z603" s="47">
        <f t="shared" si="373"/>
        <v>0</v>
      </c>
      <c r="AB603" s="47">
        <f t="shared" si="362"/>
        <v>0</v>
      </c>
      <c r="AC603" s="47">
        <f t="shared" si="363"/>
        <v>0</v>
      </c>
      <c r="AD603" s="47">
        <f t="shared" si="364"/>
        <v>0</v>
      </c>
      <c r="AE603" s="47">
        <f t="shared" si="365"/>
        <v>0</v>
      </c>
      <c r="AF603" s="47">
        <f t="shared" si="366"/>
        <v>0</v>
      </c>
    </row>
    <row r="604" spans="2:32">
      <c r="B604" s="37" t="str">
        <f t="shared" si="354"/>
        <v>Asset 50</v>
      </c>
      <c r="F604" s="37" t="str">
        <f t="shared" ref="F604:L604" si="419">F108</f>
        <v>37 ICT middelen 1</v>
      </c>
      <c r="G604" s="37">
        <f t="shared" si="419"/>
        <v>2008</v>
      </c>
      <c r="H604" s="42">
        <f t="shared" si="419"/>
        <v>1405801.5634173665</v>
      </c>
      <c r="I604" s="37">
        <f t="shared" si="419"/>
        <v>2021</v>
      </c>
      <c r="J604" s="37">
        <f t="shared" si="419"/>
        <v>5</v>
      </c>
      <c r="K604" s="37">
        <f t="shared" si="419"/>
        <v>1</v>
      </c>
      <c r="L604" s="42">
        <f t="shared" si="419"/>
        <v>0</v>
      </c>
      <c r="N604" s="38">
        <f t="shared" si="355"/>
        <v>0</v>
      </c>
      <c r="P604" s="43">
        <f t="shared" si="387"/>
        <v>0</v>
      </c>
      <c r="Q604" s="43">
        <f t="shared" si="387"/>
        <v>0</v>
      </c>
      <c r="R604" s="43">
        <f t="shared" si="387"/>
        <v>0</v>
      </c>
      <c r="S604" s="43">
        <f t="shared" si="387"/>
        <v>0</v>
      </c>
      <c r="T604" s="43">
        <f t="shared" si="387"/>
        <v>0</v>
      </c>
      <c r="V604" s="47">
        <f t="shared" si="369"/>
        <v>0</v>
      </c>
      <c r="W604" s="47">
        <f t="shared" si="370"/>
        <v>0</v>
      </c>
      <c r="X604" s="47">
        <f t="shared" si="371"/>
        <v>0</v>
      </c>
      <c r="Y604" s="47">
        <f t="shared" si="372"/>
        <v>0</v>
      </c>
      <c r="Z604" s="47">
        <f t="shared" si="373"/>
        <v>0</v>
      </c>
      <c r="AB604" s="47">
        <f t="shared" si="362"/>
        <v>0</v>
      </c>
      <c r="AC604" s="47">
        <f t="shared" si="363"/>
        <v>0</v>
      </c>
      <c r="AD604" s="47">
        <f t="shared" si="364"/>
        <v>0</v>
      </c>
      <c r="AE604" s="47">
        <f t="shared" si="365"/>
        <v>0</v>
      </c>
      <c r="AF604" s="47">
        <f t="shared" si="366"/>
        <v>0</v>
      </c>
    </row>
    <row r="605" spans="2:32">
      <c r="B605" s="37" t="str">
        <f t="shared" si="354"/>
        <v>Asset 51</v>
      </c>
      <c r="F605" s="37" t="str">
        <f t="shared" ref="F605:L605" si="420">F109</f>
        <v>13 Aanhangwagens</v>
      </c>
      <c r="G605" s="37">
        <f t="shared" si="420"/>
        <v>2008</v>
      </c>
      <c r="H605" s="42">
        <f t="shared" si="420"/>
        <v>6485.6</v>
      </c>
      <c r="I605" s="37">
        <f t="shared" si="420"/>
        <v>2021</v>
      </c>
      <c r="J605" s="37">
        <f t="shared" si="420"/>
        <v>10</v>
      </c>
      <c r="K605" s="37">
        <f t="shared" si="420"/>
        <v>1</v>
      </c>
      <c r="L605" s="42">
        <f t="shared" si="420"/>
        <v>0</v>
      </c>
      <c r="N605" s="38">
        <f t="shared" si="355"/>
        <v>0</v>
      </c>
      <c r="P605" s="43">
        <f t="shared" si="387"/>
        <v>0</v>
      </c>
      <c r="Q605" s="43">
        <f t="shared" si="387"/>
        <v>0</v>
      </c>
      <c r="R605" s="43">
        <f t="shared" si="387"/>
        <v>0</v>
      </c>
      <c r="S605" s="43">
        <f t="shared" si="387"/>
        <v>0</v>
      </c>
      <c r="T605" s="43">
        <f t="shared" si="387"/>
        <v>0</v>
      </c>
      <c r="V605" s="47">
        <f t="shared" si="369"/>
        <v>0</v>
      </c>
      <c r="W605" s="47">
        <f t="shared" si="370"/>
        <v>0</v>
      </c>
      <c r="X605" s="47">
        <f t="shared" si="371"/>
        <v>0</v>
      </c>
      <c r="Y605" s="47">
        <f t="shared" si="372"/>
        <v>0</v>
      </c>
      <c r="Z605" s="47">
        <f t="shared" si="373"/>
        <v>0</v>
      </c>
      <c r="AB605" s="47">
        <f t="shared" si="362"/>
        <v>0</v>
      </c>
      <c r="AC605" s="47">
        <f t="shared" si="363"/>
        <v>0</v>
      </c>
      <c r="AD605" s="47">
        <f t="shared" si="364"/>
        <v>0</v>
      </c>
      <c r="AE605" s="47">
        <f t="shared" si="365"/>
        <v>0</v>
      </c>
      <c r="AF605" s="47">
        <f t="shared" si="366"/>
        <v>0</v>
      </c>
    </row>
    <row r="606" spans="2:32">
      <c r="B606" s="37" t="str">
        <f t="shared" si="354"/>
        <v>Asset 52</v>
      </c>
      <c r="F606" s="37" t="str">
        <f t="shared" ref="F606:L606" si="421">F110</f>
        <v>04 Terreinen</v>
      </c>
      <c r="G606" s="37">
        <f t="shared" si="421"/>
        <v>1956</v>
      </c>
      <c r="H606" s="42">
        <f t="shared" si="421"/>
        <v>32433.599999999999</v>
      </c>
      <c r="I606" s="37">
        <f t="shared" si="421"/>
        <v>2021</v>
      </c>
      <c r="J606" s="37">
        <f t="shared" si="421"/>
        <v>0</v>
      </c>
      <c r="K606" s="37">
        <f t="shared" si="421"/>
        <v>0</v>
      </c>
      <c r="L606" s="42">
        <f t="shared" si="421"/>
        <v>275057.7098199001</v>
      </c>
      <c r="N606" s="38">
        <f t="shared" si="355"/>
        <v>0</v>
      </c>
      <c r="P606" s="43">
        <f t="shared" si="387"/>
        <v>0</v>
      </c>
      <c r="Q606" s="43">
        <f t="shared" si="387"/>
        <v>0</v>
      </c>
      <c r="R606" s="43">
        <f t="shared" si="387"/>
        <v>0</v>
      </c>
      <c r="S606" s="43">
        <f t="shared" si="387"/>
        <v>0</v>
      </c>
      <c r="T606" s="43">
        <f t="shared" si="387"/>
        <v>0</v>
      </c>
      <c r="V606" s="47">
        <f t="shared" si="369"/>
        <v>275057.7098199001</v>
      </c>
      <c r="W606" s="47">
        <f t="shared" si="370"/>
        <v>275057.7098199001</v>
      </c>
      <c r="X606" s="47">
        <f t="shared" si="371"/>
        <v>275057.7098199001</v>
      </c>
      <c r="Y606" s="47">
        <f t="shared" si="372"/>
        <v>275057.7098199001</v>
      </c>
      <c r="Z606" s="47">
        <f t="shared" si="373"/>
        <v>275057.7098199001</v>
      </c>
      <c r="AB606" s="47">
        <f t="shared" si="362"/>
        <v>9351.9621338766046</v>
      </c>
      <c r="AC606" s="47">
        <f t="shared" si="363"/>
        <v>9076.9044240567036</v>
      </c>
      <c r="AD606" s="47">
        <f t="shared" si="364"/>
        <v>10452.192973156203</v>
      </c>
      <c r="AE606" s="47">
        <f t="shared" si="365"/>
        <v>10452.192973156203</v>
      </c>
      <c r="AF606" s="47">
        <f t="shared" si="366"/>
        <v>10452.192973156203</v>
      </c>
    </row>
    <row r="607" spans="2:32">
      <c r="B607" s="37" t="str">
        <f t="shared" si="354"/>
        <v>Asset 53</v>
      </c>
      <c r="F607" s="37" t="str">
        <f t="shared" ref="F607:L607" si="422">F111</f>
        <v>04 Terreinen</v>
      </c>
      <c r="G607" s="37">
        <f t="shared" si="422"/>
        <v>1968</v>
      </c>
      <c r="H607" s="42">
        <f t="shared" si="422"/>
        <v>219516.18</v>
      </c>
      <c r="I607" s="37">
        <f t="shared" si="422"/>
        <v>2021</v>
      </c>
      <c r="J607" s="37">
        <f t="shared" si="422"/>
        <v>0</v>
      </c>
      <c r="K607" s="37">
        <f t="shared" si="422"/>
        <v>0</v>
      </c>
      <c r="L607" s="42">
        <f t="shared" si="422"/>
        <v>1219692.8562955547</v>
      </c>
      <c r="N607" s="38">
        <f t="shared" si="355"/>
        <v>0</v>
      </c>
      <c r="P607" s="43">
        <f t="shared" si="387"/>
        <v>0</v>
      </c>
      <c r="Q607" s="43">
        <f t="shared" si="387"/>
        <v>0</v>
      </c>
      <c r="R607" s="43">
        <f t="shared" si="387"/>
        <v>0</v>
      </c>
      <c r="S607" s="43">
        <f t="shared" si="387"/>
        <v>0</v>
      </c>
      <c r="T607" s="43">
        <f t="shared" si="387"/>
        <v>0</v>
      </c>
      <c r="V607" s="47">
        <f t="shared" si="369"/>
        <v>1219692.8562955547</v>
      </c>
      <c r="W607" s="47">
        <f t="shared" si="370"/>
        <v>1219692.8562955547</v>
      </c>
      <c r="X607" s="47">
        <f t="shared" si="371"/>
        <v>1219692.8562955547</v>
      </c>
      <c r="Y607" s="47">
        <f t="shared" si="372"/>
        <v>1219692.8562955547</v>
      </c>
      <c r="Z607" s="47">
        <f t="shared" si="373"/>
        <v>1219692.8562955547</v>
      </c>
      <c r="AB607" s="47">
        <f t="shared" si="362"/>
        <v>41469.557114048861</v>
      </c>
      <c r="AC607" s="47">
        <f t="shared" si="363"/>
        <v>40249.864257753303</v>
      </c>
      <c r="AD607" s="47">
        <f t="shared" si="364"/>
        <v>46348.328539231079</v>
      </c>
      <c r="AE607" s="47">
        <f t="shared" si="365"/>
        <v>46348.328539231079</v>
      </c>
      <c r="AF607" s="47">
        <f t="shared" si="366"/>
        <v>46348.328539231079</v>
      </c>
    </row>
    <row r="608" spans="2:32">
      <c r="B608" s="37" t="str">
        <f t="shared" si="354"/>
        <v>Asset 54</v>
      </c>
      <c r="F608" s="37" t="str">
        <f t="shared" ref="F608:L608" si="423">F112</f>
        <v>04 Terreinen</v>
      </c>
      <c r="G608" s="37">
        <f t="shared" si="423"/>
        <v>1972</v>
      </c>
      <c r="H608" s="42">
        <f t="shared" si="423"/>
        <v>411128.51</v>
      </c>
      <c r="I608" s="37">
        <f t="shared" si="423"/>
        <v>2021</v>
      </c>
      <c r="J608" s="37">
        <f t="shared" si="423"/>
        <v>0</v>
      </c>
      <c r="K608" s="37">
        <f t="shared" si="423"/>
        <v>0</v>
      </c>
      <c r="L608" s="42">
        <f t="shared" si="423"/>
        <v>1824024.3386379536</v>
      </c>
      <c r="N608" s="38">
        <f t="shared" si="355"/>
        <v>0</v>
      </c>
      <c r="P608" s="43">
        <f t="shared" si="387"/>
        <v>0</v>
      </c>
      <c r="Q608" s="43">
        <f t="shared" si="387"/>
        <v>0</v>
      </c>
      <c r="R608" s="43">
        <f t="shared" si="387"/>
        <v>0</v>
      </c>
      <c r="S608" s="43">
        <f t="shared" si="387"/>
        <v>0</v>
      </c>
      <c r="T608" s="43">
        <f t="shared" si="387"/>
        <v>0</v>
      </c>
      <c r="V608" s="47">
        <f t="shared" si="369"/>
        <v>1824024.3386379536</v>
      </c>
      <c r="W608" s="47">
        <f t="shared" si="370"/>
        <v>1824024.3386379536</v>
      </c>
      <c r="X608" s="47">
        <f t="shared" si="371"/>
        <v>1824024.3386379536</v>
      </c>
      <c r="Y608" s="47">
        <f t="shared" si="372"/>
        <v>1824024.3386379536</v>
      </c>
      <c r="Z608" s="47">
        <f t="shared" si="373"/>
        <v>1824024.3386379536</v>
      </c>
      <c r="AB608" s="47">
        <f t="shared" si="362"/>
        <v>62016.827513690427</v>
      </c>
      <c r="AC608" s="47">
        <f t="shared" si="363"/>
        <v>60192.803175052475</v>
      </c>
      <c r="AD608" s="47">
        <f t="shared" si="364"/>
        <v>69312.924868242233</v>
      </c>
      <c r="AE608" s="47">
        <f t="shared" si="365"/>
        <v>69312.924868242233</v>
      </c>
      <c r="AF608" s="47">
        <f t="shared" si="366"/>
        <v>69312.924868242233</v>
      </c>
    </row>
    <row r="609" spans="2:32">
      <c r="B609" s="37" t="str">
        <f t="shared" si="354"/>
        <v>Asset 55</v>
      </c>
      <c r="F609" s="37" t="str">
        <f t="shared" ref="F609:L609" si="424">F113</f>
        <v>05 Wegen en terreinvoorzieningen</v>
      </c>
      <c r="G609" s="37">
        <f t="shared" si="424"/>
        <v>1970</v>
      </c>
      <c r="H609" s="42">
        <f t="shared" si="424"/>
        <v>65342.54</v>
      </c>
      <c r="I609" s="37">
        <f t="shared" si="424"/>
        <v>2021</v>
      </c>
      <c r="J609" s="37">
        <f t="shared" si="424"/>
        <v>10</v>
      </c>
      <c r="K609" s="37">
        <f t="shared" si="424"/>
        <v>0</v>
      </c>
      <c r="L609" s="42">
        <f t="shared" si="424"/>
        <v>0</v>
      </c>
      <c r="N609" s="38">
        <f t="shared" si="355"/>
        <v>0</v>
      </c>
      <c r="P609" s="43">
        <f t="shared" si="387"/>
        <v>0</v>
      </c>
      <c r="Q609" s="43">
        <f t="shared" si="387"/>
        <v>0</v>
      </c>
      <c r="R609" s="43">
        <f t="shared" si="387"/>
        <v>0</v>
      </c>
      <c r="S609" s="43">
        <f t="shared" si="387"/>
        <v>0</v>
      </c>
      <c r="T609" s="43">
        <f t="shared" si="387"/>
        <v>0</v>
      </c>
      <c r="V609" s="47">
        <f t="shared" si="369"/>
        <v>0</v>
      </c>
      <c r="W609" s="47">
        <f t="shared" si="370"/>
        <v>0</v>
      </c>
      <c r="X609" s="47">
        <f t="shared" si="371"/>
        <v>0</v>
      </c>
      <c r="Y609" s="47">
        <f t="shared" si="372"/>
        <v>0</v>
      </c>
      <c r="Z609" s="47">
        <f t="shared" si="373"/>
        <v>0</v>
      </c>
      <c r="AB609" s="47">
        <f t="shared" si="362"/>
        <v>0</v>
      </c>
      <c r="AC609" s="47">
        <f t="shared" si="363"/>
        <v>0</v>
      </c>
      <c r="AD609" s="47">
        <f t="shared" si="364"/>
        <v>0</v>
      </c>
      <c r="AE609" s="47">
        <f t="shared" si="365"/>
        <v>0</v>
      </c>
      <c r="AF609" s="47">
        <f t="shared" si="366"/>
        <v>0</v>
      </c>
    </row>
    <row r="610" spans="2:32">
      <c r="B610" s="37" t="str">
        <f t="shared" si="354"/>
        <v>Asset 56</v>
      </c>
      <c r="F610" s="37" t="str">
        <f t="shared" ref="F610:L610" si="425">F114</f>
        <v>06 Utiliteitsgebouwen</v>
      </c>
      <c r="G610" s="37">
        <f t="shared" si="425"/>
        <v>1980</v>
      </c>
      <c r="H610" s="42">
        <f t="shared" si="425"/>
        <v>1188787.02</v>
      </c>
      <c r="I610" s="37">
        <f t="shared" si="425"/>
        <v>2021</v>
      </c>
      <c r="J610" s="37">
        <f t="shared" si="425"/>
        <v>30</v>
      </c>
      <c r="K610" s="37">
        <f t="shared" si="425"/>
        <v>0</v>
      </c>
      <c r="L610" s="42">
        <f t="shared" si="425"/>
        <v>0</v>
      </c>
      <c r="N610" s="38">
        <f t="shared" si="355"/>
        <v>0</v>
      </c>
      <c r="P610" s="43">
        <f t="shared" si="387"/>
        <v>0</v>
      </c>
      <c r="Q610" s="43">
        <f t="shared" si="387"/>
        <v>0</v>
      </c>
      <c r="R610" s="43">
        <f t="shared" si="387"/>
        <v>0</v>
      </c>
      <c r="S610" s="43">
        <f t="shared" si="387"/>
        <v>0</v>
      </c>
      <c r="T610" s="43">
        <f t="shared" si="387"/>
        <v>0</v>
      </c>
      <c r="V610" s="47">
        <f t="shared" si="369"/>
        <v>0</v>
      </c>
      <c r="W610" s="47">
        <f t="shared" si="370"/>
        <v>0</v>
      </c>
      <c r="X610" s="47">
        <f t="shared" si="371"/>
        <v>0</v>
      </c>
      <c r="Y610" s="47">
        <f t="shared" si="372"/>
        <v>0</v>
      </c>
      <c r="Z610" s="47">
        <f t="shared" si="373"/>
        <v>0</v>
      </c>
      <c r="AB610" s="47">
        <f t="shared" si="362"/>
        <v>0</v>
      </c>
      <c r="AC610" s="47">
        <f t="shared" si="363"/>
        <v>0</v>
      </c>
      <c r="AD610" s="47">
        <f t="shared" si="364"/>
        <v>0</v>
      </c>
      <c r="AE610" s="47">
        <f t="shared" si="365"/>
        <v>0</v>
      </c>
      <c r="AF610" s="47">
        <f t="shared" si="366"/>
        <v>0</v>
      </c>
    </row>
    <row r="611" spans="2:32">
      <c r="B611" s="37" t="str">
        <f t="shared" si="354"/>
        <v>Asset 57</v>
      </c>
      <c r="F611" s="37" t="str">
        <f t="shared" ref="F611:L611" si="426">F115</f>
        <v>06 Utiliteitsgebouwen</v>
      </c>
      <c r="G611" s="37">
        <f t="shared" si="426"/>
        <v>1971</v>
      </c>
      <c r="H611" s="42">
        <f t="shared" si="426"/>
        <v>1287617.6299999999</v>
      </c>
      <c r="I611" s="37">
        <f t="shared" si="426"/>
        <v>2021</v>
      </c>
      <c r="J611" s="37">
        <f t="shared" si="426"/>
        <v>30</v>
      </c>
      <c r="K611" s="37">
        <f t="shared" si="426"/>
        <v>0</v>
      </c>
      <c r="L611" s="42">
        <f t="shared" si="426"/>
        <v>0</v>
      </c>
      <c r="N611" s="38">
        <f t="shared" si="355"/>
        <v>0</v>
      </c>
      <c r="P611" s="43">
        <f t="shared" si="387"/>
        <v>0</v>
      </c>
      <c r="Q611" s="43">
        <f t="shared" si="387"/>
        <v>0</v>
      </c>
      <c r="R611" s="43">
        <f t="shared" si="387"/>
        <v>0</v>
      </c>
      <c r="S611" s="43">
        <f t="shared" si="387"/>
        <v>0</v>
      </c>
      <c r="T611" s="43">
        <f t="shared" si="387"/>
        <v>0</v>
      </c>
      <c r="V611" s="47">
        <f t="shared" si="369"/>
        <v>0</v>
      </c>
      <c r="W611" s="47">
        <f t="shared" si="370"/>
        <v>0</v>
      </c>
      <c r="X611" s="47">
        <f t="shared" si="371"/>
        <v>0</v>
      </c>
      <c r="Y611" s="47">
        <f t="shared" si="372"/>
        <v>0</v>
      </c>
      <c r="Z611" s="47">
        <f t="shared" si="373"/>
        <v>0</v>
      </c>
      <c r="AB611" s="47">
        <f t="shared" si="362"/>
        <v>0</v>
      </c>
      <c r="AC611" s="47">
        <f t="shared" si="363"/>
        <v>0</v>
      </c>
      <c r="AD611" s="47">
        <f t="shared" si="364"/>
        <v>0</v>
      </c>
      <c r="AE611" s="47">
        <f t="shared" si="365"/>
        <v>0</v>
      </c>
      <c r="AF611" s="47">
        <f t="shared" si="366"/>
        <v>0</v>
      </c>
    </row>
    <row r="612" spans="2:32">
      <c r="B612" s="37" t="str">
        <f t="shared" si="354"/>
        <v>Asset 58</v>
      </c>
      <c r="F612" s="37" t="str">
        <f t="shared" ref="F612:L612" si="427">F116</f>
        <v>06 Utiliteitsgebouwen</v>
      </c>
      <c r="G612" s="37">
        <f t="shared" si="427"/>
        <v>1986</v>
      </c>
      <c r="H612" s="42">
        <f t="shared" si="427"/>
        <v>986052.31</v>
      </c>
      <c r="I612" s="37">
        <f t="shared" si="427"/>
        <v>2021</v>
      </c>
      <c r="J612" s="37">
        <f t="shared" si="427"/>
        <v>30</v>
      </c>
      <c r="K612" s="37">
        <f t="shared" si="427"/>
        <v>0</v>
      </c>
      <c r="L612" s="42">
        <f t="shared" si="427"/>
        <v>0</v>
      </c>
      <c r="N612" s="38">
        <f t="shared" si="355"/>
        <v>0</v>
      </c>
      <c r="P612" s="43">
        <f t="shared" si="387"/>
        <v>0</v>
      </c>
      <c r="Q612" s="43">
        <f t="shared" si="387"/>
        <v>0</v>
      </c>
      <c r="R612" s="43">
        <f t="shared" si="387"/>
        <v>0</v>
      </c>
      <c r="S612" s="43">
        <f t="shared" si="387"/>
        <v>0</v>
      </c>
      <c r="T612" s="43">
        <f t="shared" si="387"/>
        <v>0</v>
      </c>
      <c r="V612" s="47">
        <f t="shared" si="369"/>
        <v>0</v>
      </c>
      <c r="W612" s="47">
        <f t="shared" si="370"/>
        <v>0</v>
      </c>
      <c r="X612" s="47">
        <f t="shared" si="371"/>
        <v>0</v>
      </c>
      <c r="Y612" s="47">
        <f t="shared" si="372"/>
        <v>0</v>
      </c>
      <c r="Z612" s="47">
        <f t="shared" si="373"/>
        <v>0</v>
      </c>
      <c r="AB612" s="47">
        <f t="shared" si="362"/>
        <v>0</v>
      </c>
      <c r="AC612" s="47">
        <f t="shared" si="363"/>
        <v>0</v>
      </c>
      <c r="AD612" s="47">
        <f t="shared" si="364"/>
        <v>0</v>
      </c>
      <c r="AE612" s="47">
        <f t="shared" si="365"/>
        <v>0</v>
      </c>
      <c r="AF612" s="47">
        <f t="shared" si="366"/>
        <v>0</v>
      </c>
    </row>
    <row r="613" spans="2:32">
      <c r="B613" s="37" t="str">
        <f t="shared" si="354"/>
        <v>Asset 59</v>
      </c>
      <c r="F613" s="37" t="str">
        <f t="shared" ref="F613:L613" si="428">F117</f>
        <v>06 Utiliteitsgebouwen</v>
      </c>
      <c r="G613" s="37">
        <f t="shared" si="428"/>
        <v>1988</v>
      </c>
      <c r="H613" s="42">
        <f t="shared" si="428"/>
        <v>45049.48</v>
      </c>
      <c r="I613" s="37">
        <f t="shared" si="428"/>
        <v>2021</v>
      </c>
      <c r="J613" s="37">
        <f t="shared" si="428"/>
        <v>30</v>
      </c>
      <c r="K613" s="37">
        <f t="shared" si="428"/>
        <v>0</v>
      </c>
      <c r="L613" s="42">
        <f t="shared" si="428"/>
        <v>0</v>
      </c>
      <c r="N613" s="38">
        <f t="shared" si="355"/>
        <v>0</v>
      </c>
      <c r="P613" s="43">
        <f t="shared" si="387"/>
        <v>0</v>
      </c>
      <c r="Q613" s="43">
        <f t="shared" si="387"/>
        <v>0</v>
      </c>
      <c r="R613" s="43">
        <f t="shared" si="387"/>
        <v>0</v>
      </c>
      <c r="S613" s="43">
        <f t="shared" si="387"/>
        <v>0</v>
      </c>
      <c r="T613" s="43">
        <f t="shared" si="387"/>
        <v>0</v>
      </c>
      <c r="V613" s="47">
        <f t="shared" si="369"/>
        <v>0</v>
      </c>
      <c r="W613" s="47">
        <f t="shared" si="370"/>
        <v>0</v>
      </c>
      <c r="X613" s="47">
        <f t="shared" si="371"/>
        <v>0</v>
      </c>
      <c r="Y613" s="47">
        <f t="shared" si="372"/>
        <v>0</v>
      </c>
      <c r="Z613" s="47">
        <f t="shared" si="373"/>
        <v>0</v>
      </c>
      <c r="AB613" s="47">
        <f t="shared" si="362"/>
        <v>0</v>
      </c>
      <c r="AC613" s="47">
        <f t="shared" si="363"/>
        <v>0</v>
      </c>
      <c r="AD613" s="47">
        <f t="shared" si="364"/>
        <v>0</v>
      </c>
      <c r="AE613" s="47">
        <f t="shared" si="365"/>
        <v>0</v>
      </c>
      <c r="AF613" s="47">
        <f t="shared" si="366"/>
        <v>0</v>
      </c>
    </row>
    <row r="614" spans="2:32">
      <c r="B614" s="37" t="str">
        <f t="shared" si="354"/>
        <v>Asset 60</v>
      </c>
      <c r="F614" s="37" t="str">
        <f t="shared" ref="F614:L614" si="429">F118</f>
        <v>04 Terreinen</v>
      </c>
      <c r="G614" s="37">
        <f t="shared" si="429"/>
        <v>1969</v>
      </c>
      <c r="H614" s="42">
        <f t="shared" si="429"/>
        <v>35732.019999999997</v>
      </c>
      <c r="I614" s="37">
        <f t="shared" si="429"/>
        <v>2021</v>
      </c>
      <c r="J614" s="37">
        <f t="shared" si="429"/>
        <v>0</v>
      </c>
      <c r="K614" s="37">
        <f t="shared" si="429"/>
        <v>0</v>
      </c>
      <c r="L614" s="42">
        <f t="shared" si="429"/>
        <v>192194.60406110552</v>
      </c>
      <c r="N614" s="38">
        <f t="shared" si="355"/>
        <v>0</v>
      </c>
      <c r="P614" s="43">
        <f t="shared" si="387"/>
        <v>0</v>
      </c>
      <c r="Q614" s="43">
        <f t="shared" si="387"/>
        <v>0</v>
      </c>
      <c r="R614" s="43">
        <f t="shared" si="387"/>
        <v>0</v>
      </c>
      <c r="S614" s="43">
        <f t="shared" si="387"/>
        <v>0</v>
      </c>
      <c r="T614" s="43">
        <f t="shared" si="387"/>
        <v>0</v>
      </c>
      <c r="V614" s="47">
        <f t="shared" si="369"/>
        <v>192194.60406110552</v>
      </c>
      <c r="W614" s="47">
        <f t="shared" si="370"/>
        <v>192194.60406110552</v>
      </c>
      <c r="X614" s="47">
        <f t="shared" si="371"/>
        <v>192194.60406110552</v>
      </c>
      <c r="Y614" s="47">
        <f t="shared" si="372"/>
        <v>192194.60406110552</v>
      </c>
      <c r="Z614" s="47">
        <f t="shared" si="373"/>
        <v>192194.60406110552</v>
      </c>
      <c r="AB614" s="47">
        <f t="shared" si="362"/>
        <v>6534.6165380775883</v>
      </c>
      <c r="AC614" s="47">
        <f t="shared" si="363"/>
        <v>6342.4219340164827</v>
      </c>
      <c r="AD614" s="47">
        <f t="shared" si="364"/>
        <v>7303.3949543220097</v>
      </c>
      <c r="AE614" s="47">
        <f t="shared" si="365"/>
        <v>7303.3949543220097</v>
      </c>
      <c r="AF614" s="47">
        <f t="shared" si="366"/>
        <v>7303.3949543220097</v>
      </c>
    </row>
    <row r="615" spans="2:32">
      <c r="B615" s="37" t="str">
        <f t="shared" si="354"/>
        <v>Asset 61</v>
      </c>
      <c r="F615" s="37" t="str">
        <f t="shared" ref="F615:L615" si="430">F119</f>
        <v>06 Utiliteitsgebouwen</v>
      </c>
      <c r="G615" s="37">
        <f t="shared" si="430"/>
        <v>1993</v>
      </c>
      <c r="H615" s="42">
        <f t="shared" si="430"/>
        <v>4915025</v>
      </c>
      <c r="I615" s="37">
        <f t="shared" si="430"/>
        <v>2021</v>
      </c>
      <c r="J615" s="37">
        <f t="shared" si="430"/>
        <v>30</v>
      </c>
      <c r="K615" s="37">
        <f t="shared" si="430"/>
        <v>0</v>
      </c>
      <c r="L615" s="42">
        <f t="shared" si="430"/>
        <v>420683.7813984917</v>
      </c>
      <c r="N615" s="38">
        <f t="shared" si="355"/>
        <v>1.5</v>
      </c>
      <c r="P615" s="43">
        <f t="shared" si="387"/>
        <v>280455.85426566115</v>
      </c>
      <c r="Q615" s="43">
        <f t="shared" si="387"/>
        <v>140227.92713283058</v>
      </c>
      <c r="R615" s="43">
        <f t="shared" si="387"/>
        <v>0</v>
      </c>
      <c r="S615" s="43">
        <f t="shared" si="387"/>
        <v>0</v>
      </c>
      <c r="T615" s="43">
        <f t="shared" si="387"/>
        <v>0</v>
      </c>
      <c r="V615" s="47">
        <f t="shared" si="369"/>
        <v>140227.92713283055</v>
      </c>
      <c r="W615" s="47">
        <f t="shared" si="370"/>
        <v>-2.9103830456733704E-11</v>
      </c>
      <c r="X615" s="47">
        <f t="shared" si="371"/>
        <v>0</v>
      </c>
      <c r="Y615" s="47">
        <f t="shared" si="372"/>
        <v>0</v>
      </c>
      <c r="Z615" s="47">
        <f t="shared" si="373"/>
        <v>0</v>
      </c>
      <c r="AB615" s="47">
        <f t="shared" si="362"/>
        <v>285223.60378817737</v>
      </c>
      <c r="AC615" s="47">
        <f t="shared" si="363"/>
        <v>140227.92713283058</v>
      </c>
      <c r="AD615" s="47">
        <f t="shared" si="364"/>
        <v>0</v>
      </c>
      <c r="AE615" s="47">
        <f t="shared" si="365"/>
        <v>0</v>
      </c>
      <c r="AF615" s="47">
        <f t="shared" si="366"/>
        <v>0</v>
      </c>
    </row>
    <row r="616" spans="2:32">
      <c r="B616" s="37" t="str">
        <f t="shared" si="354"/>
        <v>Asset 62</v>
      </c>
      <c r="F616" s="37" t="str">
        <f t="shared" ref="F616:L616" si="431">F120</f>
        <v>04 Terreinen</v>
      </c>
      <c r="G616" s="37">
        <f t="shared" si="431"/>
        <v>1990</v>
      </c>
      <c r="H616" s="42">
        <f t="shared" si="431"/>
        <v>4936129.59</v>
      </c>
      <c r="I616" s="37">
        <f t="shared" si="431"/>
        <v>2021</v>
      </c>
      <c r="J616" s="37">
        <f t="shared" si="431"/>
        <v>0</v>
      </c>
      <c r="K616" s="37">
        <f t="shared" si="431"/>
        <v>0</v>
      </c>
      <c r="L616" s="42">
        <f t="shared" si="431"/>
        <v>9367389.4688880406</v>
      </c>
      <c r="N616" s="38">
        <f t="shared" si="355"/>
        <v>0</v>
      </c>
      <c r="P616" s="43">
        <f t="shared" si="387"/>
        <v>0</v>
      </c>
      <c r="Q616" s="43">
        <f t="shared" si="387"/>
        <v>0</v>
      </c>
      <c r="R616" s="43">
        <f t="shared" si="387"/>
        <v>0</v>
      </c>
      <c r="S616" s="43">
        <f t="shared" si="387"/>
        <v>0</v>
      </c>
      <c r="T616" s="43">
        <f t="shared" si="387"/>
        <v>0</v>
      </c>
      <c r="V616" s="47">
        <f t="shared" si="369"/>
        <v>9367389.4688880406</v>
      </c>
      <c r="W616" s="47">
        <f t="shared" si="370"/>
        <v>9367389.4688880406</v>
      </c>
      <c r="X616" s="47">
        <f t="shared" si="371"/>
        <v>9367389.4688880406</v>
      </c>
      <c r="Y616" s="47">
        <f t="shared" si="372"/>
        <v>9367389.4688880406</v>
      </c>
      <c r="Z616" s="47">
        <f t="shared" si="373"/>
        <v>9367389.4688880406</v>
      </c>
      <c r="AB616" s="47">
        <f t="shared" si="362"/>
        <v>318491.24194219342</v>
      </c>
      <c r="AC616" s="47">
        <f t="shared" si="363"/>
        <v>309123.85247330536</v>
      </c>
      <c r="AD616" s="47">
        <f t="shared" si="364"/>
        <v>355960.79981774552</v>
      </c>
      <c r="AE616" s="47">
        <f t="shared" si="365"/>
        <v>355960.79981774552</v>
      </c>
      <c r="AF616" s="47">
        <f t="shared" si="366"/>
        <v>355960.79981774552</v>
      </c>
    </row>
    <row r="617" spans="2:32">
      <c r="B617" s="37" t="str">
        <f t="shared" si="354"/>
        <v>Asset 63</v>
      </c>
      <c r="F617" s="37" t="str">
        <f t="shared" ref="F617:L617" si="432">F121</f>
        <v>09 Bedrijfsinventaris</v>
      </c>
      <c r="G617" s="37">
        <f t="shared" si="432"/>
        <v>1994</v>
      </c>
      <c r="H617" s="42">
        <f t="shared" si="432"/>
        <v>5646696.2199999997</v>
      </c>
      <c r="I617" s="37">
        <f t="shared" si="432"/>
        <v>2021</v>
      </c>
      <c r="J617" s="37">
        <f t="shared" si="432"/>
        <v>10</v>
      </c>
      <c r="K617" s="37">
        <f t="shared" si="432"/>
        <v>1</v>
      </c>
      <c r="L617" s="42">
        <f t="shared" si="432"/>
        <v>0</v>
      </c>
      <c r="N617" s="38">
        <f t="shared" si="355"/>
        <v>0</v>
      </c>
      <c r="P617" s="43">
        <f t="shared" si="387"/>
        <v>0</v>
      </c>
      <c r="Q617" s="43">
        <f t="shared" si="387"/>
        <v>0</v>
      </c>
      <c r="R617" s="43">
        <f t="shared" si="387"/>
        <v>0</v>
      </c>
      <c r="S617" s="43">
        <f t="shared" si="387"/>
        <v>0</v>
      </c>
      <c r="T617" s="43">
        <f t="shared" si="387"/>
        <v>0</v>
      </c>
      <c r="V617" s="47">
        <f t="shared" si="369"/>
        <v>0</v>
      </c>
      <c r="W617" s="47">
        <f t="shared" si="370"/>
        <v>0</v>
      </c>
      <c r="X617" s="47">
        <f t="shared" si="371"/>
        <v>0</v>
      </c>
      <c r="Y617" s="47">
        <f t="shared" si="372"/>
        <v>0</v>
      </c>
      <c r="Z617" s="47">
        <f t="shared" si="373"/>
        <v>0</v>
      </c>
      <c r="AB617" s="47">
        <f t="shared" si="362"/>
        <v>0</v>
      </c>
      <c r="AC617" s="47">
        <f t="shared" si="363"/>
        <v>0</v>
      </c>
      <c r="AD617" s="47">
        <f t="shared" si="364"/>
        <v>0</v>
      </c>
      <c r="AE617" s="47">
        <f t="shared" si="365"/>
        <v>0</v>
      </c>
      <c r="AF617" s="47">
        <f t="shared" si="366"/>
        <v>0</v>
      </c>
    </row>
    <row r="618" spans="2:32">
      <c r="B618" s="37" t="str">
        <f t="shared" si="354"/>
        <v>Asset 64</v>
      </c>
      <c r="F618" s="37" t="str">
        <f t="shared" ref="F618:L618" si="433">F122</f>
        <v>06 Utiliteitsgebouwen</v>
      </c>
      <c r="G618" s="37">
        <f t="shared" si="433"/>
        <v>1994</v>
      </c>
      <c r="H618" s="42">
        <f t="shared" si="433"/>
        <v>326095.09000000003</v>
      </c>
      <c r="I618" s="37">
        <f t="shared" si="433"/>
        <v>2021</v>
      </c>
      <c r="J618" s="37">
        <f t="shared" si="433"/>
        <v>30</v>
      </c>
      <c r="K618" s="37">
        <f t="shared" si="433"/>
        <v>0</v>
      </c>
      <c r="L618" s="42">
        <f t="shared" si="433"/>
        <v>45606.0937185246</v>
      </c>
      <c r="N618" s="38">
        <f t="shared" si="355"/>
        <v>2.5</v>
      </c>
      <c r="P618" s="43">
        <f t="shared" si="387"/>
        <v>18242.437487409839</v>
      </c>
      <c r="Q618" s="43">
        <f t="shared" si="387"/>
        <v>18242.437487409839</v>
      </c>
      <c r="R618" s="43">
        <f t="shared" si="387"/>
        <v>9121.2187437049197</v>
      </c>
      <c r="S618" s="43">
        <f t="shared" si="387"/>
        <v>0</v>
      </c>
      <c r="T618" s="43">
        <f t="shared" si="387"/>
        <v>0</v>
      </c>
      <c r="V618" s="47">
        <f t="shared" si="369"/>
        <v>27363.656231114761</v>
      </c>
      <c r="W618" s="47">
        <f t="shared" si="370"/>
        <v>9121.2187437049215</v>
      </c>
      <c r="X618" s="47">
        <f t="shared" si="371"/>
        <v>1.8189894035458565E-12</v>
      </c>
      <c r="Y618" s="47">
        <f t="shared" si="372"/>
        <v>0</v>
      </c>
      <c r="Z618" s="47">
        <f t="shared" si="373"/>
        <v>0</v>
      </c>
      <c r="AB618" s="47">
        <f t="shared" si="362"/>
        <v>19172.801799267741</v>
      </c>
      <c r="AC618" s="47">
        <f t="shared" si="363"/>
        <v>18543.437705952103</v>
      </c>
      <c r="AD618" s="47">
        <f t="shared" si="364"/>
        <v>9121.2187437049197</v>
      </c>
      <c r="AE618" s="47">
        <f t="shared" si="365"/>
        <v>0</v>
      </c>
      <c r="AF618" s="47">
        <f t="shared" si="366"/>
        <v>0</v>
      </c>
    </row>
    <row r="619" spans="2:32">
      <c r="B619" s="37" t="str">
        <f t="shared" si="354"/>
        <v>Asset 65</v>
      </c>
      <c r="F619" s="37" t="str">
        <f t="shared" ref="F619:L619" si="434">F123</f>
        <v>05 Wegen en terreinvoorzieningen</v>
      </c>
      <c r="G619" s="37">
        <f t="shared" si="434"/>
        <v>1993</v>
      </c>
      <c r="H619" s="42">
        <f t="shared" si="434"/>
        <v>174007.47</v>
      </c>
      <c r="I619" s="37">
        <f t="shared" si="434"/>
        <v>2021</v>
      </c>
      <c r="J619" s="37">
        <f t="shared" si="434"/>
        <v>10</v>
      </c>
      <c r="K619" s="37">
        <f t="shared" si="434"/>
        <v>0</v>
      </c>
      <c r="L619" s="42">
        <f t="shared" si="434"/>
        <v>0</v>
      </c>
      <c r="N619" s="38">
        <f t="shared" si="355"/>
        <v>0</v>
      </c>
      <c r="P619" s="43">
        <f t="shared" si="387"/>
        <v>0</v>
      </c>
      <c r="Q619" s="43">
        <f t="shared" si="387"/>
        <v>0</v>
      </c>
      <c r="R619" s="43">
        <f t="shared" si="387"/>
        <v>0</v>
      </c>
      <c r="S619" s="43">
        <f t="shared" si="387"/>
        <v>0</v>
      </c>
      <c r="T619" s="43">
        <f t="shared" si="387"/>
        <v>0</v>
      </c>
      <c r="V619" s="47">
        <f t="shared" si="369"/>
        <v>0</v>
      </c>
      <c r="W619" s="47">
        <f t="shared" si="370"/>
        <v>0</v>
      </c>
      <c r="X619" s="47">
        <f t="shared" si="371"/>
        <v>0</v>
      </c>
      <c r="Y619" s="47">
        <f t="shared" si="372"/>
        <v>0</v>
      </c>
      <c r="Z619" s="47">
        <f t="shared" si="373"/>
        <v>0</v>
      </c>
      <c r="AB619" s="47">
        <f t="shared" si="362"/>
        <v>0</v>
      </c>
      <c r="AC619" s="47">
        <f t="shared" si="363"/>
        <v>0</v>
      </c>
      <c r="AD619" s="47">
        <f t="shared" si="364"/>
        <v>0</v>
      </c>
      <c r="AE619" s="47">
        <f t="shared" si="365"/>
        <v>0</v>
      </c>
      <c r="AF619" s="47">
        <f t="shared" si="366"/>
        <v>0</v>
      </c>
    </row>
    <row r="620" spans="2:32">
      <c r="B620" s="37" t="str">
        <f t="shared" ref="B620:B683" si="435">B124</f>
        <v>Asset 66</v>
      </c>
      <c r="F620" s="37" t="str">
        <f t="shared" ref="F620:L620" si="436">F124</f>
        <v>20 Kantoorgebouwen</v>
      </c>
      <c r="G620" s="37">
        <f t="shared" si="436"/>
        <v>1991</v>
      </c>
      <c r="H620" s="42">
        <f t="shared" si="436"/>
        <v>475302.12</v>
      </c>
      <c r="I620" s="37">
        <f t="shared" si="436"/>
        <v>2021</v>
      </c>
      <c r="J620" s="37">
        <f t="shared" si="436"/>
        <v>30</v>
      </c>
      <c r="K620" s="37">
        <f t="shared" si="436"/>
        <v>0</v>
      </c>
      <c r="L620" s="42">
        <f t="shared" si="436"/>
        <v>0</v>
      </c>
      <c r="N620" s="38">
        <f t="shared" ref="N620:N683" si="437">MAX(0,IF(G620&lt;=2021, J620-2021+G620-0.5,J620))</f>
        <v>0</v>
      </c>
      <c r="P620" s="43">
        <f t="shared" si="387"/>
        <v>0</v>
      </c>
      <c r="Q620" s="43">
        <f t="shared" si="387"/>
        <v>0</v>
      </c>
      <c r="R620" s="43">
        <f t="shared" si="387"/>
        <v>0</v>
      </c>
      <c r="S620" s="43">
        <f t="shared" si="387"/>
        <v>0</v>
      </c>
      <c r="T620" s="43">
        <f t="shared" si="387"/>
        <v>0</v>
      </c>
      <c r="V620" s="47">
        <f t="shared" si="369"/>
        <v>0</v>
      </c>
      <c r="W620" s="47">
        <f t="shared" si="370"/>
        <v>0</v>
      </c>
      <c r="X620" s="47">
        <f t="shared" si="371"/>
        <v>0</v>
      </c>
      <c r="Y620" s="47">
        <f t="shared" si="372"/>
        <v>0</v>
      </c>
      <c r="Z620" s="47">
        <f t="shared" si="373"/>
        <v>0</v>
      </c>
      <c r="AB620" s="47">
        <f t="shared" ref="AB620:AB683" si="438">(P620+V620*I$16)*IF($K620=1,$F$19,1)</f>
        <v>0</v>
      </c>
      <c r="AC620" s="47">
        <f t="shared" ref="AC620:AC683" si="439">(Q620+W620*J$16)*IF($K620=1,$F$19,1)</f>
        <v>0</v>
      </c>
      <c r="AD620" s="47">
        <f t="shared" ref="AD620:AD683" si="440">(R620+X620*K$16)*IF($K620=1,$F$19,1)</f>
        <v>0</v>
      </c>
      <c r="AE620" s="47">
        <f t="shared" ref="AE620:AE683" si="441">(S620+Y620*L$16)*IF($K620=1,$F$19,1)</f>
        <v>0</v>
      </c>
      <c r="AF620" s="47">
        <f t="shared" ref="AF620:AF683" si="442">(T620+Z620*M$16)*IF($K620=1,$F$19,1)</f>
        <v>0</v>
      </c>
    </row>
    <row r="621" spans="2:32">
      <c r="B621" s="37" t="str">
        <f t="shared" si="435"/>
        <v>Asset 67</v>
      </c>
      <c r="F621" s="37" t="str">
        <f t="shared" ref="F621:L621" si="443">F125</f>
        <v>08 Inrichting gebouwen</v>
      </c>
      <c r="G621" s="37">
        <f t="shared" si="443"/>
        <v>1995</v>
      </c>
      <c r="H621" s="42">
        <f t="shared" si="443"/>
        <v>365539.92999999993</v>
      </c>
      <c r="I621" s="37">
        <f t="shared" si="443"/>
        <v>2021</v>
      </c>
      <c r="J621" s="37">
        <f t="shared" si="443"/>
        <v>10</v>
      </c>
      <c r="K621" s="37">
        <f t="shared" si="443"/>
        <v>0</v>
      </c>
      <c r="L621" s="42">
        <f t="shared" si="443"/>
        <v>0</v>
      </c>
      <c r="N621" s="38">
        <f t="shared" si="437"/>
        <v>0</v>
      </c>
      <c r="P621" s="43">
        <f t="shared" si="387"/>
        <v>0</v>
      </c>
      <c r="Q621" s="43">
        <f t="shared" si="387"/>
        <v>0</v>
      </c>
      <c r="R621" s="43">
        <f t="shared" si="387"/>
        <v>0</v>
      </c>
      <c r="S621" s="43">
        <f t="shared" si="387"/>
        <v>0</v>
      </c>
      <c r="T621" s="43">
        <f t="shared" si="387"/>
        <v>0</v>
      </c>
      <c r="V621" s="47">
        <f t="shared" si="369"/>
        <v>0</v>
      </c>
      <c r="W621" s="47">
        <f t="shared" si="370"/>
        <v>0</v>
      </c>
      <c r="X621" s="47">
        <f t="shared" si="371"/>
        <v>0</v>
      </c>
      <c r="Y621" s="47">
        <f t="shared" si="372"/>
        <v>0</v>
      </c>
      <c r="Z621" s="47">
        <f t="shared" si="373"/>
        <v>0</v>
      </c>
      <c r="AB621" s="47">
        <f t="shared" si="438"/>
        <v>0</v>
      </c>
      <c r="AC621" s="47">
        <f t="shared" si="439"/>
        <v>0</v>
      </c>
      <c r="AD621" s="47">
        <f t="shared" si="440"/>
        <v>0</v>
      </c>
      <c r="AE621" s="47">
        <f t="shared" si="441"/>
        <v>0</v>
      </c>
      <c r="AF621" s="47">
        <f t="shared" si="442"/>
        <v>0</v>
      </c>
    </row>
    <row r="622" spans="2:32">
      <c r="B622" s="37" t="str">
        <f t="shared" si="435"/>
        <v>Asset 68</v>
      </c>
      <c r="F622" s="37" t="str">
        <f t="shared" ref="F622:L622" si="444">F126</f>
        <v>08 Inrichting gebouwen</v>
      </c>
      <c r="G622" s="37">
        <f t="shared" si="444"/>
        <v>1994</v>
      </c>
      <c r="H622" s="42">
        <f t="shared" si="444"/>
        <v>6615395.4499999993</v>
      </c>
      <c r="I622" s="37">
        <f t="shared" si="444"/>
        <v>2021</v>
      </c>
      <c r="J622" s="37">
        <f t="shared" si="444"/>
        <v>10</v>
      </c>
      <c r="K622" s="37">
        <f t="shared" si="444"/>
        <v>0</v>
      </c>
      <c r="L622" s="42">
        <f t="shared" si="444"/>
        <v>0</v>
      </c>
      <c r="N622" s="38">
        <f t="shared" si="437"/>
        <v>0</v>
      </c>
      <c r="P622" s="43">
        <f t="shared" si="387"/>
        <v>0</v>
      </c>
      <c r="Q622" s="43">
        <f t="shared" si="387"/>
        <v>0</v>
      </c>
      <c r="R622" s="43">
        <f t="shared" si="387"/>
        <v>0</v>
      </c>
      <c r="S622" s="43">
        <f t="shared" si="387"/>
        <v>0</v>
      </c>
      <c r="T622" s="43">
        <f t="shared" si="387"/>
        <v>0</v>
      </c>
      <c r="V622" s="47">
        <f t="shared" si="369"/>
        <v>0</v>
      </c>
      <c r="W622" s="47">
        <f t="shared" si="370"/>
        <v>0</v>
      </c>
      <c r="X622" s="47">
        <f t="shared" si="371"/>
        <v>0</v>
      </c>
      <c r="Y622" s="47">
        <f t="shared" si="372"/>
        <v>0</v>
      </c>
      <c r="Z622" s="47">
        <f t="shared" si="373"/>
        <v>0</v>
      </c>
      <c r="AB622" s="47">
        <f t="shared" si="438"/>
        <v>0</v>
      </c>
      <c r="AC622" s="47">
        <f t="shared" si="439"/>
        <v>0</v>
      </c>
      <c r="AD622" s="47">
        <f t="shared" si="440"/>
        <v>0</v>
      </c>
      <c r="AE622" s="47">
        <f t="shared" si="441"/>
        <v>0</v>
      </c>
      <c r="AF622" s="47">
        <f t="shared" si="442"/>
        <v>0</v>
      </c>
    </row>
    <row r="623" spans="2:32">
      <c r="B623" s="37" t="str">
        <f t="shared" si="435"/>
        <v>Asset 69</v>
      </c>
      <c r="F623" s="37" t="str">
        <f t="shared" ref="F623:L623" si="445">F127</f>
        <v>20 Kantoorgebouwen</v>
      </c>
      <c r="G623" s="37">
        <f t="shared" si="445"/>
        <v>1998</v>
      </c>
      <c r="H623" s="42">
        <f t="shared" si="445"/>
        <v>789493.11</v>
      </c>
      <c r="I623" s="37">
        <f t="shared" si="445"/>
        <v>2021</v>
      </c>
      <c r="J623" s="37">
        <f t="shared" si="445"/>
        <v>30</v>
      </c>
      <c r="K623" s="37">
        <f t="shared" si="445"/>
        <v>0</v>
      </c>
      <c r="L623" s="42">
        <f t="shared" si="445"/>
        <v>263672.8175889462</v>
      </c>
      <c r="N623" s="38">
        <f t="shared" si="437"/>
        <v>6.5</v>
      </c>
      <c r="P623" s="43">
        <f t="shared" ref="P623:T673" si="446">IF(P$553&lt;=$G623+$J623,VDB($L623,0,$N623,P$553-2022,MIN(P$553-2021,$N623),1),0)</f>
        <v>40565.04885983788</v>
      </c>
      <c r="Q623" s="43">
        <f t="shared" si="446"/>
        <v>40565.04885983788</v>
      </c>
      <c r="R623" s="43">
        <f t="shared" si="446"/>
        <v>40565.04885983788</v>
      </c>
      <c r="S623" s="43">
        <f t="shared" si="446"/>
        <v>40565.04885983788</v>
      </c>
      <c r="T623" s="43">
        <f t="shared" si="446"/>
        <v>40565.04885983788</v>
      </c>
      <c r="V623" s="47">
        <f t="shared" ref="V623:V686" si="447">IF(OR(V$553&lt;=$G623+$J623,$J623=0),IF(U623=0,$L623,U623)-P623,0)</f>
        <v>223107.76872910833</v>
      </c>
      <c r="W623" s="47">
        <f t="shared" ref="W623:W686" si="448">IF(OR(W$553&lt;=$G623+$J623,$J623=0),IF(V623=0,$L623,V623)-Q623,0)</f>
        <v>182542.71986927046</v>
      </c>
      <c r="X623" s="47">
        <f t="shared" ref="X623:X686" si="449">IF(OR(X$553&lt;=$G623+$J623,$J623=0),IF(W623=0,$L623,W623)-R623,0)</f>
        <v>141977.67100943258</v>
      </c>
      <c r="Y623" s="47">
        <f t="shared" ref="Y623:Y686" si="450">IF(OR(Y$553&lt;=$G623+$J623,$J623=0),IF(X623=0,$L623,X623)-S623,0)</f>
        <v>101412.62214959471</v>
      </c>
      <c r="Z623" s="47">
        <f t="shared" ref="Z623:Z686" si="451">IF(OR(Z$553&lt;=$G623+$J623,$J623=0),IF(Y623=0,$L623,Y623)-T623,0)</f>
        <v>60847.57328975683</v>
      </c>
      <c r="AB623" s="47">
        <f t="shared" si="438"/>
        <v>48150.712996627561</v>
      </c>
      <c r="AC623" s="47">
        <f t="shared" si="439"/>
        <v>46588.958615523807</v>
      </c>
      <c r="AD623" s="47">
        <f t="shared" si="440"/>
        <v>45960.200358196322</v>
      </c>
      <c r="AE623" s="47">
        <f t="shared" si="441"/>
        <v>44418.728501522477</v>
      </c>
      <c r="AF623" s="47">
        <f t="shared" si="442"/>
        <v>42877.25664484864</v>
      </c>
    </row>
    <row r="624" spans="2:32">
      <c r="B624" s="37" t="str">
        <f t="shared" si="435"/>
        <v>Asset 70</v>
      </c>
      <c r="F624" s="37" t="str">
        <f t="shared" ref="F624:L624" si="452">F128</f>
        <v>20 Kantoorgebouwen</v>
      </c>
      <c r="G624" s="37">
        <f t="shared" si="452"/>
        <v>1995</v>
      </c>
      <c r="H624" s="42">
        <f t="shared" si="452"/>
        <v>93310335.520000011</v>
      </c>
      <c r="I624" s="37">
        <f t="shared" si="452"/>
        <v>2021</v>
      </c>
      <c r="J624" s="37">
        <f t="shared" si="452"/>
        <v>30</v>
      </c>
      <c r="K624" s="37">
        <f t="shared" si="452"/>
        <v>0</v>
      </c>
      <c r="L624" s="42">
        <f t="shared" si="452"/>
        <v>17806929.596040629</v>
      </c>
      <c r="N624" s="38">
        <f t="shared" si="437"/>
        <v>3.5</v>
      </c>
      <c r="P624" s="43">
        <f t="shared" si="446"/>
        <v>5087694.1702973228</v>
      </c>
      <c r="Q624" s="43">
        <f t="shared" si="446"/>
        <v>5087694.1702973228</v>
      </c>
      <c r="R624" s="43">
        <f t="shared" si="446"/>
        <v>5087694.1702973228</v>
      </c>
      <c r="S624" s="43">
        <f t="shared" si="446"/>
        <v>2543847.0851486614</v>
      </c>
      <c r="T624" s="43">
        <f t="shared" si="446"/>
        <v>0</v>
      </c>
      <c r="V624" s="47">
        <f t="shared" si="447"/>
        <v>12719235.425743306</v>
      </c>
      <c r="W624" s="47">
        <f t="shared" si="448"/>
        <v>7631541.2554459833</v>
      </c>
      <c r="X624" s="47">
        <f t="shared" si="449"/>
        <v>2543847.0851486605</v>
      </c>
      <c r="Y624" s="47">
        <f t="shared" si="450"/>
        <v>-9.3132257461547852E-10</v>
      </c>
      <c r="Z624" s="47">
        <f t="shared" si="451"/>
        <v>0</v>
      </c>
      <c r="AB624" s="47">
        <f t="shared" si="438"/>
        <v>5520148.1747725951</v>
      </c>
      <c r="AC624" s="47">
        <f t="shared" si="439"/>
        <v>5339535.0317270402</v>
      </c>
      <c r="AD624" s="47">
        <f t="shared" si="440"/>
        <v>5184360.3595329719</v>
      </c>
      <c r="AE624" s="47">
        <f t="shared" si="441"/>
        <v>2543847.0851486614</v>
      </c>
      <c r="AF624" s="47">
        <f t="shared" si="442"/>
        <v>0</v>
      </c>
    </row>
    <row r="625" spans="2:32">
      <c r="B625" s="37" t="str">
        <f t="shared" si="435"/>
        <v>Asset 71</v>
      </c>
      <c r="F625" s="37" t="str">
        <f t="shared" ref="F625:L625" si="453">F129</f>
        <v>09 Bedrijfsinventaris</v>
      </c>
      <c r="G625" s="37">
        <f t="shared" si="453"/>
        <v>1997</v>
      </c>
      <c r="H625" s="42">
        <f t="shared" si="453"/>
        <v>3767.74</v>
      </c>
      <c r="I625" s="37">
        <f t="shared" si="453"/>
        <v>2021</v>
      </c>
      <c r="J625" s="37">
        <f t="shared" si="453"/>
        <v>10</v>
      </c>
      <c r="K625" s="37">
        <f t="shared" si="453"/>
        <v>1</v>
      </c>
      <c r="L625" s="42">
        <f t="shared" si="453"/>
        <v>0</v>
      </c>
      <c r="N625" s="38">
        <f t="shared" si="437"/>
        <v>0</v>
      </c>
      <c r="P625" s="43">
        <f t="shared" si="446"/>
        <v>0</v>
      </c>
      <c r="Q625" s="43">
        <f t="shared" si="446"/>
        <v>0</v>
      </c>
      <c r="R625" s="43">
        <f t="shared" si="446"/>
        <v>0</v>
      </c>
      <c r="S625" s="43">
        <f t="shared" si="446"/>
        <v>0</v>
      </c>
      <c r="T625" s="43">
        <f t="shared" si="446"/>
        <v>0</v>
      </c>
      <c r="V625" s="47">
        <f t="shared" si="447"/>
        <v>0</v>
      </c>
      <c r="W625" s="47">
        <f t="shared" si="448"/>
        <v>0</v>
      </c>
      <c r="X625" s="47">
        <f t="shared" si="449"/>
        <v>0</v>
      </c>
      <c r="Y625" s="47">
        <f t="shared" si="450"/>
        <v>0</v>
      </c>
      <c r="Z625" s="47">
        <f t="shared" si="451"/>
        <v>0</v>
      </c>
      <c r="AB625" s="47">
        <f t="shared" si="438"/>
        <v>0</v>
      </c>
      <c r="AC625" s="47">
        <f t="shared" si="439"/>
        <v>0</v>
      </c>
      <c r="AD625" s="47">
        <f t="shared" si="440"/>
        <v>0</v>
      </c>
      <c r="AE625" s="47">
        <f t="shared" si="441"/>
        <v>0</v>
      </c>
      <c r="AF625" s="47">
        <f t="shared" si="442"/>
        <v>0</v>
      </c>
    </row>
    <row r="626" spans="2:32">
      <c r="B626" s="37" t="str">
        <f t="shared" si="435"/>
        <v>Asset 72</v>
      </c>
      <c r="F626" s="37" t="str">
        <f t="shared" ref="F626:L626" si="454">F130</f>
        <v>08 Inrichting gebouwen</v>
      </c>
      <c r="G626" s="37">
        <f t="shared" si="454"/>
        <v>2002</v>
      </c>
      <c r="H626" s="42">
        <f t="shared" si="454"/>
        <v>257167.26</v>
      </c>
      <c r="I626" s="37">
        <f t="shared" si="454"/>
        <v>2021</v>
      </c>
      <c r="J626" s="37">
        <f t="shared" si="454"/>
        <v>10</v>
      </c>
      <c r="K626" s="37">
        <f t="shared" si="454"/>
        <v>0</v>
      </c>
      <c r="L626" s="42">
        <f t="shared" si="454"/>
        <v>0</v>
      </c>
      <c r="N626" s="38">
        <f t="shared" si="437"/>
        <v>0</v>
      </c>
      <c r="P626" s="43">
        <f t="shared" si="446"/>
        <v>0</v>
      </c>
      <c r="Q626" s="43">
        <f t="shared" si="446"/>
        <v>0</v>
      </c>
      <c r="R626" s="43">
        <f t="shared" si="446"/>
        <v>0</v>
      </c>
      <c r="S626" s="43">
        <f t="shared" si="446"/>
        <v>0</v>
      </c>
      <c r="T626" s="43">
        <f t="shared" si="446"/>
        <v>0</v>
      </c>
      <c r="V626" s="47">
        <f t="shared" si="447"/>
        <v>0</v>
      </c>
      <c r="W626" s="47">
        <f t="shared" si="448"/>
        <v>0</v>
      </c>
      <c r="X626" s="47">
        <f t="shared" si="449"/>
        <v>0</v>
      </c>
      <c r="Y626" s="47">
        <f t="shared" si="450"/>
        <v>0</v>
      </c>
      <c r="Z626" s="47">
        <f t="shared" si="451"/>
        <v>0</v>
      </c>
      <c r="AB626" s="47">
        <f t="shared" si="438"/>
        <v>0</v>
      </c>
      <c r="AC626" s="47">
        <f t="shared" si="439"/>
        <v>0</v>
      </c>
      <c r="AD626" s="47">
        <f t="shared" si="440"/>
        <v>0</v>
      </c>
      <c r="AE626" s="47">
        <f t="shared" si="441"/>
        <v>0</v>
      </c>
      <c r="AF626" s="47">
        <f t="shared" si="442"/>
        <v>0</v>
      </c>
    </row>
    <row r="627" spans="2:32">
      <c r="B627" s="37" t="str">
        <f t="shared" si="435"/>
        <v>Asset 73</v>
      </c>
      <c r="F627" s="37" t="str">
        <f t="shared" ref="F627:L627" si="455">F131</f>
        <v>20 Kantoorgebouwen</v>
      </c>
      <c r="G627" s="37">
        <f t="shared" si="455"/>
        <v>1997</v>
      </c>
      <c r="H627" s="42">
        <f t="shared" si="455"/>
        <v>9956.39</v>
      </c>
      <c r="I627" s="37">
        <f t="shared" si="455"/>
        <v>2021</v>
      </c>
      <c r="J627" s="37">
        <f t="shared" si="455"/>
        <v>30</v>
      </c>
      <c r="K627" s="37">
        <f t="shared" si="455"/>
        <v>0</v>
      </c>
      <c r="L627" s="42">
        <f t="shared" si="455"/>
        <v>2886.7927731398736</v>
      </c>
      <c r="N627" s="38">
        <f t="shared" si="437"/>
        <v>5.5</v>
      </c>
      <c r="P627" s="43">
        <f t="shared" si="446"/>
        <v>524.87141329815881</v>
      </c>
      <c r="Q627" s="43">
        <f t="shared" si="446"/>
        <v>524.87141329815881</v>
      </c>
      <c r="R627" s="43">
        <f t="shared" si="446"/>
        <v>524.87141329815881</v>
      </c>
      <c r="S627" s="43">
        <f t="shared" si="446"/>
        <v>524.87141329815881</v>
      </c>
      <c r="T627" s="43">
        <f t="shared" si="446"/>
        <v>524.87141329815881</v>
      </c>
      <c r="V627" s="47">
        <f t="shared" si="447"/>
        <v>2361.9213598417145</v>
      </c>
      <c r="W627" s="47">
        <f t="shared" si="448"/>
        <v>1837.0499465435557</v>
      </c>
      <c r="X627" s="47">
        <f t="shared" si="449"/>
        <v>1312.1785332453969</v>
      </c>
      <c r="Y627" s="47">
        <f t="shared" si="450"/>
        <v>787.30711994723811</v>
      </c>
      <c r="Z627" s="47">
        <f t="shared" si="451"/>
        <v>262.43570664907929</v>
      </c>
      <c r="AB627" s="47">
        <f t="shared" si="438"/>
        <v>605.17673953277711</v>
      </c>
      <c r="AC627" s="47">
        <f t="shared" si="439"/>
        <v>585.4940615340962</v>
      </c>
      <c r="AD627" s="47">
        <f t="shared" si="440"/>
        <v>574.73419756148394</v>
      </c>
      <c r="AE627" s="47">
        <f t="shared" si="441"/>
        <v>554.78908385615387</v>
      </c>
      <c r="AF627" s="47">
        <f t="shared" si="442"/>
        <v>534.84397015082379</v>
      </c>
    </row>
    <row r="628" spans="2:32">
      <c r="B628" s="37" t="str">
        <f t="shared" si="435"/>
        <v>Asset 74</v>
      </c>
      <c r="F628" s="37" t="str">
        <f t="shared" ref="F628:L628" si="456">F132</f>
        <v>09 Bedrijfsinventaris</v>
      </c>
      <c r="G628" s="37">
        <f t="shared" si="456"/>
        <v>2002</v>
      </c>
      <c r="H628" s="42">
        <f t="shared" si="456"/>
        <v>259859.76</v>
      </c>
      <c r="I628" s="37">
        <f t="shared" si="456"/>
        <v>2021</v>
      </c>
      <c r="J628" s="37">
        <f t="shared" si="456"/>
        <v>10</v>
      </c>
      <c r="K628" s="37">
        <f t="shared" si="456"/>
        <v>1</v>
      </c>
      <c r="L628" s="42">
        <f t="shared" si="456"/>
        <v>0</v>
      </c>
      <c r="N628" s="38">
        <f t="shared" si="437"/>
        <v>0</v>
      </c>
      <c r="P628" s="43">
        <f t="shared" si="446"/>
        <v>0</v>
      </c>
      <c r="Q628" s="43">
        <f t="shared" si="446"/>
        <v>0</v>
      </c>
      <c r="R628" s="43">
        <f t="shared" si="446"/>
        <v>0</v>
      </c>
      <c r="S628" s="43">
        <f t="shared" si="446"/>
        <v>0</v>
      </c>
      <c r="T628" s="43">
        <f t="shared" si="446"/>
        <v>0</v>
      </c>
      <c r="V628" s="47">
        <f t="shared" si="447"/>
        <v>0</v>
      </c>
      <c r="W628" s="47">
        <f t="shared" si="448"/>
        <v>0</v>
      </c>
      <c r="X628" s="47">
        <f t="shared" si="449"/>
        <v>0</v>
      </c>
      <c r="Y628" s="47">
        <f t="shared" si="450"/>
        <v>0</v>
      </c>
      <c r="Z628" s="47">
        <f t="shared" si="451"/>
        <v>0</v>
      </c>
      <c r="AB628" s="47">
        <f t="shared" si="438"/>
        <v>0</v>
      </c>
      <c r="AC628" s="47">
        <f t="shared" si="439"/>
        <v>0</v>
      </c>
      <c r="AD628" s="47">
        <f t="shared" si="440"/>
        <v>0</v>
      </c>
      <c r="AE628" s="47">
        <f t="shared" si="441"/>
        <v>0</v>
      </c>
      <c r="AF628" s="47">
        <f t="shared" si="442"/>
        <v>0</v>
      </c>
    </row>
    <row r="629" spans="2:32">
      <c r="B629" s="37" t="str">
        <f t="shared" si="435"/>
        <v>Asset 75</v>
      </c>
      <c r="F629" s="37" t="str">
        <f t="shared" ref="F629:L629" si="457">F133</f>
        <v>37 ICT middelen 1</v>
      </c>
      <c r="G629" s="37">
        <f t="shared" si="457"/>
        <v>1998</v>
      </c>
      <c r="H629" s="42">
        <f t="shared" si="457"/>
        <v>194674.43</v>
      </c>
      <c r="I629" s="37">
        <f t="shared" si="457"/>
        <v>2021</v>
      </c>
      <c r="J629" s="37">
        <f t="shared" si="457"/>
        <v>5</v>
      </c>
      <c r="K629" s="37">
        <f t="shared" si="457"/>
        <v>1</v>
      </c>
      <c r="L629" s="42">
        <f t="shared" si="457"/>
        <v>0</v>
      </c>
      <c r="N629" s="38">
        <f t="shared" si="437"/>
        <v>0</v>
      </c>
      <c r="P629" s="43">
        <f t="shared" si="446"/>
        <v>0</v>
      </c>
      <c r="Q629" s="43">
        <f t="shared" si="446"/>
        <v>0</v>
      </c>
      <c r="R629" s="43">
        <f t="shared" si="446"/>
        <v>0</v>
      </c>
      <c r="S629" s="43">
        <f t="shared" si="446"/>
        <v>0</v>
      </c>
      <c r="T629" s="43">
        <f t="shared" si="446"/>
        <v>0</v>
      </c>
      <c r="V629" s="47">
        <f t="shared" si="447"/>
        <v>0</v>
      </c>
      <c r="W629" s="47">
        <f t="shared" si="448"/>
        <v>0</v>
      </c>
      <c r="X629" s="47">
        <f t="shared" si="449"/>
        <v>0</v>
      </c>
      <c r="Y629" s="47">
        <f t="shared" si="450"/>
        <v>0</v>
      </c>
      <c r="Z629" s="47">
        <f t="shared" si="451"/>
        <v>0</v>
      </c>
      <c r="AB629" s="47">
        <f t="shared" si="438"/>
        <v>0</v>
      </c>
      <c r="AC629" s="47">
        <f t="shared" si="439"/>
        <v>0</v>
      </c>
      <c r="AD629" s="47">
        <f t="shared" si="440"/>
        <v>0</v>
      </c>
      <c r="AE629" s="47">
        <f t="shared" si="441"/>
        <v>0</v>
      </c>
      <c r="AF629" s="47">
        <f t="shared" si="442"/>
        <v>0</v>
      </c>
    </row>
    <row r="630" spans="2:32">
      <c r="B630" s="37" t="str">
        <f t="shared" si="435"/>
        <v>Asset 76</v>
      </c>
      <c r="F630" s="37" t="str">
        <f t="shared" ref="F630:L630" si="458">F134</f>
        <v>13 Aanhangwagens</v>
      </c>
      <c r="G630" s="37">
        <f t="shared" si="458"/>
        <v>2000</v>
      </c>
      <c r="H630" s="42">
        <f t="shared" si="458"/>
        <v>5437.76</v>
      </c>
      <c r="I630" s="37">
        <f t="shared" si="458"/>
        <v>2021</v>
      </c>
      <c r="J630" s="37">
        <f t="shared" si="458"/>
        <v>10</v>
      </c>
      <c r="K630" s="37">
        <f t="shared" si="458"/>
        <v>1</v>
      </c>
      <c r="L630" s="42">
        <f t="shared" si="458"/>
        <v>0</v>
      </c>
      <c r="N630" s="38">
        <f t="shared" si="437"/>
        <v>0</v>
      </c>
      <c r="P630" s="43">
        <f t="shared" si="446"/>
        <v>0</v>
      </c>
      <c r="Q630" s="43">
        <f t="shared" si="446"/>
        <v>0</v>
      </c>
      <c r="R630" s="43">
        <f t="shared" si="446"/>
        <v>0</v>
      </c>
      <c r="S630" s="43">
        <f t="shared" si="446"/>
        <v>0</v>
      </c>
      <c r="T630" s="43">
        <f t="shared" si="446"/>
        <v>0</v>
      </c>
      <c r="V630" s="47">
        <f t="shared" si="447"/>
        <v>0</v>
      </c>
      <c r="W630" s="47">
        <f t="shared" si="448"/>
        <v>0</v>
      </c>
      <c r="X630" s="47">
        <f t="shared" si="449"/>
        <v>0</v>
      </c>
      <c r="Y630" s="47">
        <f t="shared" si="450"/>
        <v>0</v>
      </c>
      <c r="Z630" s="47">
        <f t="shared" si="451"/>
        <v>0</v>
      </c>
      <c r="AB630" s="47">
        <f t="shared" si="438"/>
        <v>0</v>
      </c>
      <c r="AC630" s="47">
        <f t="shared" si="439"/>
        <v>0</v>
      </c>
      <c r="AD630" s="47">
        <f t="shared" si="440"/>
        <v>0</v>
      </c>
      <c r="AE630" s="47">
        <f t="shared" si="441"/>
        <v>0</v>
      </c>
      <c r="AF630" s="47">
        <f t="shared" si="442"/>
        <v>0</v>
      </c>
    </row>
    <row r="631" spans="2:32">
      <c r="B631" s="37" t="str">
        <f t="shared" si="435"/>
        <v>Asset 77</v>
      </c>
      <c r="F631" s="37" t="str">
        <f t="shared" ref="F631:L631" si="459">F135</f>
        <v>09 Bedrijfsinventaris</v>
      </c>
      <c r="G631" s="37">
        <f t="shared" si="459"/>
        <v>1998</v>
      </c>
      <c r="H631" s="42">
        <f t="shared" si="459"/>
        <v>159402.09</v>
      </c>
      <c r="I631" s="37">
        <f t="shared" si="459"/>
        <v>2021</v>
      </c>
      <c r="J631" s="37">
        <f t="shared" si="459"/>
        <v>10</v>
      </c>
      <c r="K631" s="37">
        <f t="shared" si="459"/>
        <v>1</v>
      </c>
      <c r="L631" s="42">
        <f t="shared" si="459"/>
        <v>0</v>
      </c>
      <c r="N631" s="38">
        <f t="shared" si="437"/>
        <v>0</v>
      </c>
      <c r="P631" s="43">
        <f t="shared" si="446"/>
        <v>0</v>
      </c>
      <c r="Q631" s="43">
        <f t="shared" si="446"/>
        <v>0</v>
      </c>
      <c r="R631" s="43">
        <f t="shared" si="446"/>
        <v>0</v>
      </c>
      <c r="S631" s="43">
        <f t="shared" si="446"/>
        <v>0</v>
      </c>
      <c r="T631" s="43">
        <f t="shared" si="446"/>
        <v>0</v>
      </c>
      <c r="V631" s="47">
        <f t="shared" si="447"/>
        <v>0</v>
      </c>
      <c r="W631" s="47">
        <f t="shared" si="448"/>
        <v>0</v>
      </c>
      <c r="X631" s="47">
        <f t="shared" si="449"/>
        <v>0</v>
      </c>
      <c r="Y631" s="47">
        <f t="shared" si="450"/>
        <v>0</v>
      </c>
      <c r="Z631" s="47">
        <f t="shared" si="451"/>
        <v>0</v>
      </c>
      <c r="AB631" s="47">
        <f t="shared" si="438"/>
        <v>0</v>
      </c>
      <c r="AC631" s="47">
        <f t="shared" si="439"/>
        <v>0</v>
      </c>
      <c r="AD631" s="47">
        <f t="shared" si="440"/>
        <v>0</v>
      </c>
      <c r="AE631" s="47">
        <f t="shared" si="441"/>
        <v>0</v>
      </c>
      <c r="AF631" s="47">
        <f t="shared" si="442"/>
        <v>0</v>
      </c>
    </row>
    <row r="632" spans="2:32">
      <c r="B632" s="37" t="str">
        <f t="shared" si="435"/>
        <v>Asset 78</v>
      </c>
      <c r="F632" s="37" t="str">
        <f t="shared" ref="F632:L632" si="460">F136</f>
        <v>08 Inrichting gebouwen</v>
      </c>
      <c r="G632" s="37">
        <f t="shared" si="460"/>
        <v>1998</v>
      </c>
      <c r="H632" s="42">
        <f t="shared" si="460"/>
        <v>120568.99000000002</v>
      </c>
      <c r="I632" s="37">
        <f t="shared" si="460"/>
        <v>2021</v>
      </c>
      <c r="J632" s="37">
        <f t="shared" si="460"/>
        <v>10</v>
      </c>
      <c r="K632" s="37">
        <f t="shared" si="460"/>
        <v>0</v>
      </c>
      <c r="L632" s="42">
        <f t="shared" si="460"/>
        <v>0</v>
      </c>
      <c r="N632" s="38">
        <f t="shared" si="437"/>
        <v>0</v>
      </c>
      <c r="P632" s="43">
        <f t="shared" si="446"/>
        <v>0</v>
      </c>
      <c r="Q632" s="43">
        <f t="shared" si="446"/>
        <v>0</v>
      </c>
      <c r="R632" s="43">
        <f t="shared" si="446"/>
        <v>0</v>
      </c>
      <c r="S632" s="43">
        <f t="shared" si="446"/>
        <v>0</v>
      </c>
      <c r="T632" s="43">
        <f t="shared" si="446"/>
        <v>0</v>
      </c>
      <c r="V632" s="47">
        <f t="shared" si="447"/>
        <v>0</v>
      </c>
      <c r="W632" s="47">
        <f t="shared" si="448"/>
        <v>0</v>
      </c>
      <c r="X632" s="47">
        <f t="shared" si="449"/>
        <v>0</v>
      </c>
      <c r="Y632" s="47">
        <f t="shared" si="450"/>
        <v>0</v>
      </c>
      <c r="Z632" s="47">
        <f t="shared" si="451"/>
        <v>0</v>
      </c>
      <c r="AB632" s="47">
        <f t="shared" si="438"/>
        <v>0</v>
      </c>
      <c r="AC632" s="47">
        <f t="shared" si="439"/>
        <v>0</v>
      </c>
      <c r="AD632" s="47">
        <f t="shared" si="440"/>
        <v>0</v>
      </c>
      <c r="AE632" s="47">
        <f t="shared" si="441"/>
        <v>0</v>
      </c>
      <c r="AF632" s="47">
        <f t="shared" si="442"/>
        <v>0</v>
      </c>
    </row>
    <row r="633" spans="2:32">
      <c r="B633" s="37" t="str">
        <f t="shared" si="435"/>
        <v>Asset 79</v>
      </c>
      <c r="F633" s="37" t="str">
        <f t="shared" ref="F633:L633" si="461">F137</f>
        <v>37 ICT middelen 1</v>
      </c>
      <c r="G633" s="37">
        <f t="shared" si="461"/>
        <v>2002</v>
      </c>
      <c r="H633" s="42">
        <f t="shared" si="461"/>
        <v>342396.39</v>
      </c>
      <c r="I633" s="37">
        <f t="shared" si="461"/>
        <v>2021</v>
      </c>
      <c r="J633" s="37">
        <f t="shared" si="461"/>
        <v>5</v>
      </c>
      <c r="K633" s="37">
        <f t="shared" si="461"/>
        <v>1</v>
      </c>
      <c r="L633" s="42">
        <f t="shared" si="461"/>
        <v>0</v>
      </c>
      <c r="N633" s="38">
        <f t="shared" si="437"/>
        <v>0</v>
      </c>
      <c r="P633" s="43">
        <f t="shared" si="446"/>
        <v>0</v>
      </c>
      <c r="Q633" s="43">
        <f t="shared" si="446"/>
        <v>0</v>
      </c>
      <c r="R633" s="43">
        <f t="shared" si="446"/>
        <v>0</v>
      </c>
      <c r="S633" s="43">
        <f t="shared" si="446"/>
        <v>0</v>
      </c>
      <c r="T633" s="43">
        <f t="shared" si="446"/>
        <v>0</v>
      </c>
      <c r="V633" s="47">
        <f t="shared" si="447"/>
        <v>0</v>
      </c>
      <c r="W633" s="47">
        <f t="shared" si="448"/>
        <v>0</v>
      </c>
      <c r="X633" s="47">
        <f t="shared" si="449"/>
        <v>0</v>
      </c>
      <c r="Y633" s="47">
        <f t="shared" si="450"/>
        <v>0</v>
      </c>
      <c r="Z633" s="47">
        <f t="shared" si="451"/>
        <v>0</v>
      </c>
      <c r="AB633" s="47">
        <f t="shared" si="438"/>
        <v>0</v>
      </c>
      <c r="AC633" s="47">
        <f t="shared" si="439"/>
        <v>0</v>
      </c>
      <c r="AD633" s="47">
        <f t="shared" si="440"/>
        <v>0</v>
      </c>
      <c r="AE633" s="47">
        <f t="shared" si="441"/>
        <v>0</v>
      </c>
      <c r="AF633" s="47">
        <f t="shared" si="442"/>
        <v>0</v>
      </c>
    </row>
    <row r="634" spans="2:32">
      <c r="B634" s="37" t="str">
        <f t="shared" si="435"/>
        <v>Asset 80</v>
      </c>
      <c r="F634" s="37" t="str">
        <f t="shared" ref="F634:L634" si="462">F138</f>
        <v>37 ICT middelen 1 (gaschromatografen en comptabele meting)</v>
      </c>
      <c r="G634" s="37">
        <f t="shared" si="462"/>
        <v>2000</v>
      </c>
      <c r="H634" s="42">
        <f t="shared" si="462"/>
        <v>717051.87</v>
      </c>
      <c r="I634" s="37">
        <f t="shared" si="462"/>
        <v>2021</v>
      </c>
      <c r="J634" s="37">
        <f t="shared" si="462"/>
        <v>5</v>
      </c>
      <c r="K634" s="37">
        <f t="shared" si="462"/>
        <v>0</v>
      </c>
      <c r="L634" s="42">
        <f t="shared" si="462"/>
        <v>0</v>
      </c>
      <c r="N634" s="38">
        <f t="shared" si="437"/>
        <v>0</v>
      </c>
      <c r="P634" s="43">
        <f t="shared" si="446"/>
        <v>0</v>
      </c>
      <c r="Q634" s="43">
        <f t="shared" si="446"/>
        <v>0</v>
      </c>
      <c r="R634" s="43">
        <f t="shared" si="446"/>
        <v>0</v>
      </c>
      <c r="S634" s="43">
        <f t="shared" si="446"/>
        <v>0</v>
      </c>
      <c r="T634" s="43">
        <f t="shared" si="446"/>
        <v>0</v>
      </c>
      <c r="V634" s="47">
        <f t="shared" si="447"/>
        <v>0</v>
      </c>
      <c r="W634" s="47">
        <f t="shared" si="448"/>
        <v>0</v>
      </c>
      <c r="X634" s="47">
        <f t="shared" si="449"/>
        <v>0</v>
      </c>
      <c r="Y634" s="47">
        <f t="shared" si="450"/>
        <v>0</v>
      </c>
      <c r="Z634" s="47">
        <f t="shared" si="451"/>
        <v>0</v>
      </c>
      <c r="AB634" s="47">
        <f t="shared" si="438"/>
        <v>0</v>
      </c>
      <c r="AC634" s="47">
        <f t="shared" si="439"/>
        <v>0</v>
      </c>
      <c r="AD634" s="47">
        <f t="shared" si="440"/>
        <v>0</v>
      </c>
      <c r="AE634" s="47">
        <f t="shared" si="441"/>
        <v>0</v>
      </c>
      <c r="AF634" s="47">
        <f t="shared" si="442"/>
        <v>0</v>
      </c>
    </row>
    <row r="635" spans="2:32">
      <c r="B635" s="37" t="str">
        <f t="shared" si="435"/>
        <v>Asset 81</v>
      </c>
      <c r="F635" s="37" t="str">
        <f t="shared" ref="F635:L635" si="463">F139</f>
        <v>09 Bedrijfsinventaris</v>
      </c>
      <c r="G635" s="37">
        <f t="shared" si="463"/>
        <v>1999</v>
      </c>
      <c r="H635" s="42">
        <f t="shared" si="463"/>
        <v>64305.72</v>
      </c>
      <c r="I635" s="37">
        <f t="shared" si="463"/>
        <v>2021</v>
      </c>
      <c r="J635" s="37">
        <f t="shared" si="463"/>
        <v>10</v>
      </c>
      <c r="K635" s="37">
        <f t="shared" si="463"/>
        <v>1</v>
      </c>
      <c r="L635" s="42">
        <f t="shared" si="463"/>
        <v>0</v>
      </c>
      <c r="N635" s="38">
        <f t="shared" si="437"/>
        <v>0</v>
      </c>
      <c r="P635" s="43">
        <f t="shared" si="446"/>
        <v>0</v>
      </c>
      <c r="Q635" s="43">
        <f t="shared" si="446"/>
        <v>0</v>
      </c>
      <c r="R635" s="43">
        <f t="shared" si="446"/>
        <v>0</v>
      </c>
      <c r="S635" s="43">
        <f t="shared" si="446"/>
        <v>0</v>
      </c>
      <c r="T635" s="43">
        <f t="shared" si="446"/>
        <v>0</v>
      </c>
      <c r="V635" s="47">
        <f t="shared" si="447"/>
        <v>0</v>
      </c>
      <c r="W635" s="47">
        <f t="shared" si="448"/>
        <v>0</v>
      </c>
      <c r="X635" s="47">
        <f t="shared" si="449"/>
        <v>0</v>
      </c>
      <c r="Y635" s="47">
        <f t="shared" si="450"/>
        <v>0</v>
      </c>
      <c r="Z635" s="47">
        <f t="shared" si="451"/>
        <v>0</v>
      </c>
      <c r="AB635" s="47">
        <f t="shared" si="438"/>
        <v>0</v>
      </c>
      <c r="AC635" s="47">
        <f t="shared" si="439"/>
        <v>0</v>
      </c>
      <c r="AD635" s="47">
        <f t="shared" si="440"/>
        <v>0</v>
      </c>
      <c r="AE635" s="47">
        <f t="shared" si="441"/>
        <v>0</v>
      </c>
      <c r="AF635" s="47">
        <f t="shared" si="442"/>
        <v>0</v>
      </c>
    </row>
    <row r="636" spans="2:32">
      <c r="B636" s="37" t="str">
        <f t="shared" si="435"/>
        <v>Asset 82</v>
      </c>
      <c r="F636" s="37" t="str">
        <f t="shared" ref="F636:L636" si="464">F140</f>
        <v>08 Inrichting gebouwen</v>
      </c>
      <c r="G636" s="37">
        <f t="shared" si="464"/>
        <v>1999</v>
      </c>
      <c r="H636" s="42">
        <f t="shared" si="464"/>
        <v>41263.56</v>
      </c>
      <c r="I636" s="37">
        <f t="shared" si="464"/>
        <v>2021</v>
      </c>
      <c r="J636" s="37">
        <f t="shared" si="464"/>
        <v>10</v>
      </c>
      <c r="K636" s="37">
        <f t="shared" si="464"/>
        <v>0</v>
      </c>
      <c r="L636" s="42">
        <f t="shared" si="464"/>
        <v>0</v>
      </c>
      <c r="N636" s="38">
        <f t="shared" si="437"/>
        <v>0</v>
      </c>
      <c r="P636" s="43">
        <f t="shared" si="446"/>
        <v>0</v>
      </c>
      <c r="Q636" s="43">
        <f t="shared" si="446"/>
        <v>0</v>
      </c>
      <c r="R636" s="43">
        <f t="shared" si="446"/>
        <v>0</v>
      </c>
      <c r="S636" s="43">
        <f t="shared" si="446"/>
        <v>0</v>
      </c>
      <c r="T636" s="43">
        <f t="shared" si="446"/>
        <v>0</v>
      </c>
      <c r="V636" s="47">
        <f t="shared" si="447"/>
        <v>0</v>
      </c>
      <c r="W636" s="47">
        <f t="shared" si="448"/>
        <v>0</v>
      </c>
      <c r="X636" s="47">
        <f t="shared" si="449"/>
        <v>0</v>
      </c>
      <c r="Y636" s="47">
        <f t="shared" si="450"/>
        <v>0</v>
      </c>
      <c r="Z636" s="47">
        <f t="shared" si="451"/>
        <v>0</v>
      </c>
      <c r="AB636" s="47">
        <f t="shared" si="438"/>
        <v>0</v>
      </c>
      <c r="AC636" s="47">
        <f t="shared" si="439"/>
        <v>0</v>
      </c>
      <c r="AD636" s="47">
        <f t="shared" si="440"/>
        <v>0</v>
      </c>
      <c r="AE636" s="47">
        <f t="shared" si="441"/>
        <v>0</v>
      </c>
      <c r="AF636" s="47">
        <f t="shared" si="442"/>
        <v>0</v>
      </c>
    </row>
    <row r="637" spans="2:32">
      <c r="B637" s="37" t="str">
        <f t="shared" si="435"/>
        <v>Asset 83</v>
      </c>
      <c r="F637" s="37" t="str">
        <f t="shared" ref="F637:L637" si="465">F141</f>
        <v>09 Bedrijfsinventaris</v>
      </c>
      <c r="G637" s="37">
        <f t="shared" si="465"/>
        <v>2000</v>
      </c>
      <c r="H637" s="42">
        <f t="shared" si="465"/>
        <v>5312.4</v>
      </c>
      <c r="I637" s="37">
        <f t="shared" si="465"/>
        <v>2021</v>
      </c>
      <c r="J637" s="37">
        <f t="shared" si="465"/>
        <v>10</v>
      </c>
      <c r="K637" s="37">
        <f t="shared" si="465"/>
        <v>1</v>
      </c>
      <c r="L637" s="42">
        <f t="shared" si="465"/>
        <v>0</v>
      </c>
      <c r="N637" s="38">
        <f t="shared" si="437"/>
        <v>0</v>
      </c>
      <c r="P637" s="43">
        <f t="shared" si="446"/>
        <v>0</v>
      </c>
      <c r="Q637" s="43">
        <f t="shared" si="446"/>
        <v>0</v>
      </c>
      <c r="R637" s="43">
        <f t="shared" si="446"/>
        <v>0</v>
      </c>
      <c r="S637" s="43">
        <f t="shared" si="446"/>
        <v>0</v>
      </c>
      <c r="T637" s="43">
        <f t="shared" si="446"/>
        <v>0</v>
      </c>
      <c r="V637" s="47">
        <f t="shared" si="447"/>
        <v>0</v>
      </c>
      <c r="W637" s="47">
        <f t="shared" si="448"/>
        <v>0</v>
      </c>
      <c r="X637" s="47">
        <f t="shared" si="449"/>
        <v>0</v>
      </c>
      <c r="Y637" s="47">
        <f t="shared" si="450"/>
        <v>0</v>
      </c>
      <c r="Z637" s="47">
        <f t="shared" si="451"/>
        <v>0</v>
      </c>
      <c r="AB637" s="47">
        <f t="shared" si="438"/>
        <v>0</v>
      </c>
      <c r="AC637" s="47">
        <f t="shared" si="439"/>
        <v>0</v>
      </c>
      <c r="AD637" s="47">
        <f t="shared" si="440"/>
        <v>0</v>
      </c>
      <c r="AE637" s="47">
        <f t="shared" si="441"/>
        <v>0</v>
      </c>
      <c r="AF637" s="47">
        <f t="shared" si="442"/>
        <v>0</v>
      </c>
    </row>
    <row r="638" spans="2:32">
      <c r="B638" s="37" t="str">
        <f t="shared" si="435"/>
        <v>Asset 84</v>
      </c>
      <c r="F638" s="37" t="str">
        <f t="shared" ref="F638:L638" si="466">F142</f>
        <v>37 ICT middelen 1</v>
      </c>
      <c r="G638" s="37">
        <f t="shared" si="466"/>
        <v>2001</v>
      </c>
      <c r="H638" s="42">
        <f t="shared" si="466"/>
        <v>1754908.7700000003</v>
      </c>
      <c r="I638" s="37">
        <f t="shared" si="466"/>
        <v>2021</v>
      </c>
      <c r="J638" s="37">
        <f t="shared" si="466"/>
        <v>5</v>
      </c>
      <c r="K638" s="37">
        <f t="shared" si="466"/>
        <v>1</v>
      </c>
      <c r="L638" s="42">
        <f t="shared" si="466"/>
        <v>0</v>
      </c>
      <c r="N638" s="38">
        <f t="shared" si="437"/>
        <v>0</v>
      </c>
      <c r="P638" s="43">
        <f t="shared" si="446"/>
        <v>0</v>
      </c>
      <c r="Q638" s="43">
        <f t="shared" si="446"/>
        <v>0</v>
      </c>
      <c r="R638" s="43">
        <f t="shared" si="446"/>
        <v>0</v>
      </c>
      <c r="S638" s="43">
        <f t="shared" si="446"/>
        <v>0</v>
      </c>
      <c r="T638" s="43">
        <f t="shared" si="446"/>
        <v>0</v>
      </c>
      <c r="V638" s="47">
        <f t="shared" si="447"/>
        <v>0</v>
      </c>
      <c r="W638" s="47">
        <f t="shared" si="448"/>
        <v>0</v>
      </c>
      <c r="X638" s="47">
        <f t="shared" si="449"/>
        <v>0</v>
      </c>
      <c r="Y638" s="47">
        <f t="shared" si="450"/>
        <v>0</v>
      </c>
      <c r="Z638" s="47">
        <f t="shared" si="451"/>
        <v>0</v>
      </c>
      <c r="AB638" s="47">
        <f t="shared" si="438"/>
        <v>0</v>
      </c>
      <c r="AC638" s="47">
        <f t="shared" si="439"/>
        <v>0</v>
      </c>
      <c r="AD638" s="47">
        <f t="shared" si="440"/>
        <v>0</v>
      </c>
      <c r="AE638" s="47">
        <f t="shared" si="441"/>
        <v>0</v>
      </c>
      <c r="AF638" s="47">
        <f t="shared" si="442"/>
        <v>0</v>
      </c>
    </row>
    <row r="639" spans="2:32">
      <c r="B639" s="37" t="str">
        <f t="shared" si="435"/>
        <v>Asset 85</v>
      </c>
      <c r="F639" s="37" t="str">
        <f t="shared" ref="F639:L639" si="467">F143</f>
        <v>11 Werktuigen</v>
      </c>
      <c r="G639" s="37">
        <f t="shared" si="467"/>
        <v>2000</v>
      </c>
      <c r="H639" s="42">
        <f t="shared" si="467"/>
        <v>86461.709999999992</v>
      </c>
      <c r="I639" s="37">
        <f t="shared" si="467"/>
        <v>2021</v>
      </c>
      <c r="J639" s="37">
        <f t="shared" si="467"/>
        <v>10</v>
      </c>
      <c r="K639" s="37">
        <f t="shared" si="467"/>
        <v>1</v>
      </c>
      <c r="L639" s="42">
        <f t="shared" si="467"/>
        <v>0</v>
      </c>
      <c r="N639" s="38">
        <f t="shared" si="437"/>
        <v>0</v>
      </c>
      <c r="P639" s="43">
        <f t="shared" si="446"/>
        <v>0</v>
      </c>
      <c r="Q639" s="43">
        <f t="shared" si="446"/>
        <v>0</v>
      </c>
      <c r="R639" s="43">
        <f t="shared" si="446"/>
        <v>0</v>
      </c>
      <c r="S639" s="43">
        <f t="shared" si="446"/>
        <v>0</v>
      </c>
      <c r="T639" s="43">
        <f t="shared" si="446"/>
        <v>0</v>
      </c>
      <c r="V639" s="47">
        <f t="shared" si="447"/>
        <v>0</v>
      </c>
      <c r="W639" s="47">
        <f t="shared" si="448"/>
        <v>0</v>
      </c>
      <c r="X639" s="47">
        <f t="shared" si="449"/>
        <v>0</v>
      </c>
      <c r="Y639" s="47">
        <f t="shared" si="450"/>
        <v>0</v>
      </c>
      <c r="Z639" s="47">
        <f t="shared" si="451"/>
        <v>0</v>
      </c>
      <c r="AB639" s="47">
        <f t="shared" si="438"/>
        <v>0</v>
      </c>
      <c r="AC639" s="47">
        <f t="shared" si="439"/>
        <v>0</v>
      </c>
      <c r="AD639" s="47">
        <f t="shared" si="440"/>
        <v>0</v>
      </c>
      <c r="AE639" s="47">
        <f t="shared" si="441"/>
        <v>0</v>
      </c>
      <c r="AF639" s="47">
        <f t="shared" si="442"/>
        <v>0</v>
      </c>
    </row>
    <row r="640" spans="2:32">
      <c r="B640" s="37" t="str">
        <f t="shared" si="435"/>
        <v>Asset 86</v>
      </c>
      <c r="F640" s="37" t="str">
        <f t="shared" ref="F640:L640" si="468">F144</f>
        <v>13 Aanhangwagens</v>
      </c>
      <c r="G640" s="37">
        <f t="shared" si="468"/>
        <v>1998</v>
      </c>
      <c r="H640" s="42">
        <f t="shared" si="468"/>
        <v>3630.24</v>
      </c>
      <c r="I640" s="37">
        <f t="shared" si="468"/>
        <v>2021</v>
      </c>
      <c r="J640" s="37">
        <f t="shared" si="468"/>
        <v>10</v>
      </c>
      <c r="K640" s="37">
        <f t="shared" si="468"/>
        <v>1</v>
      </c>
      <c r="L640" s="42">
        <f t="shared" si="468"/>
        <v>0</v>
      </c>
      <c r="N640" s="38">
        <f t="shared" si="437"/>
        <v>0</v>
      </c>
      <c r="P640" s="43">
        <f t="shared" si="446"/>
        <v>0</v>
      </c>
      <c r="Q640" s="43">
        <f t="shared" si="446"/>
        <v>0</v>
      </c>
      <c r="R640" s="43">
        <f t="shared" si="446"/>
        <v>0</v>
      </c>
      <c r="S640" s="43">
        <f t="shared" si="446"/>
        <v>0</v>
      </c>
      <c r="T640" s="43">
        <f t="shared" si="446"/>
        <v>0</v>
      </c>
      <c r="V640" s="47">
        <f t="shared" si="447"/>
        <v>0</v>
      </c>
      <c r="W640" s="47">
        <f t="shared" si="448"/>
        <v>0</v>
      </c>
      <c r="X640" s="47">
        <f t="shared" si="449"/>
        <v>0</v>
      </c>
      <c r="Y640" s="47">
        <f t="shared" si="450"/>
        <v>0</v>
      </c>
      <c r="Z640" s="47">
        <f t="shared" si="451"/>
        <v>0</v>
      </c>
      <c r="AB640" s="47">
        <f t="shared" si="438"/>
        <v>0</v>
      </c>
      <c r="AC640" s="47">
        <f t="shared" si="439"/>
        <v>0</v>
      </c>
      <c r="AD640" s="47">
        <f t="shared" si="440"/>
        <v>0</v>
      </c>
      <c r="AE640" s="47">
        <f t="shared" si="441"/>
        <v>0</v>
      </c>
      <c r="AF640" s="47">
        <f t="shared" si="442"/>
        <v>0</v>
      </c>
    </row>
    <row r="641" spans="2:32">
      <c r="B641" s="37" t="str">
        <f t="shared" si="435"/>
        <v>Asset 87</v>
      </c>
      <c r="F641" s="37" t="str">
        <f t="shared" ref="F641:L641" si="469">F145</f>
        <v>37 ICT middelen 1</v>
      </c>
      <c r="G641" s="37">
        <f t="shared" si="469"/>
        <v>2000</v>
      </c>
      <c r="H641" s="42">
        <f t="shared" si="469"/>
        <v>63690.75</v>
      </c>
      <c r="I641" s="37">
        <f t="shared" si="469"/>
        <v>2021</v>
      </c>
      <c r="J641" s="37">
        <f t="shared" si="469"/>
        <v>5</v>
      </c>
      <c r="K641" s="37">
        <f t="shared" si="469"/>
        <v>1</v>
      </c>
      <c r="L641" s="42">
        <f t="shared" si="469"/>
        <v>0</v>
      </c>
      <c r="N641" s="38">
        <f t="shared" si="437"/>
        <v>0</v>
      </c>
      <c r="P641" s="43">
        <f t="shared" si="446"/>
        <v>0</v>
      </c>
      <c r="Q641" s="43">
        <f t="shared" si="446"/>
        <v>0</v>
      </c>
      <c r="R641" s="43">
        <f t="shared" si="446"/>
        <v>0</v>
      </c>
      <c r="S641" s="43">
        <f t="shared" si="446"/>
        <v>0</v>
      </c>
      <c r="T641" s="43">
        <f t="shared" si="446"/>
        <v>0</v>
      </c>
      <c r="V641" s="47">
        <f t="shared" si="447"/>
        <v>0</v>
      </c>
      <c r="W641" s="47">
        <f t="shared" si="448"/>
        <v>0</v>
      </c>
      <c r="X641" s="47">
        <f t="shared" si="449"/>
        <v>0</v>
      </c>
      <c r="Y641" s="47">
        <f t="shared" si="450"/>
        <v>0</v>
      </c>
      <c r="Z641" s="47">
        <f t="shared" si="451"/>
        <v>0</v>
      </c>
      <c r="AB641" s="47">
        <f t="shared" si="438"/>
        <v>0</v>
      </c>
      <c r="AC641" s="47">
        <f t="shared" si="439"/>
        <v>0</v>
      </c>
      <c r="AD641" s="47">
        <f t="shared" si="440"/>
        <v>0</v>
      </c>
      <c r="AE641" s="47">
        <f t="shared" si="441"/>
        <v>0</v>
      </c>
      <c r="AF641" s="47">
        <f t="shared" si="442"/>
        <v>0</v>
      </c>
    </row>
    <row r="642" spans="2:32">
      <c r="B642" s="37" t="str">
        <f t="shared" si="435"/>
        <v>Asset 88</v>
      </c>
      <c r="F642" s="37" t="str">
        <f t="shared" ref="F642:L642" si="470">F146</f>
        <v>08 Inrichting gebouwen</v>
      </c>
      <c r="G642" s="37">
        <f t="shared" si="470"/>
        <v>2000</v>
      </c>
      <c r="H642" s="42">
        <f t="shared" si="470"/>
        <v>53314.77</v>
      </c>
      <c r="I642" s="37">
        <f t="shared" si="470"/>
        <v>2021</v>
      </c>
      <c r="J642" s="37">
        <f t="shared" si="470"/>
        <v>10</v>
      </c>
      <c r="K642" s="37">
        <f t="shared" si="470"/>
        <v>0</v>
      </c>
      <c r="L642" s="42">
        <f t="shared" si="470"/>
        <v>0</v>
      </c>
      <c r="N642" s="38">
        <f t="shared" si="437"/>
        <v>0</v>
      </c>
      <c r="P642" s="43">
        <f t="shared" si="446"/>
        <v>0</v>
      </c>
      <c r="Q642" s="43">
        <f t="shared" si="446"/>
        <v>0</v>
      </c>
      <c r="R642" s="43">
        <f t="shared" si="446"/>
        <v>0</v>
      </c>
      <c r="S642" s="43">
        <f t="shared" si="446"/>
        <v>0</v>
      </c>
      <c r="T642" s="43">
        <f t="shared" si="446"/>
        <v>0</v>
      </c>
      <c r="V642" s="47">
        <f t="shared" si="447"/>
        <v>0</v>
      </c>
      <c r="W642" s="47">
        <f t="shared" si="448"/>
        <v>0</v>
      </c>
      <c r="X642" s="47">
        <f t="shared" si="449"/>
        <v>0</v>
      </c>
      <c r="Y642" s="47">
        <f t="shared" si="450"/>
        <v>0</v>
      </c>
      <c r="Z642" s="47">
        <f t="shared" si="451"/>
        <v>0</v>
      </c>
      <c r="AB642" s="47">
        <f t="shared" si="438"/>
        <v>0</v>
      </c>
      <c r="AC642" s="47">
        <f t="shared" si="439"/>
        <v>0</v>
      </c>
      <c r="AD642" s="47">
        <f t="shared" si="440"/>
        <v>0</v>
      </c>
      <c r="AE642" s="47">
        <f t="shared" si="441"/>
        <v>0</v>
      </c>
      <c r="AF642" s="47">
        <f t="shared" si="442"/>
        <v>0</v>
      </c>
    </row>
    <row r="643" spans="2:32">
      <c r="B643" s="37" t="str">
        <f t="shared" si="435"/>
        <v>Asset 89</v>
      </c>
      <c r="F643" s="37" t="str">
        <f t="shared" ref="F643:L643" si="471">F147</f>
        <v>14 Overig rollend materieel</v>
      </c>
      <c r="G643" s="37">
        <f t="shared" si="471"/>
        <v>2000</v>
      </c>
      <c r="H643" s="42">
        <f t="shared" si="471"/>
        <v>36334.86</v>
      </c>
      <c r="I643" s="37">
        <f t="shared" si="471"/>
        <v>2021</v>
      </c>
      <c r="J643" s="37">
        <f t="shared" si="471"/>
        <v>10</v>
      </c>
      <c r="K643" s="37">
        <f t="shared" si="471"/>
        <v>1</v>
      </c>
      <c r="L643" s="42">
        <f t="shared" si="471"/>
        <v>0</v>
      </c>
      <c r="N643" s="38">
        <f t="shared" si="437"/>
        <v>0</v>
      </c>
      <c r="P643" s="43">
        <f t="shared" si="446"/>
        <v>0</v>
      </c>
      <c r="Q643" s="43">
        <f t="shared" si="446"/>
        <v>0</v>
      </c>
      <c r="R643" s="43">
        <f t="shared" si="446"/>
        <v>0</v>
      </c>
      <c r="S643" s="43">
        <f t="shared" si="446"/>
        <v>0</v>
      </c>
      <c r="T643" s="43">
        <f t="shared" si="446"/>
        <v>0</v>
      </c>
      <c r="V643" s="47">
        <f t="shared" si="447"/>
        <v>0</v>
      </c>
      <c r="W643" s="47">
        <f t="shared" si="448"/>
        <v>0</v>
      </c>
      <c r="X643" s="47">
        <f t="shared" si="449"/>
        <v>0</v>
      </c>
      <c r="Y643" s="47">
        <f t="shared" si="450"/>
        <v>0</v>
      </c>
      <c r="Z643" s="47">
        <f t="shared" si="451"/>
        <v>0</v>
      </c>
      <c r="AB643" s="47">
        <f t="shared" si="438"/>
        <v>0</v>
      </c>
      <c r="AC643" s="47">
        <f t="shared" si="439"/>
        <v>0</v>
      </c>
      <c r="AD643" s="47">
        <f t="shared" si="440"/>
        <v>0</v>
      </c>
      <c r="AE643" s="47">
        <f t="shared" si="441"/>
        <v>0</v>
      </c>
      <c r="AF643" s="47">
        <f t="shared" si="442"/>
        <v>0</v>
      </c>
    </row>
    <row r="644" spans="2:32">
      <c r="B644" s="37" t="str">
        <f t="shared" si="435"/>
        <v>Asset 90</v>
      </c>
      <c r="F644" s="37" t="str">
        <f t="shared" ref="F644:L644" si="472">F148</f>
        <v>06 Utiliteitsgebouwen</v>
      </c>
      <c r="G644" s="37">
        <f t="shared" si="472"/>
        <v>2000</v>
      </c>
      <c r="H644" s="42">
        <f t="shared" si="472"/>
        <v>61022.52</v>
      </c>
      <c r="I644" s="37">
        <f t="shared" si="472"/>
        <v>2021</v>
      </c>
      <c r="J644" s="37">
        <f t="shared" si="472"/>
        <v>30</v>
      </c>
      <c r="K644" s="37">
        <f t="shared" si="472"/>
        <v>0</v>
      </c>
      <c r="L644" s="42">
        <f t="shared" si="472"/>
        <v>25541.383007029126</v>
      </c>
      <c r="N644" s="38">
        <f t="shared" si="437"/>
        <v>8.5</v>
      </c>
      <c r="P644" s="43">
        <f t="shared" si="446"/>
        <v>3004.8685890622501</v>
      </c>
      <c r="Q644" s="43">
        <f t="shared" si="446"/>
        <v>3004.8685890622501</v>
      </c>
      <c r="R644" s="43">
        <f t="shared" si="446"/>
        <v>3004.8685890622501</v>
      </c>
      <c r="S644" s="43">
        <f t="shared" si="446"/>
        <v>3004.8685890622501</v>
      </c>
      <c r="T644" s="43">
        <f t="shared" si="446"/>
        <v>3004.8685890622501</v>
      </c>
      <c r="V644" s="47">
        <f t="shared" si="447"/>
        <v>22536.514417966875</v>
      </c>
      <c r="W644" s="47">
        <f t="shared" si="448"/>
        <v>19531.645828904624</v>
      </c>
      <c r="X644" s="47">
        <f t="shared" si="449"/>
        <v>16526.777239842373</v>
      </c>
      <c r="Y644" s="47">
        <f t="shared" si="450"/>
        <v>13521.908650780122</v>
      </c>
      <c r="Z644" s="47">
        <f t="shared" si="451"/>
        <v>10517.040061717871</v>
      </c>
      <c r="AB644" s="47">
        <f t="shared" si="438"/>
        <v>3771.110079273124</v>
      </c>
      <c r="AC644" s="47">
        <f t="shared" si="439"/>
        <v>3649.4129014161026</v>
      </c>
      <c r="AD644" s="47">
        <f t="shared" si="440"/>
        <v>3632.8861241762602</v>
      </c>
      <c r="AE644" s="47">
        <f t="shared" si="441"/>
        <v>3518.7011177918948</v>
      </c>
      <c r="AF644" s="47">
        <f t="shared" si="442"/>
        <v>3404.516111407529</v>
      </c>
    </row>
    <row r="645" spans="2:32">
      <c r="B645" s="37" t="str">
        <f t="shared" si="435"/>
        <v>Asset 91</v>
      </c>
      <c r="F645" s="37" t="str">
        <f t="shared" ref="F645:L645" si="473">F149</f>
        <v>11 Werktuigen</v>
      </c>
      <c r="G645" s="37">
        <f t="shared" si="473"/>
        <v>2001</v>
      </c>
      <c r="H645" s="42">
        <f t="shared" si="473"/>
        <v>11928.48</v>
      </c>
      <c r="I645" s="37">
        <f t="shared" si="473"/>
        <v>2021</v>
      </c>
      <c r="J645" s="37">
        <f t="shared" si="473"/>
        <v>10</v>
      </c>
      <c r="K645" s="37">
        <f t="shared" si="473"/>
        <v>1</v>
      </c>
      <c r="L645" s="42">
        <f t="shared" si="473"/>
        <v>0</v>
      </c>
      <c r="N645" s="38">
        <f t="shared" si="437"/>
        <v>0</v>
      </c>
      <c r="P645" s="43">
        <f t="shared" si="446"/>
        <v>0</v>
      </c>
      <c r="Q645" s="43">
        <f t="shared" si="446"/>
        <v>0</v>
      </c>
      <c r="R645" s="43">
        <f t="shared" si="446"/>
        <v>0</v>
      </c>
      <c r="S645" s="43">
        <f t="shared" si="446"/>
        <v>0</v>
      </c>
      <c r="T645" s="43">
        <f t="shared" si="446"/>
        <v>0</v>
      </c>
      <c r="V645" s="47">
        <f t="shared" si="447"/>
        <v>0</v>
      </c>
      <c r="W645" s="47">
        <f t="shared" si="448"/>
        <v>0</v>
      </c>
      <c r="X645" s="47">
        <f t="shared" si="449"/>
        <v>0</v>
      </c>
      <c r="Y645" s="47">
        <f t="shared" si="450"/>
        <v>0</v>
      </c>
      <c r="Z645" s="47">
        <f t="shared" si="451"/>
        <v>0</v>
      </c>
      <c r="AB645" s="47">
        <f t="shared" si="438"/>
        <v>0</v>
      </c>
      <c r="AC645" s="47">
        <f t="shared" si="439"/>
        <v>0</v>
      </c>
      <c r="AD645" s="47">
        <f t="shared" si="440"/>
        <v>0</v>
      </c>
      <c r="AE645" s="47">
        <f t="shared" si="441"/>
        <v>0</v>
      </c>
      <c r="AF645" s="47">
        <f t="shared" si="442"/>
        <v>0</v>
      </c>
    </row>
    <row r="646" spans="2:32">
      <c r="B646" s="37" t="str">
        <f t="shared" si="435"/>
        <v>Asset 92</v>
      </c>
      <c r="F646" s="37" t="str">
        <f t="shared" ref="F646:L646" si="474">F150</f>
        <v>14 Overig rollend materieel</v>
      </c>
      <c r="G646" s="37">
        <f t="shared" si="474"/>
        <v>2001</v>
      </c>
      <c r="H646" s="42">
        <f t="shared" si="474"/>
        <v>70639.289999999994</v>
      </c>
      <c r="I646" s="37">
        <f t="shared" si="474"/>
        <v>2021</v>
      </c>
      <c r="J646" s="37">
        <f t="shared" si="474"/>
        <v>10</v>
      </c>
      <c r="K646" s="37">
        <f t="shared" si="474"/>
        <v>1</v>
      </c>
      <c r="L646" s="42">
        <f t="shared" si="474"/>
        <v>0</v>
      </c>
      <c r="N646" s="38">
        <f t="shared" si="437"/>
        <v>0</v>
      </c>
      <c r="P646" s="43">
        <f t="shared" si="446"/>
        <v>0</v>
      </c>
      <c r="Q646" s="43">
        <f t="shared" si="446"/>
        <v>0</v>
      </c>
      <c r="R646" s="43">
        <f t="shared" si="446"/>
        <v>0</v>
      </c>
      <c r="S646" s="43">
        <f t="shared" si="446"/>
        <v>0</v>
      </c>
      <c r="T646" s="43">
        <f t="shared" si="446"/>
        <v>0</v>
      </c>
      <c r="V646" s="47">
        <f t="shared" si="447"/>
        <v>0</v>
      </c>
      <c r="W646" s="47">
        <f t="shared" si="448"/>
        <v>0</v>
      </c>
      <c r="X646" s="47">
        <f t="shared" si="449"/>
        <v>0</v>
      </c>
      <c r="Y646" s="47">
        <f t="shared" si="450"/>
        <v>0</v>
      </c>
      <c r="Z646" s="47">
        <f t="shared" si="451"/>
        <v>0</v>
      </c>
      <c r="AB646" s="47">
        <f t="shared" si="438"/>
        <v>0</v>
      </c>
      <c r="AC646" s="47">
        <f t="shared" si="439"/>
        <v>0</v>
      </c>
      <c r="AD646" s="47">
        <f t="shared" si="440"/>
        <v>0</v>
      </c>
      <c r="AE646" s="47">
        <f t="shared" si="441"/>
        <v>0</v>
      </c>
      <c r="AF646" s="47">
        <f t="shared" si="442"/>
        <v>0</v>
      </c>
    </row>
    <row r="647" spans="2:32">
      <c r="B647" s="37" t="str">
        <f t="shared" si="435"/>
        <v>Asset 93</v>
      </c>
      <c r="F647" s="37" t="str">
        <f t="shared" ref="F647:L647" si="475">F151</f>
        <v>09 Bedrijfsinventaris</v>
      </c>
      <c r="G647" s="37">
        <f t="shared" si="475"/>
        <v>2001</v>
      </c>
      <c r="H647" s="42">
        <f t="shared" si="475"/>
        <v>55051.729999999996</v>
      </c>
      <c r="I647" s="37">
        <f t="shared" si="475"/>
        <v>2021</v>
      </c>
      <c r="J647" s="37">
        <f t="shared" si="475"/>
        <v>10</v>
      </c>
      <c r="K647" s="37">
        <f t="shared" si="475"/>
        <v>1</v>
      </c>
      <c r="L647" s="42">
        <f t="shared" si="475"/>
        <v>0</v>
      </c>
      <c r="N647" s="38">
        <f t="shared" si="437"/>
        <v>0</v>
      </c>
      <c r="P647" s="43">
        <f t="shared" si="446"/>
        <v>0</v>
      </c>
      <c r="Q647" s="43">
        <f t="shared" si="446"/>
        <v>0</v>
      </c>
      <c r="R647" s="43">
        <f t="shared" si="446"/>
        <v>0</v>
      </c>
      <c r="S647" s="43">
        <f t="shared" si="446"/>
        <v>0</v>
      </c>
      <c r="T647" s="43">
        <f t="shared" si="446"/>
        <v>0</v>
      </c>
      <c r="V647" s="47">
        <f t="shared" si="447"/>
        <v>0</v>
      </c>
      <c r="W647" s="47">
        <f t="shared" si="448"/>
        <v>0</v>
      </c>
      <c r="X647" s="47">
        <f t="shared" si="449"/>
        <v>0</v>
      </c>
      <c r="Y647" s="47">
        <f t="shared" si="450"/>
        <v>0</v>
      </c>
      <c r="Z647" s="47">
        <f t="shared" si="451"/>
        <v>0</v>
      </c>
      <c r="AB647" s="47">
        <f t="shared" si="438"/>
        <v>0</v>
      </c>
      <c r="AC647" s="47">
        <f t="shared" si="439"/>
        <v>0</v>
      </c>
      <c r="AD647" s="47">
        <f t="shared" si="440"/>
        <v>0</v>
      </c>
      <c r="AE647" s="47">
        <f t="shared" si="441"/>
        <v>0</v>
      </c>
      <c r="AF647" s="47">
        <f t="shared" si="442"/>
        <v>0</v>
      </c>
    </row>
    <row r="648" spans="2:32">
      <c r="B648" s="37" t="str">
        <f t="shared" si="435"/>
        <v>Asset 94</v>
      </c>
      <c r="F648" s="37" t="str">
        <f t="shared" ref="F648:L648" si="476">F152</f>
        <v>10 Gereedschap</v>
      </c>
      <c r="G648" s="37">
        <f t="shared" si="476"/>
        <v>2002</v>
      </c>
      <c r="H648" s="42">
        <f t="shared" si="476"/>
        <v>26546</v>
      </c>
      <c r="I648" s="37">
        <f t="shared" si="476"/>
        <v>2021</v>
      </c>
      <c r="J648" s="37">
        <f t="shared" si="476"/>
        <v>10</v>
      </c>
      <c r="K648" s="37">
        <f t="shared" si="476"/>
        <v>1</v>
      </c>
      <c r="L648" s="42">
        <f t="shared" si="476"/>
        <v>0</v>
      </c>
      <c r="N648" s="38">
        <f t="shared" si="437"/>
        <v>0</v>
      </c>
      <c r="P648" s="43">
        <f t="shared" si="446"/>
        <v>0</v>
      </c>
      <c r="Q648" s="43">
        <f t="shared" si="446"/>
        <v>0</v>
      </c>
      <c r="R648" s="43">
        <f t="shared" si="446"/>
        <v>0</v>
      </c>
      <c r="S648" s="43">
        <f t="shared" si="446"/>
        <v>0</v>
      </c>
      <c r="T648" s="43">
        <f t="shared" si="446"/>
        <v>0</v>
      </c>
      <c r="V648" s="47">
        <f t="shared" si="447"/>
        <v>0</v>
      </c>
      <c r="W648" s="47">
        <f t="shared" si="448"/>
        <v>0</v>
      </c>
      <c r="X648" s="47">
        <f t="shared" si="449"/>
        <v>0</v>
      </c>
      <c r="Y648" s="47">
        <f t="shared" si="450"/>
        <v>0</v>
      </c>
      <c r="Z648" s="47">
        <f t="shared" si="451"/>
        <v>0</v>
      </c>
      <c r="AB648" s="47">
        <f t="shared" si="438"/>
        <v>0</v>
      </c>
      <c r="AC648" s="47">
        <f t="shared" si="439"/>
        <v>0</v>
      </c>
      <c r="AD648" s="47">
        <f t="shared" si="440"/>
        <v>0</v>
      </c>
      <c r="AE648" s="47">
        <f t="shared" si="441"/>
        <v>0</v>
      </c>
      <c r="AF648" s="47">
        <f t="shared" si="442"/>
        <v>0</v>
      </c>
    </row>
    <row r="649" spans="2:32">
      <c r="B649" s="37" t="str">
        <f t="shared" si="435"/>
        <v>Asset 95</v>
      </c>
      <c r="F649" s="37" t="str">
        <f t="shared" ref="F649:L649" si="477">F153</f>
        <v>03 Verremeting</v>
      </c>
      <c r="G649" s="37">
        <f t="shared" si="477"/>
        <v>2001</v>
      </c>
      <c r="H649" s="42">
        <f t="shared" si="477"/>
        <v>16968.61</v>
      </c>
      <c r="I649" s="37">
        <f t="shared" si="477"/>
        <v>2021</v>
      </c>
      <c r="J649" s="37">
        <f t="shared" si="477"/>
        <v>5</v>
      </c>
      <c r="K649" s="37">
        <f t="shared" si="477"/>
        <v>1</v>
      </c>
      <c r="L649" s="42">
        <f t="shared" si="477"/>
        <v>0</v>
      </c>
      <c r="N649" s="38">
        <f t="shared" si="437"/>
        <v>0</v>
      </c>
      <c r="P649" s="43">
        <f t="shared" si="446"/>
        <v>0</v>
      </c>
      <c r="Q649" s="43">
        <f t="shared" si="446"/>
        <v>0</v>
      </c>
      <c r="R649" s="43">
        <f t="shared" si="446"/>
        <v>0</v>
      </c>
      <c r="S649" s="43">
        <f t="shared" si="446"/>
        <v>0</v>
      </c>
      <c r="T649" s="43">
        <f t="shared" si="446"/>
        <v>0</v>
      </c>
      <c r="V649" s="47">
        <f t="shared" si="447"/>
        <v>0</v>
      </c>
      <c r="W649" s="47">
        <f t="shared" si="448"/>
        <v>0</v>
      </c>
      <c r="X649" s="47">
        <f t="shared" si="449"/>
        <v>0</v>
      </c>
      <c r="Y649" s="47">
        <f t="shared" si="450"/>
        <v>0</v>
      </c>
      <c r="Z649" s="47">
        <f t="shared" si="451"/>
        <v>0</v>
      </c>
      <c r="AB649" s="47">
        <f t="shared" si="438"/>
        <v>0</v>
      </c>
      <c r="AC649" s="47">
        <f t="shared" si="439"/>
        <v>0</v>
      </c>
      <c r="AD649" s="47">
        <f t="shared" si="440"/>
        <v>0</v>
      </c>
      <c r="AE649" s="47">
        <f t="shared" si="441"/>
        <v>0</v>
      </c>
      <c r="AF649" s="47">
        <f t="shared" si="442"/>
        <v>0</v>
      </c>
    </row>
    <row r="650" spans="2:32">
      <c r="B650" s="37" t="str">
        <f t="shared" si="435"/>
        <v>Asset 96</v>
      </c>
      <c r="F650" s="37" t="str">
        <f t="shared" ref="F650:L650" si="478">F154</f>
        <v>08 Inrichting gebouwen</v>
      </c>
      <c r="G650" s="37">
        <f t="shared" si="478"/>
        <v>2001</v>
      </c>
      <c r="H650" s="42">
        <f t="shared" si="478"/>
        <v>7752.83</v>
      </c>
      <c r="I650" s="37">
        <f t="shared" si="478"/>
        <v>2021</v>
      </c>
      <c r="J650" s="37">
        <f t="shared" si="478"/>
        <v>10</v>
      </c>
      <c r="K650" s="37">
        <f t="shared" si="478"/>
        <v>0</v>
      </c>
      <c r="L650" s="42">
        <f t="shared" si="478"/>
        <v>0</v>
      </c>
      <c r="N650" s="38">
        <f t="shared" si="437"/>
        <v>0</v>
      </c>
      <c r="P650" s="43">
        <f t="shared" si="446"/>
        <v>0</v>
      </c>
      <c r="Q650" s="43">
        <f t="shared" si="446"/>
        <v>0</v>
      </c>
      <c r="R650" s="43">
        <f t="shared" si="446"/>
        <v>0</v>
      </c>
      <c r="S650" s="43">
        <f t="shared" si="446"/>
        <v>0</v>
      </c>
      <c r="T650" s="43">
        <f t="shared" si="446"/>
        <v>0</v>
      </c>
      <c r="V650" s="47">
        <f t="shared" si="447"/>
        <v>0</v>
      </c>
      <c r="W650" s="47">
        <f t="shared" si="448"/>
        <v>0</v>
      </c>
      <c r="X650" s="47">
        <f t="shared" si="449"/>
        <v>0</v>
      </c>
      <c r="Y650" s="47">
        <f t="shared" si="450"/>
        <v>0</v>
      </c>
      <c r="Z650" s="47">
        <f t="shared" si="451"/>
        <v>0</v>
      </c>
      <c r="AB650" s="47">
        <f t="shared" si="438"/>
        <v>0</v>
      </c>
      <c r="AC650" s="47">
        <f t="shared" si="439"/>
        <v>0</v>
      </c>
      <c r="AD650" s="47">
        <f t="shared" si="440"/>
        <v>0</v>
      </c>
      <c r="AE650" s="47">
        <f t="shared" si="441"/>
        <v>0</v>
      </c>
      <c r="AF650" s="47">
        <f t="shared" si="442"/>
        <v>0</v>
      </c>
    </row>
    <row r="651" spans="2:32">
      <c r="B651" s="37" t="str">
        <f t="shared" si="435"/>
        <v>Asset 97</v>
      </c>
      <c r="F651" s="37" t="str">
        <f t="shared" ref="F651:L651" si="479">F155</f>
        <v>37 ICT middelen 1 (gaschromatografen en comptabele meting)</v>
      </c>
      <c r="G651" s="37">
        <f t="shared" si="479"/>
        <v>2001</v>
      </c>
      <c r="H651" s="42">
        <f t="shared" si="479"/>
        <v>757040.92</v>
      </c>
      <c r="I651" s="37">
        <f t="shared" si="479"/>
        <v>2021</v>
      </c>
      <c r="J651" s="37">
        <f t="shared" si="479"/>
        <v>5</v>
      </c>
      <c r="K651" s="37">
        <f t="shared" si="479"/>
        <v>0</v>
      </c>
      <c r="L651" s="42">
        <f t="shared" si="479"/>
        <v>0</v>
      </c>
      <c r="N651" s="38">
        <f t="shared" si="437"/>
        <v>0</v>
      </c>
      <c r="P651" s="43">
        <f t="shared" si="446"/>
        <v>0</v>
      </c>
      <c r="Q651" s="43">
        <f t="shared" si="446"/>
        <v>0</v>
      </c>
      <c r="R651" s="43">
        <f t="shared" si="446"/>
        <v>0</v>
      </c>
      <c r="S651" s="43">
        <f t="shared" si="446"/>
        <v>0</v>
      </c>
      <c r="T651" s="43">
        <f t="shared" si="446"/>
        <v>0</v>
      </c>
      <c r="V651" s="47">
        <f t="shared" si="447"/>
        <v>0</v>
      </c>
      <c r="W651" s="47">
        <f t="shared" si="448"/>
        <v>0</v>
      </c>
      <c r="X651" s="47">
        <f t="shared" si="449"/>
        <v>0</v>
      </c>
      <c r="Y651" s="47">
        <f t="shared" si="450"/>
        <v>0</v>
      </c>
      <c r="Z651" s="47">
        <f t="shared" si="451"/>
        <v>0</v>
      </c>
      <c r="AB651" s="47">
        <f t="shared" si="438"/>
        <v>0</v>
      </c>
      <c r="AC651" s="47">
        <f t="shared" si="439"/>
        <v>0</v>
      </c>
      <c r="AD651" s="47">
        <f t="shared" si="440"/>
        <v>0</v>
      </c>
      <c r="AE651" s="47">
        <f t="shared" si="441"/>
        <v>0</v>
      </c>
      <c r="AF651" s="47">
        <f t="shared" si="442"/>
        <v>0</v>
      </c>
    </row>
    <row r="652" spans="2:32">
      <c r="B652" s="37" t="str">
        <f t="shared" si="435"/>
        <v>Asset 98</v>
      </c>
      <c r="F652" s="37" t="str">
        <f t="shared" ref="F652:L652" si="480">F156</f>
        <v>13 Aanhangwagens</v>
      </c>
      <c r="G652" s="37">
        <f t="shared" si="480"/>
        <v>2001</v>
      </c>
      <c r="H652" s="42">
        <f t="shared" si="480"/>
        <v>2746.92</v>
      </c>
      <c r="I652" s="37">
        <f t="shared" si="480"/>
        <v>2021</v>
      </c>
      <c r="J652" s="37">
        <f t="shared" si="480"/>
        <v>10</v>
      </c>
      <c r="K652" s="37">
        <f t="shared" si="480"/>
        <v>1</v>
      </c>
      <c r="L652" s="42">
        <f t="shared" si="480"/>
        <v>0</v>
      </c>
      <c r="N652" s="38">
        <f t="shared" si="437"/>
        <v>0</v>
      </c>
      <c r="P652" s="43">
        <f t="shared" si="446"/>
        <v>0</v>
      </c>
      <c r="Q652" s="43">
        <f t="shared" si="446"/>
        <v>0</v>
      </c>
      <c r="R652" s="43">
        <f t="shared" si="446"/>
        <v>0</v>
      </c>
      <c r="S652" s="43">
        <f t="shared" si="446"/>
        <v>0</v>
      </c>
      <c r="T652" s="43">
        <f t="shared" si="446"/>
        <v>0</v>
      </c>
      <c r="V652" s="47">
        <f t="shared" si="447"/>
        <v>0</v>
      </c>
      <c r="W652" s="47">
        <f t="shared" si="448"/>
        <v>0</v>
      </c>
      <c r="X652" s="47">
        <f t="shared" si="449"/>
        <v>0</v>
      </c>
      <c r="Y652" s="47">
        <f t="shared" si="450"/>
        <v>0</v>
      </c>
      <c r="Z652" s="47">
        <f t="shared" si="451"/>
        <v>0</v>
      </c>
      <c r="AB652" s="47">
        <f t="shared" si="438"/>
        <v>0</v>
      </c>
      <c r="AC652" s="47">
        <f t="shared" si="439"/>
        <v>0</v>
      </c>
      <c r="AD652" s="47">
        <f t="shared" si="440"/>
        <v>0</v>
      </c>
      <c r="AE652" s="47">
        <f t="shared" si="441"/>
        <v>0</v>
      </c>
      <c r="AF652" s="47">
        <f t="shared" si="442"/>
        <v>0</v>
      </c>
    </row>
    <row r="653" spans="2:32">
      <c r="B653" s="37" t="str">
        <f t="shared" si="435"/>
        <v>Asset 99</v>
      </c>
      <c r="F653" s="37" t="str">
        <f t="shared" ref="F653:L653" si="481">F157</f>
        <v>11 Werktuigen</v>
      </c>
      <c r="G653" s="37">
        <f t="shared" si="481"/>
        <v>2002</v>
      </c>
      <c r="H653" s="42">
        <f t="shared" si="481"/>
        <v>108571.05</v>
      </c>
      <c r="I653" s="37">
        <f t="shared" si="481"/>
        <v>2021</v>
      </c>
      <c r="J653" s="37">
        <f t="shared" si="481"/>
        <v>10</v>
      </c>
      <c r="K653" s="37">
        <f t="shared" si="481"/>
        <v>1</v>
      </c>
      <c r="L653" s="42">
        <f t="shared" si="481"/>
        <v>0</v>
      </c>
      <c r="N653" s="38">
        <f t="shared" si="437"/>
        <v>0</v>
      </c>
      <c r="P653" s="43">
        <f t="shared" si="446"/>
        <v>0</v>
      </c>
      <c r="Q653" s="43">
        <f t="shared" si="446"/>
        <v>0</v>
      </c>
      <c r="R653" s="43">
        <f t="shared" si="446"/>
        <v>0</v>
      </c>
      <c r="S653" s="43">
        <f t="shared" si="446"/>
        <v>0</v>
      </c>
      <c r="T653" s="43">
        <f t="shared" si="446"/>
        <v>0</v>
      </c>
      <c r="V653" s="47">
        <f t="shared" si="447"/>
        <v>0</v>
      </c>
      <c r="W653" s="47">
        <f t="shared" si="448"/>
        <v>0</v>
      </c>
      <c r="X653" s="47">
        <f t="shared" si="449"/>
        <v>0</v>
      </c>
      <c r="Y653" s="47">
        <f t="shared" si="450"/>
        <v>0</v>
      </c>
      <c r="Z653" s="47">
        <f t="shared" si="451"/>
        <v>0</v>
      </c>
      <c r="AB653" s="47">
        <f t="shared" si="438"/>
        <v>0</v>
      </c>
      <c r="AC653" s="47">
        <f t="shared" si="439"/>
        <v>0</v>
      </c>
      <c r="AD653" s="47">
        <f t="shared" si="440"/>
        <v>0</v>
      </c>
      <c r="AE653" s="47">
        <f t="shared" si="441"/>
        <v>0</v>
      </c>
      <c r="AF653" s="47">
        <f t="shared" si="442"/>
        <v>0</v>
      </c>
    </row>
    <row r="654" spans="2:32">
      <c r="B654" s="37" t="str">
        <f t="shared" si="435"/>
        <v>Asset 100</v>
      </c>
      <c r="F654" s="37" t="str">
        <f t="shared" ref="F654:L654" si="482">F158</f>
        <v>37 ICT middelen 1 (gaschromatografen en comptabele meting)</v>
      </c>
      <c r="G654" s="37">
        <f t="shared" si="482"/>
        <v>2002</v>
      </c>
      <c r="H654" s="42">
        <f t="shared" si="482"/>
        <v>27589.78</v>
      </c>
      <c r="I654" s="37">
        <f t="shared" si="482"/>
        <v>2021</v>
      </c>
      <c r="J654" s="37">
        <f t="shared" si="482"/>
        <v>5</v>
      </c>
      <c r="K654" s="37">
        <f t="shared" si="482"/>
        <v>0</v>
      </c>
      <c r="L654" s="42">
        <f t="shared" si="482"/>
        <v>0</v>
      </c>
      <c r="N654" s="38">
        <f t="shared" si="437"/>
        <v>0</v>
      </c>
      <c r="P654" s="43">
        <f t="shared" si="446"/>
        <v>0</v>
      </c>
      <c r="Q654" s="43">
        <f t="shared" si="446"/>
        <v>0</v>
      </c>
      <c r="R654" s="43">
        <f t="shared" si="446"/>
        <v>0</v>
      </c>
      <c r="S654" s="43">
        <f t="shared" si="446"/>
        <v>0</v>
      </c>
      <c r="T654" s="43">
        <f t="shared" si="446"/>
        <v>0</v>
      </c>
      <c r="V654" s="47">
        <f t="shared" si="447"/>
        <v>0</v>
      </c>
      <c r="W654" s="47">
        <f t="shared" si="448"/>
        <v>0</v>
      </c>
      <c r="X654" s="47">
        <f t="shared" si="449"/>
        <v>0</v>
      </c>
      <c r="Y654" s="47">
        <f t="shared" si="450"/>
        <v>0</v>
      </c>
      <c r="Z654" s="47">
        <f t="shared" si="451"/>
        <v>0</v>
      </c>
      <c r="AB654" s="47">
        <f t="shared" si="438"/>
        <v>0</v>
      </c>
      <c r="AC654" s="47">
        <f t="shared" si="439"/>
        <v>0</v>
      </c>
      <c r="AD654" s="47">
        <f t="shared" si="440"/>
        <v>0</v>
      </c>
      <c r="AE654" s="47">
        <f t="shared" si="441"/>
        <v>0</v>
      </c>
      <c r="AF654" s="47">
        <f t="shared" si="442"/>
        <v>0</v>
      </c>
    </row>
    <row r="655" spans="2:32">
      <c r="B655" s="37" t="str">
        <f t="shared" si="435"/>
        <v>Asset 101</v>
      </c>
      <c r="F655" s="37" t="str">
        <f t="shared" ref="F655:L655" si="483">F159</f>
        <v>14 Overig rollend materieel</v>
      </c>
      <c r="G655" s="37">
        <f t="shared" si="483"/>
        <v>2002</v>
      </c>
      <c r="H655" s="42">
        <f t="shared" si="483"/>
        <v>7905</v>
      </c>
      <c r="I655" s="37">
        <f t="shared" si="483"/>
        <v>2021</v>
      </c>
      <c r="J655" s="37">
        <f t="shared" si="483"/>
        <v>10</v>
      </c>
      <c r="K655" s="37">
        <f t="shared" si="483"/>
        <v>1</v>
      </c>
      <c r="L655" s="42">
        <f t="shared" si="483"/>
        <v>0</v>
      </c>
      <c r="N655" s="38">
        <f t="shared" si="437"/>
        <v>0</v>
      </c>
      <c r="P655" s="43">
        <f t="shared" si="446"/>
        <v>0</v>
      </c>
      <c r="Q655" s="43">
        <f t="shared" si="446"/>
        <v>0</v>
      </c>
      <c r="R655" s="43">
        <f t="shared" si="446"/>
        <v>0</v>
      </c>
      <c r="S655" s="43">
        <f t="shared" si="446"/>
        <v>0</v>
      </c>
      <c r="T655" s="43">
        <f t="shared" si="446"/>
        <v>0</v>
      </c>
      <c r="V655" s="47">
        <f t="shared" si="447"/>
        <v>0</v>
      </c>
      <c r="W655" s="47">
        <f t="shared" si="448"/>
        <v>0</v>
      </c>
      <c r="X655" s="47">
        <f t="shared" si="449"/>
        <v>0</v>
      </c>
      <c r="Y655" s="47">
        <f t="shared" si="450"/>
        <v>0</v>
      </c>
      <c r="Z655" s="47">
        <f t="shared" si="451"/>
        <v>0</v>
      </c>
      <c r="AB655" s="47">
        <f t="shared" si="438"/>
        <v>0</v>
      </c>
      <c r="AC655" s="47">
        <f t="shared" si="439"/>
        <v>0</v>
      </c>
      <c r="AD655" s="47">
        <f t="shared" si="440"/>
        <v>0</v>
      </c>
      <c r="AE655" s="47">
        <f t="shared" si="441"/>
        <v>0</v>
      </c>
      <c r="AF655" s="47">
        <f t="shared" si="442"/>
        <v>0</v>
      </c>
    </row>
    <row r="656" spans="2:32">
      <c r="B656" s="37" t="str">
        <f t="shared" si="435"/>
        <v>Asset 102</v>
      </c>
      <c r="F656" s="37" t="str">
        <f t="shared" ref="F656:L656" si="484">F160</f>
        <v>13 Aanhangwagens</v>
      </c>
      <c r="G656" s="37">
        <f t="shared" si="484"/>
        <v>2002</v>
      </c>
      <c r="H656" s="42">
        <f t="shared" si="484"/>
        <v>1243</v>
      </c>
      <c r="I656" s="37">
        <f t="shared" si="484"/>
        <v>2021</v>
      </c>
      <c r="J656" s="37">
        <f t="shared" si="484"/>
        <v>10</v>
      </c>
      <c r="K656" s="37">
        <f t="shared" si="484"/>
        <v>1</v>
      </c>
      <c r="L656" s="42">
        <f t="shared" si="484"/>
        <v>0</v>
      </c>
      <c r="N656" s="38">
        <f t="shared" si="437"/>
        <v>0</v>
      </c>
      <c r="P656" s="43">
        <f t="shared" si="446"/>
        <v>0</v>
      </c>
      <c r="Q656" s="43">
        <f t="shared" si="446"/>
        <v>0</v>
      </c>
      <c r="R656" s="43">
        <f t="shared" si="446"/>
        <v>0</v>
      </c>
      <c r="S656" s="43">
        <f t="shared" si="446"/>
        <v>0</v>
      </c>
      <c r="T656" s="43">
        <f t="shared" si="446"/>
        <v>0</v>
      </c>
      <c r="V656" s="47">
        <f t="shared" si="447"/>
        <v>0</v>
      </c>
      <c r="W656" s="47">
        <f t="shared" si="448"/>
        <v>0</v>
      </c>
      <c r="X656" s="47">
        <f t="shared" si="449"/>
        <v>0</v>
      </c>
      <c r="Y656" s="47">
        <f t="shared" si="450"/>
        <v>0</v>
      </c>
      <c r="Z656" s="47">
        <f t="shared" si="451"/>
        <v>0</v>
      </c>
      <c r="AB656" s="47">
        <f t="shared" si="438"/>
        <v>0</v>
      </c>
      <c r="AC656" s="47">
        <f t="shared" si="439"/>
        <v>0</v>
      </c>
      <c r="AD656" s="47">
        <f t="shared" si="440"/>
        <v>0</v>
      </c>
      <c r="AE656" s="47">
        <f t="shared" si="441"/>
        <v>0</v>
      </c>
      <c r="AF656" s="47">
        <f t="shared" si="442"/>
        <v>0</v>
      </c>
    </row>
    <row r="657" spans="2:32">
      <c r="B657" s="37" t="str">
        <f t="shared" si="435"/>
        <v>Asset 103</v>
      </c>
      <c r="F657" s="37" t="str">
        <f t="shared" ref="F657:L657" si="485">F161</f>
        <v>06 Utiliteitsgebouwen</v>
      </c>
      <c r="G657" s="37">
        <f t="shared" si="485"/>
        <v>2002</v>
      </c>
      <c r="H657" s="42">
        <f t="shared" si="485"/>
        <v>68637.27</v>
      </c>
      <c r="I657" s="37">
        <f t="shared" si="485"/>
        <v>2021</v>
      </c>
      <c r="J657" s="37">
        <f t="shared" si="485"/>
        <v>30</v>
      </c>
      <c r="K657" s="37">
        <f t="shared" si="485"/>
        <v>0</v>
      </c>
      <c r="L657" s="42">
        <f t="shared" si="485"/>
        <v>33068.469795601901</v>
      </c>
      <c r="N657" s="38">
        <f t="shared" si="437"/>
        <v>10.5</v>
      </c>
      <c r="P657" s="43">
        <f t="shared" si="446"/>
        <v>3149.3780757716095</v>
      </c>
      <c r="Q657" s="43">
        <f t="shared" si="446"/>
        <v>3149.3780757716099</v>
      </c>
      <c r="R657" s="43">
        <f t="shared" si="446"/>
        <v>3149.3780757716099</v>
      </c>
      <c r="S657" s="43">
        <f t="shared" si="446"/>
        <v>3149.3780757716099</v>
      </c>
      <c r="T657" s="43">
        <f t="shared" si="446"/>
        <v>3149.3780757716099</v>
      </c>
      <c r="V657" s="47">
        <f t="shared" si="447"/>
        <v>29919.091719830292</v>
      </c>
      <c r="W657" s="47">
        <f t="shared" si="448"/>
        <v>26769.713644058684</v>
      </c>
      <c r="X657" s="47">
        <f t="shared" si="449"/>
        <v>23620.335568287075</v>
      </c>
      <c r="Y657" s="47">
        <f t="shared" si="450"/>
        <v>20470.957492515467</v>
      </c>
      <c r="Z657" s="47">
        <f t="shared" si="451"/>
        <v>17321.579416743858</v>
      </c>
      <c r="AB657" s="47">
        <f t="shared" si="438"/>
        <v>4166.6271942458397</v>
      </c>
      <c r="AC657" s="47">
        <f t="shared" si="439"/>
        <v>4032.7786260255466</v>
      </c>
      <c r="AD657" s="47">
        <f t="shared" si="440"/>
        <v>4046.9508273665188</v>
      </c>
      <c r="AE657" s="47">
        <f t="shared" si="441"/>
        <v>3927.2744604871978</v>
      </c>
      <c r="AF657" s="47">
        <f t="shared" si="442"/>
        <v>3807.5980936078768</v>
      </c>
    </row>
    <row r="658" spans="2:32">
      <c r="B658" s="37" t="str">
        <f t="shared" si="435"/>
        <v>Asset 104</v>
      </c>
      <c r="F658" s="37" t="str">
        <f t="shared" ref="F658:L658" si="486">F162</f>
        <v>09 Bedrijfsinventaris</v>
      </c>
      <c r="G658" s="37">
        <f t="shared" si="486"/>
        <v>2003</v>
      </c>
      <c r="H658" s="42">
        <f t="shared" si="486"/>
        <v>108222.26</v>
      </c>
      <c r="I658" s="37">
        <f t="shared" si="486"/>
        <v>2021</v>
      </c>
      <c r="J658" s="37">
        <f t="shared" si="486"/>
        <v>10</v>
      </c>
      <c r="K658" s="37">
        <f t="shared" si="486"/>
        <v>1</v>
      </c>
      <c r="L658" s="42">
        <f t="shared" si="486"/>
        <v>0</v>
      </c>
      <c r="N658" s="38">
        <f t="shared" si="437"/>
        <v>0</v>
      </c>
      <c r="P658" s="43">
        <f t="shared" si="446"/>
        <v>0</v>
      </c>
      <c r="Q658" s="43">
        <f t="shared" si="446"/>
        <v>0</v>
      </c>
      <c r="R658" s="43">
        <f t="shared" si="446"/>
        <v>0</v>
      </c>
      <c r="S658" s="43">
        <f t="shared" si="446"/>
        <v>0</v>
      </c>
      <c r="T658" s="43">
        <f t="shared" si="446"/>
        <v>0</v>
      </c>
      <c r="V658" s="47">
        <f t="shared" si="447"/>
        <v>0</v>
      </c>
      <c r="W658" s="47">
        <f t="shared" si="448"/>
        <v>0</v>
      </c>
      <c r="X658" s="47">
        <f t="shared" si="449"/>
        <v>0</v>
      </c>
      <c r="Y658" s="47">
        <f t="shared" si="450"/>
        <v>0</v>
      </c>
      <c r="Z658" s="47">
        <f t="shared" si="451"/>
        <v>0</v>
      </c>
      <c r="AB658" s="47">
        <f t="shared" si="438"/>
        <v>0</v>
      </c>
      <c r="AC658" s="47">
        <f t="shared" si="439"/>
        <v>0</v>
      </c>
      <c r="AD658" s="47">
        <f t="shared" si="440"/>
        <v>0</v>
      </c>
      <c r="AE658" s="47">
        <f t="shared" si="441"/>
        <v>0</v>
      </c>
      <c r="AF658" s="47">
        <f t="shared" si="442"/>
        <v>0</v>
      </c>
    </row>
    <row r="659" spans="2:32">
      <c r="B659" s="37" t="str">
        <f t="shared" si="435"/>
        <v>Asset 105</v>
      </c>
      <c r="F659" s="37" t="str">
        <f t="shared" ref="F659:L659" si="487">F163</f>
        <v>11 Werktuigen</v>
      </c>
      <c r="G659" s="37">
        <f t="shared" si="487"/>
        <v>2003</v>
      </c>
      <c r="H659" s="42">
        <f t="shared" si="487"/>
        <v>135681.9</v>
      </c>
      <c r="I659" s="37">
        <f t="shared" si="487"/>
        <v>2021</v>
      </c>
      <c r="J659" s="37">
        <f t="shared" si="487"/>
        <v>10</v>
      </c>
      <c r="K659" s="37">
        <f t="shared" si="487"/>
        <v>1</v>
      </c>
      <c r="L659" s="42">
        <f t="shared" si="487"/>
        <v>0</v>
      </c>
      <c r="N659" s="38">
        <f t="shared" si="437"/>
        <v>0</v>
      </c>
      <c r="P659" s="43">
        <f t="shared" si="446"/>
        <v>0</v>
      </c>
      <c r="Q659" s="43">
        <f t="shared" si="446"/>
        <v>0</v>
      </c>
      <c r="R659" s="43">
        <f t="shared" si="446"/>
        <v>0</v>
      </c>
      <c r="S659" s="43">
        <f t="shared" si="446"/>
        <v>0</v>
      </c>
      <c r="T659" s="43">
        <f t="shared" si="446"/>
        <v>0</v>
      </c>
      <c r="V659" s="47">
        <f t="shared" si="447"/>
        <v>0</v>
      </c>
      <c r="W659" s="47">
        <f t="shared" si="448"/>
        <v>0</v>
      </c>
      <c r="X659" s="47">
        <f t="shared" si="449"/>
        <v>0</v>
      </c>
      <c r="Y659" s="47">
        <f t="shared" si="450"/>
        <v>0</v>
      </c>
      <c r="Z659" s="47">
        <f t="shared" si="451"/>
        <v>0</v>
      </c>
      <c r="AB659" s="47">
        <f t="shared" si="438"/>
        <v>0</v>
      </c>
      <c r="AC659" s="47">
        <f t="shared" si="439"/>
        <v>0</v>
      </c>
      <c r="AD659" s="47">
        <f t="shared" si="440"/>
        <v>0</v>
      </c>
      <c r="AE659" s="47">
        <f t="shared" si="441"/>
        <v>0</v>
      </c>
      <c r="AF659" s="47">
        <f t="shared" si="442"/>
        <v>0</v>
      </c>
    </row>
    <row r="660" spans="2:32">
      <c r="B660" s="37" t="str">
        <f t="shared" si="435"/>
        <v>Asset 106</v>
      </c>
      <c r="F660" s="37" t="str">
        <f t="shared" ref="F660:L660" si="488">F164</f>
        <v>37 ICT middelen 1</v>
      </c>
      <c r="G660" s="37">
        <f t="shared" si="488"/>
        <v>2003</v>
      </c>
      <c r="H660" s="42">
        <f t="shared" si="488"/>
        <v>869353.66999999993</v>
      </c>
      <c r="I660" s="37">
        <f t="shared" si="488"/>
        <v>2021</v>
      </c>
      <c r="J660" s="37">
        <f t="shared" si="488"/>
        <v>5</v>
      </c>
      <c r="K660" s="37">
        <f t="shared" si="488"/>
        <v>1</v>
      </c>
      <c r="L660" s="42">
        <f t="shared" si="488"/>
        <v>0</v>
      </c>
      <c r="N660" s="38">
        <f t="shared" si="437"/>
        <v>0</v>
      </c>
      <c r="P660" s="43">
        <f t="shared" si="446"/>
        <v>0</v>
      </c>
      <c r="Q660" s="43">
        <f t="shared" si="446"/>
        <v>0</v>
      </c>
      <c r="R660" s="43">
        <f t="shared" si="446"/>
        <v>0</v>
      </c>
      <c r="S660" s="43">
        <f t="shared" si="446"/>
        <v>0</v>
      </c>
      <c r="T660" s="43">
        <f t="shared" si="446"/>
        <v>0</v>
      </c>
      <c r="V660" s="47">
        <f t="shared" si="447"/>
        <v>0</v>
      </c>
      <c r="W660" s="47">
        <f t="shared" si="448"/>
        <v>0</v>
      </c>
      <c r="X660" s="47">
        <f t="shared" si="449"/>
        <v>0</v>
      </c>
      <c r="Y660" s="47">
        <f t="shared" si="450"/>
        <v>0</v>
      </c>
      <c r="Z660" s="47">
        <f t="shared" si="451"/>
        <v>0</v>
      </c>
      <c r="AB660" s="47">
        <f t="shared" si="438"/>
        <v>0</v>
      </c>
      <c r="AC660" s="47">
        <f t="shared" si="439"/>
        <v>0</v>
      </c>
      <c r="AD660" s="47">
        <f t="shared" si="440"/>
        <v>0</v>
      </c>
      <c r="AE660" s="47">
        <f t="shared" si="441"/>
        <v>0</v>
      </c>
      <c r="AF660" s="47">
        <f t="shared" si="442"/>
        <v>0</v>
      </c>
    </row>
    <row r="661" spans="2:32">
      <c r="B661" s="37" t="str">
        <f t="shared" si="435"/>
        <v>Asset 107</v>
      </c>
      <c r="F661" s="37" t="str">
        <f t="shared" ref="F661:L661" si="489">F165</f>
        <v>37 ICT middelen 1 (gaschromatografen en comptabele meting)</v>
      </c>
      <c r="G661" s="37">
        <f t="shared" si="489"/>
        <v>2003</v>
      </c>
      <c r="H661" s="42">
        <f t="shared" si="489"/>
        <v>1210667.97</v>
      </c>
      <c r="I661" s="37">
        <f t="shared" si="489"/>
        <v>2021</v>
      </c>
      <c r="J661" s="37">
        <f t="shared" si="489"/>
        <v>5</v>
      </c>
      <c r="K661" s="37">
        <f t="shared" si="489"/>
        <v>0</v>
      </c>
      <c r="L661" s="42">
        <f t="shared" si="489"/>
        <v>0</v>
      </c>
      <c r="N661" s="38">
        <f t="shared" si="437"/>
        <v>0</v>
      </c>
      <c r="P661" s="43">
        <f t="shared" si="446"/>
        <v>0</v>
      </c>
      <c r="Q661" s="43">
        <f t="shared" si="446"/>
        <v>0</v>
      </c>
      <c r="R661" s="43">
        <f t="shared" si="446"/>
        <v>0</v>
      </c>
      <c r="S661" s="43">
        <f t="shared" si="446"/>
        <v>0</v>
      </c>
      <c r="T661" s="43">
        <f t="shared" si="446"/>
        <v>0</v>
      </c>
      <c r="V661" s="47">
        <f t="shared" si="447"/>
        <v>0</v>
      </c>
      <c r="W661" s="47">
        <f t="shared" si="448"/>
        <v>0</v>
      </c>
      <c r="X661" s="47">
        <f t="shared" si="449"/>
        <v>0</v>
      </c>
      <c r="Y661" s="47">
        <f t="shared" si="450"/>
        <v>0</v>
      </c>
      <c r="Z661" s="47">
        <f t="shared" si="451"/>
        <v>0</v>
      </c>
      <c r="AB661" s="47">
        <f t="shared" si="438"/>
        <v>0</v>
      </c>
      <c r="AC661" s="47">
        <f t="shared" si="439"/>
        <v>0</v>
      </c>
      <c r="AD661" s="47">
        <f t="shared" si="440"/>
        <v>0</v>
      </c>
      <c r="AE661" s="47">
        <f t="shared" si="441"/>
        <v>0</v>
      </c>
      <c r="AF661" s="47">
        <f t="shared" si="442"/>
        <v>0</v>
      </c>
    </row>
    <row r="662" spans="2:32">
      <c r="B662" s="37" t="str">
        <f t="shared" si="435"/>
        <v>Asset 108</v>
      </c>
      <c r="F662" s="37" t="str">
        <f t="shared" ref="F662:L662" si="490">F166</f>
        <v>10 Gereedschap</v>
      </c>
      <c r="G662" s="37">
        <f t="shared" si="490"/>
        <v>2003</v>
      </c>
      <c r="H662" s="42">
        <f t="shared" si="490"/>
        <v>62325</v>
      </c>
      <c r="I662" s="37">
        <f t="shared" si="490"/>
        <v>2021</v>
      </c>
      <c r="J662" s="37">
        <f t="shared" si="490"/>
        <v>10</v>
      </c>
      <c r="K662" s="37">
        <f t="shared" si="490"/>
        <v>1</v>
      </c>
      <c r="L662" s="42">
        <f t="shared" si="490"/>
        <v>0</v>
      </c>
      <c r="N662" s="38">
        <f t="shared" si="437"/>
        <v>0</v>
      </c>
      <c r="P662" s="43">
        <f t="shared" si="446"/>
        <v>0</v>
      </c>
      <c r="Q662" s="43">
        <f t="shared" si="446"/>
        <v>0</v>
      </c>
      <c r="R662" s="43">
        <f t="shared" si="446"/>
        <v>0</v>
      </c>
      <c r="S662" s="43">
        <f t="shared" si="446"/>
        <v>0</v>
      </c>
      <c r="T662" s="43">
        <f t="shared" si="446"/>
        <v>0</v>
      </c>
      <c r="V662" s="47">
        <f t="shared" si="447"/>
        <v>0</v>
      </c>
      <c r="W662" s="47">
        <f t="shared" si="448"/>
        <v>0</v>
      </c>
      <c r="X662" s="47">
        <f t="shared" si="449"/>
        <v>0</v>
      </c>
      <c r="Y662" s="47">
        <f t="shared" si="450"/>
        <v>0</v>
      </c>
      <c r="Z662" s="47">
        <f t="shared" si="451"/>
        <v>0</v>
      </c>
      <c r="AB662" s="47">
        <f t="shared" si="438"/>
        <v>0</v>
      </c>
      <c r="AC662" s="47">
        <f t="shared" si="439"/>
        <v>0</v>
      </c>
      <c r="AD662" s="47">
        <f t="shared" si="440"/>
        <v>0</v>
      </c>
      <c r="AE662" s="47">
        <f t="shared" si="441"/>
        <v>0</v>
      </c>
      <c r="AF662" s="47">
        <f t="shared" si="442"/>
        <v>0</v>
      </c>
    </row>
    <row r="663" spans="2:32">
      <c r="B663" s="37" t="str">
        <f t="shared" si="435"/>
        <v>Asset 109</v>
      </c>
      <c r="F663" s="37" t="str">
        <f t="shared" ref="F663:L663" si="491">F167</f>
        <v>06 Utiliteitsgebouwen</v>
      </c>
      <c r="G663" s="37">
        <f t="shared" si="491"/>
        <v>2003</v>
      </c>
      <c r="H663" s="42">
        <f t="shared" si="491"/>
        <v>206366.74</v>
      </c>
      <c r="I663" s="37">
        <f t="shared" si="491"/>
        <v>2021</v>
      </c>
      <c r="J663" s="37">
        <f t="shared" si="491"/>
        <v>30</v>
      </c>
      <c r="K663" s="37">
        <f t="shared" si="491"/>
        <v>0</v>
      </c>
      <c r="L663" s="42">
        <f t="shared" si="491"/>
        <v>105414.90479883776</v>
      </c>
      <c r="N663" s="38">
        <f t="shared" si="437"/>
        <v>11.5</v>
      </c>
      <c r="P663" s="43">
        <f t="shared" si="446"/>
        <v>9166.5134607685013</v>
      </c>
      <c r="Q663" s="43">
        <f t="shared" si="446"/>
        <v>9166.5134607685013</v>
      </c>
      <c r="R663" s="43">
        <f t="shared" si="446"/>
        <v>9166.5134607685013</v>
      </c>
      <c r="S663" s="43">
        <f t="shared" si="446"/>
        <v>9166.5134607685013</v>
      </c>
      <c r="T663" s="43">
        <f t="shared" si="446"/>
        <v>9166.5134607685013</v>
      </c>
      <c r="V663" s="47">
        <f t="shared" si="447"/>
        <v>96248.391338069254</v>
      </c>
      <c r="W663" s="47">
        <f t="shared" si="448"/>
        <v>87081.877877300751</v>
      </c>
      <c r="X663" s="47">
        <f t="shared" si="449"/>
        <v>77915.364416532248</v>
      </c>
      <c r="Y663" s="47">
        <f t="shared" si="450"/>
        <v>68748.850955763744</v>
      </c>
      <c r="Z663" s="47">
        <f t="shared" si="451"/>
        <v>59582.337494995241</v>
      </c>
      <c r="AB663" s="47">
        <f t="shared" si="438"/>
        <v>12438.958766262856</v>
      </c>
      <c r="AC663" s="47">
        <f t="shared" si="439"/>
        <v>12040.215430719427</v>
      </c>
      <c r="AD663" s="47">
        <f t="shared" si="440"/>
        <v>12127.297308596726</v>
      </c>
      <c r="AE663" s="47">
        <f t="shared" si="441"/>
        <v>11778.969797087524</v>
      </c>
      <c r="AF663" s="47">
        <f t="shared" si="442"/>
        <v>11430.64228557832</v>
      </c>
    </row>
    <row r="664" spans="2:32">
      <c r="B664" s="37" t="str">
        <f t="shared" si="435"/>
        <v>Asset 110</v>
      </c>
      <c r="F664" s="37" t="str">
        <f t="shared" ref="F664:L664" si="492">F168</f>
        <v>13 Aanhangwagens</v>
      </c>
      <c r="G664" s="37">
        <f t="shared" si="492"/>
        <v>2003</v>
      </c>
      <c r="H664" s="42">
        <f t="shared" si="492"/>
        <v>1830.54</v>
      </c>
      <c r="I664" s="37">
        <f t="shared" si="492"/>
        <v>2021</v>
      </c>
      <c r="J664" s="37">
        <f t="shared" si="492"/>
        <v>10</v>
      </c>
      <c r="K664" s="37">
        <f t="shared" si="492"/>
        <v>1</v>
      </c>
      <c r="L664" s="42">
        <f t="shared" si="492"/>
        <v>0</v>
      </c>
      <c r="N664" s="38">
        <f t="shared" si="437"/>
        <v>0</v>
      </c>
      <c r="P664" s="43">
        <f t="shared" si="446"/>
        <v>0</v>
      </c>
      <c r="Q664" s="43">
        <f t="shared" si="446"/>
        <v>0</v>
      </c>
      <c r="R664" s="43">
        <f t="shared" si="446"/>
        <v>0</v>
      </c>
      <c r="S664" s="43">
        <f t="shared" si="446"/>
        <v>0</v>
      </c>
      <c r="T664" s="43">
        <f t="shared" si="446"/>
        <v>0</v>
      </c>
      <c r="V664" s="47">
        <f t="shared" si="447"/>
        <v>0</v>
      </c>
      <c r="W664" s="47">
        <f t="shared" si="448"/>
        <v>0</v>
      </c>
      <c r="X664" s="47">
        <f t="shared" si="449"/>
        <v>0</v>
      </c>
      <c r="Y664" s="47">
        <f t="shared" si="450"/>
        <v>0</v>
      </c>
      <c r="Z664" s="47">
        <f t="shared" si="451"/>
        <v>0</v>
      </c>
      <c r="AB664" s="47">
        <f t="shared" si="438"/>
        <v>0</v>
      </c>
      <c r="AC664" s="47">
        <f t="shared" si="439"/>
        <v>0</v>
      </c>
      <c r="AD664" s="47">
        <f t="shared" si="440"/>
        <v>0</v>
      </c>
      <c r="AE664" s="47">
        <f t="shared" si="441"/>
        <v>0</v>
      </c>
      <c r="AF664" s="47">
        <f t="shared" si="442"/>
        <v>0</v>
      </c>
    </row>
    <row r="665" spans="2:32">
      <c r="B665" s="37" t="str">
        <f t="shared" si="435"/>
        <v>Asset 111</v>
      </c>
      <c r="F665" s="37" t="str">
        <f t="shared" ref="F665:L665" si="493">F169</f>
        <v>37 ICT middelen 1</v>
      </c>
      <c r="G665" s="37">
        <f t="shared" si="493"/>
        <v>2004</v>
      </c>
      <c r="H665" s="42">
        <f t="shared" si="493"/>
        <v>2583848.4300000002</v>
      </c>
      <c r="I665" s="37">
        <f t="shared" si="493"/>
        <v>2021</v>
      </c>
      <c r="J665" s="37">
        <f t="shared" si="493"/>
        <v>5</v>
      </c>
      <c r="K665" s="37">
        <f t="shared" si="493"/>
        <v>1</v>
      </c>
      <c r="L665" s="42">
        <f t="shared" si="493"/>
        <v>0</v>
      </c>
      <c r="N665" s="38">
        <f t="shared" si="437"/>
        <v>0</v>
      </c>
      <c r="P665" s="43">
        <f t="shared" si="446"/>
        <v>0</v>
      </c>
      <c r="Q665" s="43">
        <f t="shared" si="446"/>
        <v>0</v>
      </c>
      <c r="R665" s="43">
        <f t="shared" si="446"/>
        <v>0</v>
      </c>
      <c r="S665" s="43">
        <f t="shared" si="446"/>
        <v>0</v>
      </c>
      <c r="T665" s="43">
        <f t="shared" si="446"/>
        <v>0</v>
      </c>
      <c r="V665" s="47">
        <f t="shared" si="447"/>
        <v>0</v>
      </c>
      <c r="W665" s="47">
        <f t="shared" si="448"/>
        <v>0</v>
      </c>
      <c r="X665" s="47">
        <f t="shared" si="449"/>
        <v>0</v>
      </c>
      <c r="Y665" s="47">
        <f t="shared" si="450"/>
        <v>0</v>
      </c>
      <c r="Z665" s="47">
        <f t="shared" si="451"/>
        <v>0</v>
      </c>
      <c r="AB665" s="47">
        <f t="shared" si="438"/>
        <v>0</v>
      </c>
      <c r="AC665" s="47">
        <f t="shared" si="439"/>
        <v>0</v>
      </c>
      <c r="AD665" s="47">
        <f t="shared" si="440"/>
        <v>0</v>
      </c>
      <c r="AE665" s="47">
        <f t="shared" si="441"/>
        <v>0</v>
      </c>
      <c r="AF665" s="47">
        <f t="shared" si="442"/>
        <v>0</v>
      </c>
    </row>
    <row r="666" spans="2:32">
      <c r="B666" s="37" t="str">
        <f t="shared" si="435"/>
        <v>Asset 112</v>
      </c>
      <c r="F666" s="37" t="str">
        <f t="shared" ref="F666:L666" si="494">F170</f>
        <v>37 ICT middelen 1 (gaschromatografen en comptabele meting)</v>
      </c>
      <c r="G666" s="37">
        <f t="shared" si="494"/>
        <v>2004</v>
      </c>
      <c r="H666" s="42">
        <f t="shared" si="494"/>
        <v>263122.5</v>
      </c>
      <c r="I666" s="37">
        <f t="shared" si="494"/>
        <v>2021</v>
      </c>
      <c r="J666" s="37">
        <f t="shared" si="494"/>
        <v>5</v>
      </c>
      <c r="K666" s="37">
        <f t="shared" si="494"/>
        <v>0</v>
      </c>
      <c r="L666" s="42">
        <f t="shared" si="494"/>
        <v>0</v>
      </c>
      <c r="N666" s="38">
        <f t="shared" si="437"/>
        <v>0</v>
      </c>
      <c r="P666" s="43">
        <f t="shared" si="446"/>
        <v>0</v>
      </c>
      <c r="Q666" s="43">
        <f t="shared" si="446"/>
        <v>0</v>
      </c>
      <c r="R666" s="43">
        <f t="shared" si="446"/>
        <v>0</v>
      </c>
      <c r="S666" s="43">
        <f t="shared" si="446"/>
        <v>0</v>
      </c>
      <c r="T666" s="43">
        <f t="shared" si="446"/>
        <v>0</v>
      </c>
      <c r="V666" s="47">
        <f t="shared" si="447"/>
        <v>0</v>
      </c>
      <c r="W666" s="47">
        <f t="shared" si="448"/>
        <v>0</v>
      </c>
      <c r="X666" s="47">
        <f t="shared" si="449"/>
        <v>0</v>
      </c>
      <c r="Y666" s="47">
        <f t="shared" si="450"/>
        <v>0</v>
      </c>
      <c r="Z666" s="47">
        <f t="shared" si="451"/>
        <v>0</v>
      </c>
      <c r="AB666" s="47">
        <f t="shared" si="438"/>
        <v>0</v>
      </c>
      <c r="AC666" s="47">
        <f t="shared" si="439"/>
        <v>0</v>
      </c>
      <c r="AD666" s="47">
        <f t="shared" si="440"/>
        <v>0</v>
      </c>
      <c r="AE666" s="47">
        <f t="shared" si="441"/>
        <v>0</v>
      </c>
      <c r="AF666" s="47">
        <f t="shared" si="442"/>
        <v>0</v>
      </c>
    </row>
    <row r="667" spans="2:32">
      <c r="B667" s="37" t="str">
        <f t="shared" si="435"/>
        <v>Asset 113</v>
      </c>
      <c r="F667" s="37" t="str">
        <f t="shared" ref="F667:L667" si="495">F171</f>
        <v>09 Bedrijfsinventaris</v>
      </c>
      <c r="G667" s="37">
        <f t="shared" si="495"/>
        <v>2004</v>
      </c>
      <c r="H667" s="42">
        <f t="shared" si="495"/>
        <v>142655</v>
      </c>
      <c r="I667" s="37">
        <f t="shared" si="495"/>
        <v>2021</v>
      </c>
      <c r="J667" s="37">
        <f t="shared" si="495"/>
        <v>10</v>
      </c>
      <c r="K667" s="37">
        <f t="shared" si="495"/>
        <v>1</v>
      </c>
      <c r="L667" s="42">
        <f t="shared" si="495"/>
        <v>0</v>
      </c>
      <c r="N667" s="38">
        <f t="shared" si="437"/>
        <v>0</v>
      </c>
      <c r="P667" s="43">
        <f t="shared" si="446"/>
        <v>0</v>
      </c>
      <c r="Q667" s="43">
        <f t="shared" si="446"/>
        <v>0</v>
      </c>
      <c r="R667" s="43">
        <f t="shared" si="446"/>
        <v>0</v>
      </c>
      <c r="S667" s="43">
        <f t="shared" si="446"/>
        <v>0</v>
      </c>
      <c r="T667" s="43">
        <f t="shared" si="446"/>
        <v>0</v>
      </c>
      <c r="V667" s="47">
        <f t="shared" si="447"/>
        <v>0</v>
      </c>
      <c r="W667" s="47">
        <f t="shared" si="448"/>
        <v>0</v>
      </c>
      <c r="X667" s="47">
        <f t="shared" si="449"/>
        <v>0</v>
      </c>
      <c r="Y667" s="47">
        <f t="shared" si="450"/>
        <v>0</v>
      </c>
      <c r="Z667" s="47">
        <f t="shared" si="451"/>
        <v>0</v>
      </c>
      <c r="AB667" s="47">
        <f t="shared" si="438"/>
        <v>0</v>
      </c>
      <c r="AC667" s="47">
        <f t="shared" si="439"/>
        <v>0</v>
      </c>
      <c r="AD667" s="47">
        <f t="shared" si="440"/>
        <v>0</v>
      </c>
      <c r="AE667" s="47">
        <f t="shared" si="441"/>
        <v>0</v>
      </c>
      <c r="AF667" s="47">
        <f t="shared" si="442"/>
        <v>0</v>
      </c>
    </row>
    <row r="668" spans="2:32">
      <c r="B668" s="37" t="str">
        <f t="shared" si="435"/>
        <v>Asset 114</v>
      </c>
      <c r="F668" s="37" t="str">
        <f t="shared" ref="F668:L668" si="496">F172</f>
        <v>11 Werktuigen</v>
      </c>
      <c r="G668" s="37">
        <f t="shared" si="496"/>
        <v>2004</v>
      </c>
      <c r="H668" s="42">
        <f t="shared" si="496"/>
        <v>77020.09</v>
      </c>
      <c r="I668" s="37">
        <f t="shared" si="496"/>
        <v>2021</v>
      </c>
      <c r="J668" s="37">
        <f t="shared" si="496"/>
        <v>10</v>
      </c>
      <c r="K668" s="37">
        <f t="shared" si="496"/>
        <v>1</v>
      </c>
      <c r="L668" s="42">
        <f t="shared" si="496"/>
        <v>0</v>
      </c>
      <c r="N668" s="38">
        <f t="shared" si="437"/>
        <v>0</v>
      </c>
      <c r="P668" s="43">
        <f t="shared" si="446"/>
        <v>0</v>
      </c>
      <c r="Q668" s="43">
        <f t="shared" si="446"/>
        <v>0</v>
      </c>
      <c r="R668" s="43">
        <f t="shared" si="446"/>
        <v>0</v>
      </c>
      <c r="S668" s="43">
        <f t="shared" si="446"/>
        <v>0</v>
      </c>
      <c r="T668" s="43">
        <f t="shared" si="446"/>
        <v>0</v>
      </c>
      <c r="V668" s="47">
        <f t="shared" si="447"/>
        <v>0</v>
      </c>
      <c r="W668" s="47">
        <f t="shared" si="448"/>
        <v>0</v>
      </c>
      <c r="X668" s="47">
        <f t="shared" si="449"/>
        <v>0</v>
      </c>
      <c r="Y668" s="47">
        <f t="shared" si="450"/>
        <v>0</v>
      </c>
      <c r="Z668" s="47">
        <f t="shared" si="451"/>
        <v>0</v>
      </c>
      <c r="AB668" s="47">
        <f t="shared" si="438"/>
        <v>0</v>
      </c>
      <c r="AC668" s="47">
        <f t="shared" si="439"/>
        <v>0</v>
      </c>
      <c r="AD668" s="47">
        <f t="shared" si="440"/>
        <v>0</v>
      </c>
      <c r="AE668" s="47">
        <f t="shared" si="441"/>
        <v>0</v>
      </c>
      <c r="AF668" s="47">
        <f t="shared" si="442"/>
        <v>0</v>
      </c>
    </row>
    <row r="669" spans="2:32">
      <c r="B669" s="37" t="str">
        <f t="shared" si="435"/>
        <v>Asset 115</v>
      </c>
      <c r="F669" s="37" t="str">
        <f t="shared" ref="F669:L669" si="497">F173</f>
        <v>14 Overig rollend materieel</v>
      </c>
      <c r="G669" s="37">
        <f t="shared" si="497"/>
        <v>2004</v>
      </c>
      <c r="H669" s="42">
        <f t="shared" si="497"/>
        <v>195332.07</v>
      </c>
      <c r="I669" s="37">
        <f t="shared" si="497"/>
        <v>2021</v>
      </c>
      <c r="J669" s="37">
        <f t="shared" si="497"/>
        <v>10</v>
      </c>
      <c r="K669" s="37">
        <f t="shared" si="497"/>
        <v>1</v>
      </c>
      <c r="L669" s="42">
        <f t="shared" si="497"/>
        <v>0</v>
      </c>
      <c r="N669" s="38">
        <f t="shared" si="437"/>
        <v>0</v>
      </c>
      <c r="P669" s="43">
        <f t="shared" si="446"/>
        <v>0</v>
      </c>
      <c r="Q669" s="43">
        <f t="shared" si="446"/>
        <v>0</v>
      </c>
      <c r="R669" s="43">
        <f t="shared" si="446"/>
        <v>0</v>
      </c>
      <c r="S669" s="43">
        <f t="shared" si="446"/>
        <v>0</v>
      </c>
      <c r="T669" s="43">
        <f t="shared" si="446"/>
        <v>0</v>
      </c>
      <c r="V669" s="47">
        <f t="shared" si="447"/>
        <v>0</v>
      </c>
      <c r="W669" s="47">
        <f t="shared" si="448"/>
        <v>0</v>
      </c>
      <c r="X669" s="47">
        <f t="shared" si="449"/>
        <v>0</v>
      </c>
      <c r="Y669" s="47">
        <f t="shared" si="450"/>
        <v>0</v>
      </c>
      <c r="Z669" s="47">
        <f t="shared" si="451"/>
        <v>0</v>
      </c>
      <c r="AB669" s="47">
        <f t="shared" si="438"/>
        <v>0</v>
      </c>
      <c r="AC669" s="47">
        <f t="shared" si="439"/>
        <v>0</v>
      </c>
      <c r="AD669" s="47">
        <f t="shared" si="440"/>
        <v>0</v>
      </c>
      <c r="AE669" s="47">
        <f t="shared" si="441"/>
        <v>0</v>
      </c>
      <c r="AF669" s="47">
        <f t="shared" si="442"/>
        <v>0</v>
      </c>
    </row>
    <row r="670" spans="2:32">
      <c r="B670" s="37" t="str">
        <f t="shared" si="435"/>
        <v>Asset 116</v>
      </c>
      <c r="F670" s="37" t="str">
        <f t="shared" ref="F670:L670" si="498">F174</f>
        <v>13 Aanhangwagens</v>
      </c>
      <c r="G670" s="37">
        <f t="shared" si="498"/>
        <v>2004</v>
      </c>
      <c r="H670" s="42">
        <f t="shared" si="498"/>
        <v>1265</v>
      </c>
      <c r="I670" s="37">
        <f t="shared" si="498"/>
        <v>2021</v>
      </c>
      <c r="J670" s="37">
        <f t="shared" si="498"/>
        <v>10</v>
      </c>
      <c r="K670" s="37">
        <f t="shared" si="498"/>
        <v>1</v>
      </c>
      <c r="L670" s="42">
        <f t="shared" si="498"/>
        <v>0</v>
      </c>
      <c r="N670" s="38">
        <f t="shared" si="437"/>
        <v>0</v>
      </c>
      <c r="P670" s="43">
        <f t="shared" si="446"/>
        <v>0</v>
      </c>
      <c r="Q670" s="43">
        <f t="shared" si="446"/>
        <v>0</v>
      </c>
      <c r="R670" s="43">
        <f t="shared" si="446"/>
        <v>0</v>
      </c>
      <c r="S670" s="43">
        <f t="shared" si="446"/>
        <v>0</v>
      </c>
      <c r="T670" s="43">
        <f t="shared" si="446"/>
        <v>0</v>
      </c>
      <c r="V670" s="47">
        <f t="shared" si="447"/>
        <v>0</v>
      </c>
      <c r="W670" s="47">
        <f t="shared" si="448"/>
        <v>0</v>
      </c>
      <c r="X670" s="47">
        <f t="shared" si="449"/>
        <v>0</v>
      </c>
      <c r="Y670" s="47">
        <f t="shared" si="450"/>
        <v>0</v>
      </c>
      <c r="Z670" s="47">
        <f t="shared" si="451"/>
        <v>0</v>
      </c>
      <c r="AB670" s="47">
        <f t="shared" si="438"/>
        <v>0</v>
      </c>
      <c r="AC670" s="47">
        <f t="shared" si="439"/>
        <v>0</v>
      </c>
      <c r="AD670" s="47">
        <f t="shared" si="440"/>
        <v>0</v>
      </c>
      <c r="AE670" s="47">
        <f t="shared" si="441"/>
        <v>0</v>
      </c>
      <c r="AF670" s="47">
        <f t="shared" si="442"/>
        <v>0</v>
      </c>
    </row>
    <row r="671" spans="2:32">
      <c r="B671" s="37" t="str">
        <f t="shared" si="435"/>
        <v>Asset 117</v>
      </c>
      <c r="F671" s="37" t="str">
        <f t="shared" ref="F671:L671" si="499">F175</f>
        <v>08 Inrichting gebouwen</v>
      </c>
      <c r="G671" s="37">
        <f t="shared" si="499"/>
        <v>2004</v>
      </c>
      <c r="H671" s="42">
        <f t="shared" si="499"/>
        <v>62865.23</v>
      </c>
      <c r="I671" s="37">
        <f t="shared" si="499"/>
        <v>2021</v>
      </c>
      <c r="J671" s="37">
        <f t="shared" si="499"/>
        <v>10</v>
      </c>
      <c r="K671" s="37">
        <f t="shared" si="499"/>
        <v>0</v>
      </c>
      <c r="L671" s="42">
        <f t="shared" si="499"/>
        <v>0</v>
      </c>
      <c r="N671" s="38">
        <f t="shared" si="437"/>
        <v>0</v>
      </c>
      <c r="P671" s="43">
        <f t="shared" si="446"/>
        <v>0</v>
      </c>
      <c r="Q671" s="43">
        <f t="shared" si="446"/>
        <v>0</v>
      </c>
      <c r="R671" s="43">
        <f t="shared" si="446"/>
        <v>0</v>
      </c>
      <c r="S671" s="43">
        <f t="shared" si="446"/>
        <v>0</v>
      </c>
      <c r="T671" s="43">
        <f t="shared" si="446"/>
        <v>0</v>
      </c>
      <c r="V671" s="47">
        <f t="shared" si="447"/>
        <v>0</v>
      </c>
      <c r="W671" s="47">
        <f t="shared" si="448"/>
        <v>0</v>
      </c>
      <c r="X671" s="47">
        <f t="shared" si="449"/>
        <v>0</v>
      </c>
      <c r="Y671" s="47">
        <f t="shared" si="450"/>
        <v>0</v>
      </c>
      <c r="Z671" s="47">
        <f t="shared" si="451"/>
        <v>0</v>
      </c>
      <c r="AB671" s="47">
        <f t="shared" si="438"/>
        <v>0</v>
      </c>
      <c r="AC671" s="47">
        <f t="shared" si="439"/>
        <v>0</v>
      </c>
      <c r="AD671" s="47">
        <f t="shared" si="440"/>
        <v>0</v>
      </c>
      <c r="AE671" s="47">
        <f t="shared" si="441"/>
        <v>0</v>
      </c>
      <c r="AF671" s="47">
        <f t="shared" si="442"/>
        <v>0</v>
      </c>
    </row>
    <row r="672" spans="2:32">
      <c r="B672" s="37" t="str">
        <f t="shared" si="435"/>
        <v>Asset 118</v>
      </c>
      <c r="F672" s="37" t="str">
        <f t="shared" ref="F672:L672" si="500">F176</f>
        <v>12 Motorvoertuigen</v>
      </c>
      <c r="G672" s="37">
        <f t="shared" si="500"/>
        <v>2004</v>
      </c>
      <c r="H672" s="42">
        <f t="shared" si="500"/>
        <v>47369.03</v>
      </c>
      <c r="I672" s="37">
        <f t="shared" si="500"/>
        <v>2021</v>
      </c>
      <c r="J672" s="37">
        <f t="shared" si="500"/>
        <v>10</v>
      </c>
      <c r="K672" s="37">
        <f t="shared" si="500"/>
        <v>1</v>
      </c>
      <c r="L672" s="42">
        <f t="shared" si="500"/>
        <v>0</v>
      </c>
      <c r="N672" s="38">
        <f t="shared" si="437"/>
        <v>0</v>
      </c>
      <c r="P672" s="43">
        <f t="shared" si="446"/>
        <v>0</v>
      </c>
      <c r="Q672" s="43">
        <f t="shared" si="446"/>
        <v>0</v>
      </c>
      <c r="R672" s="43">
        <f t="shared" si="446"/>
        <v>0</v>
      </c>
      <c r="S672" s="43">
        <f t="shared" si="446"/>
        <v>0</v>
      </c>
      <c r="T672" s="43">
        <f t="shared" si="446"/>
        <v>0</v>
      </c>
      <c r="V672" s="47">
        <f t="shared" si="447"/>
        <v>0</v>
      </c>
      <c r="W672" s="47">
        <f t="shared" si="448"/>
        <v>0</v>
      </c>
      <c r="X672" s="47">
        <f t="shared" si="449"/>
        <v>0</v>
      </c>
      <c r="Y672" s="47">
        <f t="shared" si="450"/>
        <v>0</v>
      </c>
      <c r="Z672" s="47">
        <f t="shared" si="451"/>
        <v>0</v>
      </c>
      <c r="AB672" s="47">
        <f t="shared" si="438"/>
        <v>0</v>
      </c>
      <c r="AC672" s="47">
        <f t="shared" si="439"/>
        <v>0</v>
      </c>
      <c r="AD672" s="47">
        <f t="shared" si="440"/>
        <v>0</v>
      </c>
      <c r="AE672" s="47">
        <f t="shared" si="441"/>
        <v>0</v>
      </c>
      <c r="AF672" s="47">
        <f t="shared" si="442"/>
        <v>0</v>
      </c>
    </row>
    <row r="673" spans="2:32">
      <c r="B673" s="37" t="str">
        <f t="shared" si="435"/>
        <v>Asset 119</v>
      </c>
      <c r="F673" s="37" t="str">
        <f t="shared" ref="F673:L673" si="501">F177</f>
        <v>06 Utiliteitsgebouwen</v>
      </c>
      <c r="G673" s="37">
        <f t="shared" si="501"/>
        <v>2005</v>
      </c>
      <c r="H673" s="42">
        <f t="shared" si="501"/>
        <v>13716.41</v>
      </c>
      <c r="I673" s="37">
        <f t="shared" si="501"/>
        <v>2021</v>
      </c>
      <c r="J673" s="37">
        <f t="shared" si="501"/>
        <v>30</v>
      </c>
      <c r="K673" s="37">
        <f t="shared" si="501"/>
        <v>0</v>
      </c>
      <c r="L673" s="42">
        <f t="shared" si="501"/>
        <v>7968.2289834864932</v>
      </c>
      <c r="N673" s="38">
        <f t="shared" si="437"/>
        <v>13.5</v>
      </c>
      <c r="P673" s="43">
        <f t="shared" si="446"/>
        <v>590.23918396196245</v>
      </c>
      <c r="Q673" s="43">
        <f t="shared" si="446"/>
        <v>590.23918396196245</v>
      </c>
      <c r="R673" s="43">
        <f t="shared" si="446"/>
        <v>590.23918396196245</v>
      </c>
      <c r="S673" s="43">
        <f t="shared" si="446"/>
        <v>590.23918396196245</v>
      </c>
      <c r="T673" s="43">
        <f t="shared" si="446"/>
        <v>590.23918396196245</v>
      </c>
      <c r="V673" s="47">
        <f t="shared" si="447"/>
        <v>7377.989799524531</v>
      </c>
      <c r="W673" s="47">
        <f t="shared" si="448"/>
        <v>6787.7506155625688</v>
      </c>
      <c r="X673" s="47">
        <f t="shared" si="449"/>
        <v>6197.5114316006066</v>
      </c>
      <c r="Y673" s="47">
        <f t="shared" si="450"/>
        <v>5607.2722476386443</v>
      </c>
      <c r="Z673" s="47">
        <f t="shared" si="451"/>
        <v>5017.0330636766821</v>
      </c>
      <c r="AB673" s="47">
        <f t="shared" si="438"/>
        <v>841.09083714579651</v>
      </c>
      <c r="AC673" s="47">
        <f t="shared" si="439"/>
        <v>814.23495427552723</v>
      </c>
      <c r="AD673" s="47">
        <f t="shared" si="440"/>
        <v>825.74461836278556</v>
      </c>
      <c r="AE673" s="47">
        <f t="shared" si="441"/>
        <v>803.31552937223091</v>
      </c>
      <c r="AF673" s="47">
        <f t="shared" si="442"/>
        <v>780.88644038167638</v>
      </c>
    </row>
    <row r="674" spans="2:32">
      <c r="B674" s="37" t="str">
        <f t="shared" si="435"/>
        <v>Asset 120</v>
      </c>
      <c r="F674" s="37" t="str">
        <f t="shared" ref="F674:L674" si="502">F178</f>
        <v>13 Aanhangwagens</v>
      </c>
      <c r="G674" s="37">
        <f t="shared" si="502"/>
        <v>2005</v>
      </c>
      <c r="H674" s="42">
        <f t="shared" si="502"/>
        <v>5690.5</v>
      </c>
      <c r="I674" s="37">
        <f t="shared" si="502"/>
        <v>2021</v>
      </c>
      <c r="J674" s="37">
        <f t="shared" si="502"/>
        <v>10</v>
      </c>
      <c r="K674" s="37">
        <f t="shared" si="502"/>
        <v>1</v>
      </c>
      <c r="L674" s="42">
        <f t="shared" si="502"/>
        <v>0</v>
      </c>
      <c r="N674" s="38">
        <f t="shared" si="437"/>
        <v>0</v>
      </c>
      <c r="P674" s="43">
        <f t="shared" ref="P674:T724" si="503">IF(P$553&lt;=$G674+$J674,VDB($L674,0,$N674,P$553-2022,MIN(P$553-2021,$N674),1),0)</f>
        <v>0</v>
      </c>
      <c r="Q674" s="43">
        <f t="shared" si="503"/>
        <v>0</v>
      </c>
      <c r="R674" s="43">
        <f t="shared" si="503"/>
        <v>0</v>
      </c>
      <c r="S674" s="43">
        <f t="shared" si="503"/>
        <v>0</v>
      </c>
      <c r="T674" s="43">
        <f t="shared" si="503"/>
        <v>0</v>
      </c>
      <c r="V674" s="47">
        <f t="shared" si="447"/>
        <v>0</v>
      </c>
      <c r="W674" s="47">
        <f t="shared" si="448"/>
        <v>0</v>
      </c>
      <c r="X674" s="47">
        <f t="shared" si="449"/>
        <v>0</v>
      </c>
      <c r="Y674" s="47">
        <f t="shared" si="450"/>
        <v>0</v>
      </c>
      <c r="Z674" s="47">
        <f t="shared" si="451"/>
        <v>0</v>
      </c>
      <c r="AB674" s="47">
        <f t="shared" si="438"/>
        <v>0</v>
      </c>
      <c r="AC674" s="47">
        <f t="shared" si="439"/>
        <v>0</v>
      </c>
      <c r="AD674" s="47">
        <f t="shared" si="440"/>
        <v>0</v>
      </c>
      <c r="AE674" s="47">
        <f t="shared" si="441"/>
        <v>0</v>
      </c>
      <c r="AF674" s="47">
        <f t="shared" si="442"/>
        <v>0</v>
      </c>
    </row>
    <row r="675" spans="2:32">
      <c r="B675" s="37" t="str">
        <f t="shared" si="435"/>
        <v>Asset 121</v>
      </c>
      <c r="F675" s="37" t="str">
        <f t="shared" ref="F675:L675" si="504">F179</f>
        <v>08 Inrichting gebouwen</v>
      </c>
      <c r="G675" s="37">
        <f t="shared" si="504"/>
        <v>2005</v>
      </c>
      <c r="H675" s="42">
        <f t="shared" si="504"/>
        <v>149702.98000000001</v>
      </c>
      <c r="I675" s="37">
        <f t="shared" si="504"/>
        <v>2021</v>
      </c>
      <c r="J675" s="37">
        <f t="shared" si="504"/>
        <v>10</v>
      </c>
      <c r="K675" s="37">
        <f t="shared" si="504"/>
        <v>0</v>
      </c>
      <c r="L675" s="42">
        <f t="shared" si="504"/>
        <v>0</v>
      </c>
      <c r="N675" s="38">
        <f t="shared" si="437"/>
        <v>0</v>
      </c>
      <c r="P675" s="43">
        <f t="shared" si="503"/>
        <v>0</v>
      </c>
      <c r="Q675" s="43">
        <f t="shared" si="503"/>
        <v>0</v>
      </c>
      <c r="R675" s="43">
        <f t="shared" si="503"/>
        <v>0</v>
      </c>
      <c r="S675" s="43">
        <f t="shared" si="503"/>
        <v>0</v>
      </c>
      <c r="T675" s="43">
        <f t="shared" si="503"/>
        <v>0</v>
      </c>
      <c r="V675" s="47">
        <f t="shared" si="447"/>
        <v>0</v>
      </c>
      <c r="W675" s="47">
        <f t="shared" si="448"/>
        <v>0</v>
      </c>
      <c r="X675" s="47">
        <f t="shared" si="449"/>
        <v>0</v>
      </c>
      <c r="Y675" s="47">
        <f t="shared" si="450"/>
        <v>0</v>
      </c>
      <c r="Z675" s="47">
        <f t="shared" si="451"/>
        <v>0</v>
      </c>
      <c r="AB675" s="47">
        <f t="shared" si="438"/>
        <v>0</v>
      </c>
      <c r="AC675" s="47">
        <f t="shared" si="439"/>
        <v>0</v>
      </c>
      <c r="AD675" s="47">
        <f t="shared" si="440"/>
        <v>0</v>
      </c>
      <c r="AE675" s="47">
        <f t="shared" si="441"/>
        <v>0</v>
      </c>
      <c r="AF675" s="47">
        <f t="shared" si="442"/>
        <v>0</v>
      </c>
    </row>
    <row r="676" spans="2:32">
      <c r="B676" s="37" t="str">
        <f t="shared" si="435"/>
        <v>Asset 122</v>
      </c>
      <c r="F676" s="37" t="str">
        <f t="shared" ref="F676:L676" si="505">F180</f>
        <v>12 Motorvoertuigen</v>
      </c>
      <c r="G676" s="37">
        <f t="shared" si="505"/>
        <v>2005</v>
      </c>
      <c r="H676" s="42">
        <f t="shared" si="505"/>
        <v>144500</v>
      </c>
      <c r="I676" s="37">
        <f t="shared" si="505"/>
        <v>2021</v>
      </c>
      <c r="J676" s="37">
        <f t="shared" si="505"/>
        <v>10</v>
      </c>
      <c r="K676" s="37">
        <f t="shared" si="505"/>
        <v>1</v>
      </c>
      <c r="L676" s="42">
        <f t="shared" si="505"/>
        <v>0</v>
      </c>
      <c r="N676" s="38">
        <f t="shared" si="437"/>
        <v>0</v>
      </c>
      <c r="P676" s="43">
        <f t="shared" si="503"/>
        <v>0</v>
      </c>
      <c r="Q676" s="43">
        <f t="shared" si="503"/>
        <v>0</v>
      </c>
      <c r="R676" s="43">
        <f t="shared" si="503"/>
        <v>0</v>
      </c>
      <c r="S676" s="43">
        <f t="shared" si="503"/>
        <v>0</v>
      </c>
      <c r="T676" s="43">
        <f t="shared" si="503"/>
        <v>0</v>
      </c>
      <c r="V676" s="47">
        <f t="shared" si="447"/>
        <v>0</v>
      </c>
      <c r="W676" s="47">
        <f t="shared" si="448"/>
        <v>0</v>
      </c>
      <c r="X676" s="47">
        <f t="shared" si="449"/>
        <v>0</v>
      </c>
      <c r="Y676" s="47">
        <f t="shared" si="450"/>
        <v>0</v>
      </c>
      <c r="Z676" s="47">
        <f t="shared" si="451"/>
        <v>0</v>
      </c>
      <c r="AB676" s="47">
        <f t="shared" si="438"/>
        <v>0</v>
      </c>
      <c r="AC676" s="47">
        <f t="shared" si="439"/>
        <v>0</v>
      </c>
      <c r="AD676" s="47">
        <f t="shared" si="440"/>
        <v>0</v>
      </c>
      <c r="AE676" s="47">
        <f t="shared" si="441"/>
        <v>0</v>
      </c>
      <c r="AF676" s="47">
        <f t="shared" si="442"/>
        <v>0</v>
      </c>
    </row>
    <row r="677" spans="2:32">
      <c r="B677" s="37" t="str">
        <f t="shared" si="435"/>
        <v>Asset 123</v>
      </c>
      <c r="F677" s="37" t="str">
        <f t="shared" ref="F677:L677" si="506">F181</f>
        <v>09 Bedrijfsinventaris</v>
      </c>
      <c r="G677" s="37">
        <f t="shared" si="506"/>
        <v>2005</v>
      </c>
      <c r="H677" s="42">
        <f t="shared" si="506"/>
        <v>22500</v>
      </c>
      <c r="I677" s="37">
        <f t="shared" si="506"/>
        <v>2021</v>
      </c>
      <c r="J677" s="37">
        <f t="shared" si="506"/>
        <v>10</v>
      </c>
      <c r="K677" s="37">
        <f t="shared" si="506"/>
        <v>1</v>
      </c>
      <c r="L677" s="42">
        <f t="shared" si="506"/>
        <v>0</v>
      </c>
      <c r="N677" s="38">
        <f t="shared" si="437"/>
        <v>0</v>
      </c>
      <c r="P677" s="43">
        <f t="shared" si="503"/>
        <v>0</v>
      </c>
      <c r="Q677" s="43">
        <f t="shared" si="503"/>
        <v>0</v>
      </c>
      <c r="R677" s="43">
        <f t="shared" si="503"/>
        <v>0</v>
      </c>
      <c r="S677" s="43">
        <f t="shared" si="503"/>
        <v>0</v>
      </c>
      <c r="T677" s="43">
        <f t="shared" si="503"/>
        <v>0</v>
      </c>
      <c r="V677" s="47">
        <f t="shared" si="447"/>
        <v>0</v>
      </c>
      <c r="W677" s="47">
        <f t="shared" si="448"/>
        <v>0</v>
      </c>
      <c r="X677" s="47">
        <f t="shared" si="449"/>
        <v>0</v>
      </c>
      <c r="Y677" s="47">
        <f t="shared" si="450"/>
        <v>0</v>
      </c>
      <c r="Z677" s="47">
        <f t="shared" si="451"/>
        <v>0</v>
      </c>
      <c r="AB677" s="47">
        <f t="shared" si="438"/>
        <v>0</v>
      </c>
      <c r="AC677" s="47">
        <f t="shared" si="439"/>
        <v>0</v>
      </c>
      <c r="AD677" s="47">
        <f t="shared" si="440"/>
        <v>0</v>
      </c>
      <c r="AE677" s="47">
        <f t="shared" si="441"/>
        <v>0</v>
      </c>
      <c r="AF677" s="47">
        <f t="shared" si="442"/>
        <v>0</v>
      </c>
    </row>
    <row r="678" spans="2:32">
      <c r="B678" s="37" t="str">
        <f t="shared" si="435"/>
        <v>Asset 124</v>
      </c>
      <c r="F678" s="37" t="str">
        <f t="shared" ref="F678:L678" si="507">F182</f>
        <v>14 Overig rollend materieel</v>
      </c>
      <c r="G678" s="37">
        <f t="shared" si="507"/>
        <v>2006</v>
      </c>
      <c r="H678" s="42">
        <f t="shared" si="507"/>
        <v>23374</v>
      </c>
      <c r="I678" s="37">
        <f t="shared" si="507"/>
        <v>2021</v>
      </c>
      <c r="J678" s="37">
        <f t="shared" si="507"/>
        <v>10</v>
      </c>
      <c r="K678" s="37">
        <f t="shared" si="507"/>
        <v>1</v>
      </c>
      <c r="L678" s="42">
        <f t="shared" si="507"/>
        <v>0</v>
      </c>
      <c r="N678" s="38">
        <f t="shared" si="437"/>
        <v>0</v>
      </c>
      <c r="P678" s="43">
        <f t="shared" si="503"/>
        <v>0</v>
      </c>
      <c r="Q678" s="43">
        <f t="shared" si="503"/>
        <v>0</v>
      </c>
      <c r="R678" s="43">
        <f t="shared" si="503"/>
        <v>0</v>
      </c>
      <c r="S678" s="43">
        <f t="shared" si="503"/>
        <v>0</v>
      </c>
      <c r="T678" s="43">
        <f t="shared" si="503"/>
        <v>0</v>
      </c>
      <c r="V678" s="47">
        <f t="shared" si="447"/>
        <v>0</v>
      </c>
      <c r="W678" s="47">
        <f t="shared" si="448"/>
        <v>0</v>
      </c>
      <c r="X678" s="47">
        <f t="shared" si="449"/>
        <v>0</v>
      </c>
      <c r="Y678" s="47">
        <f t="shared" si="450"/>
        <v>0</v>
      </c>
      <c r="Z678" s="47">
        <f t="shared" si="451"/>
        <v>0</v>
      </c>
      <c r="AB678" s="47">
        <f t="shared" si="438"/>
        <v>0</v>
      </c>
      <c r="AC678" s="47">
        <f t="shared" si="439"/>
        <v>0</v>
      </c>
      <c r="AD678" s="47">
        <f t="shared" si="440"/>
        <v>0</v>
      </c>
      <c r="AE678" s="47">
        <f t="shared" si="441"/>
        <v>0</v>
      </c>
      <c r="AF678" s="47">
        <f t="shared" si="442"/>
        <v>0</v>
      </c>
    </row>
    <row r="679" spans="2:32">
      <c r="B679" s="37" t="str">
        <f t="shared" si="435"/>
        <v>Asset 125</v>
      </c>
      <c r="F679" s="37" t="str">
        <f t="shared" ref="F679:L679" si="508">F183</f>
        <v>06 Utiliteitsgebouwen</v>
      </c>
      <c r="G679" s="37">
        <f t="shared" si="508"/>
        <v>2006</v>
      </c>
      <c r="H679" s="42">
        <f t="shared" si="508"/>
        <v>216791.4</v>
      </c>
      <c r="I679" s="37">
        <f t="shared" si="508"/>
        <v>2021</v>
      </c>
      <c r="J679" s="37">
        <f t="shared" si="508"/>
        <v>30</v>
      </c>
      <c r="K679" s="37">
        <f t="shared" si="508"/>
        <v>0</v>
      </c>
      <c r="L679" s="42">
        <f t="shared" si="508"/>
        <v>132877.0119526372</v>
      </c>
      <c r="N679" s="38">
        <f t="shared" si="437"/>
        <v>14.5</v>
      </c>
      <c r="P679" s="43">
        <f t="shared" si="503"/>
        <v>9163.9318588025653</v>
      </c>
      <c r="Q679" s="43">
        <f t="shared" si="503"/>
        <v>9163.9318588025653</v>
      </c>
      <c r="R679" s="43">
        <f t="shared" si="503"/>
        <v>9163.9318588025653</v>
      </c>
      <c r="S679" s="43">
        <f t="shared" si="503"/>
        <v>9163.9318588025653</v>
      </c>
      <c r="T679" s="43">
        <f t="shared" si="503"/>
        <v>9163.9318588025653</v>
      </c>
      <c r="V679" s="47">
        <f t="shared" si="447"/>
        <v>123713.08009383464</v>
      </c>
      <c r="W679" s="47">
        <f t="shared" si="448"/>
        <v>114549.14823503207</v>
      </c>
      <c r="X679" s="47">
        <f t="shared" si="449"/>
        <v>105385.21637622951</v>
      </c>
      <c r="Y679" s="47">
        <f t="shared" si="450"/>
        <v>96221.284517426946</v>
      </c>
      <c r="Z679" s="47">
        <f t="shared" si="451"/>
        <v>87057.352658624382</v>
      </c>
      <c r="AB679" s="47">
        <f t="shared" si="438"/>
        <v>13370.176581992942</v>
      </c>
      <c r="AC679" s="47">
        <f t="shared" si="439"/>
        <v>12944.053750558624</v>
      </c>
      <c r="AD679" s="47">
        <f t="shared" si="440"/>
        <v>13168.570081099286</v>
      </c>
      <c r="AE679" s="47">
        <f t="shared" si="441"/>
        <v>12820.34067046479</v>
      </c>
      <c r="AF679" s="47">
        <f t="shared" si="442"/>
        <v>12472.111259830292</v>
      </c>
    </row>
    <row r="680" spans="2:32">
      <c r="B680" s="37" t="str">
        <f t="shared" si="435"/>
        <v>Asset 126</v>
      </c>
      <c r="F680" s="37" t="str">
        <f t="shared" ref="F680:L680" si="509">F184</f>
        <v>11 Werktuigen</v>
      </c>
      <c r="G680" s="37">
        <f t="shared" si="509"/>
        <v>2006</v>
      </c>
      <c r="H680" s="42">
        <f t="shared" si="509"/>
        <v>39984.959999999999</v>
      </c>
      <c r="I680" s="37">
        <f t="shared" si="509"/>
        <v>2021</v>
      </c>
      <c r="J680" s="37">
        <f t="shared" si="509"/>
        <v>10</v>
      </c>
      <c r="K680" s="37">
        <f t="shared" si="509"/>
        <v>1</v>
      </c>
      <c r="L680" s="42">
        <f t="shared" si="509"/>
        <v>0</v>
      </c>
      <c r="N680" s="38">
        <f t="shared" si="437"/>
        <v>0</v>
      </c>
      <c r="P680" s="43">
        <f t="shared" si="503"/>
        <v>0</v>
      </c>
      <c r="Q680" s="43">
        <f t="shared" si="503"/>
        <v>0</v>
      </c>
      <c r="R680" s="43">
        <f t="shared" si="503"/>
        <v>0</v>
      </c>
      <c r="S680" s="43">
        <f t="shared" si="503"/>
        <v>0</v>
      </c>
      <c r="T680" s="43">
        <f t="shared" si="503"/>
        <v>0</v>
      </c>
      <c r="V680" s="47">
        <f t="shared" si="447"/>
        <v>0</v>
      </c>
      <c r="W680" s="47">
        <f t="shared" si="448"/>
        <v>0</v>
      </c>
      <c r="X680" s="47">
        <f t="shared" si="449"/>
        <v>0</v>
      </c>
      <c r="Y680" s="47">
        <f t="shared" si="450"/>
        <v>0</v>
      </c>
      <c r="Z680" s="47">
        <f t="shared" si="451"/>
        <v>0</v>
      </c>
      <c r="AB680" s="47">
        <f t="shared" si="438"/>
        <v>0</v>
      </c>
      <c r="AC680" s="47">
        <f t="shared" si="439"/>
        <v>0</v>
      </c>
      <c r="AD680" s="47">
        <f t="shared" si="440"/>
        <v>0</v>
      </c>
      <c r="AE680" s="47">
        <f t="shared" si="441"/>
        <v>0</v>
      </c>
      <c r="AF680" s="47">
        <f t="shared" si="442"/>
        <v>0</v>
      </c>
    </row>
    <row r="681" spans="2:32">
      <c r="B681" s="37" t="str">
        <f t="shared" si="435"/>
        <v>Asset 127</v>
      </c>
      <c r="F681" s="37" t="str">
        <f t="shared" ref="F681:L681" si="510">F185</f>
        <v>06 Utiliteitsgebouwen</v>
      </c>
      <c r="G681" s="37">
        <f t="shared" si="510"/>
        <v>2007</v>
      </c>
      <c r="H681" s="42">
        <f t="shared" si="510"/>
        <v>25858.771191949236</v>
      </c>
      <c r="I681" s="37">
        <f t="shared" si="510"/>
        <v>2021</v>
      </c>
      <c r="J681" s="37">
        <f t="shared" si="510"/>
        <v>30</v>
      </c>
      <c r="K681" s="37">
        <f t="shared" si="510"/>
        <v>0</v>
      </c>
      <c r="L681" s="42">
        <f t="shared" si="510"/>
        <v>16708.652536273155</v>
      </c>
      <c r="N681" s="38">
        <f t="shared" si="437"/>
        <v>15.5</v>
      </c>
      <c r="P681" s="43">
        <f t="shared" si="503"/>
        <v>1077.977582985365</v>
      </c>
      <c r="Q681" s="43">
        <f t="shared" si="503"/>
        <v>1077.977582985365</v>
      </c>
      <c r="R681" s="43">
        <f t="shared" si="503"/>
        <v>1077.977582985365</v>
      </c>
      <c r="S681" s="43">
        <f t="shared" si="503"/>
        <v>1077.977582985365</v>
      </c>
      <c r="T681" s="43">
        <f t="shared" si="503"/>
        <v>1077.977582985365</v>
      </c>
      <c r="V681" s="47">
        <f t="shared" si="447"/>
        <v>15630.674953287791</v>
      </c>
      <c r="W681" s="47">
        <f t="shared" si="448"/>
        <v>14552.697370302427</v>
      </c>
      <c r="X681" s="47">
        <f t="shared" si="449"/>
        <v>13474.719787317063</v>
      </c>
      <c r="Y681" s="47">
        <f t="shared" si="450"/>
        <v>12396.742204331698</v>
      </c>
      <c r="Z681" s="47">
        <f t="shared" si="451"/>
        <v>11318.764621346334</v>
      </c>
      <c r="AB681" s="47">
        <f t="shared" si="438"/>
        <v>1609.4205313971499</v>
      </c>
      <c r="AC681" s="47">
        <f t="shared" si="439"/>
        <v>1558.216596205345</v>
      </c>
      <c r="AD681" s="47">
        <f t="shared" si="440"/>
        <v>1590.0169349034134</v>
      </c>
      <c r="AE681" s="47">
        <f t="shared" si="441"/>
        <v>1549.0537867499695</v>
      </c>
      <c r="AF681" s="47">
        <f t="shared" si="442"/>
        <v>1508.0906385965257</v>
      </c>
    </row>
    <row r="682" spans="2:32">
      <c r="B682" s="37" t="str">
        <f t="shared" si="435"/>
        <v>Asset 128</v>
      </c>
      <c r="F682" s="37" t="str">
        <f t="shared" ref="F682:L682" si="511">F186</f>
        <v>11 Werktuigen</v>
      </c>
      <c r="G682" s="37">
        <f t="shared" si="511"/>
        <v>2007</v>
      </c>
      <c r="H682" s="42">
        <f t="shared" si="511"/>
        <v>1088351.8199999998</v>
      </c>
      <c r="I682" s="37">
        <f t="shared" si="511"/>
        <v>2021</v>
      </c>
      <c r="J682" s="37">
        <f t="shared" si="511"/>
        <v>10</v>
      </c>
      <c r="K682" s="37">
        <f t="shared" si="511"/>
        <v>1</v>
      </c>
      <c r="L682" s="42">
        <f t="shared" si="511"/>
        <v>0</v>
      </c>
      <c r="N682" s="38">
        <f t="shared" si="437"/>
        <v>0</v>
      </c>
      <c r="P682" s="43">
        <f t="shared" si="503"/>
        <v>0</v>
      </c>
      <c r="Q682" s="43">
        <f t="shared" si="503"/>
        <v>0</v>
      </c>
      <c r="R682" s="43">
        <f t="shared" si="503"/>
        <v>0</v>
      </c>
      <c r="S682" s="43">
        <f t="shared" si="503"/>
        <v>0</v>
      </c>
      <c r="T682" s="43">
        <f t="shared" si="503"/>
        <v>0</v>
      </c>
      <c r="V682" s="47">
        <f t="shared" si="447"/>
        <v>0</v>
      </c>
      <c r="W682" s="47">
        <f t="shared" si="448"/>
        <v>0</v>
      </c>
      <c r="X682" s="47">
        <f t="shared" si="449"/>
        <v>0</v>
      </c>
      <c r="Y682" s="47">
        <f t="shared" si="450"/>
        <v>0</v>
      </c>
      <c r="Z682" s="47">
        <f t="shared" si="451"/>
        <v>0</v>
      </c>
      <c r="AB682" s="47">
        <f t="shared" si="438"/>
        <v>0</v>
      </c>
      <c r="AC682" s="47">
        <f t="shared" si="439"/>
        <v>0</v>
      </c>
      <c r="AD682" s="47">
        <f t="shared" si="440"/>
        <v>0</v>
      </c>
      <c r="AE682" s="47">
        <f t="shared" si="441"/>
        <v>0</v>
      </c>
      <c r="AF682" s="47">
        <f t="shared" si="442"/>
        <v>0</v>
      </c>
    </row>
    <row r="683" spans="2:32">
      <c r="B683" s="37" t="str">
        <f t="shared" si="435"/>
        <v>Asset 129</v>
      </c>
      <c r="F683" s="37" t="str">
        <f t="shared" ref="F683:L683" si="512">F187</f>
        <v>14 Overig rollend materieel</v>
      </c>
      <c r="G683" s="37">
        <f t="shared" si="512"/>
        <v>2007</v>
      </c>
      <c r="H683" s="42">
        <f t="shared" si="512"/>
        <v>661943.85</v>
      </c>
      <c r="I683" s="37">
        <f t="shared" si="512"/>
        <v>2021</v>
      </c>
      <c r="J683" s="37">
        <f t="shared" si="512"/>
        <v>10</v>
      </c>
      <c r="K683" s="37">
        <f t="shared" si="512"/>
        <v>1</v>
      </c>
      <c r="L683" s="42">
        <f t="shared" si="512"/>
        <v>0</v>
      </c>
      <c r="N683" s="38">
        <f t="shared" si="437"/>
        <v>0</v>
      </c>
      <c r="P683" s="43">
        <f t="shared" si="503"/>
        <v>0</v>
      </c>
      <c r="Q683" s="43">
        <f t="shared" si="503"/>
        <v>0</v>
      </c>
      <c r="R683" s="43">
        <f t="shared" si="503"/>
        <v>0</v>
      </c>
      <c r="S683" s="43">
        <f t="shared" si="503"/>
        <v>0</v>
      </c>
      <c r="T683" s="43">
        <f t="shared" si="503"/>
        <v>0</v>
      </c>
      <c r="V683" s="47">
        <f t="shared" si="447"/>
        <v>0</v>
      </c>
      <c r="W683" s="47">
        <f t="shared" si="448"/>
        <v>0</v>
      </c>
      <c r="X683" s="47">
        <f t="shared" si="449"/>
        <v>0</v>
      </c>
      <c r="Y683" s="47">
        <f t="shared" si="450"/>
        <v>0</v>
      </c>
      <c r="Z683" s="47">
        <f t="shared" si="451"/>
        <v>0</v>
      </c>
      <c r="AB683" s="47">
        <f t="shared" si="438"/>
        <v>0</v>
      </c>
      <c r="AC683" s="47">
        <f t="shared" si="439"/>
        <v>0</v>
      </c>
      <c r="AD683" s="47">
        <f t="shared" si="440"/>
        <v>0</v>
      </c>
      <c r="AE683" s="47">
        <f t="shared" si="441"/>
        <v>0</v>
      </c>
      <c r="AF683" s="47">
        <f t="shared" si="442"/>
        <v>0</v>
      </c>
    </row>
    <row r="684" spans="2:32">
      <c r="B684" s="37" t="str">
        <f t="shared" ref="B684:B747" si="513">B188</f>
        <v>Asset 130</v>
      </c>
      <c r="F684" s="37" t="str">
        <f t="shared" ref="F684:L684" si="514">F188</f>
        <v>12 Motorvoertuigen</v>
      </c>
      <c r="G684" s="37">
        <f t="shared" si="514"/>
        <v>2007</v>
      </c>
      <c r="H684" s="42">
        <f t="shared" si="514"/>
        <v>154091.65000000002</v>
      </c>
      <c r="I684" s="37">
        <f t="shared" si="514"/>
        <v>2021</v>
      </c>
      <c r="J684" s="37">
        <f t="shared" si="514"/>
        <v>10</v>
      </c>
      <c r="K684" s="37">
        <f t="shared" si="514"/>
        <v>1</v>
      </c>
      <c r="L684" s="42">
        <f t="shared" si="514"/>
        <v>0</v>
      </c>
      <c r="N684" s="38">
        <f t="shared" ref="N684:N747" si="515">MAX(0,IF(G684&lt;=2021, J684-2021+G684-0.5,J684))</f>
        <v>0</v>
      </c>
      <c r="P684" s="43">
        <f t="shared" si="503"/>
        <v>0</v>
      </c>
      <c r="Q684" s="43">
        <f t="shared" si="503"/>
        <v>0</v>
      </c>
      <c r="R684" s="43">
        <f t="shared" si="503"/>
        <v>0</v>
      </c>
      <c r="S684" s="43">
        <f t="shared" si="503"/>
        <v>0</v>
      </c>
      <c r="T684" s="43">
        <f t="shared" si="503"/>
        <v>0</v>
      </c>
      <c r="V684" s="47">
        <f t="shared" si="447"/>
        <v>0</v>
      </c>
      <c r="W684" s="47">
        <f t="shared" si="448"/>
        <v>0</v>
      </c>
      <c r="X684" s="47">
        <f t="shared" si="449"/>
        <v>0</v>
      </c>
      <c r="Y684" s="47">
        <f t="shared" si="450"/>
        <v>0</v>
      </c>
      <c r="Z684" s="47">
        <f t="shared" si="451"/>
        <v>0</v>
      </c>
      <c r="AB684" s="47">
        <f t="shared" ref="AB684:AB747" si="516">(P684+V684*I$16)*IF($K684=1,$F$19,1)</f>
        <v>0</v>
      </c>
      <c r="AC684" s="47">
        <f t="shared" ref="AC684:AC747" si="517">(Q684+W684*J$16)*IF($K684=1,$F$19,1)</f>
        <v>0</v>
      </c>
      <c r="AD684" s="47">
        <f t="shared" ref="AD684:AD747" si="518">(R684+X684*K$16)*IF($K684=1,$F$19,1)</f>
        <v>0</v>
      </c>
      <c r="AE684" s="47">
        <f t="shared" ref="AE684:AE747" si="519">(S684+Y684*L$16)*IF($K684=1,$F$19,1)</f>
        <v>0</v>
      </c>
      <c r="AF684" s="47">
        <f t="shared" ref="AF684:AF747" si="520">(T684+Z684*M$16)*IF($K684=1,$F$19,1)</f>
        <v>0</v>
      </c>
    </row>
    <row r="685" spans="2:32">
      <c r="B685" s="37" t="str">
        <f t="shared" si="513"/>
        <v>Asset 131</v>
      </c>
      <c r="F685" s="37" t="str">
        <f t="shared" ref="F685:L685" si="521">F189</f>
        <v>05 Wegen en terreinvoorzieningen</v>
      </c>
      <c r="G685" s="37">
        <f t="shared" si="521"/>
        <v>2007</v>
      </c>
      <c r="H685" s="42">
        <f t="shared" si="521"/>
        <v>79744.08</v>
      </c>
      <c r="I685" s="37">
        <f t="shared" si="521"/>
        <v>2021</v>
      </c>
      <c r="J685" s="37">
        <f t="shared" si="521"/>
        <v>10</v>
      </c>
      <c r="K685" s="37">
        <f t="shared" si="521"/>
        <v>0</v>
      </c>
      <c r="L685" s="42">
        <f t="shared" si="521"/>
        <v>0</v>
      </c>
      <c r="N685" s="38">
        <f t="shared" si="515"/>
        <v>0</v>
      </c>
      <c r="P685" s="43">
        <f t="shared" si="503"/>
        <v>0</v>
      </c>
      <c r="Q685" s="43">
        <f t="shared" si="503"/>
        <v>0</v>
      </c>
      <c r="R685" s="43">
        <f t="shared" si="503"/>
        <v>0</v>
      </c>
      <c r="S685" s="43">
        <f t="shared" si="503"/>
        <v>0</v>
      </c>
      <c r="T685" s="43">
        <f t="shared" si="503"/>
        <v>0</v>
      </c>
      <c r="V685" s="47">
        <f t="shared" si="447"/>
        <v>0</v>
      </c>
      <c r="W685" s="47">
        <f t="shared" si="448"/>
        <v>0</v>
      </c>
      <c r="X685" s="47">
        <f t="shared" si="449"/>
        <v>0</v>
      </c>
      <c r="Y685" s="47">
        <f t="shared" si="450"/>
        <v>0</v>
      </c>
      <c r="Z685" s="47">
        <f t="shared" si="451"/>
        <v>0</v>
      </c>
      <c r="AB685" s="47">
        <f t="shared" si="516"/>
        <v>0</v>
      </c>
      <c r="AC685" s="47">
        <f t="shared" si="517"/>
        <v>0</v>
      </c>
      <c r="AD685" s="47">
        <f t="shared" si="518"/>
        <v>0</v>
      </c>
      <c r="AE685" s="47">
        <f t="shared" si="519"/>
        <v>0</v>
      </c>
      <c r="AF685" s="47">
        <f t="shared" si="520"/>
        <v>0</v>
      </c>
    </row>
    <row r="686" spans="2:32">
      <c r="B686" s="37" t="str">
        <f t="shared" si="513"/>
        <v>Asset 132</v>
      </c>
      <c r="F686" s="37" t="str">
        <f t="shared" ref="F686:L686" si="522">F190</f>
        <v>20 Kantoorgebouwen</v>
      </c>
      <c r="G686" s="37">
        <f t="shared" si="522"/>
        <v>2008</v>
      </c>
      <c r="H686" s="42">
        <f t="shared" si="522"/>
        <v>4978200.5000000009</v>
      </c>
      <c r="I686" s="37">
        <f t="shared" si="522"/>
        <v>2021</v>
      </c>
      <c r="J686" s="37">
        <f t="shared" si="522"/>
        <v>30</v>
      </c>
      <c r="K686" s="37">
        <f t="shared" si="522"/>
        <v>0</v>
      </c>
      <c r="L686" s="42">
        <f t="shared" si="522"/>
        <v>3386936.2239016104</v>
      </c>
      <c r="N686" s="38">
        <f t="shared" si="515"/>
        <v>16.5</v>
      </c>
      <c r="P686" s="43">
        <f t="shared" si="503"/>
        <v>205268.86205464305</v>
      </c>
      <c r="Q686" s="43">
        <f t="shared" si="503"/>
        <v>205268.86205464305</v>
      </c>
      <c r="R686" s="43">
        <f t="shared" si="503"/>
        <v>205268.86205464305</v>
      </c>
      <c r="S686" s="43">
        <f t="shared" si="503"/>
        <v>205268.86205464305</v>
      </c>
      <c r="T686" s="43">
        <f t="shared" si="503"/>
        <v>205268.86205464305</v>
      </c>
      <c r="V686" s="47">
        <f t="shared" si="447"/>
        <v>3181667.3618469671</v>
      </c>
      <c r="W686" s="47">
        <f t="shared" si="448"/>
        <v>2976398.4997923239</v>
      </c>
      <c r="X686" s="47">
        <f t="shared" si="449"/>
        <v>2771129.6377376807</v>
      </c>
      <c r="Y686" s="47">
        <f t="shared" si="450"/>
        <v>2565860.7756830375</v>
      </c>
      <c r="Z686" s="47">
        <f t="shared" si="451"/>
        <v>2360591.9136283942</v>
      </c>
      <c r="AB686" s="47">
        <f t="shared" si="516"/>
        <v>313445.55235743994</v>
      </c>
      <c r="AC686" s="47">
        <f t="shared" si="517"/>
        <v>303490.01254778972</v>
      </c>
      <c r="AD686" s="47">
        <f t="shared" si="518"/>
        <v>310571.7882886749</v>
      </c>
      <c r="AE686" s="47">
        <f t="shared" si="519"/>
        <v>302771.57153059845</v>
      </c>
      <c r="AF686" s="47">
        <f t="shared" si="520"/>
        <v>294971.354772522</v>
      </c>
    </row>
    <row r="687" spans="2:32">
      <c r="B687" s="37" t="str">
        <f t="shared" si="513"/>
        <v>Asset 133</v>
      </c>
      <c r="F687" s="37" t="str">
        <f t="shared" ref="F687:L687" si="523">F191</f>
        <v>06 Utiliteitsgebouwen</v>
      </c>
      <c r="G687" s="37">
        <f t="shared" si="523"/>
        <v>2008</v>
      </c>
      <c r="H687" s="42">
        <f t="shared" si="523"/>
        <v>233293.04544821067</v>
      </c>
      <c r="I687" s="37">
        <f t="shared" si="523"/>
        <v>2021</v>
      </c>
      <c r="J687" s="37">
        <f t="shared" si="523"/>
        <v>30</v>
      </c>
      <c r="K687" s="37">
        <f t="shared" si="523"/>
        <v>0</v>
      </c>
      <c r="L687" s="42">
        <f t="shared" si="523"/>
        <v>158721.74421517763</v>
      </c>
      <c r="N687" s="38">
        <f t="shared" si="515"/>
        <v>16.5</v>
      </c>
      <c r="P687" s="43">
        <f t="shared" si="503"/>
        <v>9619.4996494047045</v>
      </c>
      <c r="Q687" s="43">
        <f t="shared" si="503"/>
        <v>9619.4996494047064</v>
      </c>
      <c r="R687" s="43">
        <f t="shared" si="503"/>
        <v>9619.4996494047064</v>
      </c>
      <c r="S687" s="43">
        <f t="shared" si="503"/>
        <v>9619.4996494047064</v>
      </c>
      <c r="T687" s="43">
        <f t="shared" si="503"/>
        <v>9619.4996494047064</v>
      </c>
      <c r="V687" s="47">
        <f t="shared" ref="V687:V750" si="524">IF(OR(V$553&lt;=$G687+$J687,$J687=0),IF(U687=0,$L687,U687)-P687,0)</f>
        <v>149102.24456577294</v>
      </c>
      <c r="W687" s="47">
        <f t="shared" ref="W687:W750" si="525">IF(OR(W$553&lt;=$G687+$J687,$J687=0),IF(V687=0,$L687,V687)-Q687,0)</f>
        <v>139482.74491636825</v>
      </c>
      <c r="X687" s="47">
        <f t="shared" ref="X687:X750" si="526">IF(OR(X$553&lt;=$G687+$J687,$J687=0),IF(W687=0,$L687,W687)-R687,0)</f>
        <v>129863.24526696354</v>
      </c>
      <c r="Y687" s="47">
        <f t="shared" ref="Y687:Y750" si="527">IF(OR(Y$553&lt;=$G687+$J687,$J687=0),IF(X687=0,$L687,X687)-S687,0)</f>
        <v>120243.74561755883</v>
      </c>
      <c r="Z687" s="47">
        <f t="shared" ref="Z687:Z750" si="528">IF(OR(Z$553&lt;=$G687+$J687,$J687=0),IF(Y687=0,$L687,Y687)-T687,0)</f>
        <v>110624.24596815412</v>
      </c>
      <c r="AB687" s="47">
        <f>(P687+V687*I$16)*IF($K687=1,$F$19,1)</f>
        <v>14688.975964640984</v>
      </c>
      <c r="AC687" s="47">
        <f t="shared" si="517"/>
        <v>14222.430231644859</v>
      </c>
      <c r="AD687" s="47">
        <f t="shared" si="518"/>
        <v>14554.302969549321</v>
      </c>
      <c r="AE687" s="47">
        <f t="shared" si="519"/>
        <v>14188.761982871942</v>
      </c>
      <c r="AF687" s="47">
        <f t="shared" si="520"/>
        <v>13823.220996194563</v>
      </c>
    </row>
    <row r="688" spans="2:32">
      <c r="B688" s="37" t="str">
        <f t="shared" si="513"/>
        <v>Asset 134</v>
      </c>
      <c r="F688" s="37" t="str">
        <f t="shared" ref="F688:L688" si="529">F192</f>
        <v>10 Gereedschap</v>
      </c>
      <c r="G688" s="37">
        <f t="shared" si="529"/>
        <v>2008</v>
      </c>
      <c r="H688" s="42">
        <f t="shared" si="529"/>
        <v>178157.88</v>
      </c>
      <c r="I688" s="37">
        <f t="shared" si="529"/>
        <v>2021</v>
      </c>
      <c r="J688" s="37">
        <f t="shared" si="529"/>
        <v>10</v>
      </c>
      <c r="K688" s="37">
        <f t="shared" si="529"/>
        <v>1</v>
      </c>
      <c r="L688" s="42">
        <f t="shared" si="529"/>
        <v>0</v>
      </c>
      <c r="N688" s="38">
        <f t="shared" si="515"/>
        <v>0</v>
      </c>
      <c r="P688" s="43">
        <f t="shared" si="503"/>
        <v>0</v>
      </c>
      <c r="Q688" s="43">
        <f t="shared" si="503"/>
        <v>0</v>
      </c>
      <c r="R688" s="43">
        <f t="shared" si="503"/>
        <v>0</v>
      </c>
      <c r="S688" s="43">
        <f t="shared" si="503"/>
        <v>0</v>
      </c>
      <c r="T688" s="43">
        <f t="shared" si="503"/>
        <v>0</v>
      </c>
      <c r="V688" s="47">
        <f t="shared" si="524"/>
        <v>0</v>
      </c>
      <c r="W688" s="47">
        <f t="shared" si="525"/>
        <v>0</v>
      </c>
      <c r="X688" s="47">
        <f t="shared" si="526"/>
        <v>0</v>
      </c>
      <c r="Y688" s="47">
        <f t="shared" si="527"/>
        <v>0</v>
      </c>
      <c r="Z688" s="47">
        <f t="shared" si="528"/>
        <v>0</v>
      </c>
      <c r="AB688" s="47">
        <f t="shared" si="516"/>
        <v>0</v>
      </c>
      <c r="AC688" s="47">
        <f t="shared" si="517"/>
        <v>0</v>
      </c>
      <c r="AD688" s="47">
        <f t="shared" si="518"/>
        <v>0</v>
      </c>
      <c r="AE688" s="47">
        <f t="shared" si="519"/>
        <v>0</v>
      </c>
      <c r="AF688" s="47">
        <f t="shared" si="520"/>
        <v>0</v>
      </c>
    </row>
    <row r="689" spans="2:32">
      <c r="B689" s="37" t="str">
        <f t="shared" si="513"/>
        <v>Asset 135</v>
      </c>
      <c r="F689" s="37" t="str">
        <f t="shared" ref="F689:L689" si="530">F193</f>
        <v>14 Overig rollend materieel</v>
      </c>
      <c r="G689" s="37">
        <f t="shared" si="530"/>
        <v>2008</v>
      </c>
      <c r="H689" s="42">
        <f t="shared" si="530"/>
        <v>1299449.8500000001</v>
      </c>
      <c r="I689" s="37">
        <f t="shared" si="530"/>
        <v>2021</v>
      </c>
      <c r="J689" s="37">
        <f t="shared" si="530"/>
        <v>10</v>
      </c>
      <c r="K689" s="37">
        <f t="shared" si="530"/>
        <v>1</v>
      </c>
      <c r="L689" s="42">
        <f t="shared" si="530"/>
        <v>0</v>
      </c>
      <c r="N689" s="38">
        <f t="shared" si="515"/>
        <v>0</v>
      </c>
      <c r="P689" s="43">
        <f t="shared" si="503"/>
        <v>0</v>
      </c>
      <c r="Q689" s="43">
        <f t="shared" si="503"/>
        <v>0</v>
      </c>
      <c r="R689" s="43">
        <f t="shared" si="503"/>
        <v>0</v>
      </c>
      <c r="S689" s="43">
        <f t="shared" si="503"/>
        <v>0</v>
      </c>
      <c r="T689" s="43">
        <f t="shared" si="503"/>
        <v>0</v>
      </c>
      <c r="V689" s="47">
        <f t="shared" si="524"/>
        <v>0</v>
      </c>
      <c r="W689" s="47">
        <f t="shared" si="525"/>
        <v>0</v>
      </c>
      <c r="X689" s="47">
        <f t="shared" si="526"/>
        <v>0</v>
      </c>
      <c r="Y689" s="47">
        <f t="shared" si="527"/>
        <v>0</v>
      </c>
      <c r="Z689" s="47">
        <f t="shared" si="528"/>
        <v>0</v>
      </c>
      <c r="AB689" s="47">
        <f t="shared" si="516"/>
        <v>0</v>
      </c>
      <c r="AC689" s="47">
        <f t="shared" si="517"/>
        <v>0</v>
      </c>
      <c r="AD689" s="47">
        <f t="shared" si="518"/>
        <v>0</v>
      </c>
      <c r="AE689" s="47">
        <f t="shared" si="519"/>
        <v>0</v>
      </c>
      <c r="AF689" s="47">
        <f t="shared" si="520"/>
        <v>0</v>
      </c>
    </row>
    <row r="690" spans="2:32">
      <c r="B690" s="37" t="str">
        <f t="shared" si="513"/>
        <v>Asset 136</v>
      </c>
      <c r="F690" s="37" t="str">
        <f t="shared" ref="F690:L690" si="531">F194</f>
        <v>37 ICT middelen 1 (gaschromatografen en comptabele meting)</v>
      </c>
      <c r="G690" s="37">
        <f t="shared" si="531"/>
        <v>2008</v>
      </c>
      <c r="H690" s="42">
        <f t="shared" si="531"/>
        <v>8310.1200000000008</v>
      </c>
      <c r="I690" s="37">
        <f t="shared" si="531"/>
        <v>2021</v>
      </c>
      <c r="J690" s="37">
        <f t="shared" si="531"/>
        <v>5</v>
      </c>
      <c r="K690" s="37">
        <f t="shared" si="531"/>
        <v>0</v>
      </c>
      <c r="L690" s="42">
        <f t="shared" si="531"/>
        <v>0</v>
      </c>
      <c r="N690" s="38">
        <f t="shared" si="515"/>
        <v>0</v>
      </c>
      <c r="P690" s="43">
        <f t="shared" si="503"/>
        <v>0</v>
      </c>
      <c r="Q690" s="43">
        <f t="shared" si="503"/>
        <v>0</v>
      </c>
      <c r="R690" s="43">
        <f t="shared" si="503"/>
        <v>0</v>
      </c>
      <c r="S690" s="43">
        <f t="shared" si="503"/>
        <v>0</v>
      </c>
      <c r="T690" s="43">
        <f t="shared" si="503"/>
        <v>0</v>
      </c>
      <c r="V690" s="47">
        <f t="shared" si="524"/>
        <v>0</v>
      </c>
      <c r="W690" s="47">
        <f t="shared" si="525"/>
        <v>0</v>
      </c>
      <c r="X690" s="47">
        <f t="shared" si="526"/>
        <v>0</v>
      </c>
      <c r="Y690" s="47">
        <f t="shared" si="527"/>
        <v>0</v>
      </c>
      <c r="Z690" s="47">
        <f t="shared" si="528"/>
        <v>0</v>
      </c>
      <c r="AB690" s="47">
        <f t="shared" si="516"/>
        <v>0</v>
      </c>
      <c r="AC690" s="47">
        <f t="shared" si="517"/>
        <v>0</v>
      </c>
      <c r="AD690" s="47">
        <f t="shared" si="518"/>
        <v>0</v>
      </c>
      <c r="AE690" s="47">
        <f t="shared" si="519"/>
        <v>0</v>
      </c>
      <c r="AF690" s="47">
        <f t="shared" si="520"/>
        <v>0</v>
      </c>
    </row>
    <row r="691" spans="2:32">
      <c r="B691" s="37" t="str">
        <f t="shared" si="513"/>
        <v>Asset 137</v>
      </c>
      <c r="F691" s="37" t="str">
        <f t="shared" ref="F691:L691" si="532">F195</f>
        <v>11 Werktuigen</v>
      </c>
      <c r="G691" s="37">
        <f t="shared" si="532"/>
        <v>2008</v>
      </c>
      <c r="H691" s="42">
        <f t="shared" si="532"/>
        <v>427546.18</v>
      </c>
      <c r="I691" s="37">
        <f t="shared" si="532"/>
        <v>2021</v>
      </c>
      <c r="J691" s="37">
        <f t="shared" si="532"/>
        <v>10</v>
      </c>
      <c r="K691" s="37">
        <f t="shared" si="532"/>
        <v>1</v>
      </c>
      <c r="L691" s="42">
        <f t="shared" si="532"/>
        <v>0</v>
      </c>
      <c r="N691" s="38">
        <f t="shared" si="515"/>
        <v>0</v>
      </c>
      <c r="P691" s="43">
        <f t="shared" si="503"/>
        <v>0</v>
      </c>
      <c r="Q691" s="43">
        <f t="shared" si="503"/>
        <v>0</v>
      </c>
      <c r="R691" s="43">
        <f t="shared" si="503"/>
        <v>0</v>
      </c>
      <c r="S691" s="43">
        <f t="shared" si="503"/>
        <v>0</v>
      </c>
      <c r="T691" s="43">
        <f t="shared" si="503"/>
        <v>0</v>
      </c>
      <c r="V691" s="47">
        <f t="shared" si="524"/>
        <v>0</v>
      </c>
      <c r="W691" s="47">
        <f t="shared" si="525"/>
        <v>0</v>
      </c>
      <c r="X691" s="47">
        <f t="shared" si="526"/>
        <v>0</v>
      </c>
      <c r="Y691" s="47">
        <f t="shared" si="527"/>
        <v>0</v>
      </c>
      <c r="Z691" s="47">
        <f t="shared" si="528"/>
        <v>0</v>
      </c>
      <c r="AB691" s="47">
        <f t="shared" si="516"/>
        <v>0</v>
      </c>
      <c r="AC691" s="47">
        <f t="shared" si="517"/>
        <v>0</v>
      </c>
      <c r="AD691" s="47">
        <f t="shared" si="518"/>
        <v>0</v>
      </c>
      <c r="AE691" s="47">
        <f t="shared" si="519"/>
        <v>0</v>
      </c>
      <c r="AF691" s="47">
        <f t="shared" si="520"/>
        <v>0</v>
      </c>
    </row>
    <row r="692" spans="2:32">
      <c r="B692" s="37" t="str">
        <f t="shared" si="513"/>
        <v>Asset 138</v>
      </c>
      <c r="F692" s="37" t="str">
        <f t="shared" ref="F692:L692" si="533">F196</f>
        <v>08 Inrichting gebouwen</v>
      </c>
      <c r="G692" s="37">
        <f t="shared" si="533"/>
        <v>2008</v>
      </c>
      <c r="H692" s="42">
        <f t="shared" si="533"/>
        <v>1194171.3899999999</v>
      </c>
      <c r="I692" s="37">
        <f t="shared" si="533"/>
        <v>2021</v>
      </c>
      <c r="J692" s="37">
        <f t="shared" si="533"/>
        <v>10</v>
      </c>
      <c r="K692" s="37">
        <f t="shared" si="533"/>
        <v>0</v>
      </c>
      <c r="L692" s="42">
        <f t="shared" si="533"/>
        <v>0</v>
      </c>
      <c r="N692" s="38">
        <f t="shared" si="515"/>
        <v>0</v>
      </c>
      <c r="P692" s="43">
        <f t="shared" si="503"/>
        <v>0</v>
      </c>
      <c r="Q692" s="43">
        <f t="shared" si="503"/>
        <v>0</v>
      </c>
      <c r="R692" s="43">
        <f t="shared" si="503"/>
        <v>0</v>
      </c>
      <c r="S692" s="43">
        <f t="shared" si="503"/>
        <v>0</v>
      </c>
      <c r="T692" s="43">
        <f t="shared" si="503"/>
        <v>0</v>
      </c>
      <c r="V692" s="47">
        <f t="shared" si="524"/>
        <v>0</v>
      </c>
      <c r="W692" s="47">
        <f t="shared" si="525"/>
        <v>0</v>
      </c>
      <c r="X692" s="47">
        <f t="shared" si="526"/>
        <v>0</v>
      </c>
      <c r="Y692" s="47">
        <f t="shared" si="527"/>
        <v>0</v>
      </c>
      <c r="Z692" s="47">
        <f t="shared" si="528"/>
        <v>0</v>
      </c>
      <c r="AB692" s="47">
        <f t="shared" si="516"/>
        <v>0</v>
      </c>
      <c r="AC692" s="47">
        <f t="shared" si="517"/>
        <v>0</v>
      </c>
      <c r="AD692" s="47">
        <f t="shared" si="518"/>
        <v>0</v>
      </c>
      <c r="AE692" s="47">
        <f t="shared" si="519"/>
        <v>0</v>
      </c>
      <c r="AF692" s="47">
        <f t="shared" si="520"/>
        <v>0</v>
      </c>
    </row>
    <row r="693" spans="2:32">
      <c r="B693" s="37" t="str">
        <f t="shared" si="513"/>
        <v>Asset 139</v>
      </c>
      <c r="F693" s="37" t="str">
        <f t="shared" ref="F693:L693" si="534">F197</f>
        <v>08 Inrichting gebouwen</v>
      </c>
      <c r="G693" s="37">
        <f t="shared" si="534"/>
        <v>2009</v>
      </c>
      <c r="H693" s="42">
        <f t="shared" si="534"/>
        <v>124506.82</v>
      </c>
      <c r="I693" s="37">
        <f t="shared" si="534"/>
        <v>2021</v>
      </c>
      <c r="J693" s="37">
        <f t="shared" si="534"/>
        <v>10</v>
      </c>
      <c r="K693" s="37">
        <f t="shared" si="534"/>
        <v>0</v>
      </c>
      <c r="L693" s="42">
        <f t="shared" si="534"/>
        <v>0</v>
      </c>
      <c r="N693" s="38">
        <f t="shared" si="515"/>
        <v>0</v>
      </c>
      <c r="P693" s="43">
        <f t="shared" si="503"/>
        <v>0</v>
      </c>
      <c r="Q693" s="43">
        <f t="shared" si="503"/>
        <v>0</v>
      </c>
      <c r="R693" s="43">
        <f t="shared" si="503"/>
        <v>0</v>
      </c>
      <c r="S693" s="43">
        <f t="shared" si="503"/>
        <v>0</v>
      </c>
      <c r="T693" s="43">
        <f t="shared" si="503"/>
        <v>0</v>
      </c>
      <c r="V693" s="47">
        <f t="shared" si="524"/>
        <v>0</v>
      </c>
      <c r="W693" s="47">
        <f t="shared" si="525"/>
        <v>0</v>
      </c>
      <c r="X693" s="47">
        <f t="shared" si="526"/>
        <v>0</v>
      </c>
      <c r="Y693" s="47">
        <f t="shared" si="527"/>
        <v>0</v>
      </c>
      <c r="Z693" s="47">
        <f t="shared" si="528"/>
        <v>0</v>
      </c>
      <c r="AB693" s="47">
        <f t="shared" si="516"/>
        <v>0</v>
      </c>
      <c r="AC693" s="47">
        <f t="shared" si="517"/>
        <v>0</v>
      </c>
      <c r="AD693" s="47">
        <f t="shared" si="518"/>
        <v>0</v>
      </c>
      <c r="AE693" s="47">
        <f t="shared" si="519"/>
        <v>0</v>
      </c>
      <c r="AF693" s="47">
        <f t="shared" si="520"/>
        <v>0</v>
      </c>
    </row>
    <row r="694" spans="2:32">
      <c r="B694" s="37" t="str">
        <f t="shared" si="513"/>
        <v>Asset 140</v>
      </c>
      <c r="F694" s="37" t="str">
        <f t="shared" ref="F694:L694" si="535">F198</f>
        <v>14 Overig rollend materieel</v>
      </c>
      <c r="G694" s="37">
        <f t="shared" si="535"/>
        <v>2009</v>
      </c>
      <c r="H694" s="42">
        <f t="shared" si="535"/>
        <v>285378.59999999998</v>
      </c>
      <c r="I694" s="37">
        <f t="shared" si="535"/>
        <v>2021</v>
      </c>
      <c r="J694" s="37">
        <f t="shared" si="535"/>
        <v>10</v>
      </c>
      <c r="K694" s="37">
        <f t="shared" si="535"/>
        <v>1</v>
      </c>
      <c r="L694" s="42">
        <f t="shared" si="535"/>
        <v>0</v>
      </c>
      <c r="N694" s="38">
        <f t="shared" si="515"/>
        <v>0</v>
      </c>
      <c r="P694" s="43">
        <f t="shared" si="503"/>
        <v>0</v>
      </c>
      <c r="Q694" s="43">
        <f t="shared" si="503"/>
        <v>0</v>
      </c>
      <c r="R694" s="43">
        <f t="shared" si="503"/>
        <v>0</v>
      </c>
      <c r="S694" s="43">
        <f t="shared" si="503"/>
        <v>0</v>
      </c>
      <c r="T694" s="43">
        <f t="shared" si="503"/>
        <v>0</v>
      </c>
      <c r="V694" s="47">
        <f t="shared" si="524"/>
        <v>0</v>
      </c>
      <c r="W694" s="47">
        <f t="shared" si="525"/>
        <v>0</v>
      </c>
      <c r="X694" s="47">
        <f t="shared" si="526"/>
        <v>0</v>
      </c>
      <c r="Y694" s="47">
        <f t="shared" si="527"/>
        <v>0</v>
      </c>
      <c r="Z694" s="47">
        <f t="shared" si="528"/>
        <v>0</v>
      </c>
      <c r="AB694" s="47">
        <f t="shared" si="516"/>
        <v>0</v>
      </c>
      <c r="AC694" s="47">
        <f t="shared" si="517"/>
        <v>0</v>
      </c>
      <c r="AD694" s="47">
        <f t="shared" si="518"/>
        <v>0</v>
      </c>
      <c r="AE694" s="47">
        <f t="shared" si="519"/>
        <v>0</v>
      </c>
      <c r="AF694" s="47">
        <f t="shared" si="520"/>
        <v>0</v>
      </c>
    </row>
    <row r="695" spans="2:32">
      <c r="B695" s="37" t="str">
        <f t="shared" si="513"/>
        <v>Asset 141</v>
      </c>
      <c r="F695" s="37" t="str">
        <f t="shared" ref="F695:L695" si="536">F199</f>
        <v>06 Utiliteitsgebouwen</v>
      </c>
      <c r="G695" s="37">
        <f t="shared" si="536"/>
        <v>2009</v>
      </c>
      <c r="H695" s="42">
        <f t="shared" si="536"/>
        <v>35389.120000000003</v>
      </c>
      <c r="I695" s="37">
        <f t="shared" si="536"/>
        <v>2021</v>
      </c>
      <c r="J695" s="37">
        <f t="shared" si="536"/>
        <v>30</v>
      </c>
      <c r="K695" s="37">
        <f t="shared" si="536"/>
        <v>0</v>
      </c>
      <c r="L695" s="42">
        <f t="shared" si="536"/>
        <v>24744.506996892218</v>
      </c>
      <c r="N695" s="38">
        <f t="shared" si="515"/>
        <v>17.5</v>
      </c>
      <c r="P695" s="43">
        <f t="shared" si="503"/>
        <v>1413.971828393841</v>
      </c>
      <c r="Q695" s="43">
        <f t="shared" si="503"/>
        <v>1413.971828393841</v>
      </c>
      <c r="R695" s="43">
        <f t="shared" si="503"/>
        <v>1413.971828393841</v>
      </c>
      <c r="S695" s="43">
        <f t="shared" si="503"/>
        <v>1413.971828393841</v>
      </c>
      <c r="T695" s="43">
        <f t="shared" si="503"/>
        <v>1413.971828393841</v>
      </c>
      <c r="V695" s="47">
        <f t="shared" si="524"/>
        <v>23330.535168498376</v>
      </c>
      <c r="W695" s="47">
        <f t="shared" si="525"/>
        <v>21916.563340104534</v>
      </c>
      <c r="X695" s="47">
        <f t="shared" si="526"/>
        <v>20502.591511710692</v>
      </c>
      <c r="Y695" s="47">
        <f t="shared" si="527"/>
        <v>19088.619683316851</v>
      </c>
      <c r="Z695" s="47">
        <f t="shared" si="528"/>
        <v>17674.647854923009</v>
      </c>
      <c r="AB695" s="47">
        <f t="shared" si="516"/>
        <v>2207.2100241227859</v>
      </c>
      <c r="AC695" s="47">
        <f t="shared" si="517"/>
        <v>2137.2184186172908</v>
      </c>
      <c r="AD695" s="47">
        <f t="shared" si="518"/>
        <v>2193.0703058388472</v>
      </c>
      <c r="AE695" s="47">
        <f t="shared" si="519"/>
        <v>2139.3393763598815</v>
      </c>
      <c r="AF695" s="47">
        <f t="shared" si="520"/>
        <v>2085.6084468809154</v>
      </c>
    </row>
    <row r="696" spans="2:32">
      <c r="B696" s="37" t="str">
        <f t="shared" si="513"/>
        <v>Asset 142</v>
      </c>
      <c r="F696" s="37" t="str">
        <f t="shared" ref="F696:L696" si="537">F200</f>
        <v>09 Bedrijfsinventaris</v>
      </c>
      <c r="G696" s="37">
        <f t="shared" si="537"/>
        <v>2009</v>
      </c>
      <c r="H696" s="42">
        <f t="shared" si="537"/>
        <v>537011.27</v>
      </c>
      <c r="I696" s="37">
        <f t="shared" si="537"/>
        <v>2021</v>
      </c>
      <c r="J696" s="37">
        <f t="shared" si="537"/>
        <v>10</v>
      </c>
      <c r="K696" s="37">
        <f t="shared" si="537"/>
        <v>1</v>
      </c>
      <c r="L696" s="42">
        <f t="shared" si="537"/>
        <v>0</v>
      </c>
      <c r="N696" s="38">
        <f t="shared" si="515"/>
        <v>0</v>
      </c>
      <c r="P696" s="43">
        <f t="shared" si="503"/>
        <v>0</v>
      </c>
      <c r="Q696" s="43">
        <f t="shared" si="503"/>
        <v>0</v>
      </c>
      <c r="R696" s="43">
        <f t="shared" si="503"/>
        <v>0</v>
      </c>
      <c r="S696" s="43">
        <f t="shared" si="503"/>
        <v>0</v>
      </c>
      <c r="T696" s="43">
        <f t="shared" si="503"/>
        <v>0</v>
      </c>
      <c r="V696" s="47">
        <f t="shared" si="524"/>
        <v>0</v>
      </c>
      <c r="W696" s="47">
        <f t="shared" si="525"/>
        <v>0</v>
      </c>
      <c r="X696" s="47">
        <f t="shared" si="526"/>
        <v>0</v>
      </c>
      <c r="Y696" s="47">
        <f t="shared" si="527"/>
        <v>0</v>
      </c>
      <c r="Z696" s="47">
        <f t="shared" si="528"/>
        <v>0</v>
      </c>
      <c r="AB696" s="47">
        <f t="shared" si="516"/>
        <v>0</v>
      </c>
      <c r="AC696" s="47">
        <f t="shared" si="517"/>
        <v>0</v>
      </c>
      <c r="AD696" s="47">
        <f t="shared" si="518"/>
        <v>0</v>
      </c>
      <c r="AE696" s="47">
        <f t="shared" si="519"/>
        <v>0</v>
      </c>
      <c r="AF696" s="47">
        <f t="shared" si="520"/>
        <v>0</v>
      </c>
    </row>
    <row r="697" spans="2:32">
      <c r="B697" s="37" t="str">
        <f t="shared" si="513"/>
        <v>Asset 143</v>
      </c>
      <c r="F697" s="37" t="str">
        <f t="shared" ref="F697:L697" si="538">F201</f>
        <v>20 Kantoorgebouwen</v>
      </c>
      <c r="G697" s="37">
        <f t="shared" si="538"/>
        <v>2009</v>
      </c>
      <c r="H697" s="42">
        <f t="shared" si="538"/>
        <v>2416053.9300000006</v>
      </c>
      <c r="I697" s="37">
        <f t="shared" si="538"/>
        <v>2021</v>
      </c>
      <c r="J697" s="37">
        <f t="shared" si="538"/>
        <v>30</v>
      </c>
      <c r="K697" s="37">
        <f t="shared" si="538"/>
        <v>0</v>
      </c>
      <c r="L697" s="42">
        <f t="shared" si="538"/>
        <v>1689334.5575067692</v>
      </c>
      <c r="N697" s="38">
        <f t="shared" si="515"/>
        <v>17.5</v>
      </c>
      <c r="P697" s="43">
        <f t="shared" si="503"/>
        <v>96533.403286101093</v>
      </c>
      <c r="Q697" s="43">
        <f t="shared" si="503"/>
        <v>96533.403286101093</v>
      </c>
      <c r="R697" s="43">
        <f t="shared" si="503"/>
        <v>96533.403286101093</v>
      </c>
      <c r="S697" s="43">
        <f t="shared" si="503"/>
        <v>96533.403286101093</v>
      </c>
      <c r="T697" s="43">
        <f t="shared" si="503"/>
        <v>96533.403286101093</v>
      </c>
      <c r="V697" s="47">
        <f t="shared" si="524"/>
        <v>1592801.1542206681</v>
      </c>
      <c r="W697" s="47">
        <f t="shared" si="525"/>
        <v>1496267.7509345671</v>
      </c>
      <c r="X697" s="47">
        <f t="shared" si="526"/>
        <v>1399734.347648466</v>
      </c>
      <c r="Y697" s="47">
        <f t="shared" si="527"/>
        <v>1303200.9443623649</v>
      </c>
      <c r="Z697" s="47">
        <f t="shared" si="528"/>
        <v>1206667.5410762639</v>
      </c>
      <c r="AB697" s="47">
        <f t="shared" si="516"/>
        <v>150688.64252960382</v>
      </c>
      <c r="AC697" s="47">
        <f t="shared" si="517"/>
        <v>145910.23906694181</v>
      </c>
      <c r="AD697" s="47">
        <f t="shared" si="518"/>
        <v>149723.3084967428</v>
      </c>
      <c r="AE697" s="47">
        <f t="shared" si="519"/>
        <v>146055.03917187097</v>
      </c>
      <c r="AF697" s="47">
        <f t="shared" si="520"/>
        <v>142386.76984699912</v>
      </c>
    </row>
    <row r="698" spans="2:32">
      <c r="B698" s="37" t="str">
        <f t="shared" si="513"/>
        <v>Asset 144</v>
      </c>
      <c r="F698" s="37" t="str">
        <f t="shared" ref="F698:L698" si="539">F202</f>
        <v>05 Wegen en terreinvoorzieningen</v>
      </c>
      <c r="G698" s="37">
        <f t="shared" si="539"/>
        <v>2009</v>
      </c>
      <c r="H698" s="42">
        <f t="shared" si="539"/>
        <v>97690.9</v>
      </c>
      <c r="I698" s="37">
        <f t="shared" si="539"/>
        <v>2021</v>
      </c>
      <c r="J698" s="37">
        <f t="shared" si="539"/>
        <v>10</v>
      </c>
      <c r="K698" s="37">
        <f t="shared" si="539"/>
        <v>0</v>
      </c>
      <c r="L698" s="42">
        <f t="shared" si="539"/>
        <v>0</v>
      </c>
      <c r="N698" s="38">
        <f t="shared" si="515"/>
        <v>0</v>
      </c>
      <c r="P698" s="43">
        <f t="shared" si="503"/>
        <v>0</v>
      </c>
      <c r="Q698" s="43">
        <f t="shared" si="503"/>
        <v>0</v>
      </c>
      <c r="R698" s="43">
        <f t="shared" si="503"/>
        <v>0</v>
      </c>
      <c r="S698" s="43">
        <f t="shared" si="503"/>
        <v>0</v>
      </c>
      <c r="T698" s="43">
        <f t="shared" si="503"/>
        <v>0</v>
      </c>
      <c r="V698" s="47">
        <f t="shared" si="524"/>
        <v>0</v>
      </c>
      <c r="W698" s="47">
        <f t="shared" si="525"/>
        <v>0</v>
      </c>
      <c r="X698" s="47">
        <f t="shared" si="526"/>
        <v>0</v>
      </c>
      <c r="Y698" s="47">
        <f t="shared" si="527"/>
        <v>0</v>
      </c>
      <c r="Z698" s="47">
        <f t="shared" si="528"/>
        <v>0</v>
      </c>
      <c r="AB698" s="47">
        <f t="shared" si="516"/>
        <v>0</v>
      </c>
      <c r="AC698" s="47">
        <f t="shared" si="517"/>
        <v>0</v>
      </c>
      <c r="AD698" s="47">
        <f t="shared" si="518"/>
        <v>0</v>
      </c>
      <c r="AE698" s="47">
        <f t="shared" si="519"/>
        <v>0</v>
      </c>
      <c r="AF698" s="47">
        <f t="shared" si="520"/>
        <v>0</v>
      </c>
    </row>
    <row r="699" spans="2:32">
      <c r="B699" s="37" t="str">
        <f t="shared" si="513"/>
        <v>Asset 145</v>
      </c>
      <c r="F699" s="37" t="str">
        <f t="shared" ref="F699:L699" si="540">F203</f>
        <v>13 Aanhangwagens</v>
      </c>
      <c r="G699" s="37">
        <f t="shared" si="540"/>
        <v>2009</v>
      </c>
      <c r="H699" s="42">
        <f t="shared" si="540"/>
        <v>655669.05999999994</v>
      </c>
      <c r="I699" s="37">
        <f t="shared" si="540"/>
        <v>2021</v>
      </c>
      <c r="J699" s="37">
        <f t="shared" si="540"/>
        <v>10</v>
      </c>
      <c r="K699" s="37">
        <f t="shared" si="540"/>
        <v>1</v>
      </c>
      <c r="L699" s="42">
        <f t="shared" si="540"/>
        <v>0</v>
      </c>
      <c r="N699" s="38">
        <f t="shared" si="515"/>
        <v>0</v>
      </c>
      <c r="P699" s="43">
        <f t="shared" si="503"/>
        <v>0</v>
      </c>
      <c r="Q699" s="43">
        <f t="shared" si="503"/>
        <v>0</v>
      </c>
      <c r="R699" s="43">
        <f t="shared" si="503"/>
        <v>0</v>
      </c>
      <c r="S699" s="43">
        <f t="shared" si="503"/>
        <v>0</v>
      </c>
      <c r="T699" s="43">
        <f t="shared" si="503"/>
        <v>0</v>
      </c>
      <c r="V699" s="47">
        <f t="shared" si="524"/>
        <v>0</v>
      </c>
      <c r="W699" s="47">
        <f t="shared" si="525"/>
        <v>0</v>
      </c>
      <c r="X699" s="47">
        <f t="shared" si="526"/>
        <v>0</v>
      </c>
      <c r="Y699" s="47">
        <f t="shared" si="527"/>
        <v>0</v>
      </c>
      <c r="Z699" s="47">
        <f t="shared" si="528"/>
        <v>0</v>
      </c>
      <c r="AB699" s="47">
        <f t="shared" si="516"/>
        <v>0</v>
      </c>
      <c r="AC699" s="47">
        <f t="shared" si="517"/>
        <v>0</v>
      </c>
      <c r="AD699" s="47">
        <f t="shared" si="518"/>
        <v>0</v>
      </c>
      <c r="AE699" s="47">
        <f t="shared" si="519"/>
        <v>0</v>
      </c>
      <c r="AF699" s="47">
        <f t="shared" si="520"/>
        <v>0</v>
      </c>
    </row>
    <row r="700" spans="2:32">
      <c r="B700" s="37" t="str">
        <f t="shared" si="513"/>
        <v>Asset 146</v>
      </c>
      <c r="F700" s="37" t="str">
        <f t="shared" ref="F700:L700" si="541">F204</f>
        <v>11 Werktuigen</v>
      </c>
      <c r="G700" s="37">
        <f t="shared" si="541"/>
        <v>2010</v>
      </c>
      <c r="H700" s="42">
        <f t="shared" si="541"/>
        <v>453194.78213502961</v>
      </c>
      <c r="I700" s="37">
        <f t="shared" si="541"/>
        <v>2021</v>
      </c>
      <c r="J700" s="37">
        <f t="shared" si="541"/>
        <v>10</v>
      </c>
      <c r="K700" s="37">
        <f t="shared" si="541"/>
        <v>1</v>
      </c>
      <c r="L700" s="42">
        <f t="shared" si="541"/>
        <v>0</v>
      </c>
      <c r="N700" s="38">
        <f t="shared" si="515"/>
        <v>0</v>
      </c>
      <c r="P700" s="43">
        <f t="shared" si="503"/>
        <v>0</v>
      </c>
      <c r="Q700" s="43">
        <f t="shared" si="503"/>
        <v>0</v>
      </c>
      <c r="R700" s="43">
        <f t="shared" si="503"/>
        <v>0</v>
      </c>
      <c r="S700" s="43">
        <f t="shared" si="503"/>
        <v>0</v>
      </c>
      <c r="T700" s="43">
        <f t="shared" si="503"/>
        <v>0</v>
      </c>
      <c r="V700" s="47">
        <f t="shared" si="524"/>
        <v>0</v>
      </c>
      <c r="W700" s="47">
        <f t="shared" si="525"/>
        <v>0</v>
      </c>
      <c r="X700" s="47">
        <f t="shared" si="526"/>
        <v>0</v>
      </c>
      <c r="Y700" s="47">
        <f t="shared" si="527"/>
        <v>0</v>
      </c>
      <c r="Z700" s="47">
        <f t="shared" si="528"/>
        <v>0</v>
      </c>
      <c r="AB700" s="47">
        <f t="shared" si="516"/>
        <v>0</v>
      </c>
      <c r="AC700" s="47">
        <f t="shared" si="517"/>
        <v>0</v>
      </c>
      <c r="AD700" s="47">
        <f t="shared" si="518"/>
        <v>0</v>
      </c>
      <c r="AE700" s="47">
        <f t="shared" si="519"/>
        <v>0</v>
      </c>
      <c r="AF700" s="47">
        <f t="shared" si="520"/>
        <v>0</v>
      </c>
    </row>
    <row r="701" spans="2:32">
      <c r="B701" s="37" t="str">
        <f t="shared" si="513"/>
        <v>Asset 147</v>
      </c>
      <c r="F701" s="37" t="str">
        <f t="shared" ref="F701:L701" si="542">F205</f>
        <v>14 Overig rollend materieel</v>
      </c>
      <c r="G701" s="37">
        <f t="shared" si="542"/>
        <v>2010</v>
      </c>
      <c r="H701" s="42">
        <f t="shared" si="542"/>
        <v>179634.02000000002</v>
      </c>
      <c r="I701" s="37">
        <f t="shared" si="542"/>
        <v>2021</v>
      </c>
      <c r="J701" s="37">
        <f t="shared" si="542"/>
        <v>10</v>
      </c>
      <c r="K701" s="37">
        <f t="shared" si="542"/>
        <v>1</v>
      </c>
      <c r="L701" s="42">
        <f t="shared" si="542"/>
        <v>0</v>
      </c>
      <c r="N701" s="38">
        <f t="shared" si="515"/>
        <v>0</v>
      </c>
      <c r="P701" s="43">
        <f t="shared" si="503"/>
        <v>0</v>
      </c>
      <c r="Q701" s="43">
        <f t="shared" si="503"/>
        <v>0</v>
      </c>
      <c r="R701" s="43">
        <f t="shared" si="503"/>
        <v>0</v>
      </c>
      <c r="S701" s="43">
        <f t="shared" si="503"/>
        <v>0</v>
      </c>
      <c r="T701" s="43">
        <f t="shared" si="503"/>
        <v>0</v>
      </c>
      <c r="V701" s="47">
        <f t="shared" si="524"/>
        <v>0</v>
      </c>
      <c r="W701" s="47">
        <f t="shared" si="525"/>
        <v>0</v>
      </c>
      <c r="X701" s="47">
        <f t="shared" si="526"/>
        <v>0</v>
      </c>
      <c r="Y701" s="47">
        <f t="shared" si="527"/>
        <v>0</v>
      </c>
      <c r="Z701" s="47">
        <f t="shared" si="528"/>
        <v>0</v>
      </c>
      <c r="AB701" s="47">
        <f t="shared" si="516"/>
        <v>0</v>
      </c>
      <c r="AC701" s="47">
        <f t="shared" si="517"/>
        <v>0</v>
      </c>
      <c r="AD701" s="47">
        <f t="shared" si="518"/>
        <v>0</v>
      </c>
      <c r="AE701" s="47">
        <f t="shared" si="519"/>
        <v>0</v>
      </c>
      <c r="AF701" s="47">
        <f t="shared" si="520"/>
        <v>0</v>
      </c>
    </row>
    <row r="702" spans="2:32">
      <c r="B702" s="37" t="str">
        <f t="shared" si="513"/>
        <v>Asset 148</v>
      </c>
      <c r="F702" s="37" t="str">
        <f t="shared" ref="F702:L702" si="543">F206</f>
        <v>12 Motorvoertuigen</v>
      </c>
      <c r="G702" s="37">
        <f t="shared" si="543"/>
        <v>2011</v>
      </c>
      <c r="H702" s="42">
        <f t="shared" si="543"/>
        <v>293470.62269139342</v>
      </c>
      <c r="I702" s="37">
        <f t="shared" si="543"/>
        <v>2021</v>
      </c>
      <c r="J702" s="37">
        <f t="shared" si="543"/>
        <v>10</v>
      </c>
      <c r="K702" s="37">
        <f t="shared" si="543"/>
        <v>1</v>
      </c>
      <c r="L702" s="42">
        <f t="shared" si="543"/>
        <v>0</v>
      </c>
      <c r="N702" s="38">
        <f t="shared" si="515"/>
        <v>0</v>
      </c>
      <c r="P702" s="43">
        <f t="shared" si="503"/>
        <v>0</v>
      </c>
      <c r="Q702" s="43">
        <f t="shared" si="503"/>
        <v>0</v>
      </c>
      <c r="R702" s="43">
        <f t="shared" si="503"/>
        <v>0</v>
      </c>
      <c r="S702" s="43">
        <f t="shared" si="503"/>
        <v>0</v>
      </c>
      <c r="T702" s="43">
        <f t="shared" si="503"/>
        <v>0</v>
      </c>
      <c r="V702" s="47">
        <f t="shared" si="524"/>
        <v>0</v>
      </c>
      <c r="W702" s="47">
        <f t="shared" si="525"/>
        <v>0</v>
      </c>
      <c r="X702" s="47">
        <f t="shared" si="526"/>
        <v>0</v>
      </c>
      <c r="Y702" s="47">
        <f t="shared" si="527"/>
        <v>0</v>
      </c>
      <c r="Z702" s="47">
        <f t="shared" si="528"/>
        <v>0</v>
      </c>
      <c r="AB702" s="47">
        <f t="shared" si="516"/>
        <v>0</v>
      </c>
      <c r="AC702" s="47">
        <f t="shared" si="517"/>
        <v>0</v>
      </c>
      <c r="AD702" s="47">
        <f t="shared" si="518"/>
        <v>0</v>
      </c>
      <c r="AE702" s="47">
        <f t="shared" si="519"/>
        <v>0</v>
      </c>
      <c r="AF702" s="47">
        <f t="shared" si="520"/>
        <v>0</v>
      </c>
    </row>
    <row r="703" spans="2:32">
      <c r="B703" s="37" t="str">
        <f t="shared" si="513"/>
        <v>Asset 149</v>
      </c>
      <c r="F703" s="37" t="str">
        <f t="shared" ref="F703:L703" si="544">F207</f>
        <v>08 Inrichting gebouwen</v>
      </c>
      <c r="G703" s="37">
        <f t="shared" si="544"/>
        <v>2011</v>
      </c>
      <c r="H703" s="42">
        <f t="shared" si="544"/>
        <v>309147.61872011481</v>
      </c>
      <c r="I703" s="37">
        <f t="shared" si="544"/>
        <v>2021</v>
      </c>
      <c r="J703" s="37">
        <f t="shared" si="544"/>
        <v>10</v>
      </c>
      <c r="K703" s="37">
        <f t="shared" si="544"/>
        <v>0</v>
      </c>
      <c r="L703" s="42">
        <f t="shared" si="544"/>
        <v>0</v>
      </c>
      <c r="N703" s="38">
        <f t="shared" si="515"/>
        <v>0</v>
      </c>
      <c r="P703" s="43">
        <f t="shared" si="503"/>
        <v>0</v>
      </c>
      <c r="Q703" s="43">
        <f t="shared" si="503"/>
        <v>0</v>
      </c>
      <c r="R703" s="43">
        <f t="shared" si="503"/>
        <v>0</v>
      </c>
      <c r="S703" s="43">
        <f t="shared" si="503"/>
        <v>0</v>
      </c>
      <c r="T703" s="43">
        <f t="shared" si="503"/>
        <v>0</v>
      </c>
      <c r="V703" s="47">
        <f t="shared" si="524"/>
        <v>0</v>
      </c>
      <c r="W703" s="47">
        <f t="shared" si="525"/>
        <v>0</v>
      </c>
      <c r="X703" s="47">
        <f t="shared" si="526"/>
        <v>0</v>
      </c>
      <c r="Y703" s="47">
        <f t="shared" si="527"/>
        <v>0</v>
      </c>
      <c r="Z703" s="47">
        <f t="shared" si="528"/>
        <v>0</v>
      </c>
      <c r="AB703" s="47">
        <f t="shared" si="516"/>
        <v>0</v>
      </c>
      <c r="AC703" s="47">
        <f t="shared" si="517"/>
        <v>0</v>
      </c>
      <c r="AD703" s="47">
        <f t="shared" si="518"/>
        <v>0</v>
      </c>
      <c r="AE703" s="47">
        <f t="shared" si="519"/>
        <v>0</v>
      </c>
      <c r="AF703" s="47">
        <f t="shared" si="520"/>
        <v>0</v>
      </c>
    </row>
    <row r="704" spans="2:32">
      <c r="B704" s="37" t="str">
        <f t="shared" si="513"/>
        <v>Asset 150</v>
      </c>
      <c r="F704" s="37" t="str">
        <f t="shared" ref="F704:L704" si="545">F208</f>
        <v>38 ICT middelen 2</v>
      </c>
      <c r="G704" s="37">
        <f t="shared" si="545"/>
        <v>2011</v>
      </c>
      <c r="H704" s="42">
        <f t="shared" si="545"/>
        <v>24343500.983545668</v>
      </c>
      <c r="I704" s="37">
        <f t="shared" si="545"/>
        <v>2021</v>
      </c>
      <c r="J704" s="37">
        <f t="shared" si="545"/>
        <v>10</v>
      </c>
      <c r="K704" s="37">
        <f t="shared" si="545"/>
        <v>1</v>
      </c>
      <c r="L704" s="42">
        <f t="shared" si="545"/>
        <v>0</v>
      </c>
      <c r="N704" s="38">
        <f t="shared" si="515"/>
        <v>0</v>
      </c>
      <c r="P704" s="43">
        <f t="shared" si="503"/>
        <v>0</v>
      </c>
      <c r="Q704" s="43">
        <f t="shared" si="503"/>
        <v>0</v>
      </c>
      <c r="R704" s="43">
        <f t="shared" si="503"/>
        <v>0</v>
      </c>
      <c r="S704" s="43">
        <f t="shared" si="503"/>
        <v>0</v>
      </c>
      <c r="T704" s="43">
        <f t="shared" si="503"/>
        <v>0</v>
      </c>
      <c r="V704" s="47">
        <f t="shared" si="524"/>
        <v>0</v>
      </c>
      <c r="W704" s="47">
        <f t="shared" si="525"/>
        <v>0</v>
      </c>
      <c r="X704" s="47">
        <f t="shared" si="526"/>
        <v>0</v>
      </c>
      <c r="Y704" s="47">
        <f t="shared" si="527"/>
        <v>0</v>
      </c>
      <c r="Z704" s="47">
        <f t="shared" si="528"/>
        <v>0</v>
      </c>
      <c r="AB704" s="47">
        <f t="shared" si="516"/>
        <v>0</v>
      </c>
      <c r="AC704" s="47">
        <f t="shared" si="517"/>
        <v>0</v>
      </c>
      <c r="AD704" s="47">
        <f t="shared" si="518"/>
        <v>0</v>
      </c>
      <c r="AE704" s="47">
        <f t="shared" si="519"/>
        <v>0</v>
      </c>
      <c r="AF704" s="47">
        <f t="shared" si="520"/>
        <v>0</v>
      </c>
    </row>
    <row r="705" spans="2:32">
      <c r="B705" s="37" t="str">
        <f t="shared" si="513"/>
        <v>Asset 151</v>
      </c>
      <c r="F705" s="37" t="str">
        <f t="shared" ref="F705:L705" si="546">F209</f>
        <v>11 Werktuigen</v>
      </c>
      <c r="G705" s="37">
        <f t="shared" si="546"/>
        <v>2011</v>
      </c>
      <c r="H705" s="42">
        <f t="shared" si="546"/>
        <v>345005.47060998465</v>
      </c>
      <c r="I705" s="37">
        <f t="shared" si="546"/>
        <v>2021</v>
      </c>
      <c r="J705" s="37">
        <f t="shared" si="546"/>
        <v>10</v>
      </c>
      <c r="K705" s="37">
        <f t="shared" si="546"/>
        <v>1</v>
      </c>
      <c r="L705" s="42">
        <f t="shared" si="546"/>
        <v>0</v>
      </c>
      <c r="N705" s="38">
        <f t="shared" si="515"/>
        <v>0</v>
      </c>
      <c r="P705" s="43">
        <f t="shared" si="503"/>
        <v>0</v>
      </c>
      <c r="Q705" s="43">
        <f t="shared" si="503"/>
        <v>0</v>
      </c>
      <c r="R705" s="43">
        <f t="shared" si="503"/>
        <v>0</v>
      </c>
      <c r="S705" s="43">
        <f t="shared" si="503"/>
        <v>0</v>
      </c>
      <c r="T705" s="43">
        <f t="shared" si="503"/>
        <v>0</v>
      </c>
      <c r="V705" s="47">
        <f t="shared" si="524"/>
        <v>0</v>
      </c>
      <c r="W705" s="47">
        <f t="shared" si="525"/>
        <v>0</v>
      </c>
      <c r="X705" s="47">
        <f t="shared" si="526"/>
        <v>0</v>
      </c>
      <c r="Y705" s="47">
        <f t="shared" si="527"/>
        <v>0</v>
      </c>
      <c r="Z705" s="47">
        <f t="shared" si="528"/>
        <v>0</v>
      </c>
      <c r="AB705" s="47">
        <f t="shared" si="516"/>
        <v>0</v>
      </c>
      <c r="AC705" s="47">
        <f t="shared" si="517"/>
        <v>0</v>
      </c>
      <c r="AD705" s="47">
        <f t="shared" si="518"/>
        <v>0</v>
      </c>
      <c r="AE705" s="47">
        <f t="shared" si="519"/>
        <v>0</v>
      </c>
      <c r="AF705" s="47">
        <f t="shared" si="520"/>
        <v>0</v>
      </c>
    </row>
    <row r="706" spans="2:32">
      <c r="B706" s="37" t="str">
        <f t="shared" si="513"/>
        <v>Asset 152</v>
      </c>
      <c r="F706" s="37" t="str">
        <f t="shared" ref="F706:L706" si="547">F210</f>
        <v>13 Aanhangwagens</v>
      </c>
      <c r="G706" s="37">
        <f t="shared" si="547"/>
        <v>2011</v>
      </c>
      <c r="H706" s="42">
        <f t="shared" si="547"/>
        <v>10931.96</v>
      </c>
      <c r="I706" s="37">
        <f t="shared" si="547"/>
        <v>2021</v>
      </c>
      <c r="J706" s="37">
        <f t="shared" si="547"/>
        <v>10</v>
      </c>
      <c r="K706" s="37">
        <f t="shared" si="547"/>
        <v>1</v>
      </c>
      <c r="L706" s="42">
        <f t="shared" si="547"/>
        <v>0</v>
      </c>
      <c r="N706" s="38">
        <f t="shared" si="515"/>
        <v>0</v>
      </c>
      <c r="P706" s="43">
        <f t="shared" si="503"/>
        <v>0</v>
      </c>
      <c r="Q706" s="43">
        <f t="shared" si="503"/>
        <v>0</v>
      </c>
      <c r="R706" s="43">
        <f t="shared" si="503"/>
        <v>0</v>
      </c>
      <c r="S706" s="43">
        <f t="shared" si="503"/>
        <v>0</v>
      </c>
      <c r="T706" s="43">
        <f t="shared" si="503"/>
        <v>0</v>
      </c>
      <c r="V706" s="47">
        <f t="shared" si="524"/>
        <v>0</v>
      </c>
      <c r="W706" s="47">
        <f t="shared" si="525"/>
        <v>0</v>
      </c>
      <c r="X706" s="47">
        <f t="shared" si="526"/>
        <v>0</v>
      </c>
      <c r="Y706" s="47">
        <f t="shared" si="527"/>
        <v>0</v>
      </c>
      <c r="Z706" s="47">
        <f t="shared" si="528"/>
        <v>0</v>
      </c>
      <c r="AB706" s="47">
        <f t="shared" si="516"/>
        <v>0</v>
      </c>
      <c r="AC706" s="47">
        <f t="shared" si="517"/>
        <v>0</v>
      </c>
      <c r="AD706" s="47">
        <f t="shared" si="518"/>
        <v>0</v>
      </c>
      <c r="AE706" s="47">
        <f t="shared" si="519"/>
        <v>0</v>
      </c>
      <c r="AF706" s="47">
        <f t="shared" si="520"/>
        <v>0</v>
      </c>
    </row>
    <row r="707" spans="2:32">
      <c r="B707" s="37" t="str">
        <f t="shared" si="513"/>
        <v>Asset 153</v>
      </c>
      <c r="F707" s="37" t="str">
        <f t="shared" ref="F707:L707" si="548">F211</f>
        <v>37 ICT middelen 1 (transparency)</v>
      </c>
      <c r="G707" s="37">
        <f t="shared" si="548"/>
        <v>2012</v>
      </c>
      <c r="H707" s="42">
        <f t="shared" si="548"/>
        <v>817297.73457401327</v>
      </c>
      <c r="I707" s="37">
        <f t="shared" si="548"/>
        <v>2021</v>
      </c>
      <c r="J707" s="37">
        <f t="shared" si="548"/>
        <v>5</v>
      </c>
      <c r="K707" s="37">
        <f t="shared" si="548"/>
        <v>0</v>
      </c>
      <c r="L707" s="42">
        <f t="shared" si="548"/>
        <v>0</v>
      </c>
      <c r="N707" s="38">
        <f t="shared" si="515"/>
        <v>0</v>
      </c>
      <c r="P707" s="43">
        <f t="shared" si="503"/>
        <v>0</v>
      </c>
      <c r="Q707" s="43">
        <f t="shared" si="503"/>
        <v>0</v>
      </c>
      <c r="R707" s="43">
        <f t="shared" si="503"/>
        <v>0</v>
      </c>
      <c r="S707" s="43">
        <f t="shared" si="503"/>
        <v>0</v>
      </c>
      <c r="T707" s="43">
        <f t="shared" si="503"/>
        <v>0</v>
      </c>
      <c r="V707" s="47">
        <f t="shared" si="524"/>
        <v>0</v>
      </c>
      <c r="W707" s="47">
        <f t="shared" si="525"/>
        <v>0</v>
      </c>
      <c r="X707" s="47">
        <f t="shared" si="526"/>
        <v>0</v>
      </c>
      <c r="Y707" s="47">
        <f t="shared" si="527"/>
        <v>0</v>
      </c>
      <c r="Z707" s="47">
        <f t="shared" si="528"/>
        <v>0</v>
      </c>
      <c r="AB707" s="47">
        <f t="shared" si="516"/>
        <v>0</v>
      </c>
      <c r="AC707" s="47">
        <f t="shared" si="517"/>
        <v>0</v>
      </c>
      <c r="AD707" s="47">
        <f t="shared" si="518"/>
        <v>0</v>
      </c>
      <c r="AE707" s="47">
        <f t="shared" si="519"/>
        <v>0</v>
      </c>
      <c r="AF707" s="47">
        <f t="shared" si="520"/>
        <v>0</v>
      </c>
    </row>
    <row r="708" spans="2:32">
      <c r="B708" s="37" t="str">
        <f t="shared" si="513"/>
        <v>Asset 154</v>
      </c>
      <c r="F708" s="37" t="str">
        <f t="shared" ref="F708:L708" si="549">F212</f>
        <v>11 Werktuigen</v>
      </c>
      <c r="G708" s="37">
        <f t="shared" si="549"/>
        <v>2012</v>
      </c>
      <c r="H708" s="42">
        <f t="shared" si="549"/>
        <v>237528.30775638262</v>
      </c>
      <c r="I708" s="37">
        <f t="shared" si="549"/>
        <v>2021</v>
      </c>
      <c r="J708" s="37">
        <f t="shared" si="549"/>
        <v>10</v>
      </c>
      <c r="K708" s="37">
        <f t="shared" si="549"/>
        <v>1</v>
      </c>
      <c r="L708" s="42">
        <f t="shared" si="549"/>
        <v>13628.978016883706</v>
      </c>
      <c r="N708" s="38">
        <f t="shared" si="515"/>
        <v>0.5</v>
      </c>
      <c r="P708" s="43">
        <f t="shared" si="503"/>
        <v>13628.978016883706</v>
      </c>
      <c r="Q708" s="43">
        <f t="shared" si="503"/>
        <v>0</v>
      </c>
      <c r="R708" s="43">
        <f t="shared" si="503"/>
        <v>0</v>
      </c>
      <c r="S708" s="43">
        <f t="shared" si="503"/>
        <v>0</v>
      </c>
      <c r="T708" s="43">
        <f t="shared" si="503"/>
        <v>0</v>
      </c>
      <c r="V708" s="47">
        <f t="shared" si="524"/>
        <v>0</v>
      </c>
      <c r="W708" s="47">
        <f t="shared" si="525"/>
        <v>0</v>
      </c>
      <c r="X708" s="47">
        <f t="shared" si="526"/>
        <v>0</v>
      </c>
      <c r="Y708" s="47">
        <f t="shared" si="527"/>
        <v>0</v>
      </c>
      <c r="Z708" s="47">
        <f t="shared" si="528"/>
        <v>0</v>
      </c>
      <c r="AB708" s="47">
        <f t="shared" si="516"/>
        <v>13628.978016883706</v>
      </c>
      <c r="AC708" s="47">
        <f t="shared" si="517"/>
        <v>0</v>
      </c>
      <c r="AD708" s="47">
        <f t="shared" si="518"/>
        <v>0</v>
      </c>
      <c r="AE708" s="47">
        <f t="shared" si="519"/>
        <v>0</v>
      </c>
      <c r="AF708" s="47">
        <f t="shared" si="520"/>
        <v>0</v>
      </c>
    </row>
    <row r="709" spans="2:32">
      <c r="B709" s="37" t="str">
        <f t="shared" si="513"/>
        <v>Asset 155</v>
      </c>
      <c r="F709" s="37" t="str">
        <f t="shared" ref="F709:L709" si="550">F213</f>
        <v>13 Aanhangwagens</v>
      </c>
      <c r="G709" s="37">
        <f t="shared" si="550"/>
        <v>2012</v>
      </c>
      <c r="H709" s="42">
        <f t="shared" si="550"/>
        <v>20000</v>
      </c>
      <c r="I709" s="37">
        <f t="shared" si="550"/>
        <v>2021</v>
      </c>
      <c r="J709" s="37">
        <f t="shared" si="550"/>
        <v>10</v>
      </c>
      <c r="K709" s="37">
        <f t="shared" si="550"/>
        <v>1</v>
      </c>
      <c r="L709" s="42">
        <f t="shared" si="550"/>
        <v>1147.5666328463135</v>
      </c>
      <c r="N709" s="38">
        <f t="shared" si="515"/>
        <v>0.5</v>
      </c>
      <c r="P709" s="43">
        <f t="shared" si="503"/>
        <v>1147.5666328463135</v>
      </c>
      <c r="Q709" s="43">
        <f t="shared" si="503"/>
        <v>0</v>
      </c>
      <c r="R709" s="43">
        <f t="shared" si="503"/>
        <v>0</v>
      </c>
      <c r="S709" s="43">
        <f t="shared" si="503"/>
        <v>0</v>
      </c>
      <c r="T709" s="43">
        <f t="shared" si="503"/>
        <v>0</v>
      </c>
      <c r="V709" s="47">
        <f t="shared" si="524"/>
        <v>0</v>
      </c>
      <c r="W709" s="47">
        <f t="shared" si="525"/>
        <v>0</v>
      </c>
      <c r="X709" s="47">
        <f t="shared" si="526"/>
        <v>0</v>
      </c>
      <c r="Y709" s="47">
        <f t="shared" si="527"/>
        <v>0</v>
      </c>
      <c r="Z709" s="47">
        <f t="shared" si="528"/>
        <v>0</v>
      </c>
      <c r="AB709" s="47">
        <f t="shared" si="516"/>
        <v>1147.5666328463135</v>
      </c>
      <c r="AC709" s="47">
        <f t="shared" si="517"/>
        <v>0</v>
      </c>
      <c r="AD709" s="47">
        <f t="shared" si="518"/>
        <v>0</v>
      </c>
      <c r="AE709" s="47">
        <f t="shared" si="519"/>
        <v>0</v>
      </c>
      <c r="AF709" s="47">
        <f t="shared" si="520"/>
        <v>0</v>
      </c>
    </row>
    <row r="710" spans="2:32">
      <c r="B710" s="37" t="str">
        <f t="shared" si="513"/>
        <v>Asset 156</v>
      </c>
      <c r="F710" s="37" t="str">
        <f t="shared" ref="F710:L710" si="551">F214</f>
        <v>20 Kantoorgebouwen</v>
      </c>
      <c r="G710" s="37">
        <f t="shared" si="551"/>
        <v>2012</v>
      </c>
      <c r="H710" s="42">
        <f t="shared" si="551"/>
        <v>701380.67501665035</v>
      </c>
      <c r="I710" s="37">
        <f t="shared" si="551"/>
        <v>2021</v>
      </c>
      <c r="J710" s="37">
        <f t="shared" si="551"/>
        <v>30</v>
      </c>
      <c r="K710" s="37">
        <f t="shared" si="551"/>
        <v>0</v>
      </c>
      <c r="L710" s="42">
        <f t="shared" si="551"/>
        <v>550002.05737442558</v>
      </c>
      <c r="N710" s="38">
        <f t="shared" si="515"/>
        <v>20.5</v>
      </c>
      <c r="P710" s="43">
        <f t="shared" si="503"/>
        <v>26829.368652411005</v>
      </c>
      <c r="Q710" s="43">
        <f t="shared" si="503"/>
        <v>26829.368652411005</v>
      </c>
      <c r="R710" s="43">
        <f t="shared" si="503"/>
        <v>26829.368652411005</v>
      </c>
      <c r="S710" s="43">
        <f t="shared" si="503"/>
        <v>26829.368652411005</v>
      </c>
      <c r="T710" s="43">
        <f t="shared" si="503"/>
        <v>26829.368652411005</v>
      </c>
      <c r="V710" s="47">
        <f t="shared" si="524"/>
        <v>523172.6887220146</v>
      </c>
      <c r="W710" s="47">
        <f t="shared" si="525"/>
        <v>496343.32006960362</v>
      </c>
      <c r="X710" s="47">
        <f t="shared" si="526"/>
        <v>469513.95141719264</v>
      </c>
      <c r="Y710" s="47">
        <f t="shared" si="527"/>
        <v>442684.58276478166</v>
      </c>
      <c r="Z710" s="47">
        <f t="shared" si="528"/>
        <v>415855.21411237068</v>
      </c>
      <c r="AB710" s="47">
        <f t="shared" si="516"/>
        <v>44617.240068959502</v>
      </c>
      <c r="AC710" s="47">
        <f t="shared" si="517"/>
        <v>43208.698214707925</v>
      </c>
      <c r="AD710" s="47">
        <f t="shared" si="518"/>
        <v>44670.898806264326</v>
      </c>
      <c r="AE710" s="47">
        <f t="shared" si="519"/>
        <v>43651.382797472703</v>
      </c>
      <c r="AF710" s="47">
        <f t="shared" si="520"/>
        <v>42631.866788681087</v>
      </c>
    </row>
    <row r="711" spans="2:32">
      <c r="B711" s="37" t="str">
        <f t="shared" si="513"/>
        <v>Asset 157</v>
      </c>
      <c r="F711" s="37" t="str">
        <f t="shared" ref="F711:L711" si="552">F215</f>
        <v>10 Gereedschap</v>
      </c>
      <c r="G711" s="37">
        <f t="shared" si="552"/>
        <v>2012</v>
      </c>
      <c r="H711" s="42">
        <f t="shared" si="552"/>
        <v>102288.01000000001</v>
      </c>
      <c r="I711" s="37">
        <f t="shared" si="552"/>
        <v>2021</v>
      </c>
      <c r="J711" s="37">
        <f t="shared" si="552"/>
        <v>10</v>
      </c>
      <c r="K711" s="37">
        <f t="shared" si="552"/>
        <v>1</v>
      </c>
      <c r="L711" s="42">
        <f t="shared" si="552"/>
        <v>5869.1153608124732</v>
      </c>
      <c r="N711" s="38">
        <f t="shared" si="515"/>
        <v>0.5</v>
      </c>
      <c r="P711" s="43">
        <f t="shared" si="503"/>
        <v>5869.1153608124732</v>
      </c>
      <c r="Q711" s="43">
        <f t="shared" si="503"/>
        <v>0</v>
      </c>
      <c r="R711" s="43">
        <f t="shared" si="503"/>
        <v>0</v>
      </c>
      <c r="S711" s="43">
        <f t="shared" si="503"/>
        <v>0</v>
      </c>
      <c r="T711" s="43">
        <f t="shared" si="503"/>
        <v>0</v>
      </c>
      <c r="V711" s="47">
        <f t="shared" si="524"/>
        <v>0</v>
      </c>
      <c r="W711" s="47">
        <f t="shared" si="525"/>
        <v>0</v>
      </c>
      <c r="X711" s="47">
        <f t="shared" si="526"/>
        <v>0</v>
      </c>
      <c r="Y711" s="47">
        <f t="shared" si="527"/>
        <v>0</v>
      </c>
      <c r="Z711" s="47">
        <f t="shared" si="528"/>
        <v>0</v>
      </c>
      <c r="AB711" s="47">
        <f t="shared" si="516"/>
        <v>5869.1153608124732</v>
      </c>
      <c r="AC711" s="47">
        <f t="shared" si="517"/>
        <v>0</v>
      </c>
      <c r="AD711" s="47">
        <f t="shared" si="518"/>
        <v>0</v>
      </c>
      <c r="AE711" s="47">
        <f t="shared" si="519"/>
        <v>0</v>
      </c>
      <c r="AF711" s="47">
        <f t="shared" si="520"/>
        <v>0</v>
      </c>
    </row>
    <row r="712" spans="2:32">
      <c r="B712" s="37" t="str">
        <f t="shared" si="513"/>
        <v>Asset 158</v>
      </c>
      <c r="F712" s="37" t="str">
        <f t="shared" ref="F712:L712" si="553">F216</f>
        <v>09 Bedrijfsinventaris</v>
      </c>
      <c r="G712" s="37">
        <f t="shared" si="553"/>
        <v>2012</v>
      </c>
      <c r="H712" s="42">
        <f t="shared" si="553"/>
        <v>321753.96830222307</v>
      </c>
      <c r="I712" s="37">
        <f t="shared" si="553"/>
        <v>2021</v>
      </c>
      <c r="J712" s="37">
        <f t="shared" si="553"/>
        <v>10</v>
      </c>
      <c r="K712" s="37">
        <f t="shared" si="553"/>
        <v>1</v>
      </c>
      <c r="L712" s="42">
        <f t="shared" si="553"/>
        <v>18461.705900476001</v>
      </c>
      <c r="N712" s="38">
        <f t="shared" si="515"/>
        <v>0.5</v>
      </c>
      <c r="P712" s="43">
        <f t="shared" si="503"/>
        <v>18461.705900476001</v>
      </c>
      <c r="Q712" s="43">
        <f t="shared" si="503"/>
        <v>0</v>
      </c>
      <c r="R712" s="43">
        <f t="shared" si="503"/>
        <v>0</v>
      </c>
      <c r="S712" s="43">
        <f t="shared" si="503"/>
        <v>0</v>
      </c>
      <c r="T712" s="43">
        <f t="shared" si="503"/>
        <v>0</v>
      </c>
      <c r="V712" s="47">
        <f t="shared" si="524"/>
        <v>0</v>
      </c>
      <c r="W712" s="47">
        <f t="shared" si="525"/>
        <v>0</v>
      </c>
      <c r="X712" s="47">
        <f t="shared" si="526"/>
        <v>0</v>
      </c>
      <c r="Y712" s="47">
        <f t="shared" si="527"/>
        <v>0</v>
      </c>
      <c r="Z712" s="47">
        <f t="shared" si="528"/>
        <v>0</v>
      </c>
      <c r="AB712" s="47">
        <f t="shared" si="516"/>
        <v>18461.705900476001</v>
      </c>
      <c r="AC712" s="47">
        <f t="shared" si="517"/>
        <v>0</v>
      </c>
      <c r="AD712" s="47">
        <f t="shared" si="518"/>
        <v>0</v>
      </c>
      <c r="AE712" s="47">
        <f t="shared" si="519"/>
        <v>0</v>
      </c>
      <c r="AF712" s="47">
        <f t="shared" si="520"/>
        <v>0</v>
      </c>
    </row>
    <row r="713" spans="2:32">
      <c r="B713" s="37" t="str">
        <f t="shared" si="513"/>
        <v>Asset 159</v>
      </c>
      <c r="F713" s="37" t="str">
        <f t="shared" ref="F713:L713" si="554">F217</f>
        <v>14 Overig rollend materieel</v>
      </c>
      <c r="G713" s="37">
        <f t="shared" si="554"/>
        <v>2012</v>
      </c>
      <c r="H713" s="42">
        <f t="shared" si="554"/>
        <v>341738.83030935976</v>
      </c>
      <c r="I713" s="37">
        <f t="shared" si="554"/>
        <v>2021</v>
      </c>
      <c r="J713" s="37">
        <f t="shared" si="554"/>
        <v>10</v>
      </c>
      <c r="K713" s="37">
        <f t="shared" si="554"/>
        <v>1</v>
      </c>
      <c r="L713" s="42">
        <f t="shared" si="554"/>
        <v>19608.403940547396</v>
      </c>
      <c r="N713" s="38">
        <f t="shared" si="515"/>
        <v>0.5</v>
      </c>
      <c r="P713" s="43">
        <f t="shared" si="503"/>
        <v>19608.403940547396</v>
      </c>
      <c r="Q713" s="43">
        <f t="shared" si="503"/>
        <v>0</v>
      </c>
      <c r="R713" s="43">
        <f t="shared" si="503"/>
        <v>0</v>
      </c>
      <c r="S713" s="43">
        <f t="shared" si="503"/>
        <v>0</v>
      </c>
      <c r="T713" s="43">
        <f t="shared" si="503"/>
        <v>0</v>
      </c>
      <c r="V713" s="47">
        <f t="shared" si="524"/>
        <v>0</v>
      </c>
      <c r="W713" s="47">
        <f t="shared" si="525"/>
        <v>0</v>
      </c>
      <c r="X713" s="47">
        <f t="shared" si="526"/>
        <v>0</v>
      </c>
      <c r="Y713" s="47">
        <f t="shared" si="527"/>
        <v>0</v>
      </c>
      <c r="Z713" s="47">
        <f t="shared" si="528"/>
        <v>0</v>
      </c>
      <c r="AB713" s="47">
        <f t="shared" si="516"/>
        <v>19608.403940547396</v>
      </c>
      <c r="AC713" s="47">
        <f t="shared" si="517"/>
        <v>0</v>
      </c>
      <c r="AD713" s="47">
        <f t="shared" si="518"/>
        <v>0</v>
      </c>
      <c r="AE713" s="47">
        <f t="shared" si="519"/>
        <v>0</v>
      </c>
      <c r="AF713" s="47">
        <f t="shared" si="520"/>
        <v>0</v>
      </c>
    </row>
    <row r="714" spans="2:32">
      <c r="B714" s="37" t="str">
        <f t="shared" si="513"/>
        <v>Asset 160</v>
      </c>
      <c r="F714" s="37" t="str">
        <f t="shared" ref="F714:L714" si="555">F218</f>
        <v>08 Inrichting gebouwen</v>
      </c>
      <c r="G714" s="37">
        <f t="shared" si="555"/>
        <v>2012</v>
      </c>
      <c r="H714" s="42">
        <f t="shared" si="555"/>
        <v>737114.28212566266</v>
      </c>
      <c r="I714" s="37">
        <f t="shared" si="555"/>
        <v>2021</v>
      </c>
      <c r="J714" s="37">
        <f t="shared" si="555"/>
        <v>10</v>
      </c>
      <c r="K714" s="37">
        <f t="shared" si="555"/>
        <v>0</v>
      </c>
      <c r="L714" s="42">
        <f t="shared" si="555"/>
        <v>42294.387738093574</v>
      </c>
      <c r="N714" s="38">
        <f t="shared" si="515"/>
        <v>0.5</v>
      </c>
      <c r="P714" s="43">
        <f t="shared" si="503"/>
        <v>42294.387738093574</v>
      </c>
      <c r="Q714" s="43">
        <f t="shared" si="503"/>
        <v>0</v>
      </c>
      <c r="R714" s="43">
        <f t="shared" si="503"/>
        <v>0</v>
      </c>
      <c r="S714" s="43">
        <f t="shared" si="503"/>
        <v>0</v>
      </c>
      <c r="T714" s="43">
        <f t="shared" si="503"/>
        <v>0</v>
      </c>
      <c r="V714" s="47">
        <f t="shared" si="524"/>
        <v>0</v>
      </c>
      <c r="W714" s="47">
        <f t="shared" si="525"/>
        <v>0</v>
      </c>
      <c r="X714" s="47">
        <f t="shared" si="526"/>
        <v>0</v>
      </c>
      <c r="Y714" s="47">
        <f t="shared" si="527"/>
        <v>0</v>
      </c>
      <c r="Z714" s="47">
        <f t="shared" si="528"/>
        <v>0</v>
      </c>
      <c r="AB714" s="47">
        <f t="shared" si="516"/>
        <v>42294.387738093574</v>
      </c>
      <c r="AC714" s="47">
        <f t="shared" si="517"/>
        <v>0</v>
      </c>
      <c r="AD714" s="47">
        <f t="shared" si="518"/>
        <v>0</v>
      </c>
      <c r="AE714" s="47">
        <f t="shared" si="519"/>
        <v>0</v>
      </c>
      <c r="AF714" s="47">
        <f t="shared" si="520"/>
        <v>0</v>
      </c>
    </row>
    <row r="715" spans="2:32">
      <c r="B715" s="37" t="str">
        <f t="shared" si="513"/>
        <v>Asset 161</v>
      </c>
      <c r="F715" s="37" t="str">
        <f t="shared" ref="F715:L715" si="556">F219</f>
        <v>11 Werktuigen</v>
      </c>
      <c r="G715" s="37">
        <f t="shared" si="556"/>
        <v>2013</v>
      </c>
      <c r="H715" s="42">
        <f t="shared" si="556"/>
        <v>5005059.40396435</v>
      </c>
      <c r="I715" s="37">
        <f t="shared" si="556"/>
        <v>2021</v>
      </c>
      <c r="J715" s="37">
        <f t="shared" si="556"/>
        <v>10</v>
      </c>
      <c r="K715" s="37">
        <f t="shared" si="556"/>
        <v>1</v>
      </c>
      <c r="L715" s="42">
        <f t="shared" si="556"/>
        <v>842175.83099752699</v>
      </c>
      <c r="N715" s="38">
        <f t="shared" si="515"/>
        <v>1.5</v>
      </c>
      <c r="P715" s="43">
        <f t="shared" si="503"/>
        <v>561450.55399835133</v>
      </c>
      <c r="Q715" s="43">
        <f t="shared" si="503"/>
        <v>280725.27699917566</v>
      </c>
      <c r="R715" s="43">
        <f t="shared" si="503"/>
        <v>0</v>
      </c>
      <c r="S715" s="43">
        <f t="shared" si="503"/>
        <v>0</v>
      </c>
      <c r="T715" s="43">
        <f t="shared" si="503"/>
        <v>0</v>
      </c>
      <c r="V715" s="47">
        <f t="shared" si="524"/>
        <v>280725.27699917566</v>
      </c>
      <c r="W715" s="47">
        <f t="shared" si="525"/>
        <v>0</v>
      </c>
      <c r="X715" s="47">
        <f t="shared" si="526"/>
        <v>0</v>
      </c>
      <c r="Y715" s="47">
        <f t="shared" si="527"/>
        <v>0</v>
      </c>
      <c r="Z715" s="47">
        <f t="shared" si="528"/>
        <v>0</v>
      </c>
      <c r="AB715" s="47">
        <f t="shared" si="516"/>
        <v>570995.2134163233</v>
      </c>
      <c r="AC715" s="47">
        <f t="shared" si="517"/>
        <v>280725.27699917566</v>
      </c>
      <c r="AD715" s="47">
        <f t="shared" si="518"/>
        <v>0</v>
      </c>
      <c r="AE715" s="47">
        <f t="shared" si="519"/>
        <v>0</v>
      </c>
      <c r="AF715" s="47">
        <f t="shared" si="520"/>
        <v>0</v>
      </c>
    </row>
    <row r="716" spans="2:32">
      <c r="B716" s="37" t="str">
        <f t="shared" si="513"/>
        <v>Asset 162</v>
      </c>
      <c r="F716" s="37" t="str">
        <f t="shared" ref="F716:L716" si="557">F220</f>
        <v>20 Kantoorgebouwen</v>
      </c>
      <c r="G716" s="37">
        <f t="shared" si="557"/>
        <v>2013</v>
      </c>
      <c r="H716" s="42">
        <f t="shared" si="557"/>
        <v>1237826.9064472313</v>
      </c>
      <c r="I716" s="37">
        <f t="shared" si="557"/>
        <v>2021</v>
      </c>
      <c r="J716" s="37">
        <f t="shared" si="557"/>
        <v>30</v>
      </c>
      <c r="K716" s="37">
        <f t="shared" si="557"/>
        <v>0</v>
      </c>
      <c r="L716" s="42">
        <f t="shared" si="557"/>
        <v>995129.04477620148</v>
      </c>
      <c r="N716" s="38">
        <f t="shared" si="515"/>
        <v>21.5</v>
      </c>
      <c r="P716" s="43">
        <f t="shared" si="503"/>
        <v>46285.07185005588</v>
      </c>
      <c r="Q716" s="43">
        <f t="shared" si="503"/>
        <v>46285.071850055887</v>
      </c>
      <c r="R716" s="43">
        <f t="shared" si="503"/>
        <v>46285.071850055887</v>
      </c>
      <c r="S716" s="43">
        <f t="shared" si="503"/>
        <v>46285.071850055887</v>
      </c>
      <c r="T716" s="43">
        <f t="shared" si="503"/>
        <v>46285.071850055887</v>
      </c>
      <c r="V716" s="47">
        <f t="shared" si="524"/>
        <v>948843.97292614565</v>
      </c>
      <c r="W716" s="47">
        <f t="shared" si="525"/>
        <v>902558.90107608982</v>
      </c>
      <c r="X716" s="47">
        <f t="shared" si="526"/>
        <v>856273.82922603399</v>
      </c>
      <c r="Y716" s="47">
        <f t="shared" si="527"/>
        <v>809988.75737597817</v>
      </c>
      <c r="Z716" s="47">
        <f t="shared" si="528"/>
        <v>763703.68552592234</v>
      </c>
      <c r="AB716" s="47">
        <f t="shared" si="516"/>
        <v>78545.766929544829</v>
      </c>
      <c r="AC716" s="47">
        <f t="shared" si="517"/>
        <v>76069.515585566856</v>
      </c>
      <c r="AD716" s="47">
        <f t="shared" si="518"/>
        <v>78823.477360645178</v>
      </c>
      <c r="AE716" s="47">
        <f t="shared" si="519"/>
        <v>77064.644630343057</v>
      </c>
      <c r="AF716" s="47">
        <f t="shared" si="520"/>
        <v>75305.811900040935</v>
      </c>
    </row>
    <row r="717" spans="2:32">
      <c r="B717" s="37" t="str">
        <f t="shared" si="513"/>
        <v>Asset 163</v>
      </c>
      <c r="F717" s="37" t="str">
        <f t="shared" ref="F717:L717" si="558">F221</f>
        <v>09 Bedrijfsinventaris</v>
      </c>
      <c r="G717" s="37">
        <f t="shared" si="558"/>
        <v>2013</v>
      </c>
      <c r="H717" s="42">
        <f t="shared" si="558"/>
        <v>292655.61609467439</v>
      </c>
      <c r="I717" s="37">
        <f t="shared" si="558"/>
        <v>2021</v>
      </c>
      <c r="J717" s="37">
        <f t="shared" si="558"/>
        <v>10</v>
      </c>
      <c r="K717" s="37">
        <f t="shared" si="558"/>
        <v>1</v>
      </c>
      <c r="L717" s="42">
        <f t="shared" si="558"/>
        <v>49243.668613684422</v>
      </c>
      <c r="N717" s="38">
        <f t="shared" si="515"/>
        <v>1.5</v>
      </c>
      <c r="P717" s="43">
        <f t="shared" si="503"/>
        <v>32829.11240912295</v>
      </c>
      <c r="Q717" s="43">
        <f t="shared" si="503"/>
        <v>16414.556204561475</v>
      </c>
      <c r="R717" s="43">
        <f t="shared" si="503"/>
        <v>0</v>
      </c>
      <c r="S717" s="43">
        <f t="shared" si="503"/>
        <v>0</v>
      </c>
      <c r="T717" s="43">
        <f t="shared" si="503"/>
        <v>0</v>
      </c>
      <c r="V717" s="47">
        <f t="shared" si="524"/>
        <v>16414.556204561472</v>
      </c>
      <c r="W717" s="47">
        <f t="shared" si="525"/>
        <v>-3.637978807091713E-12</v>
      </c>
      <c r="X717" s="47">
        <f t="shared" si="526"/>
        <v>0</v>
      </c>
      <c r="Y717" s="47">
        <f t="shared" si="527"/>
        <v>0</v>
      </c>
      <c r="Z717" s="47">
        <f t="shared" si="528"/>
        <v>0</v>
      </c>
      <c r="AB717" s="47">
        <f t="shared" si="516"/>
        <v>33387.207320078043</v>
      </c>
      <c r="AC717" s="47">
        <f t="shared" si="517"/>
        <v>16414.556204561475</v>
      </c>
      <c r="AD717" s="47">
        <f t="shared" si="518"/>
        <v>0</v>
      </c>
      <c r="AE717" s="47">
        <f t="shared" si="519"/>
        <v>0</v>
      </c>
      <c r="AF717" s="47">
        <f t="shared" si="520"/>
        <v>0</v>
      </c>
    </row>
    <row r="718" spans="2:32">
      <c r="B718" s="37" t="str">
        <f t="shared" si="513"/>
        <v>Asset 164</v>
      </c>
      <c r="F718" s="37" t="str">
        <f t="shared" ref="F718:L718" si="559">F222</f>
        <v>20 Kantoorgebouwen</v>
      </c>
      <c r="G718" s="37">
        <f t="shared" si="559"/>
        <v>2014</v>
      </c>
      <c r="H718" s="42">
        <f t="shared" si="559"/>
        <v>4973944.9463818558</v>
      </c>
      <c r="I718" s="37">
        <f t="shared" si="559"/>
        <v>2021</v>
      </c>
      <c r="J718" s="37">
        <f t="shared" si="559"/>
        <v>30</v>
      </c>
      <c r="K718" s="37">
        <f t="shared" si="559"/>
        <v>0</v>
      </c>
      <c r="L718" s="42">
        <f t="shared" si="559"/>
        <v>4070721.5945336674</v>
      </c>
      <c r="N718" s="38">
        <f t="shared" si="515"/>
        <v>22.5</v>
      </c>
      <c r="P718" s="43">
        <f t="shared" si="503"/>
        <v>180920.9597570519</v>
      </c>
      <c r="Q718" s="43">
        <f t="shared" si="503"/>
        <v>180920.9597570519</v>
      </c>
      <c r="R718" s="43">
        <f t="shared" si="503"/>
        <v>180920.9597570519</v>
      </c>
      <c r="S718" s="43">
        <f t="shared" si="503"/>
        <v>180920.9597570519</v>
      </c>
      <c r="T718" s="43">
        <f t="shared" si="503"/>
        <v>180920.9597570519</v>
      </c>
      <c r="V718" s="47">
        <f t="shared" si="524"/>
        <v>3889800.6347766155</v>
      </c>
      <c r="W718" s="47">
        <f t="shared" si="525"/>
        <v>3708879.6750195636</v>
      </c>
      <c r="X718" s="47">
        <f t="shared" si="526"/>
        <v>3527958.7152625117</v>
      </c>
      <c r="Y718" s="47">
        <f t="shared" si="527"/>
        <v>3347037.7555054598</v>
      </c>
      <c r="Z718" s="47">
        <f t="shared" si="528"/>
        <v>3166116.795748408</v>
      </c>
      <c r="AB718" s="47">
        <f t="shared" si="516"/>
        <v>313174.18133945682</v>
      </c>
      <c r="AC718" s="47">
        <f t="shared" si="517"/>
        <v>303313.98903269751</v>
      </c>
      <c r="AD718" s="47">
        <f t="shared" si="518"/>
        <v>314983.39093702735</v>
      </c>
      <c r="AE718" s="47">
        <f t="shared" si="519"/>
        <v>308108.3944662594</v>
      </c>
      <c r="AF718" s="47">
        <f t="shared" si="520"/>
        <v>301233.3979954914</v>
      </c>
    </row>
    <row r="719" spans="2:32">
      <c r="B719" s="37" t="str">
        <f t="shared" si="513"/>
        <v>Asset 165</v>
      </c>
      <c r="F719" s="37" t="str">
        <f t="shared" ref="F719:L719" si="560">F223</f>
        <v>09 Bedrijfsinventaris</v>
      </c>
      <c r="G719" s="37">
        <f t="shared" si="560"/>
        <v>2014</v>
      </c>
      <c r="H719" s="42">
        <f t="shared" si="560"/>
        <v>332895.6529706032</v>
      </c>
      <c r="I719" s="37">
        <f t="shared" si="560"/>
        <v>2021</v>
      </c>
      <c r="J719" s="37">
        <f t="shared" si="560"/>
        <v>10</v>
      </c>
      <c r="K719" s="37">
        <f t="shared" si="560"/>
        <v>1</v>
      </c>
      <c r="L719" s="42">
        <f t="shared" si="560"/>
        <v>90814.939173486709</v>
      </c>
      <c r="N719" s="38">
        <f t="shared" si="515"/>
        <v>2.5</v>
      </c>
      <c r="P719" s="43">
        <f t="shared" si="503"/>
        <v>36325.975669394684</v>
      </c>
      <c r="Q719" s="43">
        <f t="shared" si="503"/>
        <v>36325.975669394684</v>
      </c>
      <c r="R719" s="43">
        <f t="shared" si="503"/>
        <v>18162.987834697342</v>
      </c>
      <c r="S719" s="43">
        <f t="shared" si="503"/>
        <v>0</v>
      </c>
      <c r="T719" s="43">
        <f t="shared" si="503"/>
        <v>0</v>
      </c>
      <c r="V719" s="47">
        <f t="shared" si="524"/>
        <v>54488.963504092026</v>
      </c>
      <c r="W719" s="47">
        <f t="shared" si="525"/>
        <v>18162.987834697342</v>
      </c>
      <c r="X719" s="47">
        <f t="shared" si="526"/>
        <v>0</v>
      </c>
      <c r="Y719" s="47">
        <f t="shared" si="527"/>
        <v>0</v>
      </c>
      <c r="Z719" s="47">
        <f t="shared" si="528"/>
        <v>0</v>
      </c>
      <c r="AB719" s="47">
        <f t="shared" si="516"/>
        <v>38178.600428533813</v>
      </c>
      <c r="AC719" s="47">
        <f t="shared" si="517"/>
        <v>36925.3542679397</v>
      </c>
      <c r="AD719" s="47">
        <f t="shared" si="518"/>
        <v>18162.987834697342</v>
      </c>
      <c r="AE719" s="47">
        <f t="shared" si="519"/>
        <v>0</v>
      </c>
      <c r="AF719" s="47">
        <f t="shared" si="520"/>
        <v>0</v>
      </c>
    </row>
    <row r="720" spans="2:32">
      <c r="B720" s="37" t="str">
        <f t="shared" si="513"/>
        <v>Asset 166</v>
      </c>
      <c r="F720" s="37" t="str">
        <f t="shared" ref="F720:L720" si="561">F224</f>
        <v>10 Gereedschap</v>
      </c>
      <c r="G720" s="37">
        <f t="shared" si="561"/>
        <v>2014</v>
      </c>
      <c r="H720" s="42">
        <f t="shared" si="561"/>
        <v>294123.8734031191</v>
      </c>
      <c r="I720" s="37">
        <f t="shared" si="561"/>
        <v>2021</v>
      </c>
      <c r="J720" s="37">
        <f t="shared" si="561"/>
        <v>10</v>
      </c>
      <c r="K720" s="37">
        <f t="shared" si="561"/>
        <v>1</v>
      </c>
      <c r="L720" s="42">
        <f t="shared" si="561"/>
        <v>80237.880651848885</v>
      </c>
      <c r="N720" s="38">
        <f t="shared" si="515"/>
        <v>2.5</v>
      </c>
      <c r="P720" s="43">
        <f t="shared" si="503"/>
        <v>32095.152260739556</v>
      </c>
      <c r="Q720" s="43">
        <f t="shared" si="503"/>
        <v>32095.152260739549</v>
      </c>
      <c r="R720" s="43">
        <f t="shared" si="503"/>
        <v>16047.576130369775</v>
      </c>
      <c r="S720" s="43">
        <f t="shared" si="503"/>
        <v>0</v>
      </c>
      <c r="T720" s="43">
        <f t="shared" si="503"/>
        <v>0</v>
      </c>
      <c r="V720" s="47">
        <f t="shared" si="524"/>
        <v>48142.728391109325</v>
      </c>
      <c r="W720" s="47">
        <f t="shared" si="525"/>
        <v>16047.576130369776</v>
      </c>
      <c r="X720" s="47">
        <f t="shared" si="526"/>
        <v>1.8189894035458565E-12</v>
      </c>
      <c r="Y720" s="47">
        <f t="shared" si="527"/>
        <v>0</v>
      </c>
      <c r="Z720" s="47">
        <f t="shared" si="528"/>
        <v>0</v>
      </c>
      <c r="AB720" s="47">
        <f t="shared" si="516"/>
        <v>33732.005026037274</v>
      </c>
      <c r="AC720" s="47">
        <f t="shared" si="517"/>
        <v>32624.722273041752</v>
      </c>
      <c r="AD720" s="47">
        <f t="shared" si="518"/>
        <v>16047.576130369775</v>
      </c>
      <c r="AE720" s="47">
        <f t="shared" si="519"/>
        <v>0</v>
      </c>
      <c r="AF720" s="47">
        <f t="shared" si="520"/>
        <v>0</v>
      </c>
    </row>
    <row r="721" spans="2:32">
      <c r="B721" s="37" t="str">
        <f t="shared" si="513"/>
        <v>Asset 167</v>
      </c>
      <c r="F721" s="37" t="str">
        <f t="shared" ref="F721:L721" si="562">F225</f>
        <v>13 Aanhangwagens</v>
      </c>
      <c r="G721" s="37">
        <f t="shared" si="562"/>
        <v>2014</v>
      </c>
      <c r="H721" s="42">
        <f t="shared" si="562"/>
        <v>24919.261718386999</v>
      </c>
      <c r="I721" s="37">
        <f t="shared" si="562"/>
        <v>2021</v>
      </c>
      <c r="J721" s="37">
        <f t="shared" si="562"/>
        <v>10</v>
      </c>
      <c r="K721" s="37">
        <f t="shared" si="562"/>
        <v>1</v>
      </c>
      <c r="L721" s="42">
        <f t="shared" si="562"/>
        <v>6798.0498303573586</v>
      </c>
      <c r="N721" s="38">
        <f t="shared" si="515"/>
        <v>2.5</v>
      </c>
      <c r="P721" s="43">
        <f t="shared" si="503"/>
        <v>2719.2199321429434</v>
      </c>
      <c r="Q721" s="43">
        <f t="shared" si="503"/>
        <v>2719.2199321429434</v>
      </c>
      <c r="R721" s="43">
        <f t="shared" si="503"/>
        <v>1359.6099660714717</v>
      </c>
      <c r="S721" s="43">
        <f t="shared" si="503"/>
        <v>0</v>
      </c>
      <c r="T721" s="43">
        <f t="shared" si="503"/>
        <v>0</v>
      </c>
      <c r="V721" s="47">
        <f t="shared" si="524"/>
        <v>4078.8298982144152</v>
      </c>
      <c r="W721" s="47">
        <f t="shared" si="525"/>
        <v>1359.6099660714717</v>
      </c>
      <c r="X721" s="47">
        <f t="shared" si="526"/>
        <v>0</v>
      </c>
      <c r="Y721" s="47">
        <f t="shared" si="527"/>
        <v>0</v>
      </c>
      <c r="Z721" s="47">
        <f t="shared" si="528"/>
        <v>0</v>
      </c>
      <c r="AB721" s="47">
        <f t="shared" si="516"/>
        <v>2857.9001486822335</v>
      </c>
      <c r="AC721" s="47">
        <f t="shared" si="517"/>
        <v>2764.0870610233019</v>
      </c>
      <c r="AD721" s="47">
        <f t="shared" si="518"/>
        <v>1359.6099660714717</v>
      </c>
      <c r="AE721" s="47">
        <f t="shared" si="519"/>
        <v>0</v>
      </c>
      <c r="AF721" s="47">
        <f t="shared" si="520"/>
        <v>0</v>
      </c>
    </row>
    <row r="722" spans="2:32">
      <c r="B722" s="37" t="str">
        <f t="shared" si="513"/>
        <v>Asset 168</v>
      </c>
      <c r="F722" s="37" t="str">
        <f t="shared" ref="F722:L722" si="563">F226</f>
        <v>11 Werktuigen</v>
      </c>
      <c r="G722" s="37">
        <f t="shared" si="563"/>
        <v>2014</v>
      </c>
      <c r="H722" s="42">
        <f t="shared" si="563"/>
        <v>264974.99557180319</v>
      </c>
      <c r="I722" s="37">
        <f t="shared" si="563"/>
        <v>2021</v>
      </c>
      <c r="J722" s="37">
        <f t="shared" si="563"/>
        <v>10</v>
      </c>
      <c r="K722" s="37">
        <f t="shared" si="563"/>
        <v>1</v>
      </c>
      <c r="L722" s="42">
        <f t="shared" si="563"/>
        <v>72285.978776277945</v>
      </c>
      <c r="N722" s="38">
        <f t="shared" si="515"/>
        <v>2.5</v>
      </c>
      <c r="P722" s="43">
        <f t="shared" si="503"/>
        <v>28914.391510511181</v>
      </c>
      <c r="Q722" s="43">
        <f t="shared" si="503"/>
        <v>28914.391510511177</v>
      </c>
      <c r="R722" s="43">
        <f t="shared" si="503"/>
        <v>14457.195755255589</v>
      </c>
      <c r="S722" s="43">
        <f t="shared" si="503"/>
        <v>0</v>
      </c>
      <c r="T722" s="43">
        <f t="shared" si="503"/>
        <v>0</v>
      </c>
      <c r="V722" s="47">
        <f t="shared" si="524"/>
        <v>43371.587265766764</v>
      </c>
      <c r="W722" s="47">
        <f t="shared" si="525"/>
        <v>14457.195755255587</v>
      </c>
      <c r="X722" s="47">
        <f t="shared" si="526"/>
        <v>-1.8189894035458565E-12</v>
      </c>
      <c r="Y722" s="47">
        <f t="shared" si="527"/>
        <v>0</v>
      </c>
      <c r="Z722" s="47">
        <f t="shared" si="528"/>
        <v>0</v>
      </c>
      <c r="AB722" s="47">
        <f t="shared" si="516"/>
        <v>30389.025477547249</v>
      </c>
      <c r="AC722" s="47">
        <f t="shared" si="517"/>
        <v>29391.478970434611</v>
      </c>
      <c r="AD722" s="47">
        <f t="shared" si="518"/>
        <v>14457.195755255589</v>
      </c>
      <c r="AE722" s="47">
        <f t="shared" si="519"/>
        <v>0</v>
      </c>
      <c r="AF722" s="47">
        <f t="shared" si="520"/>
        <v>0</v>
      </c>
    </row>
    <row r="723" spans="2:32">
      <c r="B723" s="37" t="str">
        <f t="shared" si="513"/>
        <v>Asset 169</v>
      </c>
      <c r="F723" s="37" t="str">
        <f t="shared" ref="F723:L723" si="564">F227</f>
        <v>08 Inrichting gebouwen</v>
      </c>
      <c r="G723" s="37">
        <f t="shared" si="564"/>
        <v>2014</v>
      </c>
      <c r="H723" s="42">
        <f t="shared" si="564"/>
        <v>724167.86511950963</v>
      </c>
      <c r="I723" s="37">
        <f t="shared" si="564"/>
        <v>2021</v>
      </c>
      <c r="J723" s="37">
        <f t="shared" si="564"/>
        <v>10</v>
      </c>
      <c r="K723" s="37">
        <f t="shared" si="564"/>
        <v>0</v>
      </c>
      <c r="L723" s="42">
        <f t="shared" si="564"/>
        <v>197555.1799351057</v>
      </c>
      <c r="N723" s="38">
        <f t="shared" si="515"/>
        <v>2.5</v>
      </c>
      <c r="P723" s="43">
        <f t="shared" si="503"/>
        <v>79022.071974042279</v>
      </c>
      <c r="Q723" s="43">
        <f t="shared" si="503"/>
        <v>79022.071974042279</v>
      </c>
      <c r="R723" s="43">
        <f t="shared" si="503"/>
        <v>39511.03598702114</v>
      </c>
      <c r="S723" s="43">
        <f t="shared" si="503"/>
        <v>0</v>
      </c>
      <c r="T723" s="43">
        <f t="shared" si="503"/>
        <v>0</v>
      </c>
      <c r="V723" s="47">
        <f t="shared" si="524"/>
        <v>118533.10796106342</v>
      </c>
      <c r="W723" s="47">
        <f t="shared" si="525"/>
        <v>39511.03598702114</v>
      </c>
      <c r="X723" s="47">
        <f t="shared" si="526"/>
        <v>0</v>
      </c>
      <c r="Y723" s="47">
        <f t="shared" si="527"/>
        <v>0</v>
      </c>
      <c r="Z723" s="47">
        <f t="shared" si="528"/>
        <v>0</v>
      </c>
      <c r="AB723" s="47">
        <f t="shared" si="516"/>
        <v>83052.197644718442</v>
      </c>
      <c r="AC723" s="47">
        <f t="shared" si="517"/>
        <v>80325.936161613979</v>
      </c>
      <c r="AD723" s="47">
        <f t="shared" si="518"/>
        <v>39511.03598702114</v>
      </c>
      <c r="AE723" s="47">
        <f t="shared" si="519"/>
        <v>0</v>
      </c>
      <c r="AF723" s="47">
        <f t="shared" si="520"/>
        <v>0</v>
      </c>
    </row>
    <row r="724" spans="2:32">
      <c r="B724" s="37" t="str">
        <f t="shared" si="513"/>
        <v>Asset 170</v>
      </c>
      <c r="F724" s="37" t="str">
        <f t="shared" ref="F724:L724" si="565">F228</f>
        <v>14 Overig rollend materieel (odorisatie)</v>
      </c>
      <c r="G724" s="37">
        <f t="shared" si="565"/>
        <v>2014</v>
      </c>
      <c r="H724" s="42">
        <f t="shared" si="565"/>
        <v>1415.9999999999968</v>
      </c>
      <c r="I724" s="37">
        <f t="shared" si="565"/>
        <v>2021</v>
      </c>
      <c r="J724" s="37">
        <f t="shared" si="565"/>
        <v>10</v>
      </c>
      <c r="K724" s="37">
        <f t="shared" si="565"/>
        <v>0</v>
      </c>
      <c r="L724" s="42">
        <f t="shared" si="565"/>
        <v>386.28907503641284</v>
      </c>
      <c r="N724" s="38">
        <f t="shared" si="515"/>
        <v>2.5</v>
      </c>
      <c r="P724" s="43">
        <f t="shared" si="503"/>
        <v>154.51563001456515</v>
      </c>
      <c r="Q724" s="43">
        <f t="shared" si="503"/>
        <v>154.51563001456512</v>
      </c>
      <c r="R724" s="43">
        <f t="shared" si="503"/>
        <v>77.257815007282559</v>
      </c>
      <c r="S724" s="43">
        <f t="shared" si="503"/>
        <v>0</v>
      </c>
      <c r="T724" s="43">
        <f t="shared" si="503"/>
        <v>0</v>
      </c>
      <c r="V724" s="47">
        <f t="shared" si="524"/>
        <v>231.77344502184769</v>
      </c>
      <c r="W724" s="47">
        <f t="shared" si="525"/>
        <v>77.257815007282574</v>
      </c>
      <c r="X724" s="47">
        <f t="shared" si="526"/>
        <v>1.4210854715202004E-14</v>
      </c>
      <c r="Y724" s="47">
        <f t="shared" si="527"/>
        <v>0</v>
      </c>
      <c r="Z724" s="47">
        <f t="shared" si="528"/>
        <v>0</v>
      </c>
      <c r="AB724" s="47">
        <f t="shared" si="516"/>
        <v>162.39592714530798</v>
      </c>
      <c r="AC724" s="47">
        <f t="shared" si="517"/>
        <v>157.06513790980546</v>
      </c>
      <c r="AD724" s="47">
        <f t="shared" si="518"/>
        <v>77.257815007282559</v>
      </c>
      <c r="AE724" s="47">
        <f t="shared" si="519"/>
        <v>0</v>
      </c>
      <c r="AF724" s="47">
        <f t="shared" si="520"/>
        <v>0</v>
      </c>
    </row>
    <row r="725" spans="2:32">
      <c r="B725" s="37" t="str">
        <f t="shared" si="513"/>
        <v>Asset 171</v>
      </c>
      <c r="F725" s="37" t="str">
        <f t="shared" ref="F725:L725" si="566">F229</f>
        <v>14 Overig rollend materieel (odorisatie)</v>
      </c>
      <c r="G725" s="37">
        <f t="shared" si="566"/>
        <v>2015</v>
      </c>
      <c r="H725" s="42">
        <f t="shared" si="566"/>
        <v>43315.304046858677</v>
      </c>
      <c r="I725" s="37">
        <f t="shared" si="566"/>
        <v>2021</v>
      </c>
      <c r="J725" s="37">
        <f t="shared" si="566"/>
        <v>10</v>
      </c>
      <c r="K725" s="37">
        <f t="shared" si="566"/>
        <v>0</v>
      </c>
      <c r="L725" s="42">
        <f t="shared" si="566"/>
        <v>16379.370300704035</v>
      </c>
      <c r="N725" s="38">
        <f t="shared" si="515"/>
        <v>3.5</v>
      </c>
      <c r="P725" s="43">
        <f t="shared" ref="P725:T758" si="567">IF(P$553&lt;=$G725+$J725,VDB($L725,0,$N725,P$553-2022,MIN(P$553-2021,$N725),1),0)</f>
        <v>4679.8200859154385</v>
      </c>
      <c r="Q725" s="43">
        <f t="shared" si="567"/>
        <v>4679.8200859154385</v>
      </c>
      <c r="R725" s="43">
        <f t="shared" si="567"/>
        <v>4679.8200859154385</v>
      </c>
      <c r="S725" s="43">
        <f t="shared" si="567"/>
        <v>2339.9100429577193</v>
      </c>
      <c r="T725" s="43">
        <f t="shared" si="567"/>
        <v>0</v>
      </c>
      <c r="V725" s="47">
        <f t="shared" si="524"/>
        <v>11699.550214788596</v>
      </c>
      <c r="W725" s="47">
        <f t="shared" si="525"/>
        <v>7019.7301288731578</v>
      </c>
      <c r="X725" s="47">
        <f t="shared" si="526"/>
        <v>2339.9100429577193</v>
      </c>
      <c r="Y725" s="47">
        <f t="shared" si="527"/>
        <v>0</v>
      </c>
      <c r="Z725" s="47">
        <f t="shared" si="528"/>
        <v>0</v>
      </c>
      <c r="AB725" s="47">
        <f t="shared" si="516"/>
        <v>5077.604793218251</v>
      </c>
      <c r="AC725" s="47">
        <f t="shared" si="517"/>
        <v>4911.4711801682524</v>
      </c>
      <c r="AD725" s="47">
        <f t="shared" si="518"/>
        <v>4768.7366675478315</v>
      </c>
      <c r="AE725" s="47">
        <f t="shared" si="519"/>
        <v>2339.9100429577193</v>
      </c>
      <c r="AF725" s="47">
        <f t="shared" si="520"/>
        <v>0</v>
      </c>
    </row>
    <row r="726" spans="2:32">
      <c r="B726" s="37" t="str">
        <f t="shared" si="513"/>
        <v>Asset 172</v>
      </c>
      <c r="F726" s="37" t="str">
        <f t="shared" ref="F726:L726" si="568">F230</f>
        <v>13 Aanhangwagens</v>
      </c>
      <c r="G726" s="37">
        <f t="shared" si="568"/>
        <v>2015</v>
      </c>
      <c r="H726" s="42">
        <f t="shared" si="568"/>
        <v>78424.550748692549</v>
      </c>
      <c r="I726" s="37">
        <f t="shared" si="568"/>
        <v>2021</v>
      </c>
      <c r="J726" s="37">
        <f t="shared" si="568"/>
        <v>10</v>
      </c>
      <c r="K726" s="37">
        <f t="shared" si="568"/>
        <v>1</v>
      </c>
      <c r="L726" s="42">
        <f t="shared" si="568"/>
        <v>29655.679110310892</v>
      </c>
      <c r="N726" s="38">
        <f t="shared" si="515"/>
        <v>3.5</v>
      </c>
      <c r="P726" s="43">
        <f t="shared" si="567"/>
        <v>8473.051174374541</v>
      </c>
      <c r="Q726" s="43">
        <f t="shared" si="567"/>
        <v>8473.051174374541</v>
      </c>
      <c r="R726" s="43">
        <f t="shared" si="567"/>
        <v>8473.051174374541</v>
      </c>
      <c r="S726" s="43">
        <f t="shared" si="567"/>
        <v>4236.5255871872705</v>
      </c>
      <c r="T726" s="43">
        <f t="shared" si="567"/>
        <v>0</v>
      </c>
      <c r="V726" s="47">
        <f t="shared" si="524"/>
        <v>21182.627935936351</v>
      </c>
      <c r="W726" s="47">
        <f t="shared" si="525"/>
        <v>12709.57676156181</v>
      </c>
      <c r="X726" s="47">
        <f t="shared" si="526"/>
        <v>4236.5255871872687</v>
      </c>
      <c r="Y726" s="47">
        <f t="shared" si="527"/>
        <v>-1.8189894035458565E-12</v>
      </c>
      <c r="Z726" s="47">
        <f t="shared" si="528"/>
        <v>0</v>
      </c>
      <c r="AB726" s="47">
        <f t="shared" si="516"/>
        <v>9193.2605241963774</v>
      </c>
      <c r="AC726" s="47">
        <f t="shared" si="517"/>
        <v>8892.4672075060807</v>
      </c>
      <c r="AD726" s="47">
        <f t="shared" si="518"/>
        <v>8634.0391466876572</v>
      </c>
      <c r="AE726" s="47">
        <f t="shared" si="519"/>
        <v>4236.5255871872705</v>
      </c>
      <c r="AF726" s="47">
        <f t="shared" si="520"/>
        <v>0</v>
      </c>
    </row>
    <row r="727" spans="2:32">
      <c r="B727" s="37" t="str">
        <f t="shared" si="513"/>
        <v>Asset 173</v>
      </c>
      <c r="F727" s="37" t="str">
        <f t="shared" ref="F727:L727" si="569">F231</f>
        <v>11 Werktuigen</v>
      </c>
      <c r="G727" s="37">
        <f t="shared" si="569"/>
        <v>2015</v>
      </c>
      <c r="H727" s="42">
        <f t="shared" si="569"/>
        <v>481116.61247078225</v>
      </c>
      <c r="I727" s="37">
        <f t="shared" si="569"/>
        <v>2021</v>
      </c>
      <c r="J727" s="37">
        <f t="shared" si="569"/>
        <v>10</v>
      </c>
      <c r="K727" s="37">
        <f t="shared" si="569"/>
        <v>1</v>
      </c>
      <c r="L727" s="42">
        <f t="shared" si="569"/>
        <v>181930.78236168518</v>
      </c>
      <c r="N727" s="38">
        <f t="shared" si="515"/>
        <v>3.5</v>
      </c>
      <c r="P727" s="43">
        <f t="shared" si="567"/>
        <v>51980.223531910051</v>
      </c>
      <c r="Q727" s="43">
        <f t="shared" si="567"/>
        <v>51980.223531910058</v>
      </c>
      <c r="R727" s="43">
        <f t="shared" si="567"/>
        <v>51980.223531910058</v>
      </c>
      <c r="S727" s="43">
        <f t="shared" si="567"/>
        <v>25990.111765955029</v>
      </c>
      <c r="T727" s="43">
        <f t="shared" si="567"/>
        <v>0</v>
      </c>
      <c r="V727" s="47">
        <f t="shared" si="524"/>
        <v>129950.55882977514</v>
      </c>
      <c r="W727" s="47">
        <f t="shared" si="525"/>
        <v>77970.33529786508</v>
      </c>
      <c r="X727" s="47">
        <f t="shared" si="526"/>
        <v>25990.111765955022</v>
      </c>
      <c r="Y727" s="47">
        <f t="shared" si="527"/>
        <v>-7.2759576141834259E-12</v>
      </c>
      <c r="Z727" s="47">
        <f t="shared" si="528"/>
        <v>0</v>
      </c>
      <c r="AB727" s="47">
        <f t="shared" si="516"/>
        <v>56398.542532122403</v>
      </c>
      <c r="AC727" s="47">
        <f t="shared" si="517"/>
        <v>54553.244596739605</v>
      </c>
      <c r="AD727" s="47">
        <f t="shared" si="518"/>
        <v>52967.847779016352</v>
      </c>
      <c r="AE727" s="47">
        <f t="shared" si="519"/>
        <v>25990.111765955029</v>
      </c>
      <c r="AF727" s="47">
        <f t="shared" si="520"/>
        <v>0</v>
      </c>
    </row>
    <row r="728" spans="2:32">
      <c r="B728" s="37" t="str">
        <f t="shared" si="513"/>
        <v>Asset 174</v>
      </c>
      <c r="F728" s="37" t="str">
        <f t="shared" ref="F728:L728" si="570">F232</f>
        <v>39 ICT middelen 3</v>
      </c>
      <c r="G728" s="37">
        <f t="shared" si="570"/>
        <v>2015</v>
      </c>
      <c r="H728" s="42">
        <f t="shared" si="570"/>
        <v>13785822.782425826</v>
      </c>
      <c r="I728" s="37">
        <f t="shared" si="570"/>
        <v>2021</v>
      </c>
      <c r="J728" s="37">
        <f t="shared" si="570"/>
        <v>15</v>
      </c>
      <c r="K728" s="37">
        <f t="shared" si="570"/>
        <v>1</v>
      </c>
      <c r="L728" s="42">
        <f t="shared" si="570"/>
        <v>8440110.7970265597</v>
      </c>
      <c r="N728" s="38">
        <f t="shared" si="515"/>
        <v>8.5</v>
      </c>
      <c r="P728" s="43">
        <f t="shared" si="567"/>
        <v>992954.21141488943</v>
      </c>
      <c r="Q728" s="43">
        <f t="shared" si="567"/>
        <v>992954.21141488943</v>
      </c>
      <c r="R728" s="43">
        <f t="shared" si="567"/>
        <v>992954.21141488943</v>
      </c>
      <c r="S728" s="43">
        <f t="shared" si="567"/>
        <v>992954.21141488943</v>
      </c>
      <c r="T728" s="43">
        <f t="shared" si="567"/>
        <v>992954.21141488943</v>
      </c>
      <c r="V728" s="47">
        <f t="shared" si="524"/>
        <v>7447156.5856116703</v>
      </c>
      <c r="W728" s="47">
        <f t="shared" si="525"/>
        <v>6454202.3741967808</v>
      </c>
      <c r="X728" s="47">
        <f t="shared" si="526"/>
        <v>5461248.1627818914</v>
      </c>
      <c r="Y728" s="47">
        <f t="shared" si="527"/>
        <v>4468293.951367002</v>
      </c>
      <c r="Z728" s="47">
        <f t="shared" si="528"/>
        <v>3475339.7399521125</v>
      </c>
      <c r="AB728" s="47">
        <f t="shared" si="516"/>
        <v>1246157.5353256862</v>
      </c>
      <c r="AC728" s="47">
        <f t="shared" si="517"/>
        <v>1205942.8897633832</v>
      </c>
      <c r="AD728" s="47">
        <f t="shared" si="518"/>
        <v>1200481.6416006014</v>
      </c>
      <c r="AE728" s="47">
        <f t="shared" si="519"/>
        <v>1162749.3815668356</v>
      </c>
      <c r="AF728" s="47">
        <f t="shared" si="520"/>
        <v>1125017.1215330698</v>
      </c>
    </row>
    <row r="729" spans="2:32">
      <c r="B729" s="37" t="str">
        <f t="shared" si="513"/>
        <v>Asset 175</v>
      </c>
      <c r="F729" s="37" t="str">
        <f t="shared" ref="F729:L729" si="571">F233</f>
        <v>12 Motorvoertuigen</v>
      </c>
      <c r="G729" s="37">
        <f t="shared" si="571"/>
        <v>2015</v>
      </c>
      <c r="H729" s="42">
        <f t="shared" si="571"/>
        <v>43877.173224174046</v>
      </c>
      <c r="I729" s="37">
        <f t="shared" si="571"/>
        <v>2021</v>
      </c>
      <c r="J729" s="37">
        <f t="shared" si="571"/>
        <v>10</v>
      </c>
      <c r="K729" s="37">
        <f t="shared" si="571"/>
        <v>1</v>
      </c>
      <c r="L729" s="42">
        <f t="shared" si="571"/>
        <v>16591.837083941773</v>
      </c>
      <c r="N729" s="38">
        <f t="shared" si="515"/>
        <v>3.5</v>
      </c>
      <c r="P729" s="43">
        <f t="shared" si="567"/>
        <v>4740.5248811262209</v>
      </c>
      <c r="Q729" s="43">
        <f t="shared" si="567"/>
        <v>4740.5248811262209</v>
      </c>
      <c r="R729" s="43">
        <f t="shared" si="567"/>
        <v>4740.5248811262209</v>
      </c>
      <c r="S729" s="43">
        <f t="shared" si="567"/>
        <v>2370.2624405631104</v>
      </c>
      <c r="T729" s="43">
        <f t="shared" si="567"/>
        <v>0</v>
      </c>
      <c r="V729" s="47">
        <f t="shared" si="524"/>
        <v>11851.312202815552</v>
      </c>
      <c r="W729" s="47">
        <f t="shared" si="525"/>
        <v>7110.7873216893313</v>
      </c>
      <c r="X729" s="47">
        <f t="shared" si="526"/>
        <v>2370.2624405631104</v>
      </c>
      <c r="Y729" s="47">
        <f t="shared" si="527"/>
        <v>0</v>
      </c>
      <c r="Z729" s="47">
        <f t="shared" si="528"/>
        <v>0</v>
      </c>
      <c r="AB729" s="47">
        <f t="shared" si="516"/>
        <v>5143.4694960219495</v>
      </c>
      <c r="AC729" s="47">
        <f t="shared" si="517"/>
        <v>4975.1808627419687</v>
      </c>
      <c r="AD729" s="47">
        <f t="shared" si="518"/>
        <v>4830.5948538676193</v>
      </c>
      <c r="AE729" s="47">
        <f t="shared" si="519"/>
        <v>2370.2624405631104</v>
      </c>
      <c r="AF729" s="47">
        <f t="shared" si="520"/>
        <v>0</v>
      </c>
    </row>
    <row r="730" spans="2:32">
      <c r="B730" s="37" t="str">
        <f t="shared" si="513"/>
        <v>Asset 176</v>
      </c>
      <c r="F730" s="37" t="str">
        <f t="shared" ref="F730:L730" si="572">F234</f>
        <v>09 Bedrijfsinventaris</v>
      </c>
      <c r="G730" s="37">
        <f t="shared" si="572"/>
        <v>2015</v>
      </c>
      <c r="H730" s="42">
        <f t="shared" si="572"/>
        <v>153470.91831934603</v>
      </c>
      <c r="I730" s="37">
        <f t="shared" si="572"/>
        <v>2021</v>
      </c>
      <c r="J730" s="37">
        <f t="shared" si="572"/>
        <v>10</v>
      </c>
      <c r="K730" s="37">
        <f t="shared" si="572"/>
        <v>1</v>
      </c>
      <c r="L730" s="42">
        <f t="shared" si="572"/>
        <v>58033.922579009974</v>
      </c>
      <c r="N730" s="38">
        <f t="shared" si="515"/>
        <v>3.5</v>
      </c>
      <c r="P730" s="43">
        <f t="shared" si="567"/>
        <v>16581.120736859993</v>
      </c>
      <c r="Q730" s="43">
        <f t="shared" si="567"/>
        <v>16581.120736859993</v>
      </c>
      <c r="R730" s="43">
        <f t="shared" si="567"/>
        <v>16581.120736859993</v>
      </c>
      <c r="S730" s="43">
        <f t="shared" si="567"/>
        <v>8290.5603684299967</v>
      </c>
      <c r="T730" s="43">
        <f t="shared" si="567"/>
        <v>0</v>
      </c>
      <c r="V730" s="47">
        <f t="shared" si="524"/>
        <v>41452.80184214998</v>
      </c>
      <c r="W730" s="47">
        <f t="shared" si="525"/>
        <v>24871.681105289987</v>
      </c>
      <c r="X730" s="47">
        <f t="shared" si="526"/>
        <v>8290.5603684299931</v>
      </c>
      <c r="Y730" s="47">
        <f t="shared" si="527"/>
        <v>-3.637978807091713E-12</v>
      </c>
      <c r="Z730" s="47">
        <f t="shared" si="528"/>
        <v>0</v>
      </c>
      <c r="AB730" s="47">
        <f t="shared" si="516"/>
        <v>17990.515999493095</v>
      </c>
      <c r="AC730" s="47">
        <f t="shared" si="517"/>
        <v>17401.886213334565</v>
      </c>
      <c r="AD730" s="47">
        <f t="shared" si="518"/>
        <v>16896.162030860334</v>
      </c>
      <c r="AE730" s="47">
        <f t="shared" si="519"/>
        <v>8290.5603684299967</v>
      </c>
      <c r="AF730" s="47">
        <f t="shared" si="520"/>
        <v>0</v>
      </c>
    </row>
    <row r="731" spans="2:32">
      <c r="B731" s="37" t="str">
        <f t="shared" si="513"/>
        <v>Asset 177</v>
      </c>
      <c r="F731" s="37" t="str">
        <f t="shared" ref="F731:L731" si="573">F235</f>
        <v>20 Kantoorgebouwen</v>
      </c>
      <c r="G731" s="37">
        <f t="shared" si="573"/>
        <v>2015</v>
      </c>
      <c r="H731" s="42">
        <f t="shared" si="573"/>
        <v>2375369.7957282378</v>
      </c>
      <c r="I731" s="37">
        <f t="shared" si="573"/>
        <v>2021</v>
      </c>
      <c r="J731" s="37">
        <f t="shared" si="573"/>
        <v>30</v>
      </c>
      <c r="K731" s="37">
        <f t="shared" si="573"/>
        <v>0</v>
      </c>
      <c r="L731" s="42">
        <f t="shared" si="573"/>
        <v>2010322.0086927759</v>
      </c>
      <c r="N731" s="38">
        <f t="shared" si="515"/>
        <v>23.5</v>
      </c>
      <c r="P731" s="43">
        <f t="shared" si="567"/>
        <v>85545.61739118195</v>
      </c>
      <c r="Q731" s="43">
        <f t="shared" si="567"/>
        <v>85545.61739118195</v>
      </c>
      <c r="R731" s="43">
        <f t="shared" si="567"/>
        <v>85545.61739118195</v>
      </c>
      <c r="S731" s="43">
        <f t="shared" si="567"/>
        <v>85545.61739118195</v>
      </c>
      <c r="T731" s="43">
        <f t="shared" si="567"/>
        <v>85545.61739118195</v>
      </c>
      <c r="V731" s="47">
        <f t="shared" si="524"/>
        <v>1924776.391301594</v>
      </c>
      <c r="W731" s="47">
        <f t="shared" si="525"/>
        <v>1839230.7739104121</v>
      </c>
      <c r="X731" s="47">
        <f t="shared" si="526"/>
        <v>1753685.1565192302</v>
      </c>
      <c r="Y731" s="47">
        <f t="shared" si="527"/>
        <v>1668139.5391280483</v>
      </c>
      <c r="Z731" s="47">
        <f t="shared" si="528"/>
        <v>1582593.9217368665</v>
      </c>
      <c r="AB731" s="47">
        <f t="shared" si="516"/>
        <v>150988.01469543614</v>
      </c>
      <c r="AC731" s="47">
        <f t="shared" si="517"/>
        <v>146240.23293022555</v>
      </c>
      <c r="AD731" s="47">
        <f t="shared" si="518"/>
        <v>152185.6533389127</v>
      </c>
      <c r="AE731" s="47">
        <f t="shared" si="519"/>
        <v>148934.91987804777</v>
      </c>
      <c r="AF731" s="47">
        <f t="shared" si="520"/>
        <v>145684.18641718288</v>
      </c>
    </row>
    <row r="732" spans="2:32">
      <c r="B732" s="37" t="str">
        <f t="shared" si="513"/>
        <v>Asset 178</v>
      </c>
      <c r="F732" s="37" t="str">
        <f t="shared" ref="F732:L732" si="574">F236</f>
        <v>06 Utiliteitsgebouwen</v>
      </c>
      <c r="G732" s="37">
        <f t="shared" si="574"/>
        <v>2015</v>
      </c>
      <c r="H732" s="42">
        <f t="shared" si="574"/>
        <v>516544.29057147249</v>
      </c>
      <c r="I732" s="37">
        <f t="shared" si="574"/>
        <v>2021</v>
      </c>
      <c r="J732" s="37">
        <f t="shared" si="574"/>
        <v>30</v>
      </c>
      <c r="K732" s="37">
        <f t="shared" si="574"/>
        <v>0</v>
      </c>
      <c r="L732" s="42">
        <f t="shared" si="574"/>
        <v>437161.55592610373</v>
      </c>
      <c r="N732" s="38">
        <f t="shared" si="515"/>
        <v>23.5</v>
      </c>
      <c r="P732" s="43">
        <f t="shared" si="567"/>
        <v>18602.619401110798</v>
      </c>
      <c r="Q732" s="43">
        <f t="shared" si="567"/>
        <v>18602.619401110798</v>
      </c>
      <c r="R732" s="43">
        <f t="shared" si="567"/>
        <v>18602.619401110798</v>
      </c>
      <c r="S732" s="43">
        <f t="shared" si="567"/>
        <v>18602.619401110798</v>
      </c>
      <c r="T732" s="43">
        <f t="shared" si="567"/>
        <v>18602.619401110798</v>
      </c>
      <c r="V732" s="47">
        <f t="shared" si="524"/>
        <v>418558.93652499293</v>
      </c>
      <c r="W732" s="47">
        <f t="shared" si="525"/>
        <v>399956.31712388212</v>
      </c>
      <c r="X732" s="47">
        <f t="shared" si="526"/>
        <v>381353.69772277132</v>
      </c>
      <c r="Y732" s="47">
        <f t="shared" si="527"/>
        <v>362751.07832166052</v>
      </c>
      <c r="Z732" s="47">
        <f t="shared" si="528"/>
        <v>344148.45892054972</v>
      </c>
      <c r="AB732" s="47">
        <f t="shared" si="516"/>
        <v>32833.623242960559</v>
      </c>
      <c r="AC732" s="47">
        <f t="shared" si="517"/>
        <v>31801.177866198908</v>
      </c>
      <c r="AD732" s="47">
        <f t="shared" si="518"/>
        <v>33094.059914576108</v>
      </c>
      <c r="AE732" s="47">
        <f t="shared" si="519"/>
        <v>32387.160377333897</v>
      </c>
      <c r="AF732" s="47">
        <f t="shared" si="520"/>
        <v>31680.260840091687</v>
      </c>
    </row>
    <row r="733" spans="2:32">
      <c r="B733" s="37" t="str">
        <f t="shared" si="513"/>
        <v>Asset 179</v>
      </c>
      <c r="F733" s="37" t="str">
        <f t="shared" ref="F733:L733" si="575">F237</f>
        <v>08 Inrichting gebouwen</v>
      </c>
      <c r="G733" s="37">
        <f t="shared" si="575"/>
        <v>2015</v>
      </c>
      <c r="H733" s="42">
        <f t="shared" si="575"/>
        <v>406758.82739129546</v>
      </c>
      <c r="I733" s="37">
        <f t="shared" si="575"/>
        <v>2021</v>
      </c>
      <c r="J733" s="37">
        <f t="shared" si="575"/>
        <v>10</v>
      </c>
      <c r="K733" s="37">
        <f t="shared" si="575"/>
        <v>0</v>
      </c>
      <c r="L733" s="42">
        <f t="shared" si="575"/>
        <v>153812.9214033616</v>
      </c>
      <c r="N733" s="38">
        <f t="shared" si="515"/>
        <v>3.5</v>
      </c>
      <c r="P733" s="43">
        <f t="shared" si="567"/>
        <v>43946.548972389028</v>
      </c>
      <c r="Q733" s="43">
        <f t="shared" si="567"/>
        <v>43946.548972389035</v>
      </c>
      <c r="R733" s="43">
        <f t="shared" si="567"/>
        <v>43946.548972389035</v>
      </c>
      <c r="S733" s="43">
        <f t="shared" si="567"/>
        <v>21973.274486194518</v>
      </c>
      <c r="T733" s="43">
        <f t="shared" si="567"/>
        <v>0</v>
      </c>
      <c r="V733" s="47">
        <f t="shared" si="524"/>
        <v>109866.37243097258</v>
      </c>
      <c r="W733" s="47">
        <f t="shared" si="525"/>
        <v>65919.823458583545</v>
      </c>
      <c r="X733" s="47">
        <f t="shared" si="526"/>
        <v>21973.27448619451</v>
      </c>
      <c r="Y733" s="47">
        <f t="shared" si="527"/>
        <v>-7.2759576141834259E-12</v>
      </c>
      <c r="Z733" s="47">
        <f t="shared" si="528"/>
        <v>0</v>
      </c>
      <c r="AB733" s="47">
        <f t="shared" si="516"/>
        <v>47682.005635042093</v>
      </c>
      <c r="AC733" s="47">
        <f t="shared" si="517"/>
        <v>46121.903146522294</v>
      </c>
      <c r="AD733" s="47">
        <f t="shared" si="518"/>
        <v>44781.533402864428</v>
      </c>
      <c r="AE733" s="47">
        <f t="shared" si="519"/>
        <v>21973.274486194518</v>
      </c>
      <c r="AF733" s="47">
        <f t="shared" si="520"/>
        <v>0</v>
      </c>
    </row>
    <row r="734" spans="2:32">
      <c r="B734" s="37" t="str">
        <f t="shared" si="513"/>
        <v>Asset 180</v>
      </c>
      <c r="F734" s="37" t="str">
        <f t="shared" ref="F734:L734" si="576">F238</f>
        <v>20 Kantoorgebouwen</v>
      </c>
      <c r="G734" s="37">
        <f t="shared" si="576"/>
        <v>2016</v>
      </c>
      <c r="H734" s="42">
        <f t="shared" si="576"/>
        <v>229380.26938547671</v>
      </c>
      <c r="I734" s="37">
        <f t="shared" si="576"/>
        <v>2021</v>
      </c>
      <c r="J734" s="37">
        <f t="shared" si="576"/>
        <v>30</v>
      </c>
      <c r="K734" s="37">
        <f t="shared" si="576"/>
        <v>0</v>
      </c>
      <c r="L734" s="42">
        <f t="shared" si="576"/>
        <v>200783.5579674957</v>
      </c>
      <c r="N734" s="38">
        <f t="shared" si="515"/>
        <v>24.5</v>
      </c>
      <c r="P734" s="43">
        <f t="shared" si="567"/>
        <v>8195.2472639794159</v>
      </c>
      <c r="Q734" s="43">
        <f t="shared" si="567"/>
        <v>8195.2472639794159</v>
      </c>
      <c r="R734" s="43">
        <f t="shared" si="567"/>
        <v>8195.2472639794159</v>
      </c>
      <c r="S734" s="43">
        <f t="shared" si="567"/>
        <v>8195.2472639794159</v>
      </c>
      <c r="T734" s="43">
        <f t="shared" si="567"/>
        <v>8195.2472639794159</v>
      </c>
      <c r="V734" s="47">
        <f t="shared" si="524"/>
        <v>192588.31070351627</v>
      </c>
      <c r="W734" s="47">
        <f t="shared" si="525"/>
        <v>184393.06343953684</v>
      </c>
      <c r="X734" s="47">
        <f t="shared" si="526"/>
        <v>176197.81617555741</v>
      </c>
      <c r="Y734" s="47">
        <f t="shared" si="527"/>
        <v>168002.56891157798</v>
      </c>
      <c r="Z734" s="47">
        <f t="shared" si="528"/>
        <v>159807.32164759855</v>
      </c>
      <c r="AB734" s="47">
        <f t="shared" si="516"/>
        <v>14743.24982789897</v>
      </c>
      <c r="AC734" s="47">
        <f t="shared" si="517"/>
        <v>14280.218357484133</v>
      </c>
      <c r="AD734" s="47">
        <f t="shared" si="518"/>
        <v>14890.764278650597</v>
      </c>
      <c r="AE734" s="47">
        <f t="shared" si="519"/>
        <v>14579.344882619378</v>
      </c>
      <c r="AF734" s="47">
        <f t="shared" si="520"/>
        <v>14267.925486588161</v>
      </c>
    </row>
    <row r="735" spans="2:32">
      <c r="B735" s="37" t="str">
        <f t="shared" si="513"/>
        <v>Asset 181</v>
      </c>
      <c r="F735" s="37" t="str">
        <f t="shared" ref="F735:L735" si="577">F239</f>
        <v>39 ICT middelen 3</v>
      </c>
      <c r="G735" s="37">
        <f t="shared" si="577"/>
        <v>2016</v>
      </c>
      <c r="H735" s="42">
        <f t="shared" si="577"/>
        <v>529286.5107518764</v>
      </c>
      <c r="I735" s="37">
        <f t="shared" si="577"/>
        <v>2021</v>
      </c>
      <c r="J735" s="37">
        <f t="shared" si="577"/>
        <v>15</v>
      </c>
      <c r="K735" s="37">
        <f t="shared" si="577"/>
        <v>1</v>
      </c>
      <c r="L735" s="42">
        <f t="shared" si="577"/>
        <v>359294.38470756344</v>
      </c>
      <c r="N735" s="38">
        <f t="shared" si="515"/>
        <v>9.5</v>
      </c>
      <c r="P735" s="43">
        <f t="shared" si="567"/>
        <v>37820.461548164574</v>
      </c>
      <c r="Q735" s="43">
        <f t="shared" si="567"/>
        <v>37820.461548164567</v>
      </c>
      <c r="R735" s="43">
        <f t="shared" si="567"/>
        <v>37820.461548164567</v>
      </c>
      <c r="S735" s="43">
        <f t="shared" si="567"/>
        <v>37820.461548164567</v>
      </c>
      <c r="T735" s="43">
        <f t="shared" si="567"/>
        <v>37820.461548164567</v>
      </c>
      <c r="V735" s="47">
        <f t="shared" si="524"/>
        <v>321473.92315939884</v>
      </c>
      <c r="W735" s="47">
        <f t="shared" si="525"/>
        <v>283653.46161123429</v>
      </c>
      <c r="X735" s="47">
        <f t="shared" si="526"/>
        <v>245833.00006306972</v>
      </c>
      <c r="Y735" s="47">
        <f t="shared" si="527"/>
        <v>208012.53851490514</v>
      </c>
      <c r="Z735" s="47">
        <f t="shared" si="528"/>
        <v>170192.07696674057</v>
      </c>
      <c r="AB735" s="47">
        <f t="shared" si="516"/>
        <v>48750.57493558414</v>
      </c>
      <c r="AC735" s="47">
        <f t="shared" si="517"/>
        <v>47181.025781335295</v>
      </c>
      <c r="AD735" s="47">
        <f t="shared" si="518"/>
        <v>47162.115550561211</v>
      </c>
      <c r="AE735" s="47">
        <f t="shared" si="519"/>
        <v>45724.938011730963</v>
      </c>
      <c r="AF735" s="47">
        <f t="shared" si="520"/>
        <v>44287.760472900707</v>
      </c>
    </row>
    <row r="736" spans="2:32">
      <c r="B736" s="37" t="str">
        <f t="shared" si="513"/>
        <v>Asset 182</v>
      </c>
      <c r="F736" s="37" t="str">
        <f t="shared" ref="F736:L736" si="578">F240</f>
        <v>12 Motorvoertuigen</v>
      </c>
      <c r="G736" s="37">
        <f t="shared" si="578"/>
        <v>2016</v>
      </c>
      <c r="H736" s="42">
        <f t="shared" si="578"/>
        <v>28567.827468907908</v>
      </c>
      <c r="I736" s="37">
        <f t="shared" si="578"/>
        <v>2021</v>
      </c>
      <c r="J736" s="37">
        <f t="shared" si="578"/>
        <v>10</v>
      </c>
      <c r="K736" s="37">
        <f t="shared" si="578"/>
        <v>1</v>
      </c>
      <c r="L736" s="42">
        <f t="shared" si="578"/>
        <v>13778.977338155324</v>
      </c>
      <c r="N736" s="38">
        <f t="shared" si="515"/>
        <v>4.5</v>
      </c>
      <c r="P736" s="43">
        <f t="shared" si="567"/>
        <v>3061.9949640345167</v>
      </c>
      <c r="Q736" s="43">
        <f t="shared" si="567"/>
        <v>3061.9949640345167</v>
      </c>
      <c r="R736" s="43">
        <f t="shared" si="567"/>
        <v>3061.9949640345167</v>
      </c>
      <c r="S736" s="43">
        <f t="shared" si="567"/>
        <v>3061.9949640345167</v>
      </c>
      <c r="T736" s="43">
        <f t="shared" si="567"/>
        <v>1530.9974820172583</v>
      </c>
      <c r="V736" s="47">
        <f t="shared" si="524"/>
        <v>10716.982374120807</v>
      </c>
      <c r="W736" s="47">
        <f t="shared" si="525"/>
        <v>7654.9874100862908</v>
      </c>
      <c r="X736" s="47">
        <f t="shared" si="526"/>
        <v>4592.9924460517741</v>
      </c>
      <c r="Y736" s="47">
        <f t="shared" si="527"/>
        <v>1530.9974820172574</v>
      </c>
      <c r="Z736" s="47">
        <f t="shared" si="528"/>
        <v>-9.0949470177292824E-13</v>
      </c>
      <c r="AB736" s="47">
        <f t="shared" si="516"/>
        <v>3426.372364754624</v>
      </c>
      <c r="AC736" s="47">
        <f t="shared" si="517"/>
        <v>3314.6095485673641</v>
      </c>
      <c r="AD736" s="47">
        <f t="shared" si="518"/>
        <v>3236.5286769844843</v>
      </c>
      <c r="AE736" s="47">
        <f t="shared" si="519"/>
        <v>3120.1728683511724</v>
      </c>
      <c r="AF736" s="47">
        <f t="shared" si="520"/>
        <v>1530.9974820172583</v>
      </c>
    </row>
    <row r="737" spans="2:32">
      <c r="B737" s="37" t="str">
        <f t="shared" si="513"/>
        <v>Asset 183</v>
      </c>
      <c r="F737" s="37" t="str">
        <f t="shared" ref="F737:L737" si="579">F241</f>
        <v>06 Utiliteitsgebouwen</v>
      </c>
      <c r="G737" s="37">
        <f t="shared" si="579"/>
        <v>2016</v>
      </c>
      <c r="H737" s="42">
        <f t="shared" si="579"/>
        <v>69569.550579382194</v>
      </c>
      <c r="I737" s="37">
        <f t="shared" si="579"/>
        <v>2021</v>
      </c>
      <c r="J737" s="37">
        <f t="shared" si="579"/>
        <v>30</v>
      </c>
      <c r="K737" s="37">
        <f t="shared" si="579"/>
        <v>0</v>
      </c>
      <c r="L737" s="42">
        <f t="shared" si="579"/>
        <v>60896.353156050573</v>
      </c>
      <c r="N737" s="38">
        <f t="shared" si="515"/>
        <v>24.5</v>
      </c>
      <c r="P737" s="43">
        <f t="shared" si="567"/>
        <v>2485.5654349408396</v>
      </c>
      <c r="Q737" s="43">
        <f t="shared" si="567"/>
        <v>2485.5654349408401</v>
      </c>
      <c r="R737" s="43">
        <f t="shared" si="567"/>
        <v>2485.5654349408401</v>
      </c>
      <c r="S737" s="43">
        <f t="shared" si="567"/>
        <v>2485.5654349408401</v>
      </c>
      <c r="T737" s="43">
        <f t="shared" si="567"/>
        <v>2485.5654349408401</v>
      </c>
      <c r="V737" s="47">
        <f t="shared" si="524"/>
        <v>58410.787721109737</v>
      </c>
      <c r="W737" s="47">
        <f t="shared" si="525"/>
        <v>55925.222286168893</v>
      </c>
      <c r="X737" s="47">
        <f t="shared" si="526"/>
        <v>53439.65685122805</v>
      </c>
      <c r="Y737" s="47">
        <f t="shared" si="527"/>
        <v>50954.091416287207</v>
      </c>
      <c r="Z737" s="47">
        <f t="shared" si="528"/>
        <v>48468.525981346364</v>
      </c>
      <c r="AB737" s="47">
        <f t="shared" si="516"/>
        <v>4471.5322174585708</v>
      </c>
      <c r="AC737" s="47">
        <f t="shared" si="517"/>
        <v>4331.0977703844137</v>
      </c>
      <c r="AD737" s="47">
        <f t="shared" si="518"/>
        <v>4516.2723952875058</v>
      </c>
      <c r="AE737" s="47">
        <f t="shared" si="519"/>
        <v>4421.8209087597534</v>
      </c>
      <c r="AF737" s="47">
        <f t="shared" si="520"/>
        <v>4327.3694222320019</v>
      </c>
    </row>
    <row r="738" spans="2:32">
      <c r="B738" s="37" t="str">
        <f t="shared" si="513"/>
        <v>Asset 184</v>
      </c>
      <c r="F738" s="37" t="str">
        <f t="shared" ref="F738:L738" si="580">F242</f>
        <v>09 Bedrijfsinventaris</v>
      </c>
      <c r="G738" s="37">
        <f t="shared" si="580"/>
        <v>2016</v>
      </c>
      <c r="H738" s="42">
        <f t="shared" si="580"/>
        <v>285684.31746031862</v>
      </c>
      <c r="I738" s="37">
        <f t="shared" si="580"/>
        <v>2021</v>
      </c>
      <c r="J738" s="37">
        <f t="shared" si="580"/>
        <v>10</v>
      </c>
      <c r="K738" s="37">
        <f t="shared" si="580"/>
        <v>1</v>
      </c>
      <c r="L738" s="42">
        <f t="shared" si="580"/>
        <v>137792.68796118168</v>
      </c>
      <c r="N738" s="38">
        <f t="shared" si="515"/>
        <v>4.5</v>
      </c>
      <c r="P738" s="43">
        <f t="shared" si="567"/>
        <v>30620.59732470704</v>
      </c>
      <c r="Q738" s="43">
        <f t="shared" si="567"/>
        <v>30620.597324707043</v>
      </c>
      <c r="R738" s="43">
        <f t="shared" si="567"/>
        <v>30620.597324707043</v>
      </c>
      <c r="S738" s="43">
        <f t="shared" si="567"/>
        <v>30620.597324707043</v>
      </c>
      <c r="T738" s="43">
        <f t="shared" si="567"/>
        <v>15310.298662353522</v>
      </c>
      <c r="V738" s="47">
        <f t="shared" si="524"/>
        <v>107172.09063647465</v>
      </c>
      <c r="W738" s="47">
        <f t="shared" si="525"/>
        <v>76551.493311767612</v>
      </c>
      <c r="X738" s="47">
        <f t="shared" si="526"/>
        <v>45930.895987060569</v>
      </c>
      <c r="Y738" s="47">
        <f t="shared" si="527"/>
        <v>15310.298662353525</v>
      </c>
      <c r="Z738" s="47">
        <f t="shared" si="528"/>
        <v>3.637978807091713E-12</v>
      </c>
      <c r="AB738" s="47">
        <f t="shared" si="516"/>
        <v>34264.448406347175</v>
      </c>
      <c r="AC738" s="47">
        <f t="shared" si="517"/>
        <v>33146.796603995375</v>
      </c>
      <c r="AD738" s="47">
        <f t="shared" si="518"/>
        <v>32365.971372215346</v>
      </c>
      <c r="AE738" s="47">
        <f t="shared" si="519"/>
        <v>31202.388673876478</v>
      </c>
      <c r="AF738" s="47">
        <f t="shared" si="520"/>
        <v>15310.298662353522</v>
      </c>
    </row>
    <row r="739" spans="2:32">
      <c r="B739" s="37" t="str">
        <f t="shared" si="513"/>
        <v>Asset 185</v>
      </c>
      <c r="F739" s="37" t="str">
        <f t="shared" ref="F739:L739" si="581">F243</f>
        <v>08 Inrichting gebouwen</v>
      </c>
      <c r="G739" s="37">
        <f t="shared" si="581"/>
        <v>2016</v>
      </c>
      <c r="H739" s="42">
        <f t="shared" si="581"/>
        <v>23169.006741347624</v>
      </c>
      <c r="I739" s="37">
        <f t="shared" si="581"/>
        <v>2021</v>
      </c>
      <c r="J739" s="37">
        <f t="shared" si="581"/>
        <v>10</v>
      </c>
      <c r="K739" s="37">
        <f t="shared" si="581"/>
        <v>0</v>
      </c>
      <c r="L739" s="42">
        <f t="shared" si="581"/>
        <v>11174.991139387506</v>
      </c>
      <c r="N739" s="38">
        <f t="shared" si="515"/>
        <v>4.5</v>
      </c>
      <c r="P739" s="43">
        <f t="shared" si="567"/>
        <v>2483.3313643083347</v>
      </c>
      <c r="Q739" s="43">
        <f t="shared" si="567"/>
        <v>2483.3313643083347</v>
      </c>
      <c r="R739" s="43">
        <f t="shared" si="567"/>
        <v>2483.3313643083347</v>
      </c>
      <c r="S739" s="43">
        <f t="shared" si="567"/>
        <v>2483.3313643083347</v>
      </c>
      <c r="T739" s="43">
        <f t="shared" si="567"/>
        <v>1241.6656821541674</v>
      </c>
      <c r="V739" s="47">
        <f t="shared" si="524"/>
        <v>8691.6597750791716</v>
      </c>
      <c r="W739" s="47">
        <f t="shared" si="525"/>
        <v>6208.3284107708369</v>
      </c>
      <c r="X739" s="47">
        <f t="shared" si="526"/>
        <v>3724.9970464625021</v>
      </c>
      <c r="Y739" s="47">
        <f t="shared" si="527"/>
        <v>1241.6656821541674</v>
      </c>
      <c r="Z739" s="47">
        <f t="shared" si="528"/>
        <v>0</v>
      </c>
      <c r="AB739" s="47">
        <f t="shared" si="516"/>
        <v>2778.8477966610267</v>
      </c>
      <c r="AC739" s="47">
        <f t="shared" si="517"/>
        <v>2688.2062018637725</v>
      </c>
      <c r="AD739" s="47">
        <f t="shared" si="518"/>
        <v>2624.8812520739098</v>
      </c>
      <c r="AE739" s="47">
        <f t="shared" si="519"/>
        <v>2530.5146602301929</v>
      </c>
      <c r="AF739" s="47">
        <f t="shared" si="520"/>
        <v>1241.6656821541674</v>
      </c>
    </row>
    <row r="740" spans="2:32">
      <c r="B740" s="37" t="str">
        <f t="shared" si="513"/>
        <v>Asset 186</v>
      </c>
      <c r="F740" s="37" t="str">
        <f t="shared" ref="F740:L740" si="582">F244</f>
        <v>11 Werktuigen (KC)</v>
      </c>
      <c r="G740" s="37">
        <f t="shared" si="582"/>
        <v>2017</v>
      </c>
      <c r="H740" s="42">
        <f t="shared" si="582"/>
        <v>42505.139899436123</v>
      </c>
      <c r="I740" s="37">
        <f t="shared" si="582"/>
        <v>2021</v>
      </c>
      <c r="J740" s="37">
        <f t="shared" si="582"/>
        <v>10</v>
      </c>
      <c r="K740" s="37">
        <f t="shared" si="582"/>
        <v>0</v>
      </c>
      <c r="L740" s="42">
        <f t="shared" si="582"/>
        <v>25007.119857240814</v>
      </c>
      <c r="N740" s="38">
        <f t="shared" si="515"/>
        <v>5.5</v>
      </c>
      <c r="P740" s="43">
        <f t="shared" si="567"/>
        <v>4546.7490649528754</v>
      </c>
      <c r="Q740" s="43">
        <f t="shared" si="567"/>
        <v>4546.7490649528754</v>
      </c>
      <c r="R740" s="43">
        <f t="shared" si="567"/>
        <v>4546.7490649528754</v>
      </c>
      <c r="S740" s="43">
        <f t="shared" si="567"/>
        <v>4546.7490649528754</v>
      </c>
      <c r="T740" s="43">
        <f t="shared" si="567"/>
        <v>4546.7490649528754</v>
      </c>
      <c r="V740" s="47">
        <f t="shared" si="524"/>
        <v>20460.37079228794</v>
      </c>
      <c r="W740" s="47">
        <f t="shared" si="525"/>
        <v>15913.621727335065</v>
      </c>
      <c r="X740" s="47">
        <f t="shared" si="526"/>
        <v>11366.872662382189</v>
      </c>
      <c r="Y740" s="47">
        <f t="shared" si="527"/>
        <v>6820.123597429314</v>
      </c>
      <c r="Z740" s="47">
        <f t="shared" si="528"/>
        <v>2273.3745324764386</v>
      </c>
      <c r="AB740" s="47">
        <f t="shared" si="516"/>
        <v>5242.4016718906651</v>
      </c>
      <c r="AC740" s="47">
        <f t="shared" si="517"/>
        <v>5071.8985819549325</v>
      </c>
      <c r="AD740" s="47">
        <f t="shared" si="518"/>
        <v>4978.690226123399</v>
      </c>
      <c r="AE740" s="47">
        <f t="shared" si="519"/>
        <v>4805.9137616551889</v>
      </c>
      <c r="AF740" s="47">
        <f t="shared" si="520"/>
        <v>4633.1372971869805</v>
      </c>
    </row>
    <row r="741" spans="2:32">
      <c r="B741" s="37" t="str">
        <f t="shared" si="513"/>
        <v>Asset 187</v>
      </c>
      <c r="F741" s="37" t="str">
        <f t="shared" ref="F741:L741" si="583">F245</f>
        <v>10 Gereedschap</v>
      </c>
      <c r="G741" s="37">
        <f t="shared" si="583"/>
        <v>2017</v>
      </c>
      <c r="H741" s="42">
        <f t="shared" si="583"/>
        <v>283180.78041617683</v>
      </c>
      <c r="I741" s="37">
        <f t="shared" si="583"/>
        <v>2021</v>
      </c>
      <c r="J741" s="37">
        <f t="shared" si="583"/>
        <v>10</v>
      </c>
      <c r="K741" s="37">
        <f t="shared" si="583"/>
        <v>1</v>
      </c>
      <c r="L741" s="42">
        <f t="shared" si="583"/>
        <v>166604.2208986652</v>
      </c>
      <c r="N741" s="38">
        <f t="shared" si="515"/>
        <v>5.5</v>
      </c>
      <c r="P741" s="43">
        <f t="shared" si="567"/>
        <v>30291.676527030038</v>
      </c>
      <c r="Q741" s="43">
        <f t="shared" si="567"/>
        <v>30291.676527030035</v>
      </c>
      <c r="R741" s="43">
        <f t="shared" si="567"/>
        <v>30291.676527030035</v>
      </c>
      <c r="S741" s="43">
        <f t="shared" si="567"/>
        <v>30291.676527030035</v>
      </c>
      <c r="T741" s="43">
        <f t="shared" si="567"/>
        <v>30291.676527030035</v>
      </c>
      <c r="V741" s="47">
        <f t="shared" si="524"/>
        <v>136312.54437163516</v>
      </c>
      <c r="W741" s="47">
        <f t="shared" si="525"/>
        <v>106020.86784460512</v>
      </c>
      <c r="X741" s="47">
        <f t="shared" si="526"/>
        <v>75729.191317575081</v>
      </c>
      <c r="Y741" s="47">
        <f t="shared" si="527"/>
        <v>45437.514790545043</v>
      </c>
      <c r="Z741" s="47">
        <f t="shared" si="528"/>
        <v>15145.838263515008</v>
      </c>
      <c r="AB741" s="47">
        <f t="shared" si="516"/>
        <v>34926.303035665638</v>
      </c>
      <c r="AC741" s="47">
        <f t="shared" si="517"/>
        <v>33790.365165902003</v>
      </c>
      <c r="AD741" s="47">
        <f t="shared" si="518"/>
        <v>33169.385797097886</v>
      </c>
      <c r="AE741" s="47">
        <f t="shared" si="519"/>
        <v>32018.302089070745</v>
      </c>
      <c r="AF741" s="47">
        <f t="shared" si="520"/>
        <v>30867.218381043604</v>
      </c>
    </row>
    <row r="742" spans="2:32">
      <c r="B742" s="37" t="str">
        <f t="shared" si="513"/>
        <v>Asset 188</v>
      </c>
      <c r="F742" s="37" t="str">
        <f t="shared" ref="F742:L742" si="584">F246</f>
        <v>10 Gereedschap</v>
      </c>
      <c r="G742" s="37">
        <f t="shared" si="584"/>
        <v>2016</v>
      </c>
      <c r="H742" s="42">
        <f t="shared" si="584"/>
        <v>59355.750635093973</v>
      </c>
      <c r="I742" s="37">
        <f t="shared" si="584"/>
        <v>2021</v>
      </c>
      <c r="J742" s="37">
        <f t="shared" si="584"/>
        <v>10</v>
      </c>
      <c r="K742" s="37">
        <f t="shared" si="584"/>
        <v>1</v>
      </c>
      <c r="L742" s="42">
        <f t="shared" si="584"/>
        <v>28628.76232994219</v>
      </c>
      <c r="N742" s="38">
        <f t="shared" si="515"/>
        <v>4.5</v>
      </c>
      <c r="P742" s="43">
        <f t="shared" si="567"/>
        <v>6361.9471844315976</v>
      </c>
      <c r="Q742" s="43">
        <f t="shared" si="567"/>
        <v>6361.9471844315976</v>
      </c>
      <c r="R742" s="43">
        <f t="shared" si="567"/>
        <v>6361.9471844315976</v>
      </c>
      <c r="S742" s="43">
        <f t="shared" si="567"/>
        <v>6361.9471844315976</v>
      </c>
      <c r="T742" s="43">
        <f t="shared" si="567"/>
        <v>3180.9735922157988</v>
      </c>
      <c r="V742" s="47">
        <f t="shared" si="524"/>
        <v>22266.815145510591</v>
      </c>
      <c r="W742" s="47">
        <f t="shared" si="525"/>
        <v>15904.867961078993</v>
      </c>
      <c r="X742" s="47">
        <f t="shared" si="526"/>
        <v>9542.9207766473955</v>
      </c>
      <c r="Y742" s="47">
        <f t="shared" si="527"/>
        <v>3180.9735922157979</v>
      </c>
      <c r="Z742" s="47">
        <f t="shared" si="528"/>
        <v>-9.0949470177292824E-13</v>
      </c>
      <c r="AB742" s="47">
        <f t="shared" si="516"/>
        <v>7119.0188993789579</v>
      </c>
      <c r="AC742" s="47">
        <f t="shared" si="517"/>
        <v>6886.8078271472041</v>
      </c>
      <c r="AD742" s="47">
        <f t="shared" si="518"/>
        <v>6724.5781739441991</v>
      </c>
      <c r="AE742" s="47">
        <f t="shared" si="519"/>
        <v>6482.8241809357978</v>
      </c>
      <c r="AF742" s="47">
        <f t="shared" si="520"/>
        <v>3180.9735922157988</v>
      </c>
    </row>
    <row r="743" spans="2:32">
      <c r="B743" s="37" t="str">
        <f t="shared" si="513"/>
        <v>Asset 189</v>
      </c>
      <c r="F743" s="37" t="str">
        <f t="shared" ref="F743:L743" si="585">F247</f>
        <v>20 Kantoorgebouwen</v>
      </c>
      <c r="G743" s="37">
        <f t="shared" si="585"/>
        <v>2017</v>
      </c>
      <c r="H743" s="42">
        <f t="shared" si="585"/>
        <v>1235103.6006231268</v>
      </c>
      <c r="I743" s="37">
        <f t="shared" si="585"/>
        <v>2021</v>
      </c>
      <c r="J743" s="37">
        <f t="shared" si="585"/>
        <v>30</v>
      </c>
      <c r="K743" s="37">
        <f t="shared" si="585"/>
        <v>0</v>
      </c>
      <c r="L743" s="42">
        <f t="shared" si="585"/>
        <v>1123005.4133120223</v>
      </c>
      <c r="N743" s="38">
        <f t="shared" si="515"/>
        <v>25.5</v>
      </c>
      <c r="P743" s="43">
        <f t="shared" si="567"/>
        <v>44039.427973020487</v>
      </c>
      <c r="Q743" s="43">
        <f t="shared" si="567"/>
        <v>44039.427973020487</v>
      </c>
      <c r="R743" s="43">
        <f t="shared" si="567"/>
        <v>44039.427973020487</v>
      </c>
      <c r="S743" s="43">
        <f t="shared" si="567"/>
        <v>44039.427973020487</v>
      </c>
      <c r="T743" s="43">
        <f t="shared" si="567"/>
        <v>44039.427973020487</v>
      </c>
      <c r="V743" s="47">
        <f t="shared" si="524"/>
        <v>1078965.9853390018</v>
      </c>
      <c r="W743" s="47">
        <f t="shared" si="525"/>
        <v>1034926.5573659813</v>
      </c>
      <c r="X743" s="47">
        <f t="shared" si="526"/>
        <v>990887.12939296081</v>
      </c>
      <c r="Y743" s="47">
        <f t="shared" si="527"/>
        <v>946847.70141994033</v>
      </c>
      <c r="Z743" s="47">
        <f t="shared" si="528"/>
        <v>902808.27344691986</v>
      </c>
      <c r="AB743" s="47">
        <f t="shared" si="516"/>
        <v>80724.271474546549</v>
      </c>
      <c r="AC743" s="47">
        <f t="shared" si="517"/>
        <v>78192.00436609787</v>
      </c>
      <c r="AD743" s="47">
        <f t="shared" si="518"/>
        <v>81693.138889952999</v>
      </c>
      <c r="AE743" s="47">
        <f t="shared" si="519"/>
        <v>80019.640626978216</v>
      </c>
      <c r="AF743" s="47">
        <f t="shared" si="520"/>
        <v>78346.142364003434</v>
      </c>
    </row>
    <row r="744" spans="2:32">
      <c r="B744" s="37" t="str">
        <f t="shared" si="513"/>
        <v>Asset 190</v>
      </c>
      <c r="F744" s="37" t="str">
        <f t="shared" ref="F744:L744" si="586">F248</f>
        <v>13 Aanhangwagens</v>
      </c>
      <c r="G744" s="37">
        <f t="shared" si="586"/>
        <v>2017</v>
      </c>
      <c r="H744" s="42">
        <f t="shared" si="586"/>
        <v>251242.94461834809</v>
      </c>
      <c r="I744" s="37">
        <f t="shared" si="586"/>
        <v>2021</v>
      </c>
      <c r="J744" s="37">
        <f t="shared" si="586"/>
        <v>10</v>
      </c>
      <c r="K744" s="37">
        <f t="shared" si="586"/>
        <v>1</v>
      </c>
      <c r="L744" s="42">
        <f t="shared" si="586"/>
        <v>147814.18069019204</v>
      </c>
      <c r="N744" s="38">
        <f t="shared" si="515"/>
        <v>5.5</v>
      </c>
      <c r="P744" s="43">
        <f t="shared" si="567"/>
        <v>26875.305580034918</v>
      </c>
      <c r="Q744" s="43">
        <f t="shared" si="567"/>
        <v>26875.305580034918</v>
      </c>
      <c r="R744" s="43">
        <f t="shared" si="567"/>
        <v>26875.305580034918</v>
      </c>
      <c r="S744" s="43">
        <f t="shared" si="567"/>
        <v>26875.305580034918</v>
      </c>
      <c r="T744" s="43">
        <f t="shared" si="567"/>
        <v>26875.305580034918</v>
      </c>
      <c r="V744" s="47">
        <f t="shared" si="524"/>
        <v>120938.87511015713</v>
      </c>
      <c r="W744" s="47">
        <f t="shared" si="525"/>
        <v>94063.569530122215</v>
      </c>
      <c r="X744" s="47">
        <f t="shared" si="526"/>
        <v>67188.263950087305</v>
      </c>
      <c r="Y744" s="47">
        <f t="shared" si="527"/>
        <v>40312.958370052387</v>
      </c>
      <c r="Z744" s="47">
        <f t="shared" si="528"/>
        <v>13437.65279001747</v>
      </c>
      <c r="AB744" s="47">
        <f t="shared" si="516"/>
        <v>30987.227333780262</v>
      </c>
      <c r="AC744" s="47">
        <f t="shared" si="517"/>
        <v>29979.403374528949</v>
      </c>
      <c r="AD744" s="47">
        <f t="shared" si="518"/>
        <v>29428.459610138234</v>
      </c>
      <c r="AE744" s="47">
        <f t="shared" si="519"/>
        <v>28407.197998096908</v>
      </c>
      <c r="AF744" s="47">
        <f t="shared" si="520"/>
        <v>27385.936386055582</v>
      </c>
    </row>
    <row r="745" spans="2:32">
      <c r="B745" s="37" t="str">
        <f t="shared" si="513"/>
        <v>Asset 191</v>
      </c>
      <c r="F745" s="37" t="str">
        <f t="shared" ref="F745:L745" si="587">F249</f>
        <v>12 Motorvoertuigen</v>
      </c>
      <c r="G745" s="37">
        <f t="shared" si="587"/>
        <v>2017</v>
      </c>
      <c r="H745" s="42">
        <f t="shared" si="587"/>
        <v>342149.84909853589</v>
      </c>
      <c r="I745" s="37">
        <f t="shared" si="587"/>
        <v>2021</v>
      </c>
      <c r="J745" s="37">
        <f t="shared" si="587"/>
        <v>10</v>
      </c>
      <c r="K745" s="37">
        <f t="shared" si="587"/>
        <v>1</v>
      </c>
      <c r="L745" s="42">
        <f t="shared" si="587"/>
        <v>201297.59143922853</v>
      </c>
      <c r="N745" s="38">
        <f t="shared" si="515"/>
        <v>5.5</v>
      </c>
      <c r="P745" s="43">
        <f t="shared" si="567"/>
        <v>36599.562079859737</v>
      </c>
      <c r="Q745" s="43">
        <f t="shared" si="567"/>
        <v>36599.56207985973</v>
      </c>
      <c r="R745" s="43">
        <f t="shared" si="567"/>
        <v>36599.56207985973</v>
      </c>
      <c r="S745" s="43">
        <f t="shared" si="567"/>
        <v>36599.56207985973</v>
      </c>
      <c r="T745" s="43">
        <f t="shared" si="567"/>
        <v>36599.56207985973</v>
      </c>
      <c r="V745" s="47">
        <f t="shared" si="524"/>
        <v>164698.02935936878</v>
      </c>
      <c r="W745" s="47">
        <f t="shared" si="525"/>
        <v>128098.46727950906</v>
      </c>
      <c r="X745" s="47">
        <f t="shared" si="526"/>
        <v>91498.905199649336</v>
      </c>
      <c r="Y745" s="47">
        <f t="shared" si="527"/>
        <v>54899.343119789606</v>
      </c>
      <c r="Z745" s="47">
        <f t="shared" si="528"/>
        <v>18299.781039929876</v>
      </c>
      <c r="AB745" s="47">
        <f t="shared" si="516"/>
        <v>42199.295078078278</v>
      </c>
      <c r="AC745" s="47">
        <f t="shared" si="517"/>
        <v>40826.811500083531</v>
      </c>
      <c r="AD745" s="47">
        <f t="shared" si="518"/>
        <v>40076.520477446407</v>
      </c>
      <c r="AE745" s="47">
        <f t="shared" si="519"/>
        <v>38685.737118411736</v>
      </c>
      <c r="AF745" s="47">
        <f t="shared" si="520"/>
        <v>37294.953759377066</v>
      </c>
    </row>
    <row r="746" spans="2:32">
      <c r="B746" s="37" t="str">
        <f t="shared" si="513"/>
        <v>Asset 192</v>
      </c>
      <c r="F746" s="37" t="str">
        <f t="shared" ref="F746:L746" si="588">F250</f>
        <v>10 Gereedschap (gaschromatografen en comptabele meters)</v>
      </c>
      <c r="G746" s="37">
        <f t="shared" si="588"/>
        <v>2017</v>
      </c>
      <c r="H746" s="42">
        <f t="shared" si="588"/>
        <v>492613.45921199484</v>
      </c>
      <c r="I746" s="37">
        <f t="shared" si="588"/>
        <v>2021</v>
      </c>
      <c r="J746" s="37">
        <f t="shared" si="588"/>
        <v>10</v>
      </c>
      <c r="K746" s="37">
        <f t="shared" si="588"/>
        <v>0</v>
      </c>
      <c r="L746" s="42">
        <f t="shared" si="588"/>
        <v>289820.09815635922</v>
      </c>
      <c r="N746" s="38">
        <f t="shared" si="515"/>
        <v>5.5</v>
      </c>
      <c r="P746" s="43">
        <f t="shared" si="567"/>
        <v>52694.563301156224</v>
      </c>
      <c r="Q746" s="43">
        <f t="shared" si="567"/>
        <v>52694.563301156224</v>
      </c>
      <c r="R746" s="43">
        <f t="shared" si="567"/>
        <v>52694.563301156224</v>
      </c>
      <c r="S746" s="43">
        <f t="shared" si="567"/>
        <v>52694.563301156224</v>
      </c>
      <c r="T746" s="43">
        <f t="shared" si="567"/>
        <v>52694.563301156224</v>
      </c>
      <c r="V746" s="47">
        <f t="shared" si="524"/>
        <v>237125.534855203</v>
      </c>
      <c r="W746" s="47">
        <f t="shared" si="525"/>
        <v>184430.97155404679</v>
      </c>
      <c r="X746" s="47">
        <f t="shared" si="526"/>
        <v>131736.40825289057</v>
      </c>
      <c r="Y746" s="47">
        <f t="shared" si="527"/>
        <v>79041.844951734354</v>
      </c>
      <c r="Z746" s="47">
        <f t="shared" si="528"/>
        <v>26347.28165057813</v>
      </c>
      <c r="AB746" s="47">
        <f t="shared" si="516"/>
        <v>60756.831486233124</v>
      </c>
      <c r="AC746" s="47">
        <f t="shared" si="517"/>
        <v>58780.785362439769</v>
      </c>
      <c r="AD746" s="47">
        <f t="shared" si="518"/>
        <v>57700.546814766065</v>
      </c>
      <c r="AE746" s="47">
        <f t="shared" si="519"/>
        <v>55698.153409322127</v>
      </c>
      <c r="AF746" s="47">
        <f t="shared" si="520"/>
        <v>53695.760003878197</v>
      </c>
    </row>
    <row r="747" spans="2:32">
      <c r="B747" s="37" t="str">
        <f t="shared" si="513"/>
        <v>Asset 193</v>
      </c>
      <c r="F747" s="37" t="str">
        <f t="shared" ref="F747:L747" si="589">F251</f>
        <v>11 Werktuigen</v>
      </c>
      <c r="G747" s="37">
        <f t="shared" si="589"/>
        <v>2017</v>
      </c>
      <c r="H747" s="42">
        <f t="shared" si="589"/>
        <v>2185364.6124668787</v>
      </c>
      <c r="I747" s="37">
        <f t="shared" si="589"/>
        <v>2021</v>
      </c>
      <c r="J747" s="37">
        <f t="shared" si="589"/>
        <v>10</v>
      </c>
      <c r="K747" s="37">
        <f t="shared" si="589"/>
        <v>1</v>
      </c>
      <c r="L747" s="42">
        <f t="shared" si="589"/>
        <v>1285719.20772473</v>
      </c>
      <c r="N747" s="38">
        <f t="shared" si="515"/>
        <v>5.5</v>
      </c>
      <c r="P747" s="43">
        <f t="shared" si="567"/>
        <v>233767.12867722363</v>
      </c>
      <c r="Q747" s="43">
        <f t="shared" si="567"/>
        <v>233767.12867722366</v>
      </c>
      <c r="R747" s="43">
        <f t="shared" si="567"/>
        <v>233767.12867722366</v>
      </c>
      <c r="S747" s="43">
        <f t="shared" si="567"/>
        <v>233767.12867722366</v>
      </c>
      <c r="T747" s="43">
        <f t="shared" si="567"/>
        <v>233767.12867722366</v>
      </c>
      <c r="V747" s="47">
        <f t="shared" si="524"/>
        <v>1051952.0790475064</v>
      </c>
      <c r="W747" s="47">
        <f t="shared" si="525"/>
        <v>818184.95037028275</v>
      </c>
      <c r="X747" s="47">
        <f t="shared" si="526"/>
        <v>584417.82169305906</v>
      </c>
      <c r="Y747" s="47">
        <f t="shared" si="527"/>
        <v>350650.69301583536</v>
      </c>
      <c r="Z747" s="47">
        <f t="shared" si="528"/>
        <v>116883.5643386117</v>
      </c>
      <c r="AB747" s="47">
        <f t="shared" si="516"/>
        <v>269533.49936483888</v>
      </c>
      <c r="AC747" s="47">
        <f t="shared" si="517"/>
        <v>260767.23203944298</v>
      </c>
      <c r="AD747" s="47">
        <f t="shared" si="518"/>
        <v>255975.0059015599</v>
      </c>
      <c r="AE747" s="47">
        <f t="shared" si="519"/>
        <v>247091.85501182542</v>
      </c>
      <c r="AF747" s="47">
        <f t="shared" si="520"/>
        <v>238208.70412209092</v>
      </c>
    </row>
    <row r="748" spans="2:32">
      <c r="B748" s="37" t="str">
        <f t="shared" ref="B748:B796" si="590">B252</f>
        <v>Asset 194</v>
      </c>
      <c r="F748" s="37" t="str">
        <f t="shared" ref="F748:L748" si="591">F252</f>
        <v>14 Overig rollend materieel</v>
      </c>
      <c r="G748" s="37">
        <f t="shared" si="591"/>
        <v>2017</v>
      </c>
      <c r="H748" s="42">
        <f t="shared" si="591"/>
        <v>68624.022512808762</v>
      </c>
      <c r="I748" s="37">
        <f t="shared" si="591"/>
        <v>2021</v>
      </c>
      <c r="J748" s="37">
        <f t="shared" si="591"/>
        <v>10</v>
      </c>
      <c r="K748" s="37">
        <f t="shared" si="591"/>
        <v>1</v>
      </c>
      <c r="L748" s="42">
        <f t="shared" si="591"/>
        <v>40373.685632465487</v>
      </c>
      <c r="N748" s="38">
        <f t="shared" ref="N748:N797" si="592">MAX(0,IF(G748&lt;=2021, J748-2021+G748-0.5,J748))</f>
        <v>5.5</v>
      </c>
      <c r="P748" s="43">
        <f t="shared" si="567"/>
        <v>7340.6701149937253</v>
      </c>
      <c r="Q748" s="43">
        <f t="shared" si="567"/>
        <v>7340.6701149937253</v>
      </c>
      <c r="R748" s="43">
        <f t="shared" si="567"/>
        <v>7340.6701149937253</v>
      </c>
      <c r="S748" s="43">
        <f t="shared" si="567"/>
        <v>7340.6701149937253</v>
      </c>
      <c r="T748" s="43">
        <f t="shared" si="567"/>
        <v>7340.6701149937253</v>
      </c>
      <c r="V748" s="47">
        <f t="shared" si="524"/>
        <v>33033.015517471766</v>
      </c>
      <c r="W748" s="47">
        <f t="shared" si="525"/>
        <v>25692.34540247804</v>
      </c>
      <c r="X748" s="47">
        <f t="shared" si="526"/>
        <v>18351.675287484315</v>
      </c>
      <c r="Y748" s="47">
        <f t="shared" si="527"/>
        <v>11011.00517249059</v>
      </c>
      <c r="Z748" s="47">
        <f t="shared" si="528"/>
        <v>3670.3350574968645</v>
      </c>
      <c r="AB748" s="47">
        <f t="shared" ref="AB748:AB797" si="593">(P748+V748*I$16)*IF($K748=1,$F$19,1)</f>
        <v>8463.7926425877649</v>
      </c>
      <c r="AC748" s="47">
        <f t="shared" ref="AC748:AC797" si="594">(Q748+W748*J$16)*IF($K748=1,$F$19,1)</f>
        <v>8188.5175132755003</v>
      </c>
      <c r="AD748" s="47">
        <f t="shared" ref="AD748:AD797" si="595">(R748+X748*K$16)*IF($K748=1,$F$19,1)</f>
        <v>8038.0337759181293</v>
      </c>
      <c r="AE748" s="47">
        <f t="shared" ref="AE748:AE797" si="596">(S748+Y748*L$16)*IF($K748=1,$F$19,1)</f>
        <v>7759.0883115483675</v>
      </c>
      <c r="AF748" s="47">
        <f t="shared" ref="AF748:AF797" si="597">(T748+Z748*M$16)*IF($K748=1,$F$19,1)</f>
        <v>7480.1428471786057</v>
      </c>
    </row>
    <row r="749" spans="2:32">
      <c r="B749" s="37" t="str">
        <f t="shared" si="590"/>
        <v>Asset 195</v>
      </c>
      <c r="F749" s="37" t="str">
        <f t="shared" ref="F749:L749" si="598">F253</f>
        <v>09 Bedrijfsinventaris</v>
      </c>
      <c r="G749" s="37">
        <f t="shared" si="598"/>
        <v>2017</v>
      </c>
      <c r="H749" s="42">
        <f t="shared" si="598"/>
        <v>75086.588886849713</v>
      </c>
      <c r="I749" s="37">
        <f t="shared" si="598"/>
        <v>2021</v>
      </c>
      <c r="J749" s="37">
        <f t="shared" si="598"/>
        <v>10</v>
      </c>
      <c r="K749" s="37">
        <f t="shared" si="598"/>
        <v>1</v>
      </c>
      <c r="L749" s="42">
        <f t="shared" si="598"/>
        <v>44175.81808711389</v>
      </c>
      <c r="N749" s="38">
        <f t="shared" si="592"/>
        <v>5.5</v>
      </c>
      <c r="P749" s="43">
        <f t="shared" si="567"/>
        <v>8031.9669249297986</v>
      </c>
      <c r="Q749" s="43">
        <f t="shared" si="567"/>
        <v>8031.9669249297976</v>
      </c>
      <c r="R749" s="43">
        <f t="shared" si="567"/>
        <v>8031.9669249297976</v>
      </c>
      <c r="S749" s="43">
        <f t="shared" si="567"/>
        <v>8031.9669249297976</v>
      </c>
      <c r="T749" s="43">
        <f t="shared" si="567"/>
        <v>8031.9669249297976</v>
      </c>
      <c r="V749" s="47">
        <f t="shared" si="524"/>
        <v>36143.851162184088</v>
      </c>
      <c r="W749" s="47">
        <f t="shared" si="525"/>
        <v>28111.884237254289</v>
      </c>
      <c r="X749" s="47">
        <f t="shared" si="526"/>
        <v>20079.917312324491</v>
      </c>
      <c r="Y749" s="47">
        <f t="shared" si="527"/>
        <v>12047.950387394692</v>
      </c>
      <c r="Z749" s="47">
        <f t="shared" si="528"/>
        <v>4015.9834624648947</v>
      </c>
      <c r="AB749" s="47">
        <f t="shared" si="593"/>
        <v>9260.8578644440568</v>
      </c>
      <c r="AC749" s="47">
        <f t="shared" si="594"/>
        <v>8959.6591047591901</v>
      </c>
      <c r="AD749" s="47">
        <f t="shared" si="595"/>
        <v>8795.0037827981287</v>
      </c>
      <c r="AE749" s="47">
        <f t="shared" si="596"/>
        <v>8489.7890396507955</v>
      </c>
      <c r="AF749" s="47">
        <f t="shared" si="597"/>
        <v>8184.5742965034633</v>
      </c>
    </row>
    <row r="750" spans="2:32">
      <c r="B750" s="37" t="str">
        <f t="shared" si="590"/>
        <v>Asset 196</v>
      </c>
      <c r="F750" s="37" t="str">
        <f t="shared" ref="F750:L750" si="599">F254</f>
        <v>08 Inrichting gebouwen</v>
      </c>
      <c r="G750" s="37">
        <f t="shared" si="599"/>
        <v>2017</v>
      </c>
      <c r="H750" s="42">
        <f t="shared" si="599"/>
        <v>894081.48176313401</v>
      </c>
      <c r="I750" s="37">
        <f t="shared" si="599"/>
        <v>2021</v>
      </c>
      <c r="J750" s="37">
        <f t="shared" si="599"/>
        <v>10</v>
      </c>
      <c r="K750" s="37">
        <f t="shared" si="599"/>
        <v>0</v>
      </c>
      <c r="L750" s="42">
        <f t="shared" si="599"/>
        <v>526016.44952794898</v>
      </c>
      <c r="N750" s="38">
        <f t="shared" si="592"/>
        <v>5.5</v>
      </c>
      <c r="P750" s="43">
        <f t="shared" si="567"/>
        <v>95639.354459627095</v>
      </c>
      <c r="Q750" s="43">
        <f t="shared" si="567"/>
        <v>95639.354459627095</v>
      </c>
      <c r="R750" s="43">
        <f t="shared" si="567"/>
        <v>95639.354459627095</v>
      </c>
      <c r="S750" s="43">
        <f t="shared" si="567"/>
        <v>95639.354459627095</v>
      </c>
      <c r="T750" s="43">
        <f t="shared" si="567"/>
        <v>95639.354459627095</v>
      </c>
      <c r="V750" s="47">
        <f t="shared" si="524"/>
        <v>430377.09506832191</v>
      </c>
      <c r="W750" s="47">
        <f t="shared" si="525"/>
        <v>334737.74060869485</v>
      </c>
      <c r="X750" s="47">
        <f t="shared" si="526"/>
        <v>239098.38614906775</v>
      </c>
      <c r="Y750" s="47">
        <f t="shared" si="527"/>
        <v>143459.03168944066</v>
      </c>
      <c r="Z750" s="47">
        <f t="shared" si="528"/>
        <v>47819.677229813562</v>
      </c>
      <c r="AB750" s="47">
        <f t="shared" si="593"/>
        <v>110272.17569195005</v>
      </c>
      <c r="AC750" s="47">
        <f t="shared" si="594"/>
        <v>106685.69989971403</v>
      </c>
      <c r="AD750" s="47">
        <f t="shared" si="595"/>
        <v>104725.09313329167</v>
      </c>
      <c r="AE750" s="47">
        <f t="shared" si="596"/>
        <v>101090.79766382584</v>
      </c>
      <c r="AF750" s="47">
        <f t="shared" si="597"/>
        <v>97456.502194360015</v>
      </c>
    </row>
    <row r="751" spans="2:32">
      <c r="B751" s="37" t="str">
        <f t="shared" si="590"/>
        <v>Asset 197</v>
      </c>
      <c r="F751" s="37" t="str">
        <f t="shared" ref="F751:L751" si="600">F255</f>
        <v>09 Bedrijfsinventaris</v>
      </c>
      <c r="G751" s="37">
        <f t="shared" si="600"/>
        <v>2018</v>
      </c>
      <c r="H751" s="42">
        <f t="shared" si="600"/>
        <v>490885.08786120504</v>
      </c>
      <c r="I751" s="37">
        <f t="shared" si="600"/>
        <v>2021</v>
      </c>
      <c r="J751" s="37">
        <f t="shared" si="600"/>
        <v>10</v>
      </c>
      <c r="K751" s="37">
        <f t="shared" si="600"/>
        <v>1</v>
      </c>
      <c r="L751" s="42">
        <f t="shared" si="600"/>
        <v>336600.51580018562</v>
      </c>
      <c r="N751" s="38">
        <f t="shared" si="592"/>
        <v>6.5</v>
      </c>
      <c r="P751" s="43">
        <f t="shared" si="567"/>
        <v>51784.6947384901</v>
      </c>
      <c r="Q751" s="43">
        <f t="shared" si="567"/>
        <v>51784.694738490092</v>
      </c>
      <c r="R751" s="43">
        <f t="shared" si="567"/>
        <v>51784.694738490092</v>
      </c>
      <c r="S751" s="43">
        <f t="shared" si="567"/>
        <v>51784.694738490092</v>
      </c>
      <c r="T751" s="43">
        <f t="shared" si="567"/>
        <v>51784.694738490092</v>
      </c>
      <c r="V751" s="47">
        <f t="shared" ref="V751:V758" si="601">IF(OR(V$553&lt;=$G751+$J751,$J751=0),IF(U751=0,$L751,U751)-P751,0)</f>
        <v>284815.82106169552</v>
      </c>
      <c r="W751" s="47">
        <f t="shared" ref="W751:W758" si="602">IF(OR(W$553&lt;=$G751+$J751,$J751=0),IF(V751=0,$L751,V751)-Q751,0)</f>
        <v>233031.12632320542</v>
      </c>
      <c r="X751" s="47">
        <f t="shared" ref="X751:X758" si="603">IF(OR(X$553&lt;=$G751+$J751,$J751=0),IF(W751=0,$L751,W751)-R751,0)</f>
        <v>181246.43158471532</v>
      </c>
      <c r="Y751" s="47">
        <f t="shared" ref="Y751:Y758" si="604">IF(OR(Y$553&lt;=$G751+$J751,$J751=0),IF(X751=0,$L751,X751)-S751,0)</f>
        <v>129461.73684622522</v>
      </c>
      <c r="Z751" s="47">
        <f t="shared" ref="Z751:Z758" si="605">IF(OR(Z$553&lt;=$G751+$J751,$J751=0),IF(Y751=0,$L751,Y751)-T751,0)</f>
        <v>77677.04210773512</v>
      </c>
      <c r="AB751" s="47">
        <f t="shared" si="593"/>
        <v>61468.432654587748</v>
      </c>
      <c r="AC751" s="47">
        <f t="shared" si="594"/>
        <v>59474.721907155872</v>
      </c>
      <c r="AD751" s="47">
        <f t="shared" si="595"/>
        <v>58672.059138709272</v>
      </c>
      <c r="AE751" s="47">
        <f t="shared" si="596"/>
        <v>56704.240738646651</v>
      </c>
      <c r="AF751" s="47">
        <f t="shared" si="597"/>
        <v>54736.422338584031</v>
      </c>
    </row>
    <row r="752" spans="2:32">
      <c r="B752" s="37" t="str">
        <f t="shared" si="590"/>
        <v>Asset 198</v>
      </c>
      <c r="F752" s="37" t="str">
        <f t="shared" ref="F752:L752" si="606">F256</f>
        <v>08 Inrichting gebouwen</v>
      </c>
      <c r="G752" s="37">
        <f t="shared" si="606"/>
        <v>2018</v>
      </c>
      <c r="H752" s="42">
        <f t="shared" si="606"/>
        <v>533703.76265516167</v>
      </c>
      <c r="I752" s="37">
        <f t="shared" si="606"/>
        <v>2021</v>
      </c>
      <c r="J752" s="37">
        <f t="shared" si="606"/>
        <v>10</v>
      </c>
      <c r="K752" s="37">
        <f t="shared" si="606"/>
        <v>0</v>
      </c>
      <c r="L752" s="42">
        <f t="shared" si="606"/>
        <v>365961.33440708811</v>
      </c>
      <c r="N752" s="38">
        <f t="shared" si="592"/>
        <v>6.5</v>
      </c>
      <c r="P752" s="43">
        <f t="shared" si="567"/>
        <v>56301.743754936637</v>
      </c>
      <c r="Q752" s="43">
        <f t="shared" si="567"/>
        <v>56301.743754936637</v>
      </c>
      <c r="R752" s="43">
        <f t="shared" si="567"/>
        <v>56301.743754936637</v>
      </c>
      <c r="S752" s="43">
        <f t="shared" si="567"/>
        <v>56301.743754936637</v>
      </c>
      <c r="T752" s="43">
        <f t="shared" si="567"/>
        <v>56301.743754936637</v>
      </c>
      <c r="V752" s="47">
        <f t="shared" si="601"/>
        <v>309659.5906521515</v>
      </c>
      <c r="W752" s="47">
        <f t="shared" si="602"/>
        <v>253357.84689721485</v>
      </c>
      <c r="X752" s="47">
        <f t="shared" si="603"/>
        <v>197056.10314227821</v>
      </c>
      <c r="Y752" s="47">
        <f t="shared" si="604"/>
        <v>140754.35938734157</v>
      </c>
      <c r="Z752" s="47">
        <f t="shared" si="605"/>
        <v>84452.615632404923</v>
      </c>
      <c r="AB752" s="47">
        <f t="shared" si="593"/>
        <v>66830.169837109788</v>
      </c>
      <c r="AC752" s="47">
        <f t="shared" si="594"/>
        <v>64662.55270254473</v>
      </c>
      <c r="AD752" s="47">
        <f t="shared" si="595"/>
        <v>63789.87567434321</v>
      </c>
      <c r="AE752" s="47">
        <f t="shared" si="596"/>
        <v>61650.409411655615</v>
      </c>
      <c r="AF752" s="47">
        <f t="shared" si="597"/>
        <v>59510.943148968021</v>
      </c>
    </row>
    <row r="753" spans="2:32">
      <c r="B753" s="37" t="str">
        <f t="shared" si="590"/>
        <v>Asset 199</v>
      </c>
      <c r="F753" s="37" t="str">
        <f t="shared" ref="F753:L753" si="607">F257</f>
        <v>11 Werktuigen</v>
      </c>
      <c r="G753" s="37">
        <f t="shared" si="607"/>
        <v>2018</v>
      </c>
      <c r="H753" s="42">
        <f t="shared" si="607"/>
        <v>2619455.826851733</v>
      </c>
      <c r="I753" s="37">
        <f t="shared" si="607"/>
        <v>2021</v>
      </c>
      <c r="J753" s="37">
        <f t="shared" si="607"/>
        <v>10</v>
      </c>
      <c r="K753" s="37">
        <f t="shared" si="607"/>
        <v>1</v>
      </c>
      <c r="L753" s="42">
        <f t="shared" si="607"/>
        <v>1796164.1211708463</v>
      </c>
      <c r="N753" s="38">
        <f t="shared" si="592"/>
        <v>6.5</v>
      </c>
      <c r="P753" s="43">
        <f t="shared" si="567"/>
        <v>276332.94171859173</v>
      </c>
      <c r="Q753" s="43">
        <f t="shared" si="567"/>
        <v>276332.94171859173</v>
      </c>
      <c r="R753" s="43">
        <f t="shared" si="567"/>
        <v>276332.94171859173</v>
      </c>
      <c r="S753" s="43">
        <f t="shared" si="567"/>
        <v>276332.94171859173</v>
      </c>
      <c r="T753" s="43">
        <f t="shared" si="567"/>
        <v>276332.94171859173</v>
      </c>
      <c r="V753" s="47">
        <f t="shared" si="601"/>
        <v>1519831.1794522544</v>
      </c>
      <c r="W753" s="47">
        <f t="shared" si="602"/>
        <v>1243498.2377336626</v>
      </c>
      <c r="X753" s="47">
        <f t="shared" si="603"/>
        <v>967165.29601507087</v>
      </c>
      <c r="Y753" s="47">
        <f t="shared" si="604"/>
        <v>690832.35429647914</v>
      </c>
      <c r="Z753" s="47">
        <f t="shared" si="605"/>
        <v>414499.41257788741</v>
      </c>
      <c r="AB753" s="47">
        <f t="shared" si="593"/>
        <v>328007.20181996841</v>
      </c>
      <c r="AC753" s="47">
        <f t="shared" si="594"/>
        <v>317368.38356380258</v>
      </c>
      <c r="AD753" s="47">
        <f t="shared" si="595"/>
        <v>313085.22296716442</v>
      </c>
      <c r="AE753" s="47">
        <f t="shared" si="596"/>
        <v>302584.57118185796</v>
      </c>
      <c r="AF753" s="47">
        <f t="shared" si="597"/>
        <v>292083.91939655144</v>
      </c>
    </row>
    <row r="754" spans="2:32">
      <c r="B754" s="37" t="str">
        <f t="shared" si="590"/>
        <v>Asset 200</v>
      </c>
      <c r="F754" s="37" t="str">
        <f t="shared" ref="F754:L754" si="608">F258</f>
        <v>10 Gereedschap</v>
      </c>
      <c r="G754" s="37">
        <f t="shared" si="608"/>
        <v>2018</v>
      </c>
      <c r="H754" s="42">
        <f t="shared" si="608"/>
        <v>252164.79428194632</v>
      </c>
      <c r="I754" s="37">
        <f t="shared" si="608"/>
        <v>2021</v>
      </c>
      <c r="J754" s="37">
        <f t="shared" si="608"/>
        <v>10</v>
      </c>
      <c r="K754" s="37">
        <f t="shared" si="608"/>
        <v>1</v>
      </c>
      <c r="L754" s="42">
        <f t="shared" si="608"/>
        <v>172909.7133338665</v>
      </c>
      <c r="N754" s="38">
        <f t="shared" si="592"/>
        <v>6.5</v>
      </c>
      <c r="P754" s="43">
        <f t="shared" si="567"/>
        <v>26601.494359056385</v>
      </c>
      <c r="Q754" s="43">
        <f t="shared" si="567"/>
        <v>26601.494359056385</v>
      </c>
      <c r="R754" s="43">
        <f t="shared" si="567"/>
        <v>26601.494359056385</v>
      </c>
      <c r="S754" s="43">
        <f t="shared" si="567"/>
        <v>26601.494359056385</v>
      </c>
      <c r="T754" s="43">
        <f t="shared" si="567"/>
        <v>26601.494359056385</v>
      </c>
      <c r="V754" s="47">
        <f t="shared" si="601"/>
        <v>146308.21897481012</v>
      </c>
      <c r="W754" s="47">
        <f t="shared" si="602"/>
        <v>119706.72461575374</v>
      </c>
      <c r="X754" s="47">
        <f t="shared" si="603"/>
        <v>93105.230256697367</v>
      </c>
      <c r="Y754" s="47">
        <f t="shared" si="604"/>
        <v>66503.735897640989</v>
      </c>
      <c r="Z754" s="47">
        <f t="shared" si="605"/>
        <v>39902.241538584603</v>
      </c>
      <c r="AB754" s="47">
        <f t="shared" si="593"/>
        <v>31575.97380419993</v>
      </c>
      <c r="AC754" s="47">
        <f t="shared" si="594"/>
        <v>30551.816271376258</v>
      </c>
      <c r="AD754" s="47">
        <f t="shared" si="595"/>
        <v>30139.493108810886</v>
      </c>
      <c r="AE754" s="47">
        <f t="shared" si="596"/>
        <v>29128.636323166742</v>
      </c>
      <c r="AF754" s="47">
        <f t="shared" si="597"/>
        <v>28117.779537522601</v>
      </c>
    </row>
    <row r="755" spans="2:32">
      <c r="B755" s="37" t="str">
        <f t="shared" si="590"/>
        <v>Asset 201</v>
      </c>
      <c r="F755" s="37" t="str">
        <f t="shared" ref="F755:L755" si="609">F259</f>
        <v>11 Werktuigen (KC)</v>
      </c>
      <c r="G755" s="37">
        <f t="shared" si="609"/>
        <v>2018</v>
      </c>
      <c r="H755" s="42">
        <f t="shared" si="609"/>
        <v>13021546.318391869</v>
      </c>
      <c r="I755" s="37">
        <f t="shared" si="609"/>
        <v>2021</v>
      </c>
      <c r="J755" s="37">
        <f t="shared" si="609"/>
        <v>10</v>
      </c>
      <c r="K755" s="37">
        <f t="shared" si="609"/>
        <v>0</v>
      </c>
      <c r="L755" s="42">
        <f t="shared" si="609"/>
        <v>8928890.519742161</v>
      </c>
      <c r="N755" s="38">
        <f t="shared" si="592"/>
        <v>6.5</v>
      </c>
      <c r="P755" s="43">
        <f t="shared" si="567"/>
        <v>1373675.4645757172</v>
      </c>
      <c r="Q755" s="43">
        <f t="shared" si="567"/>
        <v>1373675.464575717</v>
      </c>
      <c r="R755" s="43">
        <f t="shared" si="567"/>
        <v>1373675.464575717</v>
      </c>
      <c r="S755" s="43">
        <f t="shared" si="567"/>
        <v>1373675.464575717</v>
      </c>
      <c r="T755" s="43">
        <f t="shared" si="567"/>
        <v>1373675.464575717</v>
      </c>
      <c r="V755" s="47">
        <f t="shared" si="601"/>
        <v>7555215.0551664438</v>
      </c>
      <c r="W755" s="47">
        <f t="shared" si="602"/>
        <v>6181539.5905907266</v>
      </c>
      <c r="X755" s="47">
        <f t="shared" si="603"/>
        <v>4807864.1260150094</v>
      </c>
      <c r="Y755" s="47">
        <f t="shared" si="604"/>
        <v>3434188.6614392921</v>
      </c>
      <c r="Z755" s="47">
        <f t="shared" si="605"/>
        <v>2060513.1968635751</v>
      </c>
      <c r="AB755" s="47">
        <f t="shared" si="593"/>
        <v>1630552.7764513763</v>
      </c>
      <c r="AC755" s="47">
        <f t="shared" si="594"/>
        <v>1577666.2710652109</v>
      </c>
      <c r="AD755" s="47">
        <f t="shared" si="595"/>
        <v>1556374.3013642873</v>
      </c>
      <c r="AE755" s="47">
        <f t="shared" si="596"/>
        <v>1504174.63371041</v>
      </c>
      <c r="AF755" s="47">
        <f t="shared" si="597"/>
        <v>1451974.9660565329</v>
      </c>
    </row>
    <row r="756" spans="2:32">
      <c r="B756" s="37" t="str">
        <f t="shared" si="590"/>
        <v>Asset 202</v>
      </c>
      <c r="F756" s="37" t="str">
        <f t="shared" ref="F756:L756" si="610">F260</f>
        <v>20 Kantoorgebouwen</v>
      </c>
      <c r="G756" s="37">
        <f t="shared" si="610"/>
        <v>2018</v>
      </c>
      <c r="H756" s="42">
        <f t="shared" si="610"/>
        <v>5158473.573657441</v>
      </c>
      <c r="I756" s="37">
        <f t="shared" si="610"/>
        <v>2021</v>
      </c>
      <c r="J756" s="37">
        <f t="shared" si="610"/>
        <v>30</v>
      </c>
      <c r="K756" s="37">
        <f t="shared" si="610"/>
        <v>0</v>
      </c>
      <c r="L756" s="42">
        <f t="shared" si="610"/>
        <v>4806925.7125234623</v>
      </c>
      <c r="N756" s="38">
        <f t="shared" si="592"/>
        <v>26.5</v>
      </c>
      <c r="P756" s="43">
        <f t="shared" si="567"/>
        <v>181393.4231140929</v>
      </c>
      <c r="Q756" s="43">
        <f t="shared" si="567"/>
        <v>181393.4231140929</v>
      </c>
      <c r="R756" s="43">
        <f t="shared" si="567"/>
        <v>181393.4231140929</v>
      </c>
      <c r="S756" s="43">
        <f t="shared" si="567"/>
        <v>181393.4231140929</v>
      </c>
      <c r="T756" s="43">
        <f t="shared" si="567"/>
        <v>181393.4231140929</v>
      </c>
      <c r="V756" s="47">
        <f t="shared" si="601"/>
        <v>4625532.2894093692</v>
      </c>
      <c r="W756" s="47">
        <f t="shared" si="602"/>
        <v>4444138.8662952762</v>
      </c>
      <c r="X756" s="47">
        <f t="shared" si="603"/>
        <v>4262745.4431811832</v>
      </c>
      <c r="Y756" s="47">
        <f t="shared" si="604"/>
        <v>4081352.0200670902</v>
      </c>
      <c r="Z756" s="47">
        <f t="shared" si="605"/>
        <v>3899958.5969529971</v>
      </c>
      <c r="AB756" s="47">
        <f t="shared" si="593"/>
        <v>338661.52095401147</v>
      </c>
      <c r="AC756" s="47">
        <f t="shared" si="594"/>
        <v>328050.00570183701</v>
      </c>
      <c r="AD756" s="47">
        <f t="shared" si="595"/>
        <v>343377.74995497789</v>
      </c>
      <c r="AE756" s="47">
        <f t="shared" si="596"/>
        <v>336484.7998766423</v>
      </c>
      <c r="AF756" s="47">
        <f t="shared" si="597"/>
        <v>329591.84979830682</v>
      </c>
    </row>
    <row r="757" spans="2:32">
      <c r="B757" s="37" t="str">
        <f t="shared" si="590"/>
        <v>Asset 203</v>
      </c>
      <c r="F757" s="37" t="str">
        <f t="shared" ref="F757:L757" si="611">F261</f>
        <v>39 ICT middelen 3 (KC)</v>
      </c>
      <c r="G757" s="37">
        <f t="shared" si="611"/>
        <v>2018</v>
      </c>
      <c r="H757" s="42">
        <f t="shared" si="611"/>
        <v>21147142.000000007</v>
      </c>
      <c r="I757" s="37">
        <f t="shared" si="611"/>
        <v>2021</v>
      </c>
      <c r="J757" s="37">
        <f t="shared" si="611"/>
        <v>15</v>
      </c>
      <c r="K757" s="37">
        <f t="shared" si="611"/>
        <v>0</v>
      </c>
      <c r="L757" s="42">
        <f t="shared" si="611"/>
        <v>17103297.263965867</v>
      </c>
      <c r="N757" s="38">
        <f t="shared" si="592"/>
        <v>11.5</v>
      </c>
      <c r="P757" s="43">
        <f t="shared" si="567"/>
        <v>1487243.240344858</v>
      </c>
      <c r="Q757" s="43">
        <f t="shared" si="567"/>
        <v>1487243.240344858</v>
      </c>
      <c r="R757" s="43">
        <f t="shared" si="567"/>
        <v>1487243.240344858</v>
      </c>
      <c r="S757" s="43">
        <f t="shared" si="567"/>
        <v>1487243.240344858</v>
      </c>
      <c r="T757" s="43">
        <f t="shared" si="567"/>
        <v>1487243.240344858</v>
      </c>
      <c r="V757" s="47">
        <f t="shared" si="601"/>
        <v>15616054.02362101</v>
      </c>
      <c r="W757" s="47">
        <f t="shared" si="602"/>
        <v>14128810.783276152</v>
      </c>
      <c r="X757" s="47">
        <f t="shared" si="603"/>
        <v>12641567.542931294</v>
      </c>
      <c r="Y757" s="47">
        <f t="shared" si="604"/>
        <v>11154324.302586436</v>
      </c>
      <c r="Z757" s="47">
        <f t="shared" si="605"/>
        <v>9667081.0622415785</v>
      </c>
      <c r="AB757" s="47">
        <f t="shared" si="593"/>
        <v>2018189.0771479723</v>
      </c>
      <c r="AC757" s="47">
        <f t="shared" si="594"/>
        <v>1953493.996192971</v>
      </c>
      <c r="AD757" s="47">
        <f t="shared" si="595"/>
        <v>1967622.8069762471</v>
      </c>
      <c r="AE757" s="47">
        <f t="shared" si="596"/>
        <v>1911107.5638431427</v>
      </c>
      <c r="AF757" s="47">
        <f t="shared" si="597"/>
        <v>1854592.3207100381</v>
      </c>
    </row>
    <row r="758" spans="2:32">
      <c r="B758" s="37" t="str">
        <f t="shared" si="590"/>
        <v>Asset 204</v>
      </c>
      <c r="F758" s="37" t="str">
        <f t="shared" ref="F758:L758" si="612">F262</f>
        <v>37 ICT middelen 1 (KC)</v>
      </c>
      <c r="G758" s="37">
        <f t="shared" si="612"/>
        <v>2018</v>
      </c>
      <c r="H758" s="42">
        <f t="shared" si="612"/>
        <v>1669649.9999999995</v>
      </c>
      <c r="I758" s="37">
        <f t="shared" si="612"/>
        <v>2021</v>
      </c>
      <c r="J758" s="37">
        <f t="shared" si="612"/>
        <v>5</v>
      </c>
      <c r="K758" s="37">
        <f t="shared" si="612"/>
        <v>0</v>
      </c>
      <c r="L758" s="42">
        <f t="shared" si="612"/>
        <v>528406.65386783984</v>
      </c>
      <c r="N758" s="38">
        <f t="shared" si="592"/>
        <v>1.5</v>
      </c>
      <c r="P758" s="43">
        <f t="shared" si="567"/>
        <v>352271.10257855989</v>
      </c>
      <c r="Q758" s="43">
        <f t="shared" si="567"/>
        <v>176135.55128927995</v>
      </c>
      <c r="R758" s="43">
        <f t="shared" si="567"/>
        <v>0</v>
      </c>
      <c r="S758" s="43">
        <f t="shared" si="567"/>
        <v>0</v>
      </c>
      <c r="T758" s="43">
        <f t="shared" si="567"/>
        <v>0</v>
      </c>
      <c r="V758" s="47">
        <f t="shared" si="601"/>
        <v>176135.55128927995</v>
      </c>
      <c r="W758" s="47">
        <f t="shared" si="602"/>
        <v>0</v>
      </c>
      <c r="X758" s="47">
        <f t="shared" si="603"/>
        <v>0</v>
      </c>
      <c r="Y758" s="47">
        <f t="shared" si="604"/>
        <v>0</v>
      </c>
      <c r="Z758" s="47">
        <f t="shared" si="605"/>
        <v>0</v>
      </c>
      <c r="AB758" s="47">
        <f t="shared" si="593"/>
        <v>358259.71132239542</v>
      </c>
      <c r="AC758" s="47">
        <f t="shared" si="594"/>
        <v>176135.55128927995</v>
      </c>
      <c r="AD758" s="47">
        <f t="shared" si="595"/>
        <v>0</v>
      </c>
      <c r="AE758" s="47">
        <f t="shared" si="596"/>
        <v>0</v>
      </c>
      <c r="AF758" s="47">
        <f t="shared" si="597"/>
        <v>0</v>
      </c>
    </row>
    <row r="759" spans="2:32">
      <c r="B759" s="37" t="str">
        <f t="shared" si="590"/>
        <v>Asset 205</v>
      </c>
      <c r="F759" s="37" t="str">
        <f t="shared" ref="F759:L759" si="613">F263</f>
        <v>05 Wegen en terreinvoorzieningen</v>
      </c>
      <c r="G759" s="37">
        <f t="shared" si="613"/>
        <v>2017</v>
      </c>
      <c r="H759" s="42">
        <f t="shared" si="613"/>
        <v>41129.587663444909</v>
      </c>
      <c r="I759" s="37">
        <f t="shared" si="613"/>
        <v>2021</v>
      </c>
      <c r="J759" s="37">
        <f t="shared" si="613"/>
        <v>10</v>
      </c>
      <c r="K759" s="37">
        <f t="shared" si="613"/>
        <v>0</v>
      </c>
      <c r="L759" s="42">
        <f t="shared" si="613"/>
        <v>24197.83891576614</v>
      </c>
      <c r="N759" s="38">
        <f t="shared" si="592"/>
        <v>5.5</v>
      </c>
      <c r="P759" s="43">
        <f t="shared" ref="P759:T797" si="614">IF(P$553&lt;=$G759+$J759,VDB($L759,0,$N759,P$553-2022,MIN(P$553-2021,$N759),1),0)</f>
        <v>4399.6070755938435</v>
      </c>
      <c r="Q759" s="43">
        <f t="shared" si="614"/>
        <v>4399.6070755938435</v>
      </c>
      <c r="R759" s="43">
        <f t="shared" si="614"/>
        <v>4399.6070755938435</v>
      </c>
      <c r="S759" s="43">
        <f t="shared" si="614"/>
        <v>4399.6070755938435</v>
      </c>
      <c r="T759" s="43">
        <f t="shared" si="614"/>
        <v>4399.6070755938435</v>
      </c>
      <c r="V759" s="47">
        <f t="shared" ref="V759:V797" si="615">IF(OR(V$553&lt;=$G759+$J759,$J759=0),IF(U759=0,$L759,U759)-P759,0)</f>
        <v>19798.231840172295</v>
      </c>
      <c r="W759" s="47">
        <f t="shared" ref="W759:W797" si="616">IF(OR(W$553&lt;=$G759+$J759,$J759=0),IF(V759=0,$L759,V759)-Q759,0)</f>
        <v>15398.624764578452</v>
      </c>
      <c r="X759" s="47">
        <f t="shared" ref="X759:X797" si="617">IF(OR(X$553&lt;=$G759+$J759,$J759=0),IF(W759=0,$L759,W759)-R759,0)</f>
        <v>10999.017688984608</v>
      </c>
      <c r="Y759" s="47">
        <f t="shared" ref="Y759:Y797" si="618">IF(OR(Y$553&lt;=$G759+$J759,$J759=0),IF(X759=0,$L759,X759)-S759,0)</f>
        <v>6599.4106133907644</v>
      </c>
      <c r="Z759" s="47">
        <f t="shared" ref="Z759:Z797" si="619">IF(OR(Z$553&lt;=$G759+$J759,$J759=0),IF(Y759=0,$L759,Y759)-T759,0)</f>
        <v>2199.8035377969209</v>
      </c>
      <c r="AB759" s="47">
        <f t="shared" si="593"/>
        <v>5072.7469581597015</v>
      </c>
      <c r="AC759" s="47">
        <f t="shared" si="594"/>
        <v>4907.7616928249327</v>
      </c>
      <c r="AD759" s="47">
        <f t="shared" si="595"/>
        <v>4817.5697477752583</v>
      </c>
      <c r="AE759" s="47">
        <f t="shared" si="596"/>
        <v>4650.3846789026929</v>
      </c>
      <c r="AF759" s="47">
        <f t="shared" si="597"/>
        <v>4483.1996100301267</v>
      </c>
    </row>
    <row r="760" spans="2:32">
      <c r="B760" s="37" t="str">
        <f t="shared" si="590"/>
        <v>Asset 206</v>
      </c>
      <c r="F760" s="37" t="str">
        <f t="shared" ref="F760:L760" si="620">F264</f>
        <v>06 Utiliteitsgebouwen</v>
      </c>
      <c r="G760" s="37">
        <f t="shared" si="620"/>
        <v>2018</v>
      </c>
      <c r="H760" s="42">
        <f t="shared" si="620"/>
        <v>1769813.2968497979</v>
      </c>
      <c r="I760" s="37">
        <f t="shared" si="620"/>
        <v>2021</v>
      </c>
      <c r="J760" s="37">
        <f t="shared" si="620"/>
        <v>30</v>
      </c>
      <c r="K760" s="37">
        <f t="shared" si="620"/>
        <v>0</v>
      </c>
      <c r="L760" s="42">
        <f t="shared" si="620"/>
        <v>1649201.2455850111</v>
      </c>
      <c r="N760" s="38">
        <f t="shared" si="592"/>
        <v>26.5</v>
      </c>
      <c r="P760" s="43">
        <f t="shared" si="614"/>
        <v>62234.00926735891</v>
      </c>
      <c r="Q760" s="43">
        <f t="shared" si="614"/>
        <v>62234.00926735891</v>
      </c>
      <c r="R760" s="43">
        <f t="shared" si="614"/>
        <v>62234.00926735891</v>
      </c>
      <c r="S760" s="43">
        <f t="shared" si="614"/>
        <v>62234.00926735891</v>
      </c>
      <c r="T760" s="43">
        <f t="shared" si="614"/>
        <v>62234.00926735891</v>
      </c>
      <c r="V760" s="47">
        <f t="shared" si="615"/>
        <v>1586967.2363176523</v>
      </c>
      <c r="W760" s="47">
        <f t="shared" si="616"/>
        <v>1524733.2270502935</v>
      </c>
      <c r="X760" s="47">
        <f t="shared" si="617"/>
        <v>1462499.2177829347</v>
      </c>
      <c r="Y760" s="47">
        <f t="shared" si="618"/>
        <v>1400265.2085155759</v>
      </c>
      <c r="Z760" s="47">
        <f t="shared" si="619"/>
        <v>1338031.199248217</v>
      </c>
      <c r="AB760" s="47">
        <f t="shared" si="593"/>
        <v>116190.8953021591</v>
      </c>
      <c r="AC760" s="47">
        <f t="shared" si="594"/>
        <v>112550.20576001859</v>
      </c>
      <c r="AD760" s="47">
        <f t="shared" si="595"/>
        <v>117808.97954311043</v>
      </c>
      <c r="AE760" s="47">
        <f t="shared" si="596"/>
        <v>115444.08719095078</v>
      </c>
      <c r="AF760" s="47">
        <f t="shared" si="597"/>
        <v>113079.19483879115</v>
      </c>
    </row>
    <row r="761" spans="2:32">
      <c r="B761" s="37" t="str">
        <f t="shared" si="590"/>
        <v>Asset 207</v>
      </c>
      <c r="F761" s="37" t="str">
        <f t="shared" ref="F761:L761" si="621">F265</f>
        <v>14 Overig rollend materieel</v>
      </c>
      <c r="G761" s="37">
        <f t="shared" si="621"/>
        <v>2018</v>
      </c>
      <c r="H761" s="42">
        <f t="shared" si="621"/>
        <v>20291.448993786991</v>
      </c>
      <c r="I761" s="37">
        <f t="shared" si="621"/>
        <v>2021</v>
      </c>
      <c r="J761" s="37">
        <f t="shared" si="621"/>
        <v>10</v>
      </c>
      <c r="K761" s="37">
        <f t="shared" si="621"/>
        <v>1</v>
      </c>
      <c r="L761" s="42">
        <f t="shared" si="621"/>
        <v>13913.871833835448</v>
      </c>
      <c r="N761" s="38">
        <f t="shared" si="592"/>
        <v>6.5</v>
      </c>
      <c r="P761" s="43">
        <f t="shared" si="614"/>
        <v>2140.5956667439154</v>
      </c>
      <c r="Q761" s="43">
        <f t="shared" si="614"/>
        <v>2140.595666743915</v>
      </c>
      <c r="R761" s="43">
        <f t="shared" si="614"/>
        <v>2140.595666743915</v>
      </c>
      <c r="S761" s="43">
        <f t="shared" si="614"/>
        <v>2140.595666743915</v>
      </c>
      <c r="T761" s="43">
        <f t="shared" si="614"/>
        <v>2140.595666743915</v>
      </c>
      <c r="V761" s="47">
        <f t="shared" si="615"/>
        <v>11773.276167091533</v>
      </c>
      <c r="W761" s="47">
        <f t="shared" si="616"/>
        <v>9632.6805003476184</v>
      </c>
      <c r="X761" s="47">
        <f t="shared" si="617"/>
        <v>7492.0848336037034</v>
      </c>
      <c r="Y761" s="47">
        <f t="shared" si="618"/>
        <v>5351.4891668597884</v>
      </c>
      <c r="Z761" s="47">
        <f t="shared" si="619"/>
        <v>3210.8935001158734</v>
      </c>
      <c r="AB761" s="47">
        <f t="shared" si="593"/>
        <v>2540.8870564250274</v>
      </c>
      <c r="AC761" s="47">
        <f t="shared" si="594"/>
        <v>2458.4741232553865</v>
      </c>
      <c r="AD761" s="47">
        <f t="shared" si="595"/>
        <v>2425.2948904208556</v>
      </c>
      <c r="AE761" s="47">
        <f t="shared" si="596"/>
        <v>2343.9522550845868</v>
      </c>
      <c r="AF761" s="47">
        <f t="shared" si="597"/>
        <v>2262.609619748318</v>
      </c>
    </row>
    <row r="762" spans="2:32">
      <c r="B762" s="37" t="str">
        <f t="shared" si="590"/>
        <v>Asset 208</v>
      </c>
      <c r="F762" s="37" t="str">
        <f t="shared" ref="F762:L762" si="622">F266</f>
        <v>10 Gereedschap (odorisatie)</v>
      </c>
      <c r="G762" s="37">
        <f t="shared" si="622"/>
        <v>2018</v>
      </c>
      <c r="H762" s="42">
        <f t="shared" si="622"/>
        <v>59796.38767845487</v>
      </c>
      <c r="I762" s="37">
        <f t="shared" si="622"/>
        <v>2021</v>
      </c>
      <c r="J762" s="37">
        <f t="shared" si="622"/>
        <v>10</v>
      </c>
      <c r="K762" s="37">
        <f t="shared" si="622"/>
        <v>0</v>
      </c>
      <c r="L762" s="42">
        <f t="shared" si="622"/>
        <v>41002.457465659885</v>
      </c>
      <c r="N762" s="38">
        <f t="shared" si="592"/>
        <v>6.5</v>
      </c>
      <c r="P762" s="43">
        <f t="shared" si="614"/>
        <v>6308.07037933229</v>
      </c>
      <c r="Q762" s="43">
        <f t="shared" si="614"/>
        <v>6308.07037933229</v>
      </c>
      <c r="R762" s="43">
        <f t="shared" si="614"/>
        <v>6308.07037933229</v>
      </c>
      <c r="S762" s="43">
        <f t="shared" si="614"/>
        <v>6308.07037933229</v>
      </c>
      <c r="T762" s="43">
        <f t="shared" si="614"/>
        <v>6308.07037933229</v>
      </c>
      <c r="V762" s="47">
        <f t="shared" si="615"/>
        <v>34694.387086327595</v>
      </c>
      <c r="W762" s="47">
        <f t="shared" si="616"/>
        <v>28386.316706995305</v>
      </c>
      <c r="X762" s="47">
        <f t="shared" si="617"/>
        <v>22078.246327663015</v>
      </c>
      <c r="Y762" s="47">
        <f t="shared" si="618"/>
        <v>15770.175948330725</v>
      </c>
      <c r="Z762" s="47">
        <f t="shared" si="619"/>
        <v>9462.105568998435</v>
      </c>
      <c r="AB762" s="47">
        <f t="shared" si="593"/>
        <v>7487.6795402674288</v>
      </c>
      <c r="AC762" s="47">
        <f t="shared" si="594"/>
        <v>7244.8188306631355</v>
      </c>
      <c r="AD762" s="47">
        <f t="shared" si="595"/>
        <v>7147.0437397834849</v>
      </c>
      <c r="AE762" s="47">
        <f t="shared" si="596"/>
        <v>6907.337065368858</v>
      </c>
      <c r="AF762" s="47">
        <f t="shared" si="597"/>
        <v>6667.6303909542303</v>
      </c>
    </row>
    <row r="763" spans="2:32">
      <c r="B763" s="37" t="str">
        <f t="shared" si="590"/>
        <v>Asset 209</v>
      </c>
      <c r="F763" s="37" t="str">
        <f t="shared" ref="F763:L763" si="623">F267</f>
        <v>05 Wegen en terreinvoorzieningen</v>
      </c>
      <c r="G763" s="37">
        <f t="shared" si="623"/>
        <v>2018</v>
      </c>
      <c r="H763" s="42">
        <f t="shared" si="623"/>
        <v>70537.619152208252</v>
      </c>
      <c r="I763" s="37">
        <f t="shared" si="623"/>
        <v>2021</v>
      </c>
      <c r="J763" s="37">
        <f t="shared" si="623"/>
        <v>10</v>
      </c>
      <c r="K763" s="37">
        <f t="shared" si="623"/>
        <v>0</v>
      </c>
      <c r="L763" s="42">
        <f t="shared" si="623"/>
        <v>48367.733257897518</v>
      </c>
      <c r="N763" s="38">
        <f t="shared" si="592"/>
        <v>6.5</v>
      </c>
      <c r="P763" s="43">
        <f t="shared" si="614"/>
        <v>7441.1897319842337</v>
      </c>
      <c r="Q763" s="43">
        <f t="shared" si="614"/>
        <v>7441.1897319842337</v>
      </c>
      <c r="R763" s="43">
        <f t="shared" si="614"/>
        <v>7441.1897319842337</v>
      </c>
      <c r="S763" s="43">
        <f t="shared" si="614"/>
        <v>7441.1897319842337</v>
      </c>
      <c r="T763" s="43">
        <f t="shared" si="614"/>
        <v>7441.1897319842337</v>
      </c>
      <c r="V763" s="47">
        <f t="shared" si="615"/>
        <v>40926.543525913286</v>
      </c>
      <c r="W763" s="47">
        <f t="shared" si="616"/>
        <v>33485.353793929055</v>
      </c>
      <c r="X763" s="47">
        <f t="shared" si="617"/>
        <v>26044.164061944823</v>
      </c>
      <c r="Y763" s="47">
        <f t="shared" si="618"/>
        <v>18602.974329960591</v>
      </c>
      <c r="Z763" s="47">
        <f t="shared" si="619"/>
        <v>11161.784597976357</v>
      </c>
      <c r="AB763" s="47">
        <f t="shared" si="593"/>
        <v>8832.6922118652856</v>
      </c>
      <c r="AC763" s="47">
        <f t="shared" si="594"/>
        <v>8546.2064071838922</v>
      </c>
      <c r="AD763" s="47">
        <f t="shared" si="595"/>
        <v>8430.8679663381372</v>
      </c>
      <c r="AE763" s="47">
        <f t="shared" si="596"/>
        <v>8148.1027565227359</v>
      </c>
      <c r="AF763" s="47">
        <f t="shared" si="597"/>
        <v>7865.3375467073356</v>
      </c>
    </row>
    <row r="764" spans="2:32">
      <c r="B764" s="37" t="str">
        <f t="shared" si="590"/>
        <v>Asset 210</v>
      </c>
      <c r="F764" s="37" t="str">
        <f t="shared" ref="F764:L764" si="624">F268</f>
        <v>37 ICT middelen 1 (balancering)</v>
      </c>
      <c r="G764" s="37">
        <f t="shared" si="624"/>
        <v>2018</v>
      </c>
      <c r="H764" s="42">
        <f t="shared" si="624"/>
        <v>1033593</v>
      </c>
      <c r="I764" s="37">
        <f t="shared" si="624"/>
        <v>2021</v>
      </c>
      <c r="J764" s="37">
        <f t="shared" si="624"/>
        <v>5</v>
      </c>
      <c r="K764" s="37">
        <f t="shared" si="624"/>
        <v>0</v>
      </c>
      <c r="L764" s="42">
        <f t="shared" si="624"/>
        <v>327108.92617687664</v>
      </c>
      <c r="N764" s="38">
        <f t="shared" si="592"/>
        <v>1.5</v>
      </c>
      <c r="P764" s="43">
        <f t="shared" si="614"/>
        <v>218072.61745125111</v>
      </c>
      <c r="Q764" s="43">
        <f t="shared" si="614"/>
        <v>109036.30872562555</v>
      </c>
      <c r="R764" s="43">
        <f t="shared" si="614"/>
        <v>0</v>
      </c>
      <c r="S764" s="43">
        <f t="shared" si="614"/>
        <v>0</v>
      </c>
      <c r="T764" s="43">
        <f t="shared" si="614"/>
        <v>0</v>
      </c>
      <c r="V764" s="47">
        <f t="shared" si="615"/>
        <v>109036.30872562554</v>
      </c>
      <c r="W764" s="47">
        <f t="shared" si="616"/>
        <v>-1.4551915228366852E-11</v>
      </c>
      <c r="X764" s="47">
        <f t="shared" si="617"/>
        <v>0</v>
      </c>
      <c r="Y764" s="47">
        <f t="shared" si="618"/>
        <v>0</v>
      </c>
      <c r="Z764" s="47">
        <f t="shared" si="619"/>
        <v>0</v>
      </c>
      <c r="AB764" s="47">
        <f t="shared" si="593"/>
        <v>221779.85194792238</v>
      </c>
      <c r="AC764" s="47">
        <f t="shared" si="594"/>
        <v>109036.30872562555</v>
      </c>
      <c r="AD764" s="47">
        <f t="shared" si="595"/>
        <v>0</v>
      </c>
      <c r="AE764" s="47">
        <f t="shared" si="596"/>
        <v>0</v>
      </c>
      <c r="AF764" s="47">
        <f t="shared" si="597"/>
        <v>0</v>
      </c>
    </row>
    <row r="765" spans="2:32">
      <c r="B765" s="37" t="str">
        <f t="shared" si="590"/>
        <v>Asset 211</v>
      </c>
      <c r="F765" s="37" t="str">
        <f t="shared" ref="F765:L765" si="625">F269</f>
        <v>37 ICT middelen 1</v>
      </c>
      <c r="G765" s="37">
        <f t="shared" si="625"/>
        <v>2019</v>
      </c>
      <c r="H765" s="42">
        <f t="shared" si="625"/>
        <v>7023542.7917365544</v>
      </c>
      <c r="I765" s="37">
        <f t="shared" si="625"/>
        <v>2021</v>
      </c>
      <c r="J765" s="37">
        <f t="shared" si="625"/>
        <v>5</v>
      </c>
      <c r="K765" s="37">
        <f t="shared" si="625"/>
        <v>1</v>
      </c>
      <c r="L765" s="42">
        <f t="shared" si="625"/>
        <v>3660726.6913954271</v>
      </c>
      <c r="N765" s="38">
        <f t="shared" si="592"/>
        <v>2.5</v>
      </c>
      <c r="P765" s="43">
        <f t="shared" si="614"/>
        <v>1464290.6765581709</v>
      </c>
      <c r="Q765" s="43">
        <f t="shared" si="614"/>
        <v>1464290.6765581707</v>
      </c>
      <c r="R765" s="43">
        <f t="shared" si="614"/>
        <v>732145.33827908535</v>
      </c>
      <c r="S765" s="43">
        <f t="shared" si="614"/>
        <v>0</v>
      </c>
      <c r="T765" s="43">
        <f t="shared" si="614"/>
        <v>0</v>
      </c>
      <c r="V765" s="47">
        <f t="shared" si="615"/>
        <v>2196436.0148372562</v>
      </c>
      <c r="W765" s="47">
        <f t="shared" si="616"/>
        <v>732145.33827908547</v>
      </c>
      <c r="X765" s="47">
        <f t="shared" si="617"/>
        <v>1.1641532182693481E-10</v>
      </c>
      <c r="Y765" s="47">
        <f t="shared" si="618"/>
        <v>0</v>
      </c>
      <c r="Z765" s="47">
        <f t="shared" si="619"/>
        <v>0</v>
      </c>
      <c r="AB765" s="47">
        <f t="shared" si="593"/>
        <v>1538969.5010626377</v>
      </c>
      <c r="AC765" s="47">
        <f t="shared" si="594"/>
        <v>1488451.4727213804</v>
      </c>
      <c r="AD765" s="47">
        <f t="shared" si="595"/>
        <v>732145.33827908535</v>
      </c>
      <c r="AE765" s="47">
        <f t="shared" si="596"/>
        <v>0</v>
      </c>
      <c r="AF765" s="47">
        <f t="shared" si="597"/>
        <v>0</v>
      </c>
    </row>
    <row r="766" spans="2:32">
      <c r="B766" s="37" t="str">
        <f t="shared" si="590"/>
        <v>Asset 212</v>
      </c>
      <c r="F766" s="37" t="str">
        <f t="shared" ref="F766:L766" si="626">F270</f>
        <v>14 Overig rollend materieel</v>
      </c>
      <c r="G766" s="37">
        <f t="shared" si="626"/>
        <v>2019</v>
      </c>
      <c r="H766" s="42">
        <f t="shared" si="626"/>
        <v>857388.09237261105</v>
      </c>
      <c r="I766" s="37">
        <f t="shared" si="626"/>
        <v>2021</v>
      </c>
      <c r="J766" s="37">
        <f t="shared" si="626"/>
        <v>10</v>
      </c>
      <c r="K766" s="37">
        <f t="shared" si="626"/>
        <v>1</v>
      </c>
      <c r="L766" s="42">
        <f t="shared" si="626"/>
        <v>670316.29927401594</v>
      </c>
      <c r="N766" s="38">
        <f t="shared" si="592"/>
        <v>7.5</v>
      </c>
      <c r="P766" s="43">
        <f t="shared" si="614"/>
        <v>89375.506569868798</v>
      </c>
      <c r="Q766" s="43">
        <f t="shared" si="614"/>
        <v>89375.506569868798</v>
      </c>
      <c r="R766" s="43">
        <f t="shared" si="614"/>
        <v>89375.506569868798</v>
      </c>
      <c r="S766" s="43">
        <f t="shared" si="614"/>
        <v>89375.506569868798</v>
      </c>
      <c r="T766" s="43">
        <f t="shared" si="614"/>
        <v>89375.506569868798</v>
      </c>
      <c r="V766" s="47">
        <f t="shared" si="615"/>
        <v>580940.79270414717</v>
      </c>
      <c r="W766" s="47">
        <f t="shared" si="616"/>
        <v>491565.2861342784</v>
      </c>
      <c r="X766" s="47">
        <f t="shared" si="617"/>
        <v>402189.77956440963</v>
      </c>
      <c r="Y766" s="47">
        <f t="shared" si="618"/>
        <v>312814.27299454086</v>
      </c>
      <c r="Z766" s="47">
        <f t="shared" si="619"/>
        <v>223438.76642467207</v>
      </c>
      <c r="AB766" s="47">
        <f t="shared" si="593"/>
        <v>109127.49352180981</v>
      </c>
      <c r="AC766" s="47">
        <f t="shared" si="594"/>
        <v>105597.16101229998</v>
      </c>
      <c r="AD766" s="47">
        <f t="shared" si="595"/>
        <v>104658.71819331637</v>
      </c>
      <c r="AE766" s="47">
        <f t="shared" si="596"/>
        <v>101262.44894366135</v>
      </c>
      <c r="AF766" s="47">
        <f t="shared" si="597"/>
        <v>97866.179694006336</v>
      </c>
    </row>
    <row r="767" spans="2:32">
      <c r="B767" s="37" t="str">
        <f t="shared" si="590"/>
        <v>Asset 213</v>
      </c>
      <c r="F767" s="37" t="str">
        <f t="shared" ref="F767:L767" si="627">F271</f>
        <v>08 Inrichting gebouwen</v>
      </c>
      <c r="G767" s="37">
        <f t="shared" si="627"/>
        <v>2019</v>
      </c>
      <c r="H767" s="42">
        <f t="shared" si="627"/>
        <v>460067.29247706069</v>
      </c>
      <c r="I767" s="37">
        <f t="shared" si="627"/>
        <v>2021</v>
      </c>
      <c r="J767" s="37">
        <f t="shared" si="627"/>
        <v>10</v>
      </c>
      <c r="K767" s="37">
        <f t="shared" si="627"/>
        <v>0</v>
      </c>
      <c r="L767" s="42">
        <f t="shared" si="627"/>
        <v>359686.13006607577</v>
      </c>
      <c r="N767" s="38">
        <f t="shared" si="592"/>
        <v>7.5</v>
      </c>
      <c r="P767" s="43">
        <f t="shared" si="614"/>
        <v>47958.150675476769</v>
      </c>
      <c r="Q767" s="43">
        <f t="shared" si="614"/>
        <v>47958.150675476769</v>
      </c>
      <c r="R767" s="43">
        <f t="shared" si="614"/>
        <v>47958.150675476769</v>
      </c>
      <c r="S767" s="43">
        <f t="shared" si="614"/>
        <v>47958.150675476769</v>
      </c>
      <c r="T767" s="43">
        <f t="shared" si="614"/>
        <v>47958.150675476769</v>
      </c>
      <c r="V767" s="47">
        <f t="shared" si="615"/>
        <v>311727.97939059901</v>
      </c>
      <c r="W767" s="47">
        <f t="shared" si="616"/>
        <v>263769.82871512225</v>
      </c>
      <c r="X767" s="47">
        <f t="shared" si="617"/>
        <v>215811.67803964549</v>
      </c>
      <c r="Y767" s="47">
        <f t="shared" si="618"/>
        <v>167853.52736416872</v>
      </c>
      <c r="Z767" s="47">
        <f t="shared" si="619"/>
        <v>119895.37668869196</v>
      </c>
      <c r="AB767" s="47">
        <f t="shared" si="593"/>
        <v>58556.901974757136</v>
      </c>
      <c r="AC767" s="47">
        <f t="shared" si="594"/>
        <v>56662.555023075802</v>
      </c>
      <c r="AD767" s="47">
        <f t="shared" si="595"/>
        <v>56158.994440983297</v>
      </c>
      <c r="AE767" s="47">
        <f t="shared" si="596"/>
        <v>54336.584715315177</v>
      </c>
      <c r="AF767" s="47">
        <f t="shared" si="597"/>
        <v>52514.174989647065</v>
      </c>
    </row>
    <row r="768" spans="2:32">
      <c r="B768" s="37" t="str">
        <f t="shared" si="590"/>
        <v>Asset 214</v>
      </c>
      <c r="F768" s="37" t="str">
        <f t="shared" ref="F768:L768" si="628">F272</f>
        <v>37 ICT middelen 1 (KC)</v>
      </c>
      <c r="G768" s="37">
        <f t="shared" si="628"/>
        <v>2019</v>
      </c>
      <c r="H768" s="42">
        <f t="shared" si="628"/>
        <v>119060</v>
      </c>
      <c r="I768" s="37">
        <f t="shared" si="628"/>
        <v>2021</v>
      </c>
      <c r="J768" s="37">
        <f t="shared" si="628"/>
        <v>5</v>
      </c>
      <c r="K768" s="37">
        <f t="shared" si="628"/>
        <v>0</v>
      </c>
      <c r="L768" s="42">
        <f t="shared" si="628"/>
        <v>62055.024479999985</v>
      </c>
      <c r="N768" s="38">
        <f t="shared" si="592"/>
        <v>2.5</v>
      </c>
      <c r="P768" s="43">
        <f t="shared" si="614"/>
        <v>24822.009791999997</v>
      </c>
      <c r="Q768" s="43">
        <f t="shared" si="614"/>
        <v>24822.009791999993</v>
      </c>
      <c r="R768" s="43">
        <f t="shared" si="614"/>
        <v>12411.004895999997</v>
      </c>
      <c r="S768" s="43">
        <f t="shared" si="614"/>
        <v>0</v>
      </c>
      <c r="T768" s="43">
        <f t="shared" si="614"/>
        <v>0</v>
      </c>
      <c r="V768" s="47">
        <f t="shared" si="615"/>
        <v>37233.014687999988</v>
      </c>
      <c r="W768" s="47">
        <f t="shared" si="616"/>
        <v>12411.004895999995</v>
      </c>
      <c r="X768" s="47">
        <f t="shared" si="617"/>
        <v>-1.8189894035458565E-12</v>
      </c>
      <c r="Y768" s="47">
        <f t="shared" si="618"/>
        <v>0</v>
      </c>
      <c r="Z768" s="47">
        <f t="shared" si="619"/>
        <v>0</v>
      </c>
      <c r="AB768" s="47">
        <f t="shared" si="593"/>
        <v>26087.932291391997</v>
      </c>
      <c r="AC768" s="47">
        <f t="shared" si="594"/>
        <v>25231.572953567993</v>
      </c>
      <c r="AD768" s="47">
        <f t="shared" si="595"/>
        <v>12411.004895999997</v>
      </c>
      <c r="AE768" s="47">
        <f t="shared" si="596"/>
        <v>0</v>
      </c>
      <c r="AF768" s="47">
        <f t="shared" si="597"/>
        <v>0</v>
      </c>
    </row>
    <row r="769" spans="2:32">
      <c r="B769" s="37" t="str">
        <f t="shared" si="590"/>
        <v>Asset 215</v>
      </c>
      <c r="F769" s="37" t="str">
        <f t="shared" ref="F769:L769" si="629">F273</f>
        <v>11 Werktuigen</v>
      </c>
      <c r="G769" s="37">
        <f t="shared" si="629"/>
        <v>2019</v>
      </c>
      <c r="H769" s="42">
        <f t="shared" si="629"/>
        <v>288666.6970011855</v>
      </c>
      <c r="I769" s="37">
        <f t="shared" si="629"/>
        <v>2021</v>
      </c>
      <c r="J769" s="37">
        <f t="shared" si="629"/>
        <v>10</v>
      </c>
      <c r="K769" s="37">
        <f t="shared" si="629"/>
        <v>1</v>
      </c>
      <c r="L769" s="42">
        <f t="shared" si="629"/>
        <v>225683.08771589081</v>
      </c>
      <c r="N769" s="38">
        <f t="shared" si="592"/>
        <v>7.5</v>
      </c>
      <c r="P769" s="43">
        <f t="shared" si="614"/>
        <v>30091.078362118777</v>
      </c>
      <c r="Q769" s="43">
        <f t="shared" si="614"/>
        <v>30091.078362118777</v>
      </c>
      <c r="R769" s="43">
        <f t="shared" si="614"/>
        <v>30091.078362118777</v>
      </c>
      <c r="S769" s="43">
        <f t="shared" si="614"/>
        <v>30091.078362118777</v>
      </c>
      <c r="T769" s="43">
        <f t="shared" si="614"/>
        <v>30091.078362118777</v>
      </c>
      <c r="V769" s="47">
        <f t="shared" si="615"/>
        <v>195592.00935377204</v>
      </c>
      <c r="W769" s="47">
        <f t="shared" si="616"/>
        <v>165500.93099165327</v>
      </c>
      <c r="X769" s="47">
        <f t="shared" si="617"/>
        <v>135409.85262953449</v>
      </c>
      <c r="Y769" s="47">
        <f t="shared" si="618"/>
        <v>105318.77426741572</v>
      </c>
      <c r="Z769" s="47">
        <f t="shared" si="619"/>
        <v>75227.695905296947</v>
      </c>
      <c r="AB769" s="47">
        <f t="shared" si="593"/>
        <v>36741.206680147028</v>
      </c>
      <c r="AC769" s="47">
        <f t="shared" si="594"/>
        <v>35552.609084843338</v>
      </c>
      <c r="AD769" s="47">
        <f t="shared" si="595"/>
        <v>35236.652762041085</v>
      </c>
      <c r="AE769" s="47">
        <f t="shared" si="596"/>
        <v>34093.191784280571</v>
      </c>
      <c r="AF769" s="47">
        <f t="shared" si="597"/>
        <v>32949.730806520063</v>
      </c>
    </row>
    <row r="770" spans="2:32">
      <c r="B770" s="37" t="str">
        <f t="shared" si="590"/>
        <v>Asset 216</v>
      </c>
      <c r="F770" s="37" t="str">
        <f t="shared" ref="F770:L770" si="630">F274</f>
        <v>20 Kantoorgebouwen</v>
      </c>
      <c r="G770" s="37">
        <f t="shared" si="630"/>
        <v>2019</v>
      </c>
      <c r="H770" s="42">
        <f t="shared" si="630"/>
        <v>1170372.8470650064</v>
      </c>
      <c r="I770" s="37">
        <f t="shared" si="630"/>
        <v>2021</v>
      </c>
      <c r="J770" s="37">
        <f t="shared" si="630"/>
        <v>30</v>
      </c>
      <c r="K770" s="37">
        <f t="shared" si="630"/>
        <v>0</v>
      </c>
      <c r="L770" s="42">
        <f t="shared" si="630"/>
        <v>1118347.433267273</v>
      </c>
      <c r="N770" s="38">
        <f t="shared" si="592"/>
        <v>27.5</v>
      </c>
      <c r="P770" s="43">
        <f t="shared" si="614"/>
        <v>40667.179391537204</v>
      </c>
      <c r="Q770" s="43">
        <f t="shared" si="614"/>
        <v>40667.179391537204</v>
      </c>
      <c r="R770" s="43">
        <f t="shared" si="614"/>
        <v>40667.179391537204</v>
      </c>
      <c r="S770" s="43">
        <f t="shared" si="614"/>
        <v>40667.179391537204</v>
      </c>
      <c r="T770" s="43">
        <f t="shared" si="614"/>
        <v>40667.179391537204</v>
      </c>
      <c r="V770" s="47">
        <f t="shared" si="615"/>
        <v>1077680.2538757359</v>
      </c>
      <c r="W770" s="47">
        <f t="shared" si="616"/>
        <v>1037013.0744841987</v>
      </c>
      <c r="X770" s="47">
        <f t="shared" si="617"/>
        <v>996345.89509266149</v>
      </c>
      <c r="Y770" s="47">
        <f t="shared" si="618"/>
        <v>955678.71570112428</v>
      </c>
      <c r="Z770" s="47">
        <f t="shared" si="619"/>
        <v>915011.53630958707</v>
      </c>
      <c r="AB770" s="47">
        <f t="shared" si="593"/>
        <v>77308.308023312231</v>
      </c>
      <c r="AC770" s="47">
        <f t="shared" si="594"/>
        <v>74888.610849515768</v>
      </c>
      <c r="AD770" s="47">
        <f t="shared" si="595"/>
        <v>78528.323405058341</v>
      </c>
      <c r="AE770" s="47">
        <f t="shared" si="596"/>
        <v>76982.970588179916</v>
      </c>
      <c r="AF770" s="47">
        <f t="shared" si="597"/>
        <v>75437.617771301506</v>
      </c>
    </row>
    <row r="771" spans="2:32">
      <c r="B771" s="37" t="str">
        <f t="shared" si="590"/>
        <v>Asset 217</v>
      </c>
      <c r="F771" s="37" t="str">
        <f t="shared" ref="F771:L771" si="631">F275</f>
        <v>37 ICT middelen 1 (balancering)</v>
      </c>
      <c r="G771" s="37">
        <f t="shared" si="631"/>
        <v>2019</v>
      </c>
      <c r="H771" s="42">
        <f t="shared" si="631"/>
        <v>73704</v>
      </c>
      <c r="I771" s="37">
        <f t="shared" si="631"/>
        <v>2021</v>
      </c>
      <c r="J771" s="37">
        <f t="shared" si="631"/>
        <v>5</v>
      </c>
      <c r="K771" s="37">
        <f t="shared" si="631"/>
        <v>0</v>
      </c>
      <c r="L771" s="42">
        <f t="shared" si="631"/>
        <v>38415.114431999995</v>
      </c>
      <c r="N771" s="38">
        <f t="shared" si="592"/>
        <v>2.5</v>
      </c>
      <c r="P771" s="43">
        <f t="shared" si="614"/>
        <v>15366.045772799998</v>
      </c>
      <c r="Q771" s="43">
        <f t="shared" si="614"/>
        <v>15366.045772799998</v>
      </c>
      <c r="R771" s="43">
        <f t="shared" si="614"/>
        <v>7683.0228863999992</v>
      </c>
      <c r="S771" s="43">
        <f t="shared" si="614"/>
        <v>0</v>
      </c>
      <c r="T771" s="43">
        <f t="shared" si="614"/>
        <v>0</v>
      </c>
      <c r="V771" s="47">
        <f t="shared" si="615"/>
        <v>23049.068659199998</v>
      </c>
      <c r="W771" s="47">
        <f t="shared" si="616"/>
        <v>7683.0228864000001</v>
      </c>
      <c r="X771" s="47">
        <f t="shared" si="617"/>
        <v>9.0949470177292824E-13</v>
      </c>
      <c r="Y771" s="47">
        <f t="shared" si="618"/>
        <v>0</v>
      </c>
      <c r="Z771" s="47">
        <f t="shared" si="619"/>
        <v>0</v>
      </c>
      <c r="AB771" s="47">
        <f t="shared" si="593"/>
        <v>16149.714107212798</v>
      </c>
      <c r="AC771" s="47">
        <f t="shared" si="594"/>
        <v>15619.585528051199</v>
      </c>
      <c r="AD771" s="47">
        <f t="shared" si="595"/>
        <v>7683.0228863999992</v>
      </c>
      <c r="AE771" s="47">
        <f t="shared" si="596"/>
        <v>0</v>
      </c>
      <c r="AF771" s="47">
        <f t="shared" si="597"/>
        <v>0</v>
      </c>
    </row>
    <row r="772" spans="2:32">
      <c r="B772" s="37" t="str">
        <f t="shared" si="590"/>
        <v>Asset 218</v>
      </c>
      <c r="F772" s="37" t="str">
        <f t="shared" ref="F772:L772" si="632">F276</f>
        <v>37 ICT middelen 1 (gaschromatografen en comptabele meting)</v>
      </c>
      <c r="G772" s="37">
        <f t="shared" si="632"/>
        <v>2019</v>
      </c>
      <c r="H772" s="42">
        <f t="shared" si="632"/>
        <v>138775.45971332947</v>
      </c>
      <c r="I772" s="37">
        <f t="shared" si="632"/>
        <v>2021</v>
      </c>
      <c r="J772" s="37">
        <f t="shared" si="632"/>
        <v>5</v>
      </c>
      <c r="K772" s="37">
        <f t="shared" si="632"/>
        <v>0</v>
      </c>
      <c r="L772" s="42">
        <f t="shared" si="632"/>
        <v>72330.879806265031</v>
      </c>
      <c r="N772" s="38">
        <f t="shared" si="592"/>
        <v>2.5</v>
      </c>
      <c r="P772" s="43">
        <f t="shared" si="614"/>
        <v>28932.351922506015</v>
      </c>
      <c r="Q772" s="43">
        <f t="shared" si="614"/>
        <v>28932.351922506012</v>
      </c>
      <c r="R772" s="43">
        <f t="shared" si="614"/>
        <v>14466.175961253006</v>
      </c>
      <c r="S772" s="43">
        <f t="shared" si="614"/>
        <v>0</v>
      </c>
      <c r="T772" s="43">
        <f t="shared" si="614"/>
        <v>0</v>
      </c>
      <c r="V772" s="47">
        <f t="shared" si="615"/>
        <v>43398.527883759016</v>
      </c>
      <c r="W772" s="47">
        <f t="shared" si="616"/>
        <v>14466.175961253004</v>
      </c>
      <c r="X772" s="47">
        <f t="shared" si="617"/>
        <v>-1.8189894035458565E-12</v>
      </c>
      <c r="Y772" s="47">
        <f t="shared" si="618"/>
        <v>0</v>
      </c>
      <c r="Z772" s="47">
        <f t="shared" si="619"/>
        <v>0</v>
      </c>
      <c r="AB772" s="47">
        <f t="shared" si="593"/>
        <v>30407.901870553822</v>
      </c>
      <c r="AC772" s="47">
        <f t="shared" si="594"/>
        <v>29409.735729227359</v>
      </c>
      <c r="AD772" s="47">
        <f t="shared" si="595"/>
        <v>14466.175961253006</v>
      </c>
      <c r="AE772" s="47">
        <f t="shared" si="596"/>
        <v>0</v>
      </c>
      <c r="AF772" s="47">
        <f t="shared" si="597"/>
        <v>0</v>
      </c>
    </row>
    <row r="773" spans="2:32">
      <c r="B773" s="37" t="str">
        <f t="shared" si="590"/>
        <v>Asset 219</v>
      </c>
      <c r="F773" s="37" t="str">
        <f t="shared" ref="F773:L773" si="633">F277</f>
        <v>10 Gereedschap</v>
      </c>
      <c r="G773" s="37">
        <f t="shared" si="633"/>
        <v>2019</v>
      </c>
      <c r="H773" s="42">
        <f t="shared" si="633"/>
        <v>142771.1801450084</v>
      </c>
      <c r="I773" s="37">
        <f t="shared" si="633"/>
        <v>2021</v>
      </c>
      <c r="J773" s="37">
        <f t="shared" si="633"/>
        <v>10</v>
      </c>
      <c r="K773" s="37">
        <f t="shared" si="633"/>
        <v>1</v>
      </c>
      <c r="L773" s="42">
        <f t="shared" si="633"/>
        <v>111620.22189152931</v>
      </c>
      <c r="N773" s="38">
        <f t="shared" si="592"/>
        <v>7.5</v>
      </c>
      <c r="P773" s="43">
        <f t="shared" si="614"/>
        <v>14882.696252203907</v>
      </c>
      <c r="Q773" s="43">
        <f t="shared" si="614"/>
        <v>14882.696252203907</v>
      </c>
      <c r="R773" s="43">
        <f t="shared" si="614"/>
        <v>14882.696252203907</v>
      </c>
      <c r="S773" s="43">
        <f t="shared" si="614"/>
        <v>14882.696252203907</v>
      </c>
      <c r="T773" s="43">
        <f t="shared" si="614"/>
        <v>14882.696252203907</v>
      </c>
      <c r="V773" s="47">
        <f t="shared" si="615"/>
        <v>96737.525639325395</v>
      </c>
      <c r="W773" s="47">
        <f t="shared" si="616"/>
        <v>81854.829387121485</v>
      </c>
      <c r="X773" s="47">
        <f t="shared" si="617"/>
        <v>66972.133134917574</v>
      </c>
      <c r="Y773" s="47">
        <f t="shared" si="618"/>
        <v>52089.436882713664</v>
      </c>
      <c r="Z773" s="47">
        <f t="shared" si="619"/>
        <v>37206.740630509754</v>
      </c>
      <c r="AB773" s="47">
        <f t="shared" si="593"/>
        <v>18171.772123940969</v>
      </c>
      <c r="AC773" s="47">
        <f t="shared" si="594"/>
        <v>17583.905621978916</v>
      </c>
      <c r="AD773" s="47">
        <f t="shared" si="595"/>
        <v>17427.637311330775</v>
      </c>
      <c r="AE773" s="47">
        <f t="shared" si="596"/>
        <v>16862.094853747025</v>
      </c>
      <c r="AF773" s="47">
        <f t="shared" si="597"/>
        <v>16296.552396163277</v>
      </c>
    </row>
    <row r="774" spans="2:32">
      <c r="B774" s="37" t="str">
        <f t="shared" si="590"/>
        <v>Asset 220</v>
      </c>
      <c r="F774" s="37" t="str">
        <f t="shared" ref="F774:L774" si="634">F278</f>
        <v>39 ICT middelen 3</v>
      </c>
      <c r="G774" s="37">
        <f t="shared" si="634"/>
        <v>2018</v>
      </c>
      <c r="H774" s="42">
        <f t="shared" si="634"/>
        <v>66462443.599999994</v>
      </c>
      <c r="I774" s="37">
        <f t="shared" si="634"/>
        <v>2021</v>
      </c>
      <c r="J774" s="37">
        <f t="shared" si="634"/>
        <v>15</v>
      </c>
      <c r="K774" s="37">
        <f t="shared" si="634"/>
        <v>1</v>
      </c>
      <c r="L774" s="42">
        <f t="shared" si="634"/>
        <v>53753217.800323352</v>
      </c>
      <c r="N774" s="38">
        <f t="shared" si="592"/>
        <v>11.5</v>
      </c>
      <c r="P774" s="43">
        <f t="shared" si="614"/>
        <v>4674192.8522020308</v>
      </c>
      <c r="Q774" s="43">
        <f t="shared" si="614"/>
        <v>4674192.8522020308</v>
      </c>
      <c r="R774" s="43">
        <f t="shared" si="614"/>
        <v>4674192.8522020308</v>
      </c>
      <c r="S774" s="43">
        <f t="shared" si="614"/>
        <v>4674192.8522020308</v>
      </c>
      <c r="T774" s="43">
        <f t="shared" si="614"/>
        <v>4674192.8522020308</v>
      </c>
      <c r="V774" s="47">
        <f t="shared" si="615"/>
        <v>49079024.948121324</v>
      </c>
      <c r="W774" s="47">
        <f t="shared" si="616"/>
        <v>44404832.095919296</v>
      </c>
      <c r="X774" s="47">
        <f t="shared" si="617"/>
        <v>39730639.243717268</v>
      </c>
      <c r="Y774" s="47">
        <f t="shared" si="618"/>
        <v>35056446.39151524</v>
      </c>
      <c r="Z774" s="47">
        <f t="shared" si="619"/>
        <v>30382253.539313208</v>
      </c>
      <c r="AB774" s="47">
        <f t="shared" si="593"/>
        <v>6342879.7004381558</v>
      </c>
      <c r="AC774" s="47">
        <f t="shared" si="594"/>
        <v>6139552.3113673674</v>
      </c>
      <c r="AD774" s="47">
        <f t="shared" si="595"/>
        <v>6183957.1434632875</v>
      </c>
      <c r="AE774" s="47">
        <f t="shared" si="596"/>
        <v>6006337.8150796099</v>
      </c>
      <c r="AF774" s="47">
        <f t="shared" si="597"/>
        <v>5828718.4866959322</v>
      </c>
    </row>
    <row r="775" spans="2:32">
      <c r="B775" s="37" t="str">
        <f t="shared" si="590"/>
        <v>Asset 221</v>
      </c>
      <c r="F775" s="37" t="str">
        <f t="shared" ref="F775:L775" si="635">F279</f>
        <v>39 ICT middelen 3 (balancering)</v>
      </c>
      <c r="G775" s="37">
        <f t="shared" si="635"/>
        <v>2018</v>
      </c>
      <c r="H775" s="42">
        <f t="shared" si="635"/>
        <v>13091088</v>
      </c>
      <c r="I775" s="37">
        <f t="shared" si="635"/>
        <v>2021</v>
      </c>
      <c r="J775" s="37">
        <f t="shared" si="635"/>
        <v>15</v>
      </c>
      <c r="K775" s="37">
        <f t="shared" si="635"/>
        <v>0</v>
      </c>
      <c r="L775" s="42">
        <f t="shared" si="635"/>
        <v>10587755.526147995</v>
      </c>
      <c r="N775" s="38">
        <f t="shared" si="592"/>
        <v>11.5</v>
      </c>
      <c r="P775" s="43">
        <f t="shared" si="614"/>
        <v>920674.39357808651</v>
      </c>
      <c r="Q775" s="43">
        <f t="shared" si="614"/>
        <v>920674.39357808663</v>
      </c>
      <c r="R775" s="43">
        <f t="shared" si="614"/>
        <v>920674.39357808663</v>
      </c>
      <c r="S775" s="43">
        <f t="shared" si="614"/>
        <v>920674.39357808663</v>
      </c>
      <c r="T775" s="43">
        <f t="shared" si="614"/>
        <v>920674.39357808663</v>
      </c>
      <c r="V775" s="47">
        <f t="shared" si="615"/>
        <v>9667081.1325699091</v>
      </c>
      <c r="W775" s="47">
        <f t="shared" si="616"/>
        <v>8746406.738991823</v>
      </c>
      <c r="X775" s="47">
        <f t="shared" si="617"/>
        <v>7825732.3454137361</v>
      </c>
      <c r="Y775" s="47">
        <f t="shared" si="618"/>
        <v>6905057.9518356491</v>
      </c>
      <c r="Z775" s="47">
        <f t="shared" si="619"/>
        <v>5984383.5582575621</v>
      </c>
      <c r="AB775" s="47">
        <f t="shared" si="593"/>
        <v>1249355.1520854635</v>
      </c>
      <c r="AC775" s="47">
        <f t="shared" si="594"/>
        <v>1209305.8159648168</v>
      </c>
      <c r="AD775" s="47">
        <f t="shared" si="595"/>
        <v>1218052.2227038085</v>
      </c>
      <c r="AE775" s="47">
        <f t="shared" si="596"/>
        <v>1183066.5957478413</v>
      </c>
      <c r="AF775" s="47">
        <f t="shared" si="597"/>
        <v>1148080.9687918739</v>
      </c>
    </row>
    <row r="776" spans="2:32">
      <c r="B776" s="37" t="str">
        <f t="shared" si="590"/>
        <v>Asset 222</v>
      </c>
      <c r="F776" s="37" t="str">
        <f t="shared" ref="F776:L776" si="636">F280</f>
        <v>39 ICT middelen 3 (KC)</v>
      </c>
      <c r="G776" s="37">
        <f t="shared" si="636"/>
        <v>2019</v>
      </c>
      <c r="H776" s="42">
        <f t="shared" si="636"/>
        <v>510273.00000000006</v>
      </c>
      <c r="I776" s="37">
        <f t="shared" si="636"/>
        <v>2021</v>
      </c>
      <c r="J776" s="37">
        <f t="shared" si="636"/>
        <v>15</v>
      </c>
      <c r="K776" s="37">
        <f t="shared" si="636"/>
        <v>0</v>
      </c>
      <c r="L776" s="42">
        <f t="shared" si="636"/>
        <v>443263.94964000006</v>
      </c>
      <c r="N776" s="38">
        <f t="shared" si="592"/>
        <v>12.5</v>
      </c>
      <c r="P776" s="43">
        <f t="shared" si="614"/>
        <v>35461.115971200008</v>
      </c>
      <c r="Q776" s="43">
        <f t="shared" si="614"/>
        <v>35461.115971200008</v>
      </c>
      <c r="R776" s="43">
        <f t="shared" si="614"/>
        <v>35461.115971200008</v>
      </c>
      <c r="S776" s="43">
        <f t="shared" si="614"/>
        <v>35461.115971200008</v>
      </c>
      <c r="T776" s="43">
        <f t="shared" si="614"/>
        <v>35461.115971200008</v>
      </c>
      <c r="V776" s="47">
        <f t="shared" si="615"/>
        <v>407802.83366880007</v>
      </c>
      <c r="W776" s="47">
        <f t="shared" si="616"/>
        <v>372341.71769760008</v>
      </c>
      <c r="X776" s="47">
        <f t="shared" si="617"/>
        <v>336880.60172640008</v>
      </c>
      <c r="Y776" s="47">
        <f t="shared" si="618"/>
        <v>301419.48575520009</v>
      </c>
      <c r="Z776" s="47">
        <f t="shared" si="619"/>
        <v>265958.3697840001</v>
      </c>
      <c r="AB776" s="47">
        <f t="shared" si="593"/>
        <v>49326.412315939211</v>
      </c>
      <c r="AC776" s="47">
        <f t="shared" si="594"/>
        <v>47748.392655220814</v>
      </c>
      <c r="AD776" s="47">
        <f t="shared" si="595"/>
        <v>48262.578836803208</v>
      </c>
      <c r="AE776" s="47">
        <f t="shared" si="596"/>
        <v>46915.05642989761</v>
      </c>
      <c r="AF776" s="47">
        <f t="shared" si="597"/>
        <v>45567.534022992011</v>
      </c>
    </row>
    <row r="777" spans="2:32">
      <c r="B777" s="37" t="str">
        <f t="shared" si="590"/>
        <v>Asset 223</v>
      </c>
      <c r="F777" s="37" t="str">
        <f t="shared" ref="F777:L777" si="637">F281</f>
        <v>37 ICT middelen 1</v>
      </c>
      <c r="G777" s="37">
        <f t="shared" si="637"/>
        <v>2020</v>
      </c>
      <c r="H777" s="42">
        <f t="shared" si="637"/>
        <v>4054436.8604233577</v>
      </c>
      <c r="I777" s="37">
        <f t="shared" si="637"/>
        <v>2021</v>
      </c>
      <c r="J777" s="37">
        <f t="shared" si="637"/>
        <v>5</v>
      </c>
      <c r="K777" s="37">
        <f t="shared" si="637"/>
        <v>1</v>
      </c>
      <c r="L777" s="42">
        <f t="shared" si="637"/>
        <v>2883515.4951330922</v>
      </c>
      <c r="N777" s="38">
        <f t="shared" si="592"/>
        <v>3.5</v>
      </c>
      <c r="P777" s="43">
        <f t="shared" si="614"/>
        <v>823861.57003802632</v>
      </c>
      <c r="Q777" s="43">
        <f t="shared" si="614"/>
        <v>823861.57003802643</v>
      </c>
      <c r="R777" s="43">
        <f t="shared" si="614"/>
        <v>823861.57003802643</v>
      </c>
      <c r="S777" s="43">
        <f t="shared" si="614"/>
        <v>411930.78501901322</v>
      </c>
      <c r="T777" s="43">
        <f t="shared" si="614"/>
        <v>0</v>
      </c>
      <c r="V777" s="47">
        <f t="shared" si="615"/>
        <v>2059653.925095066</v>
      </c>
      <c r="W777" s="47">
        <f t="shared" si="616"/>
        <v>1235792.3550570395</v>
      </c>
      <c r="X777" s="47">
        <f t="shared" si="617"/>
        <v>411930.7850190131</v>
      </c>
      <c r="Y777" s="47">
        <f t="shared" si="618"/>
        <v>-1.1641532182693481E-10</v>
      </c>
      <c r="Z777" s="47">
        <f t="shared" si="619"/>
        <v>0</v>
      </c>
      <c r="AB777" s="47">
        <f t="shared" si="593"/>
        <v>893889.80349125853</v>
      </c>
      <c r="AC777" s="47">
        <f t="shared" si="594"/>
        <v>864642.71775490872</v>
      </c>
      <c r="AD777" s="47">
        <f t="shared" si="595"/>
        <v>839514.93986874889</v>
      </c>
      <c r="AE777" s="47">
        <f t="shared" si="596"/>
        <v>411930.78501901322</v>
      </c>
      <c r="AF777" s="47">
        <f t="shared" si="597"/>
        <v>0</v>
      </c>
    </row>
    <row r="778" spans="2:32">
      <c r="B778" s="37" t="str">
        <f t="shared" si="590"/>
        <v>Asset 224</v>
      </c>
      <c r="F778" s="37" t="str">
        <f t="shared" ref="F778:L778" si="638">F282</f>
        <v>11 Werktuigen</v>
      </c>
      <c r="G778" s="37">
        <f t="shared" si="638"/>
        <v>2021</v>
      </c>
      <c r="H778" s="42">
        <f t="shared" si="638"/>
        <v>2667062.5363170211</v>
      </c>
      <c r="I778" s="37">
        <f t="shared" si="638"/>
        <v>2021</v>
      </c>
      <c r="J778" s="37">
        <f t="shared" si="638"/>
        <v>10</v>
      </c>
      <c r="K778" s="37">
        <f t="shared" si="638"/>
        <v>1</v>
      </c>
      <c r="L778" s="42">
        <f t="shared" si="638"/>
        <v>2533709.4095011703</v>
      </c>
      <c r="N778" s="38">
        <f t="shared" si="592"/>
        <v>9.5</v>
      </c>
      <c r="P778" s="43">
        <f t="shared" si="614"/>
        <v>266706.25363170216</v>
      </c>
      <c r="Q778" s="43">
        <f t="shared" si="614"/>
        <v>266706.25363170216</v>
      </c>
      <c r="R778" s="43">
        <f t="shared" si="614"/>
        <v>266706.25363170216</v>
      </c>
      <c r="S778" s="43">
        <f t="shared" si="614"/>
        <v>266706.25363170216</v>
      </c>
      <c r="T778" s="43">
        <f t="shared" si="614"/>
        <v>266706.25363170216</v>
      </c>
      <c r="V778" s="47">
        <f t="shared" si="615"/>
        <v>2267003.1558694681</v>
      </c>
      <c r="W778" s="47">
        <f t="shared" si="616"/>
        <v>2000296.902237766</v>
      </c>
      <c r="X778" s="47">
        <f t="shared" si="617"/>
        <v>1733590.6486060638</v>
      </c>
      <c r="Y778" s="47">
        <f t="shared" si="618"/>
        <v>1466884.3949743616</v>
      </c>
      <c r="Z778" s="47">
        <f t="shared" si="619"/>
        <v>1200178.1413426595</v>
      </c>
      <c r="AB778" s="47">
        <f t="shared" si="593"/>
        <v>343784.36093126406</v>
      </c>
      <c r="AC778" s="47">
        <f t="shared" si="594"/>
        <v>332716.05140554847</v>
      </c>
      <c r="AD778" s="47">
        <f t="shared" si="595"/>
        <v>332582.6982787326</v>
      </c>
      <c r="AE778" s="47">
        <f t="shared" si="596"/>
        <v>322447.86064072791</v>
      </c>
      <c r="AF778" s="47">
        <f t="shared" si="597"/>
        <v>312313.02300272323</v>
      </c>
    </row>
    <row r="779" spans="2:32">
      <c r="B779" s="37" t="str">
        <f t="shared" si="590"/>
        <v>Asset 225</v>
      </c>
      <c r="F779" s="37" t="str">
        <f t="shared" ref="F779:L779" si="639">F283</f>
        <v>10 Gereedschap</v>
      </c>
      <c r="G779" s="37">
        <f t="shared" si="639"/>
        <v>2021</v>
      </c>
      <c r="H779" s="42">
        <f t="shared" si="639"/>
        <v>467492.45719026914</v>
      </c>
      <c r="I779" s="37">
        <f t="shared" si="639"/>
        <v>2021</v>
      </c>
      <c r="J779" s="37">
        <f t="shared" si="639"/>
        <v>10</v>
      </c>
      <c r="K779" s="37">
        <f t="shared" si="639"/>
        <v>1</v>
      </c>
      <c r="L779" s="42">
        <f t="shared" si="639"/>
        <v>444117.83433075569</v>
      </c>
      <c r="N779" s="38">
        <f t="shared" si="592"/>
        <v>9.5</v>
      </c>
      <c r="P779" s="43">
        <f t="shared" si="614"/>
        <v>46749.245719026912</v>
      </c>
      <c r="Q779" s="43">
        <f t="shared" si="614"/>
        <v>46749.24571902692</v>
      </c>
      <c r="R779" s="43">
        <f t="shared" si="614"/>
        <v>46749.24571902692</v>
      </c>
      <c r="S779" s="43">
        <f t="shared" si="614"/>
        <v>46749.24571902692</v>
      </c>
      <c r="T779" s="43">
        <f t="shared" si="614"/>
        <v>46749.24571902692</v>
      </c>
      <c r="V779" s="47">
        <f t="shared" si="615"/>
        <v>397368.5886117288</v>
      </c>
      <c r="W779" s="47">
        <f t="shared" si="616"/>
        <v>350619.34289270185</v>
      </c>
      <c r="X779" s="47">
        <f t="shared" si="617"/>
        <v>303870.09717367496</v>
      </c>
      <c r="Y779" s="47">
        <f t="shared" si="618"/>
        <v>257120.85145464804</v>
      </c>
      <c r="Z779" s="47">
        <f t="shared" si="619"/>
        <v>210371.60573562112</v>
      </c>
      <c r="AB779" s="47">
        <f t="shared" si="593"/>
        <v>60259.777731825692</v>
      </c>
      <c r="AC779" s="47">
        <f t="shared" si="594"/>
        <v>58319.684034486083</v>
      </c>
      <c r="AD779" s="47">
        <f t="shared" si="595"/>
        <v>58296.309411626571</v>
      </c>
      <c r="AE779" s="47">
        <f t="shared" si="596"/>
        <v>56519.838074303545</v>
      </c>
      <c r="AF779" s="47">
        <f t="shared" si="597"/>
        <v>54743.366736980519</v>
      </c>
    </row>
    <row r="780" spans="2:32">
      <c r="B780" s="37" t="str">
        <f t="shared" si="590"/>
        <v>Asset 226</v>
      </c>
      <c r="F780" s="37" t="str">
        <f t="shared" ref="F780:L780" si="640">F284</f>
        <v>38 ICT middelen 2</v>
      </c>
      <c r="G780" s="37">
        <f t="shared" si="640"/>
        <v>2021</v>
      </c>
      <c r="H780" s="42">
        <f t="shared" si="640"/>
        <v>3432262.7310020467</v>
      </c>
      <c r="I780" s="37">
        <f t="shared" si="640"/>
        <v>2021</v>
      </c>
      <c r="J780" s="37">
        <f t="shared" si="640"/>
        <v>10</v>
      </c>
      <c r="K780" s="37">
        <f t="shared" si="640"/>
        <v>1</v>
      </c>
      <c r="L780" s="42">
        <f t="shared" si="640"/>
        <v>3260649.5944519443</v>
      </c>
      <c r="N780" s="38">
        <f t="shared" si="592"/>
        <v>9.5</v>
      </c>
      <c r="P780" s="43">
        <f t="shared" si="614"/>
        <v>343226.27310020465</v>
      </c>
      <c r="Q780" s="43">
        <f t="shared" si="614"/>
        <v>343226.27310020465</v>
      </c>
      <c r="R780" s="43">
        <f t="shared" si="614"/>
        <v>343226.27310020465</v>
      </c>
      <c r="S780" s="43">
        <f t="shared" si="614"/>
        <v>343226.27310020465</v>
      </c>
      <c r="T780" s="43">
        <f t="shared" si="614"/>
        <v>343226.27310020465</v>
      </c>
      <c r="V780" s="47">
        <f t="shared" si="615"/>
        <v>2917423.3213517396</v>
      </c>
      <c r="W780" s="47">
        <f t="shared" si="616"/>
        <v>2574197.0482515348</v>
      </c>
      <c r="X780" s="47">
        <f t="shared" si="617"/>
        <v>2230970.77515133</v>
      </c>
      <c r="Y780" s="47">
        <f t="shared" si="618"/>
        <v>1887744.5020511253</v>
      </c>
      <c r="Z780" s="47">
        <f t="shared" si="619"/>
        <v>1544518.2289509205</v>
      </c>
      <c r="AB780" s="47">
        <f t="shared" si="593"/>
        <v>442418.66602616379</v>
      </c>
      <c r="AC780" s="47">
        <f t="shared" si="594"/>
        <v>428174.7756925053</v>
      </c>
      <c r="AD780" s="47">
        <f t="shared" si="595"/>
        <v>428003.16255595518</v>
      </c>
      <c r="AE780" s="47">
        <f t="shared" si="596"/>
        <v>414960.56417814741</v>
      </c>
      <c r="AF780" s="47">
        <f t="shared" si="597"/>
        <v>401917.96580033965</v>
      </c>
    </row>
    <row r="781" spans="2:32">
      <c r="B781" s="37" t="str">
        <f t="shared" si="590"/>
        <v>Asset 227</v>
      </c>
      <c r="F781" s="37" t="str">
        <f t="shared" ref="F781:L781" si="641">F285</f>
        <v>37 ICT middelen 1</v>
      </c>
      <c r="G781" s="37">
        <f t="shared" si="641"/>
        <v>2021</v>
      </c>
      <c r="H781" s="42">
        <f t="shared" si="641"/>
        <v>8176022.700880779</v>
      </c>
      <c r="I781" s="37">
        <f t="shared" si="641"/>
        <v>2021</v>
      </c>
      <c r="J781" s="37">
        <f t="shared" si="641"/>
        <v>5</v>
      </c>
      <c r="K781" s="37">
        <f t="shared" si="641"/>
        <v>1</v>
      </c>
      <c r="L781" s="42">
        <f t="shared" si="641"/>
        <v>7358420.4307927005</v>
      </c>
      <c r="N781" s="38">
        <f t="shared" si="592"/>
        <v>4.5</v>
      </c>
      <c r="P781" s="43">
        <f t="shared" si="614"/>
        <v>1635204.5401761557</v>
      </c>
      <c r="Q781" s="43">
        <f t="shared" si="614"/>
        <v>1635204.5401761557</v>
      </c>
      <c r="R781" s="43">
        <f t="shared" si="614"/>
        <v>1635204.5401761557</v>
      </c>
      <c r="S781" s="43">
        <f t="shared" si="614"/>
        <v>1635204.5401761557</v>
      </c>
      <c r="T781" s="43">
        <f t="shared" si="614"/>
        <v>817602.27008807787</v>
      </c>
      <c r="V781" s="47">
        <f t="shared" si="615"/>
        <v>5723215.8906165445</v>
      </c>
      <c r="W781" s="47">
        <f t="shared" si="616"/>
        <v>4088011.3504403885</v>
      </c>
      <c r="X781" s="47">
        <f t="shared" si="617"/>
        <v>2452806.8102642326</v>
      </c>
      <c r="Y781" s="47">
        <f t="shared" si="618"/>
        <v>817602.27008807682</v>
      </c>
      <c r="Z781" s="47">
        <f t="shared" si="619"/>
        <v>-1.0477378964424133E-9</v>
      </c>
      <c r="AB781" s="47">
        <f t="shared" si="593"/>
        <v>1829793.8804571182</v>
      </c>
      <c r="AC781" s="47">
        <f t="shared" si="594"/>
        <v>1770108.9147406886</v>
      </c>
      <c r="AD781" s="47">
        <f t="shared" si="595"/>
        <v>1728411.1989661965</v>
      </c>
      <c r="AE781" s="47">
        <f t="shared" si="596"/>
        <v>1666273.4264395027</v>
      </c>
      <c r="AF781" s="47">
        <f t="shared" si="597"/>
        <v>817602.27008807787</v>
      </c>
    </row>
    <row r="782" spans="2:32">
      <c r="B782" s="37" t="str">
        <f t="shared" si="590"/>
        <v>Asset 228</v>
      </c>
      <c r="F782" s="37" t="str">
        <f t="shared" ref="F782:L782" si="642">F286</f>
        <v>39 ICT middelen 3</v>
      </c>
      <c r="G782" s="37">
        <f t="shared" si="642"/>
        <v>2019</v>
      </c>
      <c r="H782" s="42">
        <f t="shared" si="642"/>
        <v>1603714.1720507673</v>
      </c>
      <c r="I782" s="37">
        <f t="shared" si="642"/>
        <v>2021</v>
      </c>
      <c r="J782" s="37">
        <f t="shared" si="642"/>
        <v>15</v>
      </c>
      <c r="K782" s="37">
        <f t="shared" si="642"/>
        <v>1</v>
      </c>
      <c r="L782" s="42">
        <f t="shared" si="642"/>
        <v>1393114.426977061</v>
      </c>
      <c r="N782" s="38">
        <f t="shared" si="592"/>
        <v>12.5</v>
      </c>
      <c r="P782" s="43">
        <f t="shared" si="614"/>
        <v>111449.15415816488</v>
      </c>
      <c r="Q782" s="43">
        <f t="shared" si="614"/>
        <v>111449.15415816486</v>
      </c>
      <c r="R782" s="43">
        <f t="shared" si="614"/>
        <v>111449.15415816486</v>
      </c>
      <c r="S782" s="43">
        <f t="shared" si="614"/>
        <v>111449.15415816486</v>
      </c>
      <c r="T782" s="43">
        <f t="shared" si="614"/>
        <v>111449.15415816486</v>
      </c>
      <c r="V782" s="47">
        <f t="shared" si="615"/>
        <v>1281665.272818896</v>
      </c>
      <c r="W782" s="47">
        <f t="shared" si="616"/>
        <v>1170216.1186607312</v>
      </c>
      <c r="X782" s="47">
        <f t="shared" si="617"/>
        <v>1058766.9645025665</v>
      </c>
      <c r="Y782" s="47">
        <f t="shared" si="618"/>
        <v>947317.81034440163</v>
      </c>
      <c r="Z782" s="47">
        <f t="shared" si="619"/>
        <v>835868.65618623677</v>
      </c>
      <c r="AB782" s="47">
        <f t="shared" si="593"/>
        <v>155025.77343400734</v>
      </c>
      <c r="AC782" s="47">
        <f t="shared" si="594"/>
        <v>150066.28607396898</v>
      </c>
      <c r="AD782" s="47">
        <f t="shared" si="595"/>
        <v>151682.2988092624</v>
      </c>
      <c r="AE782" s="47">
        <f t="shared" si="596"/>
        <v>147447.23095125213</v>
      </c>
      <c r="AF782" s="47">
        <f t="shared" si="597"/>
        <v>143212.16309324186</v>
      </c>
    </row>
    <row r="783" spans="2:32">
      <c r="B783" s="37" t="str">
        <f t="shared" si="590"/>
        <v>Asset 229</v>
      </c>
      <c r="F783" s="37" t="str">
        <f t="shared" ref="F783:L783" si="643">F287</f>
        <v>39 ICT middelen 3 (balancering)</v>
      </c>
      <c r="G783" s="37">
        <f t="shared" si="643"/>
        <v>2019</v>
      </c>
      <c r="H783" s="42">
        <f t="shared" si="643"/>
        <v>315883</v>
      </c>
      <c r="I783" s="37">
        <f t="shared" si="643"/>
        <v>2021</v>
      </c>
      <c r="J783" s="37">
        <f t="shared" si="643"/>
        <v>15</v>
      </c>
      <c r="K783" s="37">
        <f t="shared" si="643"/>
        <v>0</v>
      </c>
      <c r="L783" s="42">
        <f t="shared" si="643"/>
        <v>274401.24443999998</v>
      </c>
      <c r="N783" s="38">
        <f t="shared" si="592"/>
        <v>12.5</v>
      </c>
      <c r="P783" s="43">
        <f t="shared" si="614"/>
        <v>21952.099555199999</v>
      </c>
      <c r="Q783" s="43">
        <f t="shared" si="614"/>
        <v>21952.099555199999</v>
      </c>
      <c r="R783" s="43">
        <f t="shared" si="614"/>
        <v>21952.099555199999</v>
      </c>
      <c r="S783" s="43">
        <f t="shared" si="614"/>
        <v>21952.099555199999</v>
      </c>
      <c r="T783" s="43">
        <f t="shared" si="614"/>
        <v>21952.099555199999</v>
      </c>
      <c r="V783" s="47">
        <f t="shared" si="615"/>
        <v>252449.14488479999</v>
      </c>
      <c r="W783" s="47">
        <f t="shared" si="616"/>
        <v>230497.04532959999</v>
      </c>
      <c r="X783" s="47">
        <f t="shared" si="617"/>
        <v>208544.9457744</v>
      </c>
      <c r="Y783" s="47">
        <f t="shared" si="618"/>
        <v>186592.8462192</v>
      </c>
      <c r="Z783" s="47">
        <f t="shared" si="619"/>
        <v>164640.74666400001</v>
      </c>
      <c r="AB783" s="47">
        <f t="shared" si="593"/>
        <v>30535.3704812832</v>
      </c>
      <c r="AC783" s="47">
        <f t="shared" si="594"/>
        <v>29558.502051076801</v>
      </c>
      <c r="AD783" s="47">
        <f t="shared" si="595"/>
        <v>29876.807494627199</v>
      </c>
      <c r="AE783" s="47">
        <f t="shared" si="596"/>
        <v>29042.6277115296</v>
      </c>
      <c r="AF783" s="47">
        <f t="shared" si="597"/>
        <v>28208.447928431997</v>
      </c>
    </row>
    <row r="784" spans="2:32">
      <c r="B784" s="37" t="str">
        <f t="shared" si="590"/>
        <v>Asset 230</v>
      </c>
      <c r="F784" s="37" t="str">
        <f t="shared" ref="F784:L784" si="644">F288</f>
        <v>39 ICT middelen 3</v>
      </c>
      <c r="G784" s="37">
        <f t="shared" si="644"/>
        <v>2020</v>
      </c>
      <c r="H784" s="42">
        <f t="shared" si="644"/>
        <v>437.7361508808076</v>
      </c>
      <c r="I784" s="37">
        <f t="shared" si="644"/>
        <v>2021</v>
      </c>
      <c r="J784" s="37">
        <f t="shared" si="644"/>
        <v>15</v>
      </c>
      <c r="K784" s="37">
        <f t="shared" si="644"/>
        <v>1</v>
      </c>
      <c r="L784" s="42">
        <f t="shared" si="644"/>
        <v>400.26593636541048</v>
      </c>
      <c r="N784" s="38">
        <f t="shared" si="592"/>
        <v>13.5</v>
      </c>
      <c r="P784" s="43">
        <f t="shared" si="614"/>
        <v>29.649328619660036</v>
      </c>
      <c r="Q784" s="43">
        <f t="shared" si="614"/>
        <v>29.649328619660036</v>
      </c>
      <c r="R784" s="43">
        <f t="shared" si="614"/>
        <v>29.649328619660036</v>
      </c>
      <c r="S784" s="43">
        <f t="shared" si="614"/>
        <v>29.649328619660036</v>
      </c>
      <c r="T784" s="43">
        <f t="shared" si="614"/>
        <v>29.649328619660036</v>
      </c>
      <c r="V784" s="47">
        <f t="shared" si="615"/>
        <v>370.61660774575046</v>
      </c>
      <c r="W784" s="47">
        <f t="shared" si="616"/>
        <v>340.96727912609043</v>
      </c>
      <c r="X784" s="47">
        <f t="shared" si="617"/>
        <v>311.31795050643041</v>
      </c>
      <c r="Y784" s="47">
        <f t="shared" si="618"/>
        <v>281.66862188677038</v>
      </c>
      <c r="Z784" s="47">
        <f t="shared" si="619"/>
        <v>252.01929326711036</v>
      </c>
      <c r="AB784" s="47">
        <f t="shared" si="593"/>
        <v>42.250293283015552</v>
      </c>
      <c r="AC784" s="47">
        <f t="shared" si="594"/>
        <v>40.901248830821018</v>
      </c>
      <c r="AD784" s="47">
        <f t="shared" si="595"/>
        <v>41.479410738904392</v>
      </c>
      <c r="AE784" s="47">
        <f t="shared" si="596"/>
        <v>40.352736251357314</v>
      </c>
      <c r="AF784" s="47">
        <f t="shared" si="597"/>
        <v>39.226061763810229</v>
      </c>
    </row>
    <row r="785" spans="2:35">
      <c r="B785" s="37" t="str">
        <f t="shared" si="590"/>
        <v>Asset 231</v>
      </c>
      <c r="F785" s="37" t="str">
        <f t="shared" ref="F785:L785" si="645">F289</f>
        <v>05 Wegen en terreinvoorzieningen</v>
      </c>
      <c r="G785" s="37">
        <f t="shared" si="645"/>
        <v>2020</v>
      </c>
      <c r="H785" s="42">
        <f t="shared" si="645"/>
        <v>274981.09053004743</v>
      </c>
      <c r="I785" s="37">
        <f t="shared" si="645"/>
        <v>2021</v>
      </c>
      <c r="J785" s="37">
        <f t="shared" si="645"/>
        <v>10</v>
      </c>
      <c r="K785" s="37">
        <f t="shared" si="645"/>
        <v>0</v>
      </c>
      <c r="L785" s="42">
        <f t="shared" si="645"/>
        <v>237473.66978174893</v>
      </c>
      <c r="N785" s="38">
        <f t="shared" si="592"/>
        <v>8.5</v>
      </c>
      <c r="P785" s="43">
        <f t="shared" si="614"/>
        <v>27938.078797852817</v>
      </c>
      <c r="Q785" s="43">
        <f t="shared" si="614"/>
        <v>27938.078797852813</v>
      </c>
      <c r="R785" s="43">
        <f t="shared" si="614"/>
        <v>27938.078797852813</v>
      </c>
      <c r="S785" s="43">
        <f t="shared" si="614"/>
        <v>27938.078797852813</v>
      </c>
      <c r="T785" s="43">
        <f t="shared" si="614"/>
        <v>27938.078797852813</v>
      </c>
      <c r="V785" s="47">
        <f t="shared" si="615"/>
        <v>209535.59098389611</v>
      </c>
      <c r="W785" s="47">
        <f t="shared" si="616"/>
        <v>181597.51218604328</v>
      </c>
      <c r="X785" s="47">
        <f t="shared" si="617"/>
        <v>153659.43338819046</v>
      </c>
      <c r="Y785" s="47">
        <f t="shared" si="618"/>
        <v>125721.35459033765</v>
      </c>
      <c r="Z785" s="47">
        <f t="shared" si="619"/>
        <v>97783.275792484841</v>
      </c>
      <c r="AB785" s="47">
        <f t="shared" si="593"/>
        <v>35062.288891305288</v>
      </c>
      <c r="AC785" s="47">
        <f t="shared" si="594"/>
        <v>33930.796699992243</v>
      </c>
      <c r="AD785" s="47">
        <f t="shared" si="595"/>
        <v>33777.137266604048</v>
      </c>
      <c r="AE785" s="47">
        <f t="shared" si="596"/>
        <v>32715.490272285642</v>
      </c>
      <c r="AF785" s="47">
        <f t="shared" si="597"/>
        <v>31653.843277967237</v>
      </c>
    </row>
    <row r="786" spans="2:35">
      <c r="B786" s="37" t="str">
        <f t="shared" si="590"/>
        <v>Asset 232</v>
      </c>
      <c r="F786" s="37" t="str">
        <f t="shared" ref="F786:L786" si="646">F290</f>
        <v>04 Terreinen</v>
      </c>
      <c r="G786" s="37">
        <f t="shared" si="646"/>
        <v>2020</v>
      </c>
      <c r="H786" s="42">
        <f t="shared" si="646"/>
        <v>1155506.2616599156</v>
      </c>
      <c r="I786" s="37">
        <f t="shared" si="646"/>
        <v>2021</v>
      </c>
      <c r="J786" s="37">
        <f t="shared" si="646"/>
        <v>0</v>
      </c>
      <c r="K786" s="37">
        <f t="shared" si="646"/>
        <v>0</v>
      </c>
      <c r="L786" s="42">
        <f t="shared" si="646"/>
        <v>1173994.3618464742</v>
      </c>
      <c r="N786" s="38">
        <f t="shared" si="592"/>
        <v>0</v>
      </c>
      <c r="P786" s="43">
        <f t="shared" si="614"/>
        <v>0</v>
      </c>
      <c r="Q786" s="43">
        <f t="shared" si="614"/>
        <v>0</v>
      </c>
      <c r="R786" s="43">
        <f t="shared" si="614"/>
        <v>0</v>
      </c>
      <c r="S786" s="43">
        <f t="shared" si="614"/>
        <v>0</v>
      </c>
      <c r="T786" s="43">
        <f t="shared" si="614"/>
        <v>0</v>
      </c>
      <c r="V786" s="47">
        <f t="shared" si="615"/>
        <v>1173994.3618464742</v>
      </c>
      <c r="W786" s="47">
        <f t="shared" si="616"/>
        <v>1173994.3618464742</v>
      </c>
      <c r="X786" s="47">
        <f t="shared" si="617"/>
        <v>1173994.3618464742</v>
      </c>
      <c r="Y786" s="47">
        <f t="shared" si="618"/>
        <v>1173994.3618464742</v>
      </c>
      <c r="Z786" s="47">
        <f t="shared" si="619"/>
        <v>1173994.3618464742</v>
      </c>
      <c r="AB786" s="47">
        <f t="shared" si="593"/>
        <v>39915.808302780126</v>
      </c>
      <c r="AC786" s="47">
        <f t="shared" si="594"/>
        <v>38741.813940933651</v>
      </c>
      <c r="AD786" s="47">
        <f t="shared" si="595"/>
        <v>44611.785750166018</v>
      </c>
      <c r="AE786" s="47">
        <f t="shared" si="596"/>
        <v>44611.785750166018</v>
      </c>
      <c r="AF786" s="47">
        <f t="shared" si="597"/>
        <v>44611.785750166018</v>
      </c>
    </row>
    <row r="787" spans="2:35">
      <c r="B787" s="37" t="str">
        <f t="shared" si="590"/>
        <v>Asset 233</v>
      </c>
      <c r="F787" s="37" t="str">
        <f t="shared" ref="F787:L787" si="647">F291</f>
        <v>08 Inrichting gebouwen</v>
      </c>
      <c r="G787" s="37">
        <f t="shared" si="647"/>
        <v>2020</v>
      </c>
      <c r="H787" s="42">
        <f t="shared" si="647"/>
        <v>227204.18889764068</v>
      </c>
      <c r="I787" s="37">
        <f t="shared" si="647"/>
        <v>2021</v>
      </c>
      <c r="J787" s="37">
        <f t="shared" si="647"/>
        <v>10</v>
      </c>
      <c r="K787" s="37">
        <f t="shared" si="647"/>
        <v>0</v>
      </c>
      <c r="L787" s="42">
        <f t="shared" si="647"/>
        <v>196213.53753200249</v>
      </c>
      <c r="N787" s="38">
        <f t="shared" si="592"/>
        <v>8.5</v>
      </c>
      <c r="P787" s="43">
        <f t="shared" si="614"/>
        <v>23083.945592000295</v>
      </c>
      <c r="Q787" s="43">
        <f t="shared" si="614"/>
        <v>23083.945592000295</v>
      </c>
      <c r="R787" s="43">
        <f t="shared" si="614"/>
        <v>23083.945592000295</v>
      </c>
      <c r="S787" s="43">
        <f t="shared" si="614"/>
        <v>23083.945592000295</v>
      </c>
      <c r="T787" s="43">
        <f t="shared" si="614"/>
        <v>23083.945592000295</v>
      </c>
      <c r="V787" s="47">
        <f t="shared" si="615"/>
        <v>173129.5919400022</v>
      </c>
      <c r="W787" s="47">
        <f t="shared" si="616"/>
        <v>150045.6463480019</v>
      </c>
      <c r="X787" s="47">
        <f t="shared" si="617"/>
        <v>126961.70075600161</v>
      </c>
      <c r="Y787" s="47">
        <f t="shared" si="618"/>
        <v>103877.75516400131</v>
      </c>
      <c r="Z787" s="47">
        <f t="shared" si="619"/>
        <v>80793.809572001017</v>
      </c>
      <c r="AB787" s="47">
        <f t="shared" si="593"/>
        <v>28970.35171796037</v>
      </c>
      <c r="AC787" s="47">
        <f t="shared" si="594"/>
        <v>28035.451921484357</v>
      </c>
      <c r="AD787" s="47">
        <f t="shared" si="595"/>
        <v>27908.490220728356</v>
      </c>
      <c r="AE787" s="47">
        <f t="shared" si="596"/>
        <v>27031.300288232345</v>
      </c>
      <c r="AF787" s="47">
        <f t="shared" si="597"/>
        <v>26154.110355736331</v>
      </c>
    </row>
    <row r="788" spans="2:35">
      <c r="B788" s="37" t="str">
        <f t="shared" si="590"/>
        <v>Asset 234</v>
      </c>
      <c r="F788" s="37" t="str">
        <f t="shared" ref="F788:L788" si="648">F292</f>
        <v>11 Werktuigen</v>
      </c>
      <c r="G788" s="37">
        <f t="shared" si="648"/>
        <v>2020</v>
      </c>
      <c r="H788" s="42">
        <f t="shared" si="648"/>
        <v>880855.41897943604</v>
      </c>
      <c r="I788" s="37">
        <f t="shared" si="648"/>
        <v>2021</v>
      </c>
      <c r="J788" s="37">
        <f t="shared" si="648"/>
        <v>10</v>
      </c>
      <c r="K788" s="37">
        <f t="shared" si="648"/>
        <v>1</v>
      </c>
      <c r="L788" s="42">
        <f t="shared" si="648"/>
        <v>760706.73983064084</v>
      </c>
      <c r="N788" s="38">
        <f t="shared" si="592"/>
        <v>8.5</v>
      </c>
      <c r="P788" s="43">
        <f t="shared" si="614"/>
        <v>89494.91056831069</v>
      </c>
      <c r="Q788" s="43">
        <f t="shared" si="614"/>
        <v>89494.91056831069</v>
      </c>
      <c r="R788" s="43">
        <f t="shared" si="614"/>
        <v>89494.91056831069</v>
      </c>
      <c r="S788" s="43">
        <f t="shared" si="614"/>
        <v>89494.91056831069</v>
      </c>
      <c r="T788" s="43">
        <f t="shared" si="614"/>
        <v>89494.91056831069</v>
      </c>
      <c r="V788" s="47">
        <f t="shared" si="615"/>
        <v>671211.8292623302</v>
      </c>
      <c r="W788" s="47">
        <f t="shared" si="616"/>
        <v>581716.91869401955</v>
      </c>
      <c r="X788" s="47">
        <f t="shared" si="617"/>
        <v>492222.00812570885</v>
      </c>
      <c r="Y788" s="47">
        <f t="shared" si="618"/>
        <v>402727.09755739814</v>
      </c>
      <c r="Z788" s="47">
        <f t="shared" si="619"/>
        <v>313232.18698908744</v>
      </c>
      <c r="AB788" s="47">
        <f t="shared" si="593"/>
        <v>112316.11276322992</v>
      </c>
      <c r="AC788" s="47">
        <f t="shared" si="594"/>
        <v>108691.56888521333</v>
      </c>
      <c r="AD788" s="47">
        <f t="shared" si="595"/>
        <v>108199.34687708762</v>
      </c>
      <c r="AE788" s="47">
        <f t="shared" si="596"/>
        <v>104798.54027549182</v>
      </c>
      <c r="AF788" s="47">
        <f t="shared" si="597"/>
        <v>101397.73367389601</v>
      </c>
    </row>
    <row r="789" spans="2:35">
      <c r="B789" s="37" t="str">
        <f t="shared" si="590"/>
        <v>Asset 235</v>
      </c>
      <c r="F789" s="37" t="str">
        <f t="shared" ref="F789:L789" si="649">F293</f>
        <v>14 Overig rollend materieel</v>
      </c>
      <c r="G789" s="37">
        <f t="shared" si="649"/>
        <v>2020</v>
      </c>
      <c r="H789" s="42">
        <f t="shared" si="649"/>
        <v>111163.8757407683</v>
      </c>
      <c r="I789" s="37">
        <f t="shared" si="649"/>
        <v>2021</v>
      </c>
      <c r="J789" s="37">
        <f t="shared" si="649"/>
        <v>10</v>
      </c>
      <c r="K789" s="37">
        <f t="shared" si="649"/>
        <v>1</v>
      </c>
      <c r="L789" s="42">
        <f t="shared" si="649"/>
        <v>96001.123089727509</v>
      </c>
      <c r="N789" s="38">
        <f t="shared" si="592"/>
        <v>8.5</v>
      </c>
      <c r="P789" s="43">
        <f t="shared" si="614"/>
        <v>11294.24977526206</v>
      </c>
      <c r="Q789" s="43">
        <f t="shared" si="614"/>
        <v>11294.24977526206</v>
      </c>
      <c r="R789" s="43">
        <f t="shared" si="614"/>
        <v>11294.24977526206</v>
      </c>
      <c r="S789" s="43">
        <f t="shared" si="614"/>
        <v>11294.24977526206</v>
      </c>
      <c r="T789" s="43">
        <f t="shared" si="614"/>
        <v>11294.24977526206</v>
      </c>
      <c r="V789" s="47">
        <f t="shared" si="615"/>
        <v>84706.873314465454</v>
      </c>
      <c r="W789" s="47">
        <f t="shared" si="616"/>
        <v>73412.6235392034</v>
      </c>
      <c r="X789" s="47">
        <f t="shared" si="617"/>
        <v>62118.373763941338</v>
      </c>
      <c r="Y789" s="47">
        <f t="shared" si="618"/>
        <v>50824.123988679275</v>
      </c>
      <c r="Z789" s="47">
        <f t="shared" si="619"/>
        <v>39529.874213417213</v>
      </c>
      <c r="AB789" s="47">
        <f t="shared" si="593"/>
        <v>14174.283467953886</v>
      </c>
      <c r="AC789" s="47">
        <f t="shared" si="594"/>
        <v>13716.866352055773</v>
      </c>
      <c r="AD789" s="47">
        <f t="shared" si="595"/>
        <v>13654.747978291831</v>
      </c>
      <c r="AE789" s="47">
        <f t="shared" si="596"/>
        <v>13225.566486831873</v>
      </c>
      <c r="AF789" s="47">
        <f t="shared" si="597"/>
        <v>12796.384995371915</v>
      </c>
    </row>
    <row r="790" spans="2:35">
      <c r="B790" s="37" t="str">
        <f t="shared" si="590"/>
        <v>Asset 236</v>
      </c>
      <c r="F790" s="37" t="str">
        <f t="shared" ref="F790:L790" si="650">F294</f>
        <v>38 ICT middelen 2</v>
      </c>
      <c r="G790" s="37">
        <f t="shared" si="650"/>
        <v>2020</v>
      </c>
      <c r="H790" s="42">
        <f t="shared" si="650"/>
        <v>2253829.6322485749</v>
      </c>
      <c r="I790" s="37">
        <f t="shared" si="650"/>
        <v>2021</v>
      </c>
      <c r="J790" s="37">
        <f t="shared" si="650"/>
        <v>10</v>
      </c>
      <c r="K790" s="37">
        <f t="shared" si="650"/>
        <v>1</v>
      </c>
      <c r="L790" s="42">
        <f t="shared" si="650"/>
        <v>1946407.2704098693</v>
      </c>
      <c r="N790" s="38">
        <f t="shared" si="592"/>
        <v>8.5</v>
      </c>
      <c r="P790" s="43">
        <f t="shared" si="614"/>
        <v>228989.09063645522</v>
      </c>
      <c r="Q790" s="43">
        <f t="shared" si="614"/>
        <v>228989.09063645522</v>
      </c>
      <c r="R790" s="43">
        <f t="shared" si="614"/>
        <v>228989.09063645522</v>
      </c>
      <c r="S790" s="43">
        <f t="shared" si="614"/>
        <v>228989.09063645522</v>
      </c>
      <c r="T790" s="43">
        <f t="shared" si="614"/>
        <v>228989.09063645522</v>
      </c>
      <c r="V790" s="47">
        <f t="shared" si="615"/>
        <v>1717418.179773414</v>
      </c>
      <c r="W790" s="47">
        <f t="shared" si="616"/>
        <v>1488429.0891369588</v>
      </c>
      <c r="X790" s="47">
        <f t="shared" si="617"/>
        <v>1259439.9985005036</v>
      </c>
      <c r="Y790" s="47">
        <f t="shared" si="618"/>
        <v>1030450.9078640484</v>
      </c>
      <c r="Z790" s="47">
        <f t="shared" si="619"/>
        <v>801461.81722759316</v>
      </c>
      <c r="AB790" s="47">
        <f t="shared" si="593"/>
        <v>287381.3087487513</v>
      </c>
      <c r="AC790" s="47">
        <f t="shared" si="594"/>
        <v>278107.25057797489</v>
      </c>
      <c r="AD790" s="47">
        <f t="shared" si="595"/>
        <v>276847.81057947438</v>
      </c>
      <c r="AE790" s="47">
        <f t="shared" si="596"/>
        <v>268146.22513528907</v>
      </c>
      <c r="AF790" s="47">
        <f t="shared" si="597"/>
        <v>259444.63969110377</v>
      </c>
    </row>
    <row r="791" spans="2:35">
      <c r="B791" s="37" t="str">
        <f t="shared" si="590"/>
        <v>Asset 237</v>
      </c>
      <c r="F791" s="37" t="str">
        <f t="shared" ref="F791:L791" si="651">F295</f>
        <v>20 Kantoorgebouwen</v>
      </c>
      <c r="G791" s="37">
        <f t="shared" si="651"/>
        <v>2020</v>
      </c>
      <c r="H791" s="42">
        <f t="shared" si="651"/>
        <v>715175.01653112471</v>
      </c>
      <c r="I791" s="37">
        <f t="shared" si="651"/>
        <v>2021</v>
      </c>
      <c r="J791" s="37">
        <f t="shared" si="651"/>
        <v>30</v>
      </c>
      <c r="K791" s="37">
        <f t="shared" si="651"/>
        <v>0</v>
      </c>
      <c r="L791" s="42">
        <f t="shared" si="651"/>
        <v>690286.92595584155</v>
      </c>
      <c r="N791" s="38">
        <f t="shared" si="592"/>
        <v>28.5</v>
      </c>
      <c r="P791" s="43">
        <f t="shared" si="614"/>
        <v>24220.593893187423</v>
      </c>
      <c r="Q791" s="43">
        <f t="shared" si="614"/>
        <v>24220.593893187423</v>
      </c>
      <c r="R791" s="43">
        <f t="shared" si="614"/>
        <v>24220.593893187423</v>
      </c>
      <c r="S791" s="43">
        <f t="shared" si="614"/>
        <v>24220.593893187423</v>
      </c>
      <c r="T791" s="43">
        <f t="shared" si="614"/>
        <v>24220.593893187423</v>
      </c>
      <c r="V791" s="47">
        <f t="shared" si="615"/>
        <v>666066.33206265408</v>
      </c>
      <c r="W791" s="47">
        <f t="shared" si="616"/>
        <v>641845.73816946661</v>
      </c>
      <c r="X791" s="47">
        <f t="shared" si="617"/>
        <v>617625.14427627914</v>
      </c>
      <c r="Y791" s="47">
        <f t="shared" si="618"/>
        <v>593404.55038309167</v>
      </c>
      <c r="Z791" s="47">
        <f t="shared" si="619"/>
        <v>569183.9564899042</v>
      </c>
      <c r="AB791" s="47">
        <f t="shared" si="593"/>
        <v>46866.849183317667</v>
      </c>
      <c r="AC791" s="47">
        <f t="shared" si="594"/>
        <v>45401.503252779818</v>
      </c>
      <c r="AD791" s="47">
        <f t="shared" si="595"/>
        <v>47690.349375686026</v>
      </c>
      <c r="AE791" s="47">
        <f t="shared" si="596"/>
        <v>46769.966807744902</v>
      </c>
      <c r="AF791" s="47">
        <f t="shared" si="597"/>
        <v>45849.584239803778</v>
      </c>
    </row>
    <row r="792" spans="2:35">
      <c r="B792" s="37" t="str">
        <f t="shared" si="590"/>
        <v>Asset 238</v>
      </c>
      <c r="F792" s="37" t="str">
        <f t="shared" ref="F792:L792" si="652">F296</f>
        <v>06 Utiliteitsgebouwen</v>
      </c>
      <c r="G792" s="37">
        <f t="shared" si="652"/>
        <v>2020</v>
      </c>
      <c r="H792" s="42">
        <f t="shared" si="652"/>
        <v>611310.12783119339</v>
      </c>
      <c r="I792" s="37">
        <f t="shared" si="652"/>
        <v>2021</v>
      </c>
      <c r="J792" s="37">
        <f t="shared" si="652"/>
        <v>30</v>
      </c>
      <c r="K792" s="37">
        <f t="shared" si="652"/>
        <v>0</v>
      </c>
      <c r="L792" s="42">
        <f t="shared" si="652"/>
        <v>590036.53538266791</v>
      </c>
      <c r="N792" s="38">
        <f t="shared" si="592"/>
        <v>28.5</v>
      </c>
      <c r="P792" s="43">
        <f t="shared" si="614"/>
        <v>20703.036329216418</v>
      </c>
      <c r="Q792" s="43">
        <f t="shared" si="614"/>
        <v>20703.036329216418</v>
      </c>
      <c r="R792" s="43">
        <f t="shared" si="614"/>
        <v>20703.036329216418</v>
      </c>
      <c r="S792" s="43">
        <f t="shared" si="614"/>
        <v>20703.036329216418</v>
      </c>
      <c r="T792" s="43">
        <f t="shared" si="614"/>
        <v>20703.036329216418</v>
      </c>
      <c r="V792" s="47">
        <f t="shared" si="615"/>
        <v>569333.49905345147</v>
      </c>
      <c r="W792" s="47">
        <f t="shared" si="616"/>
        <v>548630.46272423503</v>
      </c>
      <c r="X792" s="47">
        <f t="shared" si="617"/>
        <v>527927.42639501859</v>
      </c>
      <c r="Y792" s="47">
        <f t="shared" si="618"/>
        <v>507224.39006580214</v>
      </c>
      <c r="Z792" s="47">
        <f t="shared" si="619"/>
        <v>486521.3537365857</v>
      </c>
      <c r="AB792" s="47">
        <f t="shared" si="593"/>
        <v>40060.375297033766</v>
      </c>
      <c r="AC792" s="47">
        <f t="shared" si="594"/>
        <v>38807.841599116175</v>
      </c>
      <c r="AD792" s="47">
        <f t="shared" si="595"/>
        <v>40764.278532227123</v>
      </c>
      <c r="AE792" s="47">
        <f t="shared" si="596"/>
        <v>39977.563151716895</v>
      </c>
      <c r="AF792" s="47">
        <f t="shared" si="597"/>
        <v>39190.847771206674</v>
      </c>
    </row>
    <row r="793" spans="2:35">
      <c r="B793" s="37" t="str">
        <f t="shared" si="590"/>
        <v>Asset 239</v>
      </c>
      <c r="F793" s="37" t="str">
        <f t="shared" ref="F793:L793" si="653">F297</f>
        <v>08 Inrichting gebouwen</v>
      </c>
      <c r="G793" s="37">
        <f t="shared" si="653"/>
        <v>2021</v>
      </c>
      <c r="H793" s="42">
        <f t="shared" si="653"/>
        <v>384242.51972392667</v>
      </c>
      <c r="I793" s="37">
        <f t="shared" si="653"/>
        <v>2021</v>
      </c>
      <c r="J793" s="37">
        <f t="shared" si="653"/>
        <v>10</v>
      </c>
      <c r="K793" s="37">
        <f t="shared" si="653"/>
        <v>0</v>
      </c>
      <c r="L793" s="42">
        <f t="shared" si="653"/>
        <v>365030.39373773034</v>
      </c>
      <c r="N793" s="38">
        <f t="shared" si="592"/>
        <v>9.5</v>
      </c>
      <c r="P793" s="43">
        <f t="shared" si="614"/>
        <v>38424.251972392667</v>
      </c>
      <c r="Q793" s="43">
        <f t="shared" si="614"/>
        <v>38424.251972392667</v>
      </c>
      <c r="R793" s="43">
        <f t="shared" si="614"/>
        <v>38424.251972392667</v>
      </c>
      <c r="S793" s="43">
        <f t="shared" si="614"/>
        <v>38424.251972392667</v>
      </c>
      <c r="T793" s="43">
        <f t="shared" si="614"/>
        <v>38424.251972392667</v>
      </c>
      <c r="V793" s="47">
        <f t="shared" si="615"/>
        <v>326606.14176533767</v>
      </c>
      <c r="W793" s="47">
        <f t="shared" si="616"/>
        <v>288181.889792945</v>
      </c>
      <c r="X793" s="47">
        <f t="shared" si="617"/>
        <v>249757.63782055234</v>
      </c>
      <c r="Y793" s="47">
        <f t="shared" si="618"/>
        <v>211333.38584815967</v>
      </c>
      <c r="Z793" s="47">
        <f t="shared" si="619"/>
        <v>172909.133875767</v>
      </c>
      <c r="AB793" s="47">
        <f t="shared" si="593"/>
        <v>49528.860792414147</v>
      </c>
      <c r="AC793" s="47">
        <f t="shared" si="594"/>
        <v>47934.254335559854</v>
      </c>
      <c r="AD793" s="47">
        <f t="shared" si="595"/>
        <v>47915.042209573658</v>
      </c>
      <c r="AE793" s="47">
        <f t="shared" si="596"/>
        <v>46454.920634622737</v>
      </c>
      <c r="AF793" s="47">
        <f t="shared" si="597"/>
        <v>44994.799059671815</v>
      </c>
    </row>
    <row r="794" spans="2:35">
      <c r="B794" s="37" t="str">
        <f t="shared" si="590"/>
        <v>Asset 240</v>
      </c>
      <c r="F794" s="37" t="str">
        <f t="shared" ref="F794:L794" si="654">F298</f>
        <v>20 Kantoorgebouwen</v>
      </c>
      <c r="G794" s="37">
        <f t="shared" si="654"/>
        <v>2021</v>
      </c>
      <c r="H794" s="42">
        <f t="shared" si="654"/>
        <v>1098657.1778898467</v>
      </c>
      <c r="I794" s="37">
        <f t="shared" si="654"/>
        <v>2021</v>
      </c>
      <c r="J794" s="37">
        <f t="shared" si="654"/>
        <v>30</v>
      </c>
      <c r="K794" s="37">
        <f t="shared" si="654"/>
        <v>0</v>
      </c>
      <c r="L794" s="42">
        <f t="shared" si="654"/>
        <v>1080346.2249250161</v>
      </c>
      <c r="N794" s="38">
        <f t="shared" si="592"/>
        <v>29.5</v>
      </c>
      <c r="P794" s="43">
        <f t="shared" si="614"/>
        <v>36621.90592966156</v>
      </c>
      <c r="Q794" s="43">
        <f t="shared" si="614"/>
        <v>36621.90592966156</v>
      </c>
      <c r="R794" s="43">
        <f t="shared" si="614"/>
        <v>36621.90592966156</v>
      </c>
      <c r="S794" s="43">
        <f t="shared" si="614"/>
        <v>36621.90592966156</v>
      </c>
      <c r="T794" s="43">
        <f t="shared" si="614"/>
        <v>36621.90592966156</v>
      </c>
      <c r="V794" s="47">
        <f t="shared" si="615"/>
        <v>1043724.3189953545</v>
      </c>
      <c r="W794" s="47">
        <f t="shared" si="616"/>
        <v>1007102.4130656929</v>
      </c>
      <c r="X794" s="47">
        <f t="shared" si="617"/>
        <v>970480.50713603129</v>
      </c>
      <c r="Y794" s="47">
        <f t="shared" si="618"/>
        <v>933858.6012063697</v>
      </c>
      <c r="Z794" s="47">
        <f t="shared" si="619"/>
        <v>897236.69527670811</v>
      </c>
      <c r="AB794" s="47">
        <f t="shared" si="593"/>
        <v>72108.532775503612</v>
      </c>
      <c r="AC794" s="47">
        <f t="shared" si="594"/>
        <v>69856.285560829419</v>
      </c>
      <c r="AD794" s="47">
        <f t="shared" si="595"/>
        <v>73500.165200830757</v>
      </c>
      <c r="AE794" s="47">
        <f t="shared" si="596"/>
        <v>72108.532775503612</v>
      </c>
      <c r="AF794" s="47">
        <f t="shared" si="597"/>
        <v>70716.900350176467</v>
      </c>
    </row>
    <row r="795" spans="2:35">
      <c r="B795" s="37" t="str">
        <f t="shared" si="590"/>
        <v>Asset 241</v>
      </c>
      <c r="F795" s="37" t="str">
        <f t="shared" ref="F795:L795" si="655">F299</f>
        <v>03 Verremeting</v>
      </c>
      <c r="G795" s="37">
        <f t="shared" si="655"/>
        <v>1993</v>
      </c>
      <c r="H795" s="42">
        <f>H299</f>
        <v>27208128.690000001</v>
      </c>
      <c r="I795" s="37">
        <f t="shared" si="655"/>
        <v>2021</v>
      </c>
      <c r="J795" s="37">
        <f t="shared" si="655"/>
        <v>5</v>
      </c>
      <c r="K795" s="37">
        <f t="shared" si="655"/>
        <v>1</v>
      </c>
      <c r="L795" s="42">
        <f t="shared" si="655"/>
        <v>0</v>
      </c>
      <c r="N795" s="38">
        <f t="shared" si="592"/>
        <v>0</v>
      </c>
      <c r="P795" s="43">
        <f t="shared" si="614"/>
        <v>0</v>
      </c>
      <c r="Q795" s="43">
        <f t="shared" si="614"/>
        <v>0</v>
      </c>
      <c r="R795" s="43">
        <f t="shared" si="614"/>
        <v>0</v>
      </c>
      <c r="S795" s="43">
        <f t="shared" si="614"/>
        <v>0</v>
      </c>
      <c r="T795" s="43">
        <f t="shared" si="614"/>
        <v>0</v>
      </c>
      <c r="V795" s="47">
        <f t="shared" si="615"/>
        <v>0</v>
      </c>
      <c r="W795" s="47">
        <f t="shared" si="616"/>
        <v>0</v>
      </c>
      <c r="X795" s="47">
        <f t="shared" si="617"/>
        <v>0</v>
      </c>
      <c r="Y795" s="47">
        <f t="shared" si="618"/>
        <v>0</v>
      </c>
      <c r="Z795" s="47">
        <f t="shared" si="619"/>
        <v>0</v>
      </c>
      <c r="AB795" s="47">
        <f t="shared" si="593"/>
        <v>0</v>
      </c>
      <c r="AC795" s="47">
        <f t="shared" si="594"/>
        <v>0</v>
      </c>
      <c r="AD795" s="47">
        <f t="shared" si="595"/>
        <v>0</v>
      </c>
      <c r="AE795" s="47">
        <f t="shared" si="596"/>
        <v>0</v>
      </c>
      <c r="AF795" s="47">
        <f t="shared" si="597"/>
        <v>0</v>
      </c>
    </row>
    <row r="796" spans="2:35">
      <c r="B796" s="37" t="str">
        <f t="shared" si="590"/>
        <v>Asset 242</v>
      </c>
      <c r="F796" s="37" t="str">
        <f t="shared" ref="F796:L796" si="656">F300</f>
        <v>06 Utiliteitsgebouwen</v>
      </c>
      <c r="G796" s="37">
        <f t="shared" si="656"/>
        <v>2021</v>
      </c>
      <c r="H796" s="42">
        <f t="shared" si="656"/>
        <v>114485.52709029273</v>
      </c>
      <c r="I796" s="37">
        <f t="shared" si="656"/>
        <v>2021</v>
      </c>
      <c r="J796" s="37">
        <f t="shared" si="656"/>
        <v>30</v>
      </c>
      <c r="K796" s="37">
        <f t="shared" si="656"/>
        <v>0</v>
      </c>
      <c r="L796" s="42">
        <f t="shared" si="656"/>
        <v>112577.43497212119</v>
      </c>
      <c r="N796" s="38">
        <f t="shared" si="592"/>
        <v>29.5</v>
      </c>
      <c r="P796" s="43">
        <f t="shared" si="614"/>
        <v>3816.184236343091</v>
      </c>
      <c r="Q796" s="43">
        <f t="shared" si="614"/>
        <v>3816.184236343091</v>
      </c>
      <c r="R796" s="43">
        <f t="shared" si="614"/>
        <v>3816.184236343091</v>
      </c>
      <c r="S796" s="43">
        <f t="shared" si="614"/>
        <v>3816.184236343091</v>
      </c>
      <c r="T796" s="43">
        <f t="shared" si="614"/>
        <v>3816.184236343091</v>
      </c>
      <c r="V796" s="47">
        <f t="shared" si="615"/>
        <v>108761.2507357781</v>
      </c>
      <c r="W796" s="47">
        <f t="shared" si="616"/>
        <v>104945.06649943501</v>
      </c>
      <c r="X796" s="47">
        <f t="shared" si="617"/>
        <v>101128.88226309192</v>
      </c>
      <c r="Y796" s="47">
        <f t="shared" si="618"/>
        <v>97312.698026748825</v>
      </c>
      <c r="Z796" s="47">
        <f t="shared" si="619"/>
        <v>93496.513790405734</v>
      </c>
      <c r="AB796" s="47">
        <f t="shared" si="593"/>
        <v>7514.0667613595469</v>
      </c>
      <c r="AC796" s="47">
        <f t="shared" si="594"/>
        <v>7279.3714308244471</v>
      </c>
      <c r="AD796" s="47">
        <f t="shared" si="595"/>
        <v>7659.0817623405837</v>
      </c>
      <c r="AE796" s="47">
        <f t="shared" si="596"/>
        <v>7514.0667613595469</v>
      </c>
      <c r="AF796" s="47">
        <f t="shared" si="597"/>
        <v>7369.0517603785083</v>
      </c>
    </row>
    <row r="797" spans="2:35">
      <c r="B797" s="37" t="str">
        <f>B301</f>
        <v>Asset 243</v>
      </c>
      <c r="F797" s="37" t="str">
        <f t="shared" ref="F797:L797" si="657">F301</f>
        <v>38 ICT middelen 2</v>
      </c>
      <c r="G797" s="37">
        <f t="shared" si="657"/>
        <v>2019</v>
      </c>
      <c r="H797" s="42">
        <f t="shared" si="657"/>
        <v>5155994.869123158</v>
      </c>
      <c r="I797" s="37">
        <f t="shared" si="657"/>
        <v>2021</v>
      </c>
      <c r="J797" s="37">
        <f t="shared" si="657"/>
        <v>10</v>
      </c>
      <c r="K797" s="37">
        <f t="shared" si="657"/>
        <v>1</v>
      </c>
      <c r="L797" s="42">
        <f t="shared" si="657"/>
        <v>4031018.6606189152</v>
      </c>
      <c r="N797" s="38">
        <f t="shared" si="592"/>
        <v>7.5</v>
      </c>
      <c r="P797" s="43">
        <f t="shared" si="614"/>
        <v>537469.15474918869</v>
      </c>
      <c r="Q797" s="43">
        <f t="shared" si="614"/>
        <v>537469.15474918869</v>
      </c>
      <c r="R797" s="43">
        <f t="shared" si="614"/>
        <v>537469.15474918869</v>
      </c>
      <c r="S797" s="43">
        <f t="shared" si="614"/>
        <v>537469.15474918869</v>
      </c>
      <c r="T797" s="43">
        <f t="shared" si="614"/>
        <v>537469.15474918869</v>
      </c>
      <c r="V797" s="47">
        <f t="shared" si="615"/>
        <v>3493549.5058697267</v>
      </c>
      <c r="W797" s="47">
        <f t="shared" si="616"/>
        <v>2956080.3511205381</v>
      </c>
      <c r="X797" s="47">
        <f t="shared" si="617"/>
        <v>2418611.1963713495</v>
      </c>
      <c r="Y797" s="47">
        <f t="shared" si="618"/>
        <v>1881142.0416221609</v>
      </c>
      <c r="Z797" s="47">
        <f t="shared" si="619"/>
        <v>1343672.8868729724</v>
      </c>
      <c r="AB797" s="47">
        <f t="shared" si="593"/>
        <v>656249.83794875944</v>
      </c>
      <c r="AC797" s="47">
        <f t="shared" si="594"/>
        <v>635019.80633616645</v>
      </c>
      <c r="AD797" s="47">
        <f t="shared" si="595"/>
        <v>629376.38021129998</v>
      </c>
      <c r="AE797" s="47">
        <f t="shared" si="596"/>
        <v>608952.55233083083</v>
      </c>
      <c r="AF797" s="47">
        <f t="shared" si="597"/>
        <v>588528.72445036168</v>
      </c>
    </row>
    <row r="798" spans="2:35">
      <c r="H798" s="167"/>
      <c r="L798" s="167"/>
      <c r="P798" s="167"/>
      <c r="Q798" s="167"/>
      <c r="R798" s="167"/>
      <c r="S798" s="167"/>
      <c r="T798" s="167"/>
      <c r="V798" s="88"/>
      <c r="W798" s="88"/>
      <c r="X798" s="88"/>
      <c r="Y798" s="88"/>
      <c r="Z798" s="88"/>
      <c r="AB798" s="88"/>
      <c r="AC798" s="88"/>
      <c r="AD798" s="88"/>
      <c r="AE798" s="88"/>
      <c r="AF798" s="88"/>
    </row>
    <row r="799" spans="2:35" s="33" customFormat="1">
      <c r="B799" s="33" t="s">
        <v>1082</v>
      </c>
    </row>
    <row r="800" spans="2:35" s="36" customFormat="1">
      <c r="K800" s="36" t="s">
        <v>1081</v>
      </c>
      <c r="Q800" s="36" t="s">
        <v>914</v>
      </c>
      <c r="W800" s="36" t="s">
        <v>915</v>
      </c>
      <c r="AC800" s="36" t="s">
        <v>223</v>
      </c>
      <c r="AI800" s="36" t="s">
        <v>916</v>
      </c>
    </row>
    <row r="801" spans="1:39" s="39" customFormat="1">
      <c r="B801" s="39" t="s">
        <v>1076</v>
      </c>
      <c r="F801" s="39" t="s">
        <v>920</v>
      </c>
      <c r="G801" s="39" t="s">
        <v>825</v>
      </c>
      <c r="H801" s="39" t="s">
        <v>544</v>
      </c>
      <c r="I801" s="39" t="s">
        <v>303</v>
      </c>
      <c r="K801" s="45">
        <v>2022</v>
      </c>
      <c r="L801" s="45">
        <v>2023</v>
      </c>
      <c r="M801" s="45">
        <v>2024</v>
      </c>
      <c r="N801" s="45">
        <v>2025</v>
      </c>
      <c r="O801" s="45">
        <v>2026</v>
      </c>
      <c r="Q801" s="45">
        <v>2022</v>
      </c>
      <c r="R801" s="45">
        <v>2023</v>
      </c>
      <c r="S801" s="45">
        <v>2024</v>
      </c>
      <c r="T801" s="45">
        <v>2025</v>
      </c>
      <c r="U801" s="45">
        <v>2026</v>
      </c>
      <c r="W801" s="45">
        <v>2022</v>
      </c>
      <c r="X801" s="45">
        <v>2023</v>
      </c>
      <c r="Y801" s="45">
        <v>2024</v>
      </c>
      <c r="Z801" s="45">
        <v>2025</v>
      </c>
      <c r="AA801" s="45">
        <v>2026</v>
      </c>
      <c r="AB801" s="45"/>
      <c r="AC801" s="45">
        <v>2022</v>
      </c>
      <c r="AD801" s="45">
        <v>2023</v>
      </c>
      <c r="AE801" s="45">
        <v>2024</v>
      </c>
      <c r="AF801" s="45">
        <v>2025</v>
      </c>
      <c r="AG801" s="45">
        <v>2026</v>
      </c>
      <c r="AI801" s="45">
        <v>2022</v>
      </c>
      <c r="AJ801" s="45">
        <v>2023</v>
      </c>
      <c r="AK801" s="45">
        <v>2024</v>
      </c>
      <c r="AL801" s="45">
        <v>2025</v>
      </c>
      <c r="AM801" s="45">
        <v>2026</v>
      </c>
    </row>
    <row r="802" spans="1:39" s="48" customFormat="1">
      <c r="K802" s="167"/>
      <c r="L802" s="167"/>
      <c r="M802" s="167"/>
      <c r="N802" s="167"/>
      <c r="O802" s="167"/>
      <c r="Q802" s="88"/>
      <c r="R802" s="88"/>
      <c r="S802" s="88"/>
      <c r="T802" s="88"/>
      <c r="U802" s="88"/>
      <c r="W802" s="88"/>
      <c r="X802" s="88"/>
      <c r="Y802" s="88"/>
      <c r="Z802" s="88"/>
      <c r="AA802" s="88"/>
      <c r="AB802" s="310"/>
      <c r="AC802" s="310"/>
      <c r="AD802" s="310"/>
      <c r="AE802" s="310"/>
      <c r="AF802" s="310"/>
      <c r="AG802" s="310"/>
      <c r="AI802" s="310"/>
      <c r="AJ802" s="310"/>
      <c r="AK802" s="310"/>
      <c r="AL802" s="310"/>
      <c r="AM802" s="310"/>
    </row>
    <row r="803" spans="1:39">
      <c r="B803" s="37" t="str">
        <f>'8. Input IC huur Gasunie'!B259</f>
        <v>Asset 1</v>
      </c>
      <c r="F803" s="37" t="str">
        <f>'8. Input IC huur Gasunie'!F259</f>
        <v>02 Gasontvangststations</v>
      </c>
      <c r="G803" s="37">
        <f>'8. Input IC huur Gasunie'!G259</f>
        <v>2022</v>
      </c>
      <c r="H803" s="42">
        <f>'8. Input IC huur Gasunie'!H259</f>
        <v>16559.007294242547</v>
      </c>
      <c r="I803" s="37">
        <f>'8. Input IC huur Gasunie'!I259</f>
        <v>30</v>
      </c>
      <c r="K803" s="43">
        <f>IF($I803=0,0,IF($G803&lt;=K$801,VDB(ABS($H803),0,$I803,MAX(0,K$801-$G803-0.5),MIN(K$801-$G803+0.5),1),0))</f>
        <v>275.98345490404245</v>
      </c>
      <c r="L803" s="43">
        <f t="shared" ref="L803:O818" si="658">IF($I803=0,0,IF($G803&lt;=L$801,VDB(ABS($H803),0,$I803,MAX(0,L$801-$G803-0.5),MIN(L$801-$G803+0.5),1),0))</f>
        <v>551.96690980808489</v>
      </c>
      <c r="M803" s="43">
        <f t="shared" si="658"/>
        <v>551.96690980808489</v>
      </c>
      <c r="N803" s="43">
        <f t="shared" si="658"/>
        <v>551.96690980808489</v>
      </c>
      <c r="O803" s="43">
        <f t="shared" si="658"/>
        <v>551.96690980808489</v>
      </c>
      <c r="Q803" s="47">
        <f>IF($I803=0,$H803,IF(OR($G803&gt;Q$801,$G803+$I803&lt;=Q$801),0,IF($G803=Q$801,$H803-K803,$H803-K803)))</f>
        <v>16283.023839338504</v>
      </c>
      <c r="R803" s="47">
        <f>IF($I803=0,$H803,IF(OR($G803&gt;R$801,$G803+$I803&lt;=R$801),0,IF($G803=R$801,$H803-L803,Q803-L803)))</f>
        <v>15731.056929530419</v>
      </c>
      <c r="S803" s="47">
        <f t="shared" ref="S803:U803" si="659">IF($I803=0,$H803,IF(OR($G803&gt;S$801,$G803+$I803&lt;=S$801),0,IF($G803=S$801,$H803-M803,R803-M803)))</f>
        <v>15179.090019722335</v>
      </c>
      <c r="T803" s="47">
        <f t="shared" si="659"/>
        <v>14627.12310991425</v>
      </c>
      <c r="U803" s="47">
        <f t="shared" si="659"/>
        <v>14075.156200106165</v>
      </c>
      <c r="W803" s="47">
        <f>(K803+Q803*I$16)</f>
        <v>829.60626544155161</v>
      </c>
      <c r="X803" s="47">
        <f t="shared" ref="X803:AA803" si="660">(L803+R803*J$16)</f>
        <v>1071.0917884825888</v>
      </c>
      <c r="Y803" s="47">
        <f t="shared" si="660"/>
        <v>1128.7723305575337</v>
      </c>
      <c r="Z803" s="47">
        <f t="shared" si="660"/>
        <v>1107.7975879848264</v>
      </c>
      <c r="AA803" s="47">
        <f t="shared" si="660"/>
        <v>1086.822845412119</v>
      </c>
      <c r="AC803" s="47">
        <f t="shared" ref="AC803:AG812" si="661">IF(AC$801&gt;=$G803,$H803*INDEX($G$40:$M$46,$G803-2019,AC$801-2019)*INDEX($G$49:$M$55,$G803-2019,AC$801-2019)*$F$28,0)</f>
        <v>165.59007294242548</v>
      </c>
      <c r="AD803" s="47">
        <f t="shared" si="661"/>
        <v>175.15323083499644</v>
      </c>
      <c r="AE803" s="47">
        <f t="shared" si="661"/>
        <v>188.40882734458899</v>
      </c>
      <c r="AF803" s="47">
        <f t="shared" si="661"/>
        <v>192.90953741219653</v>
      </c>
      <c r="AG803" s="47">
        <f t="shared" si="661"/>
        <v>199.43913943452455</v>
      </c>
      <c r="AI803" s="47">
        <f>W803+AC803</f>
        <v>995.19633838397704</v>
      </c>
      <c r="AJ803" s="47">
        <f t="shared" ref="AJ803:AM803" si="662">X803+AD803</f>
        <v>1246.2450193175853</v>
      </c>
      <c r="AK803" s="47">
        <f t="shared" si="662"/>
        <v>1317.1811579021228</v>
      </c>
      <c r="AL803" s="47">
        <f t="shared" si="662"/>
        <v>1300.707125397023</v>
      </c>
      <c r="AM803" s="47">
        <f t="shared" si="662"/>
        <v>1286.2619848466436</v>
      </c>
    </row>
    <row r="804" spans="1:39">
      <c r="B804" s="37" t="str">
        <f>'8. Input IC huur Gasunie'!B260</f>
        <v>Asset 2</v>
      </c>
      <c r="F804" s="37" t="str">
        <f>'8. Input IC huur Gasunie'!F260</f>
        <v>05 Wegen en terreinvoorzieningen</v>
      </c>
      <c r="G804" s="37">
        <f>'8. Input IC huur Gasunie'!G260</f>
        <v>2022</v>
      </c>
      <c r="H804" s="42">
        <f>'8. Input IC huur Gasunie'!H260</f>
        <v>260373.81710683607</v>
      </c>
      <c r="I804" s="37">
        <f>'8. Input IC huur Gasunie'!I260</f>
        <v>10</v>
      </c>
      <c r="K804" s="43">
        <f t="shared" ref="K804:O819" si="663">IF($I804=0,0,IF($G804&lt;=K$801,VDB(ABS($H804),0,$I804,MAX(0,K$801-$G804-0.5),MIN(K$801-$G804+0.5),1),0))</f>
        <v>13018.690855341803</v>
      </c>
      <c r="L804" s="43">
        <f t="shared" si="658"/>
        <v>26037.381710683607</v>
      </c>
      <c r="M804" s="43">
        <f t="shared" si="658"/>
        <v>26037.381710683607</v>
      </c>
      <c r="N804" s="43">
        <f t="shared" si="658"/>
        <v>26037.381710683607</v>
      </c>
      <c r="O804" s="43">
        <f t="shared" si="658"/>
        <v>26037.381710683607</v>
      </c>
      <c r="Q804" s="47">
        <f t="shared" ref="Q804:Q816" si="664">IF($I804=0,$H804,IF(OR($G804&gt;Q$801,$G804+$I804&lt;=Q$801),0,IF($G804=Q$801,$H804-K804,$H804-K804)))</f>
        <v>247355.12625149428</v>
      </c>
      <c r="R804" s="47">
        <f t="shared" ref="R804:R816" si="665">IF($I804=0,$H804,IF(OR($G804&gt;R$801,$G804+$I804&lt;=R$801),0,IF($G804=R$801,$H804-L804,Q804-L804)))</f>
        <v>221317.74454081067</v>
      </c>
      <c r="S804" s="47">
        <f t="shared" ref="S804:S817" si="666">IF($I804=0,$H804,IF(OR($G804&gt;S$801,$G804+$I804&lt;=S$801),0,IF($G804=S$801,$H804-M804,R804-M804)))</f>
        <v>195280.36283012707</v>
      </c>
      <c r="T804" s="47">
        <f t="shared" ref="T804:T817" si="667">IF($I804=0,$H804,IF(OR($G804&gt;T$801,$G804+$I804&lt;=T$801),0,IF($G804=T$801,$H804-N804,S804-N804)))</f>
        <v>169242.98111944346</v>
      </c>
      <c r="U804" s="47">
        <f t="shared" ref="U804:U817" si="668">IF($I804=0,$H804,IF(OR($G804&gt;U$801,$G804+$I804&lt;=U$801),0,IF($G804=U$801,$H804-O804,T804-O804)))</f>
        <v>143205.59940875985</v>
      </c>
      <c r="W804" s="47">
        <f t="shared" ref="W804:W816" si="669">(K804+Q804*I$16)</f>
        <v>21428.765147892609</v>
      </c>
      <c r="X804" s="47">
        <f t="shared" ref="X804:X817" si="670">(L804+R804*J$16)</f>
        <v>33340.867280530358</v>
      </c>
      <c r="Y804" s="47">
        <f t="shared" ref="Y804:Y817" si="671">(M804+S804*K$16)</f>
        <v>33458.035498228433</v>
      </c>
      <c r="Z804" s="47">
        <f t="shared" ref="Z804:Z817" si="672">(N804+T804*L$16)</f>
        <v>32468.614993222458</v>
      </c>
      <c r="AA804" s="47">
        <f t="shared" ref="AA804:AA817" si="673">(O804+U804*M$16)</f>
        <v>31479.194488216483</v>
      </c>
      <c r="AC804" s="47">
        <f t="shared" si="661"/>
        <v>2603.7381710683608</v>
      </c>
      <c r="AD804" s="47">
        <f t="shared" si="661"/>
        <v>2754.1092579239007</v>
      </c>
      <c r="AE804" s="47">
        <f t="shared" si="661"/>
        <v>2962.5402465635825</v>
      </c>
      <c r="AF804" s="47">
        <f t="shared" si="661"/>
        <v>3033.3094079734929</v>
      </c>
      <c r="AG804" s="47">
        <f t="shared" si="661"/>
        <v>3135.9808648145799</v>
      </c>
      <c r="AI804" s="47">
        <f t="shared" ref="AI804:AI816" si="674">W804+AC804</f>
        <v>24032.503318960971</v>
      </c>
      <c r="AJ804" s="47">
        <f t="shared" ref="AJ804:AJ817" si="675">X804+AD804</f>
        <v>36094.976538454255</v>
      </c>
      <c r="AK804" s="47">
        <f t="shared" ref="AK804:AK817" si="676">Y804+AE804</f>
        <v>36420.575744792019</v>
      </c>
      <c r="AL804" s="47">
        <f t="shared" ref="AL804:AL817" si="677">Z804+AF804</f>
        <v>35501.924401195953</v>
      </c>
      <c r="AM804" s="47">
        <f t="shared" ref="AM804:AM817" si="678">AA804+AG804</f>
        <v>34615.17535303106</v>
      </c>
    </row>
    <row r="805" spans="1:39">
      <c r="B805" s="37" t="str">
        <f>'8. Input IC huur Gasunie'!B261</f>
        <v>Asset 3</v>
      </c>
      <c r="F805" s="37" t="str">
        <f>'8. Input IC huur Gasunie'!F261</f>
        <v>06 Utiliteitsgebouwen</v>
      </c>
      <c r="G805" s="37">
        <f>'8. Input IC huur Gasunie'!G261</f>
        <v>2022</v>
      </c>
      <c r="H805" s="42">
        <f>'8. Input IC huur Gasunie'!H261</f>
        <v>122473.44778654278</v>
      </c>
      <c r="I805" s="37">
        <f>'8. Input IC huur Gasunie'!I261</f>
        <v>30</v>
      </c>
      <c r="K805" s="43">
        <f t="shared" si="663"/>
        <v>2041.224129775713</v>
      </c>
      <c r="L805" s="43">
        <f t="shared" si="658"/>
        <v>4082.448259551426</v>
      </c>
      <c r="M805" s="43">
        <f t="shared" si="658"/>
        <v>4082.448259551426</v>
      </c>
      <c r="N805" s="43">
        <f t="shared" si="658"/>
        <v>4082.448259551426</v>
      </c>
      <c r="O805" s="43">
        <f t="shared" si="658"/>
        <v>4082.448259551426</v>
      </c>
      <c r="Q805" s="47">
        <f t="shared" si="664"/>
        <v>120432.22365676706</v>
      </c>
      <c r="R805" s="47">
        <f t="shared" si="665"/>
        <v>116349.77539721564</v>
      </c>
      <c r="S805" s="47">
        <f t="shared" si="666"/>
        <v>112267.32713766421</v>
      </c>
      <c r="T805" s="47">
        <f t="shared" si="667"/>
        <v>108184.87887811278</v>
      </c>
      <c r="U805" s="47">
        <f t="shared" si="668"/>
        <v>104102.43061856135</v>
      </c>
      <c r="W805" s="47">
        <f t="shared" si="669"/>
        <v>6135.9197341057934</v>
      </c>
      <c r="X805" s="47">
        <f t="shared" si="670"/>
        <v>7921.9908476595419</v>
      </c>
      <c r="Y805" s="47">
        <f t="shared" si="671"/>
        <v>8348.6066907826662</v>
      </c>
      <c r="Z805" s="47">
        <f t="shared" si="672"/>
        <v>8193.4736569197121</v>
      </c>
      <c r="AA805" s="47">
        <f t="shared" si="673"/>
        <v>8038.3406230567571</v>
      </c>
      <c r="AC805" s="47">
        <f t="shared" si="661"/>
        <v>1224.7344778654278</v>
      </c>
      <c r="AD805" s="47">
        <f t="shared" si="661"/>
        <v>1295.4653434311119</v>
      </c>
      <c r="AE805" s="47">
        <f t="shared" si="661"/>
        <v>1393.506160621979</v>
      </c>
      <c r="AF805" s="47">
        <f t="shared" si="661"/>
        <v>1426.7942357869165</v>
      </c>
      <c r="AG805" s="47">
        <f t="shared" si="661"/>
        <v>1475.0883670798323</v>
      </c>
      <c r="AI805" s="47">
        <f t="shared" si="674"/>
        <v>7360.6542119712212</v>
      </c>
      <c r="AJ805" s="47">
        <f t="shared" si="675"/>
        <v>9217.4561910906541</v>
      </c>
      <c r="AK805" s="47">
        <f t="shared" si="676"/>
        <v>9742.112851404645</v>
      </c>
      <c r="AL805" s="47">
        <f t="shared" si="677"/>
        <v>9620.2678927066281</v>
      </c>
      <c r="AM805" s="47">
        <f t="shared" si="678"/>
        <v>9513.4289901365901</v>
      </c>
    </row>
    <row r="806" spans="1:39">
      <c r="A806" s="227"/>
      <c r="B806" s="37" t="str">
        <f>'8. Input IC huur Gasunie'!B262</f>
        <v>Asset 4</v>
      </c>
      <c r="F806" s="37" t="str">
        <f>'8. Input IC huur Gasunie'!F262</f>
        <v>08 Inrichting gebouwen</v>
      </c>
      <c r="G806" s="37">
        <f>'8. Input IC huur Gasunie'!G262</f>
        <v>2022</v>
      </c>
      <c r="H806" s="42">
        <f>'8. Input IC huur Gasunie'!H262</f>
        <v>36759.559841941234</v>
      </c>
      <c r="I806" s="37">
        <f>'8. Input IC huur Gasunie'!I262</f>
        <v>10</v>
      </c>
      <c r="K806" s="43">
        <f t="shared" si="663"/>
        <v>1837.9779920970618</v>
      </c>
      <c r="L806" s="43">
        <f t="shared" si="658"/>
        <v>3675.9559841941236</v>
      </c>
      <c r="M806" s="43">
        <f t="shared" si="658"/>
        <v>3675.9559841941236</v>
      </c>
      <c r="N806" s="43">
        <f t="shared" si="658"/>
        <v>3675.9559841941236</v>
      </c>
      <c r="O806" s="43">
        <f t="shared" si="658"/>
        <v>3675.9559841941236</v>
      </c>
      <c r="Q806" s="47">
        <f t="shared" si="664"/>
        <v>34921.581849844173</v>
      </c>
      <c r="R806" s="47">
        <f t="shared" si="665"/>
        <v>31245.62586565005</v>
      </c>
      <c r="S806" s="47">
        <f t="shared" si="666"/>
        <v>27569.669881455928</v>
      </c>
      <c r="T806" s="47">
        <f t="shared" si="667"/>
        <v>23893.713897261805</v>
      </c>
      <c r="U806" s="47">
        <f t="shared" si="668"/>
        <v>20217.757913067682</v>
      </c>
      <c r="W806" s="47">
        <f t="shared" si="669"/>
        <v>3025.3117749917637</v>
      </c>
      <c r="X806" s="47">
        <f t="shared" si="670"/>
        <v>4707.0616377605756</v>
      </c>
      <c r="Y806" s="47">
        <f t="shared" si="671"/>
        <v>4723.6034396894484</v>
      </c>
      <c r="Z806" s="47">
        <f t="shared" si="672"/>
        <v>4583.9171122900725</v>
      </c>
      <c r="AA806" s="47">
        <f t="shared" si="673"/>
        <v>4444.2307848906958</v>
      </c>
      <c r="AC806" s="47">
        <f t="shared" si="661"/>
        <v>367.59559841941234</v>
      </c>
      <c r="AD806" s="47">
        <f t="shared" si="661"/>
        <v>388.82497941933025</v>
      </c>
      <c r="AE806" s="47">
        <f t="shared" si="661"/>
        <v>418.25125386178524</v>
      </c>
      <c r="AF806" s="47">
        <f t="shared" si="661"/>
        <v>428.24243981403549</v>
      </c>
      <c r="AG806" s="47">
        <f t="shared" si="661"/>
        <v>442.73758991686105</v>
      </c>
      <c r="AI806" s="47">
        <f t="shared" si="674"/>
        <v>3392.9073734111762</v>
      </c>
      <c r="AJ806" s="47">
        <f t="shared" si="675"/>
        <v>5095.8866171799054</v>
      </c>
      <c r="AK806" s="47">
        <f t="shared" si="676"/>
        <v>5141.8546935512331</v>
      </c>
      <c r="AL806" s="47">
        <f t="shared" si="677"/>
        <v>5012.1595521041081</v>
      </c>
      <c r="AM806" s="47">
        <f t="shared" si="678"/>
        <v>4886.9683748075568</v>
      </c>
    </row>
    <row r="807" spans="1:39">
      <c r="A807" s="227"/>
      <c r="B807" s="37" t="str">
        <f>'8. Input IC huur Gasunie'!B263</f>
        <v>Asset 5</v>
      </c>
      <c r="F807" s="37" t="str">
        <f>'8. Input IC huur Gasunie'!F263</f>
        <v>10 Gereedschap</v>
      </c>
      <c r="G807" s="37">
        <f>'8. Input IC huur Gasunie'!G263</f>
        <v>2022</v>
      </c>
      <c r="H807" s="42">
        <f>'8. Input IC huur Gasunie'!H263</f>
        <v>21601.372149086525</v>
      </c>
      <c r="I807" s="37">
        <f>'8. Input IC huur Gasunie'!I263</f>
        <v>10</v>
      </c>
      <c r="K807" s="43">
        <f t="shared" si="663"/>
        <v>1080.0686074543262</v>
      </c>
      <c r="L807" s="43">
        <f t="shared" si="658"/>
        <v>2160.1372149086524</v>
      </c>
      <c r="M807" s="43">
        <f t="shared" si="658"/>
        <v>2160.1372149086524</v>
      </c>
      <c r="N807" s="43">
        <f t="shared" si="658"/>
        <v>2160.1372149086524</v>
      </c>
      <c r="O807" s="43">
        <f t="shared" si="658"/>
        <v>2160.1372149086524</v>
      </c>
      <c r="Q807" s="47">
        <f t="shared" si="664"/>
        <v>20521.303541632198</v>
      </c>
      <c r="R807" s="47">
        <f t="shared" si="665"/>
        <v>18361.166326723545</v>
      </c>
      <c r="S807" s="47">
        <f t="shared" si="666"/>
        <v>16201.029111814893</v>
      </c>
      <c r="T807" s="47">
        <f t="shared" si="667"/>
        <v>14040.89189690624</v>
      </c>
      <c r="U807" s="47">
        <f t="shared" si="668"/>
        <v>11880.754681997587</v>
      </c>
      <c r="W807" s="47">
        <f t="shared" si="669"/>
        <v>1777.7929278698211</v>
      </c>
      <c r="X807" s="47">
        <f t="shared" si="670"/>
        <v>2766.0557036905293</v>
      </c>
      <c r="Y807" s="47">
        <f t="shared" si="671"/>
        <v>2775.7763211576184</v>
      </c>
      <c r="Z807" s="47">
        <f t="shared" si="672"/>
        <v>2693.6911069910893</v>
      </c>
      <c r="AA807" s="47">
        <f t="shared" si="673"/>
        <v>2611.6058928245607</v>
      </c>
      <c r="AC807" s="47">
        <f t="shared" si="661"/>
        <v>216.01372149086524</v>
      </c>
      <c r="AD807" s="47">
        <f t="shared" si="661"/>
        <v>228.48894593440571</v>
      </c>
      <c r="AE807" s="47">
        <f t="shared" si="661"/>
        <v>245.78098936272156</v>
      </c>
      <c r="AF807" s="47">
        <f t="shared" si="661"/>
        <v>251.65220563661825</v>
      </c>
      <c r="AG807" s="47">
        <f t="shared" si="661"/>
        <v>260.17012949300653</v>
      </c>
      <c r="AI807" s="47">
        <f t="shared" si="674"/>
        <v>1993.8066493606864</v>
      </c>
      <c r="AJ807" s="47">
        <f t="shared" si="675"/>
        <v>2994.5446496249351</v>
      </c>
      <c r="AK807" s="47">
        <f t="shared" si="676"/>
        <v>3021.5573105203398</v>
      </c>
      <c r="AL807" s="47">
        <f t="shared" si="677"/>
        <v>2945.3433126277077</v>
      </c>
      <c r="AM807" s="47">
        <f t="shared" si="678"/>
        <v>2871.7760223175674</v>
      </c>
    </row>
    <row r="808" spans="1:39">
      <c r="A808" s="227"/>
      <c r="B808" s="37" t="str">
        <f>'8. Input IC huur Gasunie'!B264</f>
        <v>Asset 6</v>
      </c>
      <c r="F808" s="37" t="str">
        <f>'8. Input IC huur Gasunie'!F264</f>
        <v>11 Werktuigen</v>
      </c>
      <c r="G808" s="37">
        <f>'8. Input IC huur Gasunie'!G264</f>
        <v>2022</v>
      </c>
      <c r="H808" s="42">
        <f>'8. Input IC huur Gasunie'!H264</f>
        <v>27449.908957678137</v>
      </c>
      <c r="I808" s="37">
        <f>'8. Input IC huur Gasunie'!I264</f>
        <v>10</v>
      </c>
      <c r="K808" s="43">
        <f t="shared" si="663"/>
        <v>1372.495447883907</v>
      </c>
      <c r="L808" s="43">
        <f t="shared" si="658"/>
        <v>2744.990895767814</v>
      </c>
      <c r="M808" s="43">
        <f t="shared" si="658"/>
        <v>2744.990895767814</v>
      </c>
      <c r="N808" s="43">
        <f t="shared" si="658"/>
        <v>2744.990895767814</v>
      </c>
      <c r="O808" s="43">
        <f t="shared" si="658"/>
        <v>2744.990895767814</v>
      </c>
      <c r="Q808" s="47">
        <f t="shared" si="664"/>
        <v>26077.413509794231</v>
      </c>
      <c r="R808" s="47">
        <f t="shared" si="665"/>
        <v>23332.422614026418</v>
      </c>
      <c r="S808" s="47">
        <f t="shared" si="666"/>
        <v>20587.431718258606</v>
      </c>
      <c r="T808" s="47">
        <f t="shared" si="667"/>
        <v>17842.440822490793</v>
      </c>
      <c r="U808" s="47">
        <f t="shared" si="668"/>
        <v>15097.449926722978</v>
      </c>
      <c r="W808" s="47">
        <f t="shared" si="669"/>
        <v>2259.127507216911</v>
      </c>
      <c r="X808" s="47">
        <f t="shared" si="670"/>
        <v>3514.9608420306859</v>
      </c>
      <c r="Y808" s="47">
        <f t="shared" si="671"/>
        <v>3527.3133010616411</v>
      </c>
      <c r="Z808" s="47">
        <f t="shared" si="672"/>
        <v>3423.0036470224641</v>
      </c>
      <c r="AA808" s="47">
        <f t="shared" si="673"/>
        <v>3318.693992983287</v>
      </c>
      <c r="AC808" s="47">
        <f t="shared" si="661"/>
        <v>274.49908957678139</v>
      </c>
      <c r="AD808" s="47">
        <f t="shared" si="661"/>
        <v>290.35196099801971</v>
      </c>
      <c r="AE808" s="47">
        <f t="shared" si="661"/>
        <v>312.32579740634986</v>
      </c>
      <c r="AF808" s="47">
        <f t="shared" si="661"/>
        <v>319.78663605479272</v>
      </c>
      <c r="AG808" s="47">
        <f t="shared" si="661"/>
        <v>330.61077411197539</v>
      </c>
      <c r="AI808" s="47">
        <f t="shared" si="674"/>
        <v>2533.6265967936924</v>
      </c>
      <c r="AJ808" s="47">
        <f t="shared" si="675"/>
        <v>3805.3128030287057</v>
      </c>
      <c r="AK808" s="47">
        <f t="shared" si="676"/>
        <v>3839.6390984679911</v>
      </c>
      <c r="AL808" s="47">
        <f t="shared" si="677"/>
        <v>3742.7902830772568</v>
      </c>
      <c r="AM808" s="47">
        <f t="shared" si="678"/>
        <v>3649.3047670952624</v>
      </c>
    </row>
    <row r="809" spans="1:39">
      <c r="A809" s="227"/>
      <c r="B809" s="37" t="str">
        <f>'8. Input IC huur Gasunie'!B265</f>
        <v>Asset 7</v>
      </c>
      <c r="F809" s="37" t="str">
        <f>'8. Input IC huur Gasunie'!F265</f>
        <v>13 Aanhangwagens</v>
      </c>
      <c r="G809" s="37">
        <f>'8. Input IC huur Gasunie'!G265</f>
        <v>2022</v>
      </c>
      <c r="H809" s="42">
        <f>'8. Input IC huur Gasunie'!H265</f>
        <v>5479.9654928677874</v>
      </c>
      <c r="I809" s="37">
        <f>'8. Input IC huur Gasunie'!I265</f>
        <v>10</v>
      </c>
      <c r="K809" s="43">
        <f t="shared" si="663"/>
        <v>273.99827464338938</v>
      </c>
      <c r="L809" s="43">
        <f t="shared" si="658"/>
        <v>547.99654928677865</v>
      </c>
      <c r="M809" s="43">
        <f t="shared" si="658"/>
        <v>547.99654928677865</v>
      </c>
      <c r="N809" s="43">
        <f t="shared" si="658"/>
        <v>547.99654928677865</v>
      </c>
      <c r="O809" s="43">
        <f t="shared" si="658"/>
        <v>547.99654928677865</v>
      </c>
      <c r="Q809" s="47">
        <f t="shared" si="664"/>
        <v>5205.9672182243976</v>
      </c>
      <c r="R809" s="47">
        <f t="shared" si="665"/>
        <v>4657.9706689376189</v>
      </c>
      <c r="S809" s="47">
        <f t="shared" si="666"/>
        <v>4109.9741196508403</v>
      </c>
      <c r="T809" s="47">
        <f t="shared" si="667"/>
        <v>3561.9775703640616</v>
      </c>
      <c r="U809" s="47">
        <f t="shared" si="668"/>
        <v>3013.981021077283</v>
      </c>
      <c r="W809" s="47">
        <f t="shared" si="669"/>
        <v>451.00116006301892</v>
      </c>
      <c r="X809" s="47">
        <f t="shared" si="670"/>
        <v>701.7095813617201</v>
      </c>
      <c r="Y809" s="47">
        <f t="shared" si="671"/>
        <v>704.17556583351052</v>
      </c>
      <c r="Z809" s="47">
        <f t="shared" si="672"/>
        <v>683.35169696061303</v>
      </c>
      <c r="AA809" s="47">
        <f t="shared" si="673"/>
        <v>662.52782808771542</v>
      </c>
      <c r="AC809" s="47">
        <f t="shared" si="661"/>
        <v>54.799654928677874</v>
      </c>
      <c r="AD809" s="47">
        <f t="shared" si="661"/>
        <v>57.964444600118881</v>
      </c>
      <c r="AE809" s="47">
        <f t="shared" si="661"/>
        <v>62.351193767455889</v>
      </c>
      <c r="AF809" s="47">
        <f t="shared" si="661"/>
        <v>63.840639084172864</v>
      </c>
      <c r="AG809" s="47">
        <f t="shared" si="661"/>
        <v>66.001517035893954</v>
      </c>
      <c r="AI809" s="47">
        <f t="shared" si="674"/>
        <v>505.80081499169677</v>
      </c>
      <c r="AJ809" s="47">
        <f t="shared" si="675"/>
        <v>759.67402596183899</v>
      </c>
      <c r="AK809" s="47">
        <f t="shared" si="676"/>
        <v>766.52675960096644</v>
      </c>
      <c r="AL809" s="47">
        <f t="shared" si="677"/>
        <v>747.19233604478586</v>
      </c>
      <c r="AM809" s="47">
        <f t="shared" si="678"/>
        <v>728.52934512360935</v>
      </c>
    </row>
    <row r="810" spans="1:39">
      <c r="A810" s="227"/>
      <c r="B810" s="37" t="str">
        <f>'8. Input IC huur Gasunie'!B266</f>
        <v>Asset 8</v>
      </c>
      <c r="F810" s="37" t="str">
        <f>'8. Input IC huur Gasunie'!F266</f>
        <v>20 Kantoorgebouwen</v>
      </c>
      <c r="G810" s="37">
        <f>'8. Input IC huur Gasunie'!G266</f>
        <v>2022</v>
      </c>
      <c r="H810" s="42">
        <f>'8. Input IC huur Gasunie'!H266</f>
        <v>1725081.9671582393</v>
      </c>
      <c r="I810" s="37">
        <f>'8. Input IC huur Gasunie'!I266</f>
        <v>30</v>
      </c>
      <c r="K810" s="43">
        <f t="shared" si="663"/>
        <v>28751.366119303988</v>
      </c>
      <c r="L810" s="43">
        <f t="shared" si="658"/>
        <v>57502.732238607976</v>
      </c>
      <c r="M810" s="43">
        <f t="shared" si="658"/>
        <v>57502.732238607976</v>
      </c>
      <c r="N810" s="43">
        <f t="shared" si="658"/>
        <v>57502.732238607976</v>
      </c>
      <c r="O810" s="43">
        <f t="shared" si="658"/>
        <v>57502.732238607976</v>
      </c>
      <c r="Q810" s="47">
        <f t="shared" si="664"/>
        <v>1696330.6010389354</v>
      </c>
      <c r="R810" s="47">
        <f t="shared" si="665"/>
        <v>1638827.8688003274</v>
      </c>
      <c r="S810" s="47">
        <f t="shared" si="666"/>
        <v>1581325.1365617195</v>
      </c>
      <c r="T810" s="47">
        <f t="shared" si="667"/>
        <v>1523822.4043231115</v>
      </c>
      <c r="U810" s="47">
        <f t="shared" si="668"/>
        <v>1466319.6720845036</v>
      </c>
      <c r="W810" s="47">
        <f t="shared" si="669"/>
        <v>86426.606554627797</v>
      </c>
      <c r="X810" s="47">
        <f t="shared" si="670"/>
        <v>111584.05190901877</v>
      </c>
      <c r="Y810" s="47">
        <f t="shared" si="671"/>
        <v>117593.08742795332</v>
      </c>
      <c r="Z810" s="47">
        <f t="shared" si="672"/>
        <v>115407.9836028862</v>
      </c>
      <c r="AA810" s="47">
        <f t="shared" si="673"/>
        <v>113222.87977781911</v>
      </c>
      <c r="AC810" s="47">
        <f t="shared" si="661"/>
        <v>17250.819671582394</v>
      </c>
      <c r="AD810" s="47">
        <f t="shared" si="661"/>
        <v>18247.089009255622</v>
      </c>
      <c r="AE810" s="47">
        <f t="shared" si="661"/>
        <v>19628.028705476088</v>
      </c>
      <c r="AF810" s="47">
        <f t="shared" si="661"/>
        <v>20096.903055192499</v>
      </c>
      <c r="AG810" s="47">
        <f t="shared" si="661"/>
        <v>20777.143029804658</v>
      </c>
      <c r="AI810" s="47">
        <f t="shared" si="674"/>
        <v>103677.4262262102</v>
      </c>
      <c r="AJ810" s="47">
        <f t="shared" si="675"/>
        <v>129831.1409182744</v>
      </c>
      <c r="AK810" s="47">
        <f t="shared" si="676"/>
        <v>137221.1161334294</v>
      </c>
      <c r="AL810" s="47">
        <f t="shared" si="677"/>
        <v>135504.8866580787</v>
      </c>
      <c r="AM810" s="47">
        <f t="shared" si="678"/>
        <v>134000.02280762375</v>
      </c>
    </row>
    <row r="811" spans="1:39">
      <c r="A811" s="227"/>
      <c r="B811" s="37" t="str">
        <f>'8. Input IC huur Gasunie'!B267</f>
        <v>Asset 9</v>
      </c>
      <c r="F811" s="37" t="str">
        <f>'8. Input IC huur Gasunie'!F267</f>
        <v>37 ICT middelen 1</v>
      </c>
      <c r="G811" s="37">
        <f>'8. Input IC huur Gasunie'!G267</f>
        <v>2022</v>
      </c>
      <c r="H811" s="42">
        <f>'8. Input IC huur Gasunie'!H267</f>
        <v>4476157.998399551</v>
      </c>
      <c r="I811" s="37">
        <f>'8. Input IC huur Gasunie'!I267</f>
        <v>5</v>
      </c>
      <c r="K811" s="43">
        <f t="shared" si="663"/>
        <v>447615.79983995511</v>
      </c>
      <c r="L811" s="43">
        <f t="shared" si="658"/>
        <v>895231.59967991011</v>
      </c>
      <c r="M811" s="43">
        <f t="shared" si="658"/>
        <v>895231.59967991011</v>
      </c>
      <c r="N811" s="43">
        <f t="shared" si="658"/>
        <v>895231.59967991011</v>
      </c>
      <c r="O811" s="43">
        <f t="shared" si="658"/>
        <v>895231.59967991011</v>
      </c>
      <c r="Q811" s="47">
        <f t="shared" si="664"/>
        <v>4028542.1985595957</v>
      </c>
      <c r="R811" s="47">
        <f t="shared" si="665"/>
        <v>3133310.5988796856</v>
      </c>
      <c r="S811" s="47">
        <f t="shared" si="666"/>
        <v>2238078.9991997755</v>
      </c>
      <c r="T811" s="47">
        <f t="shared" si="667"/>
        <v>1342847.3995198654</v>
      </c>
      <c r="U811" s="47">
        <f t="shared" si="668"/>
        <v>447615.79983995529</v>
      </c>
      <c r="W811" s="47">
        <f t="shared" si="669"/>
        <v>584586.23459098139</v>
      </c>
      <c r="X811" s="47">
        <f t="shared" si="670"/>
        <v>998630.84944293974</v>
      </c>
      <c r="Y811" s="47">
        <f t="shared" si="671"/>
        <v>980278.60164950159</v>
      </c>
      <c r="Z811" s="47">
        <f t="shared" si="672"/>
        <v>946259.80086166505</v>
      </c>
      <c r="AA811" s="47">
        <f t="shared" si="673"/>
        <v>912241.00007382839</v>
      </c>
      <c r="AC811" s="47">
        <f t="shared" si="661"/>
        <v>44761.579983995514</v>
      </c>
      <c r="AD811" s="47">
        <f t="shared" si="661"/>
        <v>47346.650751231224</v>
      </c>
      <c r="AE811" s="47">
        <f t="shared" si="661"/>
        <v>50929.845280084417</v>
      </c>
      <c r="AF811" s="47">
        <f t="shared" si="661"/>
        <v>52146.457424135064</v>
      </c>
      <c r="AG811" s="47">
        <f t="shared" si="661"/>
        <v>53911.51071502718</v>
      </c>
      <c r="AI811" s="47">
        <f t="shared" si="674"/>
        <v>629347.81457497692</v>
      </c>
      <c r="AJ811" s="47">
        <f t="shared" si="675"/>
        <v>1045977.500194171</v>
      </c>
      <c r="AK811" s="47">
        <f t="shared" si="676"/>
        <v>1031208.446929586</v>
      </c>
      <c r="AL811" s="47">
        <f t="shared" si="677"/>
        <v>998406.25828580011</v>
      </c>
      <c r="AM811" s="47">
        <f t="shared" si="678"/>
        <v>966152.51078885561</v>
      </c>
    </row>
    <row r="812" spans="1:39">
      <c r="A812" s="227"/>
      <c r="B812" s="37" t="str">
        <f>'8. Input IC huur Gasunie'!B268</f>
        <v>Asset 10</v>
      </c>
      <c r="F812" s="37" t="str">
        <f>'8. Input IC huur Gasunie'!F268</f>
        <v>38 ICT middelen 2</v>
      </c>
      <c r="G812" s="37">
        <f>'8. Input IC huur Gasunie'!G268</f>
        <v>2022</v>
      </c>
      <c r="H812" s="42">
        <f>'8. Input IC huur Gasunie'!H268</f>
        <v>7088672.5580014829</v>
      </c>
      <c r="I812" s="37">
        <f>'8. Input IC huur Gasunie'!I268</f>
        <v>10</v>
      </c>
      <c r="K812" s="43">
        <f t="shared" si="663"/>
        <v>354433.62790007418</v>
      </c>
      <c r="L812" s="43">
        <f t="shared" si="658"/>
        <v>708867.25580014824</v>
      </c>
      <c r="M812" s="43">
        <f t="shared" si="658"/>
        <v>708867.25580014824</v>
      </c>
      <c r="N812" s="43">
        <f t="shared" si="658"/>
        <v>708867.25580014824</v>
      </c>
      <c r="O812" s="43">
        <f t="shared" si="658"/>
        <v>708867.25580014824</v>
      </c>
      <c r="Q812" s="47">
        <f t="shared" si="664"/>
        <v>6734238.9301014086</v>
      </c>
      <c r="R812" s="47">
        <f t="shared" si="665"/>
        <v>6025371.6743012602</v>
      </c>
      <c r="S812" s="47">
        <f t="shared" si="666"/>
        <v>5316504.4185011117</v>
      </c>
      <c r="T812" s="47">
        <f t="shared" si="667"/>
        <v>4607637.1627009632</v>
      </c>
      <c r="U812" s="47">
        <f t="shared" si="668"/>
        <v>3898769.9069008147</v>
      </c>
      <c r="W812" s="47">
        <f t="shared" si="669"/>
        <v>583397.75152352208</v>
      </c>
      <c r="X812" s="47">
        <f t="shared" si="670"/>
        <v>907704.52105208987</v>
      </c>
      <c r="Y812" s="47">
        <f t="shared" si="671"/>
        <v>910894.42370319052</v>
      </c>
      <c r="Z812" s="47">
        <f t="shared" si="672"/>
        <v>883957.46798278484</v>
      </c>
      <c r="AA812" s="47">
        <f t="shared" si="673"/>
        <v>857020.51226237917</v>
      </c>
      <c r="AC812" s="47">
        <f t="shared" si="661"/>
        <v>70886.725580014827</v>
      </c>
      <c r="AD812" s="47">
        <f t="shared" si="661"/>
        <v>74980.575755711849</v>
      </c>
      <c r="AE812" s="47">
        <f t="shared" si="661"/>
        <v>80655.105728904135</v>
      </c>
      <c r="AF812" s="47">
        <f t="shared" si="661"/>
        <v>82581.794894556195</v>
      </c>
      <c r="AG812" s="47">
        <f t="shared" si="661"/>
        <v>85377.023488147126</v>
      </c>
      <c r="AI812" s="47">
        <f t="shared" si="674"/>
        <v>654284.47710353695</v>
      </c>
      <c r="AJ812" s="47">
        <f t="shared" si="675"/>
        <v>982685.09680780175</v>
      </c>
      <c r="AK812" s="47">
        <f t="shared" si="676"/>
        <v>991549.52943209466</v>
      </c>
      <c r="AL812" s="47">
        <f t="shared" si="677"/>
        <v>966539.26287734101</v>
      </c>
      <c r="AM812" s="47">
        <f t="shared" si="678"/>
        <v>942397.53575052624</v>
      </c>
    </row>
    <row r="813" spans="1:39">
      <c r="A813" s="227"/>
      <c r="B813" s="37" t="str">
        <f>'8. Input IC huur Gasunie'!B269</f>
        <v>Asset 11</v>
      </c>
      <c r="F813" s="37" t="str">
        <f>'8. Input IC huur Gasunie'!F269</f>
        <v>05 Wegen en terreinvoorzieningen</v>
      </c>
      <c r="G813" s="37">
        <f>'8. Input IC huur Gasunie'!G269</f>
        <v>2023</v>
      </c>
      <c r="H813" s="42">
        <f>'8. Input IC huur Gasunie'!H269</f>
        <v>11177.445801540334</v>
      </c>
      <c r="I813" s="37">
        <f>'8. Input IC huur Gasunie'!I269</f>
        <v>10</v>
      </c>
      <c r="K813" s="43">
        <f t="shared" si="663"/>
        <v>0</v>
      </c>
      <c r="L813" s="43">
        <f t="shared" si="658"/>
        <v>558.87229007701671</v>
      </c>
      <c r="M813" s="43">
        <f t="shared" si="658"/>
        <v>1117.7445801540334</v>
      </c>
      <c r="N813" s="43">
        <f t="shared" si="658"/>
        <v>1117.7445801540334</v>
      </c>
      <c r="O813" s="43">
        <f t="shared" si="658"/>
        <v>1117.7445801540334</v>
      </c>
      <c r="Q813" s="47">
        <f t="shared" si="664"/>
        <v>0</v>
      </c>
      <c r="R813" s="47">
        <f t="shared" si="665"/>
        <v>10618.573511463317</v>
      </c>
      <c r="S813" s="47">
        <f t="shared" si="666"/>
        <v>9500.8289313092828</v>
      </c>
      <c r="T813" s="47">
        <f t="shared" si="667"/>
        <v>8383.0843511552484</v>
      </c>
      <c r="U813" s="47">
        <f t="shared" si="668"/>
        <v>7265.339771001215</v>
      </c>
      <c r="W813" s="47">
        <f t="shared" si="669"/>
        <v>0</v>
      </c>
      <c r="X813" s="47">
        <f t="shared" si="670"/>
        <v>909.28521595530617</v>
      </c>
      <c r="Y813" s="47">
        <f t="shared" si="671"/>
        <v>1478.7760795437862</v>
      </c>
      <c r="Z813" s="47">
        <f t="shared" si="672"/>
        <v>1436.301785497933</v>
      </c>
      <c r="AA813" s="47">
        <f t="shared" si="673"/>
        <v>1393.8274914520796</v>
      </c>
      <c r="AC813" s="47">
        <f t="shared" ref="AC813:AG822" si="679">IF(AC$801&gt;=$G813,$H813*INDEX($G$40:$M$46,$G813-2019,AC$801-2019)*INDEX($G$49:$M$55,$G813-2019,AC$801-2019)*$F$28,0)</f>
        <v>0</v>
      </c>
      <c r="AD813" s="47">
        <f t="shared" si="679"/>
        <v>111.77445801540334</v>
      </c>
      <c r="AE813" s="47">
        <f t="shared" si="679"/>
        <v>120.23354899800908</v>
      </c>
      <c r="AF813" s="47">
        <f t="shared" si="679"/>
        <v>123.10568801647352</v>
      </c>
      <c r="AG813" s="47">
        <f t="shared" si="679"/>
        <v>127.27256934445512</v>
      </c>
      <c r="AI813" s="47">
        <f t="shared" si="674"/>
        <v>0</v>
      </c>
      <c r="AJ813" s="47">
        <f t="shared" si="675"/>
        <v>1021.0596739707095</v>
      </c>
      <c r="AK813" s="47">
        <f t="shared" si="676"/>
        <v>1599.0096285417953</v>
      </c>
      <c r="AL813" s="47">
        <f t="shared" si="677"/>
        <v>1559.4074735144065</v>
      </c>
      <c r="AM813" s="47">
        <f t="shared" si="678"/>
        <v>1521.1000607965348</v>
      </c>
    </row>
    <row r="814" spans="1:39">
      <c r="A814" s="227"/>
      <c r="B814" s="37" t="str">
        <f>'8. Input IC huur Gasunie'!B270</f>
        <v>Asset 12</v>
      </c>
      <c r="F814" s="37" t="str">
        <f>'8. Input IC huur Gasunie'!F270</f>
        <v>06 Utiliteitsgebouwen</v>
      </c>
      <c r="G814" s="37">
        <f>'8. Input IC huur Gasunie'!G270</f>
        <v>2023</v>
      </c>
      <c r="H814" s="42">
        <f>'8. Input IC huur Gasunie'!H270</f>
        <v>-4073.7374626236651</v>
      </c>
      <c r="I814" s="37">
        <f>'8. Input IC huur Gasunie'!I270</f>
        <v>30</v>
      </c>
      <c r="K814" s="43">
        <f t="shared" si="663"/>
        <v>0</v>
      </c>
      <c r="L814" s="43">
        <f t="shared" si="658"/>
        <v>67.895624377061083</v>
      </c>
      <c r="M814" s="43">
        <f t="shared" si="658"/>
        <v>135.79124875412217</v>
      </c>
      <c r="N814" s="43">
        <f t="shared" si="658"/>
        <v>135.79124875412217</v>
      </c>
      <c r="O814" s="43">
        <f t="shared" si="658"/>
        <v>135.79124875412217</v>
      </c>
      <c r="Q814" s="47">
        <f t="shared" si="664"/>
        <v>0</v>
      </c>
      <c r="R814" s="47">
        <f t="shared" si="665"/>
        <v>-4141.6330870007259</v>
      </c>
      <c r="S814" s="47">
        <f t="shared" si="666"/>
        <v>-4277.4243357548485</v>
      </c>
      <c r="T814" s="47">
        <f t="shared" si="667"/>
        <v>-4413.215584508971</v>
      </c>
      <c r="U814" s="47">
        <f t="shared" si="668"/>
        <v>-4549.0068332630935</v>
      </c>
      <c r="W814" s="47">
        <f t="shared" si="669"/>
        <v>0</v>
      </c>
      <c r="X814" s="47">
        <f t="shared" si="670"/>
        <v>-68.778267493962872</v>
      </c>
      <c r="Y814" s="47">
        <f t="shared" si="671"/>
        <v>-26.750876004562059</v>
      </c>
      <c r="Z814" s="47">
        <f t="shared" si="672"/>
        <v>-31.910943457218735</v>
      </c>
      <c r="AA814" s="47">
        <f t="shared" si="673"/>
        <v>-37.071010909875383</v>
      </c>
      <c r="AC814" s="47">
        <f t="shared" si="679"/>
        <v>0</v>
      </c>
      <c r="AD814" s="47">
        <f t="shared" si="679"/>
        <v>-40.737374626236651</v>
      </c>
      <c r="AE814" s="47">
        <f t="shared" si="679"/>
        <v>-43.820379137950248</v>
      </c>
      <c r="AF814" s="47">
        <f t="shared" si="679"/>
        <v>-44.867160354797598</v>
      </c>
      <c r="AG814" s="47">
        <f t="shared" si="679"/>
        <v>-46.385823998486785</v>
      </c>
      <c r="AI814" s="47">
        <f t="shared" si="674"/>
        <v>0</v>
      </c>
      <c r="AJ814" s="47">
        <f t="shared" si="675"/>
        <v>-109.51564212019952</v>
      </c>
      <c r="AK814" s="47">
        <f t="shared" si="676"/>
        <v>-70.571255142512314</v>
      </c>
      <c r="AL814" s="47">
        <f t="shared" si="677"/>
        <v>-76.778103812016326</v>
      </c>
      <c r="AM814" s="47">
        <f t="shared" si="678"/>
        <v>-83.456834908362168</v>
      </c>
    </row>
    <row r="815" spans="1:39">
      <c r="A815" s="227"/>
      <c r="B815" s="37" t="str">
        <f>'8. Input IC huur Gasunie'!B271</f>
        <v>Asset 13</v>
      </c>
      <c r="F815" s="37" t="str">
        <f>'8. Input IC huur Gasunie'!F271</f>
        <v>08 Inrichting gebouwen</v>
      </c>
      <c r="G815" s="37">
        <f>'8. Input IC huur Gasunie'!G271</f>
        <v>2023</v>
      </c>
      <c r="H815" s="42">
        <f>'8. Input IC huur Gasunie'!H271</f>
        <v>17573.135050625202</v>
      </c>
      <c r="I815" s="37">
        <f>'8. Input IC huur Gasunie'!I271</f>
        <v>10</v>
      </c>
      <c r="K815" s="43">
        <f t="shared" si="663"/>
        <v>0</v>
      </c>
      <c r="L815" s="43">
        <f t="shared" si="658"/>
        <v>878.65675253126017</v>
      </c>
      <c r="M815" s="43">
        <f t="shared" si="658"/>
        <v>1757.3135050625201</v>
      </c>
      <c r="N815" s="43">
        <f t="shared" si="658"/>
        <v>1757.3135050625201</v>
      </c>
      <c r="O815" s="43">
        <f t="shared" si="658"/>
        <v>1757.3135050625201</v>
      </c>
      <c r="Q815" s="47">
        <f t="shared" si="664"/>
        <v>0</v>
      </c>
      <c r="R815" s="47">
        <f t="shared" si="665"/>
        <v>16694.478298093942</v>
      </c>
      <c r="S815" s="47">
        <f t="shared" si="666"/>
        <v>14937.164793031421</v>
      </c>
      <c r="T815" s="47">
        <f t="shared" si="667"/>
        <v>13179.851287968901</v>
      </c>
      <c r="U815" s="47">
        <f t="shared" si="668"/>
        <v>11422.53778290638</v>
      </c>
      <c r="W815" s="47">
        <f t="shared" si="669"/>
        <v>0</v>
      </c>
      <c r="X815" s="47">
        <f t="shared" si="670"/>
        <v>1429.5745363683602</v>
      </c>
      <c r="Y815" s="47">
        <f t="shared" si="671"/>
        <v>2324.9257671977139</v>
      </c>
      <c r="Z815" s="47">
        <f t="shared" si="672"/>
        <v>2258.1478540053386</v>
      </c>
      <c r="AA815" s="47">
        <f t="shared" si="673"/>
        <v>2191.3699408129623</v>
      </c>
      <c r="AC815" s="47">
        <f t="shared" si="679"/>
        <v>0</v>
      </c>
      <c r="AD815" s="47">
        <f t="shared" si="679"/>
        <v>175.73135050625203</v>
      </c>
      <c r="AE815" s="47">
        <f t="shared" si="679"/>
        <v>189.03069911256517</v>
      </c>
      <c r="AF815" s="47">
        <f t="shared" si="679"/>
        <v>193.54626445296617</v>
      </c>
      <c r="AG815" s="47">
        <f t="shared" si="679"/>
        <v>200.09741841217016</v>
      </c>
      <c r="AI815" s="47">
        <f t="shared" si="674"/>
        <v>0</v>
      </c>
      <c r="AJ815" s="47">
        <f t="shared" si="675"/>
        <v>1605.3058868746123</v>
      </c>
      <c r="AK815" s="47">
        <f t="shared" si="676"/>
        <v>2513.9564663102792</v>
      </c>
      <c r="AL815" s="47">
        <f t="shared" si="677"/>
        <v>2451.6941184583047</v>
      </c>
      <c r="AM815" s="47">
        <f t="shared" si="678"/>
        <v>2391.4673592251324</v>
      </c>
    </row>
    <row r="816" spans="1:39">
      <c r="A816" s="227"/>
      <c r="B816" s="37" t="str">
        <f>'8. Input IC huur Gasunie'!B272</f>
        <v>Asset 14</v>
      </c>
      <c r="F816" s="37" t="str">
        <f>'8. Input IC huur Gasunie'!F272</f>
        <v>10 Gereedschap</v>
      </c>
      <c r="G816" s="37">
        <f>'8. Input IC huur Gasunie'!G272</f>
        <v>2023</v>
      </c>
      <c r="H816" s="42">
        <f>'8. Input IC huur Gasunie'!H272</f>
        <v>67874.603678325308</v>
      </c>
      <c r="I816" s="37">
        <f>'8. Input IC huur Gasunie'!I272</f>
        <v>10</v>
      </c>
      <c r="K816" s="43">
        <f t="shared" si="663"/>
        <v>0</v>
      </c>
      <c r="L816" s="43">
        <f t="shared" si="658"/>
        <v>3393.7301839162656</v>
      </c>
      <c r="M816" s="43">
        <f t="shared" si="658"/>
        <v>6787.4603678325302</v>
      </c>
      <c r="N816" s="43">
        <f t="shared" si="658"/>
        <v>6787.4603678325302</v>
      </c>
      <c r="O816" s="43">
        <f t="shared" si="658"/>
        <v>6787.4603678325302</v>
      </c>
      <c r="Q816" s="47">
        <f t="shared" si="664"/>
        <v>0</v>
      </c>
      <c r="R816" s="47">
        <f t="shared" si="665"/>
        <v>64480.873494409039</v>
      </c>
      <c r="S816" s="47">
        <f t="shared" si="666"/>
        <v>57693.41312657651</v>
      </c>
      <c r="T816" s="47">
        <f t="shared" si="667"/>
        <v>50905.952758743981</v>
      </c>
      <c r="U816" s="47">
        <f t="shared" si="668"/>
        <v>44118.492390911451</v>
      </c>
      <c r="W816" s="47">
        <f t="shared" si="669"/>
        <v>0</v>
      </c>
      <c r="X816" s="47">
        <f t="shared" si="670"/>
        <v>5521.5990092317643</v>
      </c>
      <c r="Y816" s="47">
        <f t="shared" si="671"/>
        <v>8979.810066642438</v>
      </c>
      <c r="Z816" s="47">
        <f t="shared" si="672"/>
        <v>8721.8865726648019</v>
      </c>
      <c r="AA816" s="47">
        <f t="shared" si="673"/>
        <v>8463.9630786871658</v>
      </c>
      <c r="AC816" s="47">
        <f t="shared" si="679"/>
        <v>0</v>
      </c>
      <c r="AD816" s="47">
        <f t="shared" si="679"/>
        <v>678.74603678325309</v>
      </c>
      <c r="AE816" s="47">
        <f t="shared" si="679"/>
        <v>730.11353684700964</v>
      </c>
      <c r="AF816" s="47">
        <f t="shared" si="679"/>
        <v>747.55448901521117</v>
      </c>
      <c r="AG816" s="47">
        <f t="shared" si="679"/>
        <v>772.85771335939796</v>
      </c>
      <c r="AI816" s="47">
        <f t="shared" si="674"/>
        <v>0</v>
      </c>
      <c r="AJ816" s="47">
        <f t="shared" si="675"/>
        <v>6200.345046015017</v>
      </c>
      <c r="AK816" s="47">
        <f t="shared" si="676"/>
        <v>9709.9236034894475</v>
      </c>
      <c r="AL816" s="47">
        <f t="shared" si="677"/>
        <v>9469.4410616800124</v>
      </c>
      <c r="AM816" s="47">
        <f t="shared" si="678"/>
        <v>9236.8207920465629</v>
      </c>
    </row>
    <row r="817" spans="1:39">
      <c r="A817" s="227"/>
      <c r="B817" s="37" t="str">
        <f>'8. Input IC huur Gasunie'!B273</f>
        <v>Asset 15</v>
      </c>
      <c r="F817" s="37" t="str">
        <f>'8. Input IC huur Gasunie'!F273</f>
        <v>11 Werktuigen</v>
      </c>
      <c r="G817" s="37">
        <f>'8. Input IC huur Gasunie'!G273</f>
        <v>2023</v>
      </c>
      <c r="H817" s="42">
        <f>'8. Input IC huur Gasunie'!H273</f>
        <v>855785.56065618468</v>
      </c>
      <c r="I817" s="37">
        <f>'8. Input IC huur Gasunie'!I273</f>
        <v>10</v>
      </c>
      <c r="K817" s="43">
        <f>IF($I817=0,0,IF($G817&lt;=K$801,VDB(ABS($H817),0,$I817,MAX(0,K$801-$G817-0.5),MIN(K$801-$G817+0.5),1),0))</f>
        <v>0</v>
      </c>
      <c r="L817" s="43">
        <f t="shared" si="658"/>
        <v>42789.278032809234</v>
      </c>
      <c r="M817" s="43">
        <f t="shared" si="658"/>
        <v>85578.556065618468</v>
      </c>
      <c r="N817" s="43">
        <f t="shared" si="658"/>
        <v>85578.556065618468</v>
      </c>
      <c r="O817" s="43">
        <f t="shared" si="658"/>
        <v>85578.556065618468</v>
      </c>
      <c r="Q817" s="47">
        <f>IF($I817=0,$H817,IF(OR($G817&gt;Q$801,$G817+$I817&lt;=Q$801),0,IF($G817=Q$801,$H817-K817,$H817-K817)))</f>
        <v>0</v>
      </c>
      <c r="R817" s="47">
        <f>IF($I817=0,$H817,IF(OR($G817&gt;R$801,$G817+$I817&lt;=R$801),0,IF($G817=R$801,$H817-L817,Q817-L817)))</f>
        <v>812996.28262337542</v>
      </c>
      <c r="S817" s="47">
        <f t="shared" si="666"/>
        <v>727417.72655775701</v>
      </c>
      <c r="T817" s="47">
        <f t="shared" si="667"/>
        <v>641839.17049213848</v>
      </c>
      <c r="U817" s="47">
        <f t="shared" si="668"/>
        <v>556260.61442651995</v>
      </c>
      <c r="W817" s="47">
        <f>(K817+Q817*I$16)</f>
        <v>0</v>
      </c>
      <c r="X817" s="47">
        <f t="shared" si="670"/>
        <v>69618.155359380617</v>
      </c>
      <c r="Y817" s="47">
        <f t="shared" si="671"/>
        <v>113220.42967481323</v>
      </c>
      <c r="Z817" s="47">
        <f t="shared" si="672"/>
        <v>109968.44454431973</v>
      </c>
      <c r="AA817" s="47">
        <f t="shared" si="673"/>
        <v>106716.45941382623</v>
      </c>
      <c r="AC817" s="47">
        <f t="shared" si="679"/>
        <v>0</v>
      </c>
      <c r="AD817" s="47">
        <f t="shared" si="679"/>
        <v>8557.8556065618468</v>
      </c>
      <c r="AE817" s="47">
        <f t="shared" si="679"/>
        <v>9205.5141188664493</v>
      </c>
      <c r="AF817" s="47">
        <f t="shared" si="679"/>
        <v>9425.415440137931</v>
      </c>
      <c r="AG817" s="47">
        <f t="shared" si="679"/>
        <v>9744.4469019557182</v>
      </c>
      <c r="AI817" s="47">
        <f>W817+AC817</f>
        <v>0</v>
      </c>
      <c r="AJ817" s="47">
        <f t="shared" si="675"/>
        <v>78176.010965942463</v>
      </c>
      <c r="AK817" s="47">
        <f t="shared" si="676"/>
        <v>122425.94379367967</v>
      </c>
      <c r="AL817" s="47">
        <f t="shared" si="677"/>
        <v>119393.85998445767</v>
      </c>
      <c r="AM817" s="47">
        <f t="shared" si="678"/>
        <v>116460.90631578195</v>
      </c>
    </row>
    <row r="818" spans="1:39">
      <c r="A818" s="227"/>
      <c r="B818" s="37" t="str">
        <f>'8. Input IC huur Gasunie'!B274</f>
        <v>Asset 16</v>
      </c>
      <c r="F818" s="37" t="str">
        <f>'8. Input IC huur Gasunie'!F274</f>
        <v>20 Kantoorgebouwen</v>
      </c>
      <c r="G818" s="37">
        <f>'8. Input IC huur Gasunie'!G274</f>
        <v>2023</v>
      </c>
      <c r="H818" s="42">
        <f>'8. Input IC huur Gasunie'!H274</f>
        <v>1174802.9772874359</v>
      </c>
      <c r="I818" s="37">
        <f>'8. Input IC huur Gasunie'!I274</f>
        <v>30</v>
      </c>
      <c r="K818" s="43">
        <f t="shared" si="663"/>
        <v>0</v>
      </c>
      <c r="L818" s="43">
        <f t="shared" si="658"/>
        <v>19580.049621457267</v>
      </c>
      <c r="M818" s="43">
        <f t="shared" si="658"/>
        <v>39160.099242914534</v>
      </c>
      <c r="N818" s="43">
        <f t="shared" si="658"/>
        <v>39160.099242914534</v>
      </c>
      <c r="O818" s="43">
        <f t="shared" si="658"/>
        <v>39160.099242914534</v>
      </c>
      <c r="Q818" s="47">
        <f t="shared" ref="Q818:Q820" si="680">IF($I818=0,$H818,IF(OR($G818&gt;Q$801,$G818+$I818&lt;=Q$801),0,IF($G818=Q$801,$H818-K818,$H818-K818)))</f>
        <v>0</v>
      </c>
      <c r="R818" s="47">
        <f t="shared" ref="R818:R820" si="681">IF($I818=0,$H818,IF(OR($G818&gt;R$801,$G818+$I818&lt;=R$801),0,IF($G818=R$801,$H818-L818,Q818-L818)))</f>
        <v>1155222.9276659787</v>
      </c>
      <c r="S818" s="47">
        <f t="shared" ref="S818:S820" si="682">IF($I818=0,$H818,IF(OR($G818&gt;S$801,$G818+$I818&lt;=S$801),0,IF($G818=S$801,$H818-M818,R818-M818)))</f>
        <v>1116062.8284230642</v>
      </c>
      <c r="T818" s="47">
        <f t="shared" ref="T818:T820" si="683">IF($I818=0,$H818,IF(OR($G818&gt;T$801,$G818+$I818&lt;=T$801),0,IF($G818=T$801,$H818-N818,S818-N818)))</f>
        <v>1076902.7291801497</v>
      </c>
      <c r="U818" s="47">
        <f t="shared" ref="U818:U820" si="684">IF($I818=0,$H818,IF(OR($G818&gt;U$801,$G818+$I818&lt;=U$801),0,IF($G818=U$801,$H818-O818,T818-O818)))</f>
        <v>1037742.6299372351</v>
      </c>
      <c r="W818" s="47">
        <f t="shared" ref="W818:W820" si="685">(K818+Q818*I$16)</f>
        <v>0</v>
      </c>
      <c r="X818" s="47">
        <f t="shared" ref="X818:X819" si="686">(L818+R818*J$16)</f>
        <v>57702.406234434558</v>
      </c>
      <c r="Y818" s="47">
        <f t="shared" ref="Y818:Y820" si="687">(M818+S818*K$16)</f>
        <v>81570.486722990972</v>
      </c>
      <c r="Z818" s="47">
        <f t="shared" ref="Z818:Z819" si="688">(N818+T818*L$16)</f>
        <v>80082.402951760218</v>
      </c>
      <c r="AA818" s="47">
        <f t="shared" ref="AA818:AA820" si="689">(O818+U818*M$16)</f>
        <v>78594.319180529477</v>
      </c>
      <c r="AC818" s="47">
        <f t="shared" si="679"/>
        <v>0</v>
      </c>
      <c r="AD818" s="47">
        <f t="shared" si="679"/>
        <v>11748.029772874359</v>
      </c>
      <c r="AE818" s="47">
        <f t="shared" si="679"/>
        <v>12637.120666085491</v>
      </c>
      <c r="AF818" s="47">
        <f t="shared" si="679"/>
        <v>12938.996204556941</v>
      </c>
      <c r="AG818" s="47">
        <f t="shared" si="679"/>
        <v>13376.955348088786</v>
      </c>
      <c r="AI818" s="47">
        <f t="shared" ref="AI818:AI820" si="690">W818+AC818</f>
        <v>0</v>
      </c>
      <c r="AJ818" s="47">
        <f t="shared" ref="AJ818:AJ820" si="691">X818+AD818</f>
        <v>69450.436007308919</v>
      </c>
      <c r="AK818" s="47">
        <f t="shared" ref="AK818:AK819" si="692">Y818+AE818</f>
        <v>94207.607389076467</v>
      </c>
      <c r="AL818" s="47">
        <f t="shared" ref="AL818:AL820" si="693">Z818+AF818</f>
        <v>93021.399156317158</v>
      </c>
      <c r="AM818" s="47">
        <f t="shared" ref="AM818:AM820" si="694">AA818+AG818</f>
        <v>91971.274528618262</v>
      </c>
    </row>
    <row r="819" spans="1:39">
      <c r="A819" s="227"/>
      <c r="B819" s="37" t="str">
        <f>'8. Input IC huur Gasunie'!B275</f>
        <v>Asset 17</v>
      </c>
      <c r="F819" s="37" t="str">
        <f>'8. Input IC huur Gasunie'!F275</f>
        <v>37 ICT middelen 1</v>
      </c>
      <c r="G819" s="37">
        <f>'8. Input IC huur Gasunie'!G275</f>
        <v>2023</v>
      </c>
      <c r="H819" s="42">
        <f>'8. Input IC huur Gasunie'!H275</f>
        <v>6239530.5600440903</v>
      </c>
      <c r="I819" s="37">
        <f>'8. Input IC huur Gasunie'!I275</f>
        <v>5</v>
      </c>
      <c r="K819" s="43">
        <f t="shared" si="663"/>
        <v>0</v>
      </c>
      <c r="L819" s="43">
        <f t="shared" si="663"/>
        <v>623953.0560044091</v>
      </c>
      <c r="M819" s="43">
        <f t="shared" si="663"/>
        <v>1247906.1120088182</v>
      </c>
      <c r="N819" s="43">
        <f t="shared" si="663"/>
        <v>1247906.1120088182</v>
      </c>
      <c r="O819" s="43">
        <f t="shared" si="663"/>
        <v>1247906.1120088182</v>
      </c>
      <c r="Q819" s="47">
        <f t="shared" si="680"/>
        <v>0</v>
      </c>
      <c r="R819" s="47">
        <f t="shared" si="681"/>
        <v>5615577.5040396815</v>
      </c>
      <c r="S819" s="47">
        <f t="shared" si="682"/>
        <v>4367671.3920308631</v>
      </c>
      <c r="T819" s="47">
        <f t="shared" si="683"/>
        <v>3119765.2800220447</v>
      </c>
      <c r="U819" s="47">
        <f t="shared" si="684"/>
        <v>1871859.1680132265</v>
      </c>
      <c r="W819" s="47">
        <f t="shared" si="685"/>
        <v>0</v>
      </c>
      <c r="X819" s="47">
        <f t="shared" si="686"/>
        <v>809267.1136377186</v>
      </c>
      <c r="Y819" s="47">
        <f t="shared" si="687"/>
        <v>1413877.6249059909</v>
      </c>
      <c r="Z819" s="47">
        <f t="shared" si="688"/>
        <v>1366457.192649656</v>
      </c>
      <c r="AA819" s="47">
        <f t="shared" si="689"/>
        <v>1319036.7603933208</v>
      </c>
      <c r="AC819" s="47">
        <f t="shared" si="679"/>
        <v>0</v>
      </c>
      <c r="AD819" s="47">
        <f t="shared" si="679"/>
        <v>62395.305600440901</v>
      </c>
      <c r="AE819" s="47">
        <f t="shared" si="679"/>
        <v>67117.38232828227</v>
      </c>
      <c r="AF819" s="47">
        <f t="shared" si="679"/>
        <v>68720.682357340294</v>
      </c>
      <c r="AG819" s="47">
        <f t="shared" si="679"/>
        <v>71046.74001377153</v>
      </c>
      <c r="AI819" s="47">
        <f t="shared" si="690"/>
        <v>0</v>
      </c>
      <c r="AJ819" s="47">
        <f t="shared" si="691"/>
        <v>871662.41923815955</v>
      </c>
      <c r="AK819" s="47">
        <f t="shared" si="692"/>
        <v>1480995.0072342732</v>
      </c>
      <c r="AL819" s="47">
        <f t="shared" si="693"/>
        <v>1435177.8750069963</v>
      </c>
      <c r="AM819" s="47">
        <f t="shared" si="694"/>
        <v>1390083.5004070923</v>
      </c>
    </row>
    <row r="820" spans="1:39">
      <c r="A820" s="227"/>
      <c r="B820" s="37" t="str">
        <f>'8. Input IC huur Gasunie'!B276</f>
        <v>Asset 18</v>
      </c>
      <c r="F820" s="37" t="str">
        <f>'8. Input IC huur Gasunie'!F276</f>
        <v>38 ICT middelen 2</v>
      </c>
      <c r="G820" s="37">
        <f>'8. Input IC huur Gasunie'!G276</f>
        <v>2023</v>
      </c>
      <c r="H820" s="42">
        <f>'8. Input IC huur Gasunie'!H276</f>
        <v>6222.6743563099471</v>
      </c>
      <c r="I820" s="37">
        <f>'8. Input IC huur Gasunie'!I276</f>
        <v>10</v>
      </c>
      <c r="K820" s="43">
        <f t="shared" ref="K820:O836" si="695">IF($I820=0,0,IF($G820&lt;=K$801,VDB(ABS($H820),0,$I820,MAX(0,K$801-$G820-0.5),MIN(K$801-$G820+0.5),1),0))</f>
        <v>0</v>
      </c>
      <c r="L820" s="43">
        <f t="shared" si="695"/>
        <v>311.13371781549739</v>
      </c>
      <c r="M820" s="43">
        <f t="shared" si="695"/>
        <v>622.26743563099478</v>
      </c>
      <c r="N820" s="43">
        <f t="shared" si="695"/>
        <v>622.26743563099478</v>
      </c>
      <c r="O820" s="43">
        <f t="shared" si="695"/>
        <v>622.26743563099478</v>
      </c>
      <c r="Q820" s="47">
        <f t="shared" si="680"/>
        <v>0</v>
      </c>
      <c r="R820" s="47">
        <f t="shared" si="681"/>
        <v>5911.5406384944499</v>
      </c>
      <c r="S820" s="47">
        <f t="shared" si="682"/>
        <v>5289.2732028634555</v>
      </c>
      <c r="T820" s="47">
        <f t="shared" si="683"/>
        <v>4667.005767232461</v>
      </c>
      <c r="U820" s="47">
        <f t="shared" si="684"/>
        <v>4044.7383316014661</v>
      </c>
      <c r="W820" s="47">
        <f t="shared" si="685"/>
        <v>0</v>
      </c>
      <c r="X820" s="47">
        <f>(L820+R820*J$16)</f>
        <v>506.21455888581426</v>
      </c>
      <c r="Y820" s="47">
        <f t="shared" si="687"/>
        <v>823.25981733980609</v>
      </c>
      <c r="Z820" s="47">
        <f>(N820+T820*L$16)</f>
        <v>799.61365478582832</v>
      </c>
      <c r="AA820" s="47">
        <f t="shared" si="689"/>
        <v>775.96749223185043</v>
      </c>
      <c r="AC820" s="47">
        <f t="shared" si="679"/>
        <v>0</v>
      </c>
      <c r="AD820" s="47">
        <f t="shared" si="679"/>
        <v>62.226743563099475</v>
      </c>
      <c r="AE820" s="47">
        <f t="shared" si="679"/>
        <v>66.936063515954842</v>
      </c>
      <c r="AF820" s="47">
        <f t="shared" si="679"/>
        <v>68.535032201223984</v>
      </c>
      <c r="AG820" s="47">
        <f t="shared" si="679"/>
        <v>70.854805971171004</v>
      </c>
      <c r="AI820" s="47">
        <f t="shared" si="690"/>
        <v>0</v>
      </c>
      <c r="AJ820" s="47">
        <f t="shared" si="691"/>
        <v>568.44130244891369</v>
      </c>
      <c r="AK820" s="47">
        <f>Y820+AE820</f>
        <v>890.19588085576095</v>
      </c>
      <c r="AL820" s="47">
        <f t="shared" si="693"/>
        <v>868.14868698705232</v>
      </c>
      <c r="AM820" s="47">
        <f t="shared" si="694"/>
        <v>846.82229820302143</v>
      </c>
    </row>
    <row r="821" spans="1:39" s="227" customFormat="1">
      <c r="B821" s="37" t="str">
        <f>'8. Input IC huur Gasunie'!B277</f>
        <v>Asset 19</v>
      </c>
      <c r="C821" s="3"/>
      <c r="D821" s="3"/>
      <c r="E821" s="3"/>
      <c r="F821" s="37" t="str">
        <f>'8. Input IC huur Gasunie'!F277</f>
        <v>20 Kantoorgebouwen</v>
      </c>
      <c r="G821" s="37">
        <f>'8. Input IC huur Gasunie'!G277</f>
        <v>2024</v>
      </c>
      <c r="H821" s="42">
        <f>'8. Input IC huur Gasunie'!H277</f>
        <v>34319.620000000003</v>
      </c>
      <c r="I821" s="37">
        <f>'8. Input IC huur Gasunie'!I277</f>
        <v>30</v>
      </c>
      <c r="J821" s="3"/>
      <c r="K821" s="43">
        <f t="shared" si="695"/>
        <v>0</v>
      </c>
      <c r="L821" s="43">
        <f t="shared" si="695"/>
        <v>0</v>
      </c>
      <c r="M821" s="43">
        <f t="shared" si="695"/>
        <v>571.99366666666674</v>
      </c>
      <c r="N821" s="43">
        <f t="shared" si="695"/>
        <v>1143.9873333333333</v>
      </c>
      <c r="O821" s="43">
        <f t="shared" si="695"/>
        <v>1143.9873333333333</v>
      </c>
      <c r="P821" s="3"/>
      <c r="Q821" s="47">
        <f t="shared" ref="Q821:Q835" si="696">IF($I821=0,$H821,IF(OR($G821&gt;Q$801,$G821+$I821&lt;=Q$801),0,IF($G821=Q$801,$H821-K821,$H821-K821)))</f>
        <v>0</v>
      </c>
      <c r="R821" s="47">
        <f t="shared" ref="R821:R835" si="697">IF($I821=0,$H821,IF(OR($G821&gt;R$801,$G821+$I821&lt;=R$801),0,IF($G821=R$801,$H821-L821,Q821-L821)))</f>
        <v>0</v>
      </c>
      <c r="S821" s="47">
        <f t="shared" ref="S821:S835" si="698">IF($I821=0,$H821,IF(OR($G821&gt;S$801,$G821+$I821&lt;=S$801),0,IF($G821=S$801,$H821-M821,R821-M821)))</f>
        <v>33747.626333333334</v>
      </c>
      <c r="T821" s="47">
        <f t="shared" ref="T821:T835" si="699">IF($I821=0,$H821,IF(OR($G821&gt;T$801,$G821+$I821&lt;=T$801),0,IF($G821=T$801,$H821-N821,S821-N821)))</f>
        <v>32603.638999999999</v>
      </c>
      <c r="U821" s="47">
        <f t="shared" ref="U821:U835" si="700">IF($I821=0,$H821,IF(OR($G821&gt;U$801,$G821+$I821&lt;=U$801),0,IF($G821=U$801,$H821-O821,T821-O821)))</f>
        <v>31459.651666666665</v>
      </c>
      <c r="V821" s="3"/>
      <c r="W821" s="47">
        <f t="shared" ref="W821:W835" si="701">(K821+Q821*I$16)</f>
        <v>0</v>
      </c>
      <c r="X821" s="47">
        <f t="shared" ref="X821:X835" si="702">(L821+R821*J$16)</f>
        <v>0</v>
      </c>
      <c r="Y821" s="47">
        <f t="shared" ref="Y821:Y835" si="703">(M821+S821*K$16)</f>
        <v>1854.4034673333333</v>
      </c>
      <c r="Z821" s="47">
        <f t="shared" ref="Z821:Z835" si="704">(N821+T821*L$16)</f>
        <v>2382.9256153333331</v>
      </c>
      <c r="AA821" s="47">
        <f t="shared" ref="AA821:AA835" si="705">(O821+U821*M$16)</f>
        <v>2339.4540966666664</v>
      </c>
      <c r="AB821" s="3"/>
      <c r="AC821" s="47">
        <f t="shared" si="679"/>
        <v>0</v>
      </c>
      <c r="AD821" s="47">
        <f t="shared" si="679"/>
        <v>0</v>
      </c>
      <c r="AE821" s="47">
        <f t="shared" si="679"/>
        <v>343.19620000000003</v>
      </c>
      <c r="AF821" s="47">
        <f t="shared" si="679"/>
        <v>351.39447082560002</v>
      </c>
      <c r="AG821" s="47">
        <f t="shared" si="679"/>
        <v>363.28847087410492</v>
      </c>
      <c r="AH821" s="3"/>
      <c r="AI821" s="47">
        <f t="shared" ref="AI821:AI835" si="706">W821+AC821</f>
        <v>0</v>
      </c>
      <c r="AJ821" s="47">
        <f t="shared" ref="AJ821:AJ835" si="707">X821+AD821</f>
        <v>0</v>
      </c>
      <c r="AK821" s="47">
        <f t="shared" ref="AK821:AK835" si="708">Y821+AE821</f>
        <v>2197.5996673333334</v>
      </c>
      <c r="AL821" s="47">
        <f t="shared" ref="AL821:AL835" si="709">Z821+AF821</f>
        <v>2734.320086158933</v>
      </c>
      <c r="AM821" s="47">
        <f t="shared" ref="AM821:AM835" si="710">AA821+AG821</f>
        <v>2702.7425675407712</v>
      </c>
    </row>
    <row r="822" spans="1:39" s="227" customFormat="1">
      <c r="B822" s="37" t="str">
        <f>'8. Input IC huur Gasunie'!B278</f>
        <v>Asset 20</v>
      </c>
      <c r="C822" s="3"/>
      <c r="D822" s="3"/>
      <c r="E822" s="3"/>
      <c r="F822" s="37" t="str">
        <f>'8. Input IC huur Gasunie'!F278</f>
        <v>20 Kantoorgebouwen</v>
      </c>
      <c r="G822" s="37">
        <f>'8. Input IC huur Gasunie'!G278</f>
        <v>2024</v>
      </c>
      <c r="H822" s="42">
        <f>'8. Input IC huur Gasunie'!H278</f>
        <v>7115.03</v>
      </c>
      <c r="I822" s="37">
        <f>'8. Input IC huur Gasunie'!I278</f>
        <v>30</v>
      </c>
      <c r="J822" s="3"/>
      <c r="K822" s="43">
        <f t="shared" si="695"/>
        <v>0</v>
      </c>
      <c r="L822" s="43">
        <f t="shared" si="695"/>
        <v>0</v>
      </c>
      <c r="M822" s="43">
        <f t="shared" si="695"/>
        <v>118.58383333333333</v>
      </c>
      <c r="N822" s="43">
        <f t="shared" si="695"/>
        <v>237.16766666666666</v>
      </c>
      <c r="O822" s="43">
        <f t="shared" si="695"/>
        <v>237.16766666666666</v>
      </c>
      <c r="P822" s="3"/>
      <c r="Q822" s="47">
        <f t="shared" si="696"/>
        <v>0</v>
      </c>
      <c r="R822" s="47">
        <f t="shared" si="697"/>
        <v>0</v>
      </c>
      <c r="S822" s="47">
        <f t="shared" si="698"/>
        <v>6996.4461666666666</v>
      </c>
      <c r="T822" s="47">
        <f t="shared" si="699"/>
        <v>6759.2785000000003</v>
      </c>
      <c r="U822" s="47">
        <f t="shared" si="700"/>
        <v>6522.1108333333341</v>
      </c>
      <c r="V822" s="3"/>
      <c r="W822" s="47">
        <f t="shared" si="701"/>
        <v>0</v>
      </c>
      <c r="X822" s="47">
        <f t="shared" si="702"/>
        <v>0</v>
      </c>
      <c r="Y822" s="47">
        <f t="shared" si="703"/>
        <v>384.4487876666667</v>
      </c>
      <c r="Z822" s="47">
        <f t="shared" si="704"/>
        <v>494.02024966666664</v>
      </c>
      <c r="AA822" s="47">
        <f t="shared" si="705"/>
        <v>485.00787833333334</v>
      </c>
      <c r="AB822" s="3"/>
      <c r="AC822" s="47">
        <f t="shared" si="679"/>
        <v>0</v>
      </c>
      <c r="AD822" s="47">
        <f t="shared" si="679"/>
        <v>0</v>
      </c>
      <c r="AE822" s="47">
        <f t="shared" si="679"/>
        <v>71.150300000000001</v>
      </c>
      <c r="AF822" s="47">
        <f t="shared" si="679"/>
        <v>72.849938366399996</v>
      </c>
      <c r="AG822" s="47">
        <f t="shared" si="679"/>
        <v>75.315763080225906</v>
      </c>
      <c r="AH822" s="3"/>
      <c r="AI822" s="47">
        <f t="shared" si="706"/>
        <v>0</v>
      </c>
      <c r="AJ822" s="47">
        <f t="shared" si="707"/>
        <v>0</v>
      </c>
      <c r="AK822" s="47">
        <f t="shared" si="708"/>
        <v>455.59908766666672</v>
      </c>
      <c r="AL822" s="47">
        <f t="shared" si="709"/>
        <v>566.8701880330666</v>
      </c>
      <c r="AM822" s="47">
        <f t="shared" si="710"/>
        <v>560.32364141355924</v>
      </c>
    </row>
    <row r="823" spans="1:39" s="227" customFormat="1">
      <c r="B823" s="37" t="str">
        <f>'8. Input IC huur Gasunie'!B279</f>
        <v>Asset 21</v>
      </c>
      <c r="C823" s="3"/>
      <c r="D823" s="3"/>
      <c r="E823" s="3"/>
      <c r="F823" s="37" t="str">
        <f>'8. Input IC huur Gasunie'!F279</f>
        <v>20 Kantoorgebouwen</v>
      </c>
      <c r="G823" s="37">
        <f>'8. Input IC huur Gasunie'!G279</f>
        <v>2024</v>
      </c>
      <c r="H823" s="42">
        <f>'8. Input IC huur Gasunie'!H279</f>
        <v>5441710.2199999997</v>
      </c>
      <c r="I823" s="37">
        <f>'8. Input IC huur Gasunie'!I279</f>
        <v>30</v>
      </c>
      <c r="J823" s="3"/>
      <c r="K823" s="43">
        <f t="shared" si="695"/>
        <v>0</v>
      </c>
      <c r="L823" s="43">
        <f t="shared" si="695"/>
        <v>0</v>
      </c>
      <c r="M823" s="43">
        <f t="shared" si="695"/>
        <v>90695.170333333328</v>
      </c>
      <c r="N823" s="43">
        <f t="shared" si="695"/>
        <v>181390.34066666666</v>
      </c>
      <c r="O823" s="43">
        <f t="shared" si="695"/>
        <v>181390.34066666666</v>
      </c>
      <c r="P823" s="3"/>
      <c r="Q823" s="47">
        <f t="shared" si="696"/>
        <v>0</v>
      </c>
      <c r="R823" s="47">
        <f t="shared" si="697"/>
        <v>0</v>
      </c>
      <c r="S823" s="47">
        <f t="shared" si="698"/>
        <v>5351015.0496666664</v>
      </c>
      <c r="T823" s="47">
        <f t="shared" si="699"/>
        <v>5169624.7089999998</v>
      </c>
      <c r="U823" s="47">
        <f t="shared" si="700"/>
        <v>4988234.3683333332</v>
      </c>
      <c r="V823" s="3"/>
      <c r="W823" s="47">
        <f t="shared" si="701"/>
        <v>0</v>
      </c>
      <c r="X823" s="47">
        <f t="shared" si="702"/>
        <v>0</v>
      </c>
      <c r="Y823" s="47">
        <f t="shared" si="703"/>
        <v>294033.74222066667</v>
      </c>
      <c r="Z823" s="47">
        <f t="shared" si="704"/>
        <v>377836.07960866665</v>
      </c>
      <c r="AA823" s="47">
        <f t="shared" si="705"/>
        <v>370943.24666333332</v>
      </c>
      <c r="AB823" s="3"/>
      <c r="AC823" s="47">
        <f t="shared" ref="AC823:AG832" si="711">IF(AC$801&gt;=$G823,$H823*INDEX($G$40:$M$46,$G823-2019,AC$801-2019)*INDEX($G$49:$M$55,$G823-2019,AC$801-2019)*$F$28,0)</f>
        <v>0</v>
      </c>
      <c r="AD823" s="47">
        <f t="shared" si="711"/>
        <v>0</v>
      </c>
      <c r="AE823" s="47">
        <f t="shared" si="711"/>
        <v>54417.102200000001</v>
      </c>
      <c r="AF823" s="47">
        <f t="shared" si="711"/>
        <v>55717.017937353601</v>
      </c>
      <c r="AG823" s="47">
        <f t="shared" si="711"/>
        <v>57602.927560497148</v>
      </c>
      <c r="AH823" s="3"/>
      <c r="AI823" s="47">
        <f t="shared" si="706"/>
        <v>0</v>
      </c>
      <c r="AJ823" s="47">
        <f t="shared" si="707"/>
        <v>0</v>
      </c>
      <c r="AK823" s="47">
        <f t="shared" si="708"/>
        <v>348450.84442066669</v>
      </c>
      <c r="AL823" s="47">
        <f t="shared" si="709"/>
        <v>433553.09754602023</v>
      </c>
      <c r="AM823" s="47">
        <f t="shared" si="710"/>
        <v>428546.17422383046</v>
      </c>
    </row>
    <row r="824" spans="1:39" s="227" customFormat="1">
      <c r="B824" s="37" t="str">
        <f>'8. Input IC huur Gasunie'!B280</f>
        <v>Asset 22</v>
      </c>
      <c r="C824" s="3"/>
      <c r="D824" s="3"/>
      <c r="E824" s="3"/>
      <c r="F824" s="37" t="str">
        <f>'8. Input IC huur Gasunie'!F280</f>
        <v>20 Kantoorgebouwen</v>
      </c>
      <c r="G824" s="37">
        <f>'8. Input IC huur Gasunie'!G280</f>
        <v>2024</v>
      </c>
      <c r="H824" s="42">
        <f>'8. Input IC huur Gasunie'!H280</f>
        <v>872258.5</v>
      </c>
      <c r="I824" s="37">
        <f>'8. Input IC huur Gasunie'!I280</f>
        <v>30</v>
      </c>
      <c r="J824" s="3"/>
      <c r="K824" s="43">
        <f t="shared" si="695"/>
        <v>0</v>
      </c>
      <c r="L824" s="43">
        <f t="shared" si="695"/>
        <v>0</v>
      </c>
      <c r="M824" s="43">
        <f t="shared" si="695"/>
        <v>14537.641666666666</v>
      </c>
      <c r="N824" s="43">
        <f t="shared" si="695"/>
        <v>29075.283333333333</v>
      </c>
      <c r="O824" s="43">
        <f t="shared" si="695"/>
        <v>29075.283333333333</v>
      </c>
      <c r="P824" s="3"/>
      <c r="Q824" s="47">
        <f t="shared" si="696"/>
        <v>0</v>
      </c>
      <c r="R824" s="47">
        <f t="shared" si="697"/>
        <v>0</v>
      </c>
      <c r="S824" s="47">
        <f t="shared" si="698"/>
        <v>857720.85833333328</v>
      </c>
      <c r="T824" s="47">
        <f t="shared" si="699"/>
        <v>828645.57499999995</v>
      </c>
      <c r="U824" s="47">
        <f t="shared" si="700"/>
        <v>799570.29166666663</v>
      </c>
      <c r="V824" s="3"/>
      <c r="W824" s="47">
        <f t="shared" si="701"/>
        <v>0</v>
      </c>
      <c r="X824" s="47">
        <f t="shared" si="702"/>
        <v>0</v>
      </c>
      <c r="Y824" s="47">
        <f t="shared" si="703"/>
        <v>47131.034283333327</v>
      </c>
      <c r="Z824" s="47">
        <f t="shared" si="704"/>
        <v>60563.815183333325</v>
      </c>
      <c r="AA824" s="47">
        <f t="shared" si="705"/>
        <v>59458.95441666666</v>
      </c>
      <c r="AB824" s="3"/>
      <c r="AC824" s="47">
        <f t="shared" si="711"/>
        <v>0</v>
      </c>
      <c r="AD824" s="47">
        <f t="shared" si="711"/>
        <v>0</v>
      </c>
      <c r="AE824" s="47">
        <f t="shared" si="711"/>
        <v>8722.5850000000009</v>
      </c>
      <c r="AF824" s="47">
        <f t="shared" si="711"/>
        <v>8930.9501104800001</v>
      </c>
      <c r="AG824" s="47">
        <f t="shared" si="711"/>
        <v>9233.2449098195266</v>
      </c>
      <c r="AH824" s="3"/>
      <c r="AI824" s="47">
        <f t="shared" si="706"/>
        <v>0</v>
      </c>
      <c r="AJ824" s="47">
        <f t="shared" si="707"/>
        <v>0</v>
      </c>
      <c r="AK824" s="47">
        <f t="shared" si="708"/>
        <v>55853.619283333326</v>
      </c>
      <c r="AL824" s="47">
        <f t="shared" si="709"/>
        <v>69494.765293813325</v>
      </c>
      <c r="AM824" s="47">
        <f t="shared" si="710"/>
        <v>68692.199326486181</v>
      </c>
    </row>
    <row r="825" spans="1:39" s="227" customFormat="1">
      <c r="B825" s="37" t="str">
        <f>'8. Input IC huur Gasunie'!B281</f>
        <v>Asset 23</v>
      </c>
      <c r="C825" s="3"/>
      <c r="D825" s="3"/>
      <c r="E825" s="3"/>
      <c r="F825" s="37" t="str">
        <f>'8. Input IC huur Gasunie'!F281</f>
        <v>05 Wegen en terreinvoorzieningen</v>
      </c>
      <c r="G825" s="37">
        <f>'8. Input IC huur Gasunie'!G281</f>
        <v>2024</v>
      </c>
      <c r="H825" s="42">
        <f>'8. Input IC huur Gasunie'!H281</f>
        <v>949.25</v>
      </c>
      <c r="I825" s="37">
        <f>'8. Input IC huur Gasunie'!I281</f>
        <v>10</v>
      </c>
      <c r="J825" s="3"/>
      <c r="K825" s="43">
        <f t="shared" si="695"/>
        <v>0</v>
      </c>
      <c r="L825" s="43">
        <f t="shared" si="695"/>
        <v>0</v>
      </c>
      <c r="M825" s="43">
        <f t="shared" si="695"/>
        <v>47.462500000000006</v>
      </c>
      <c r="N825" s="43">
        <f t="shared" si="695"/>
        <v>94.924999999999997</v>
      </c>
      <c r="O825" s="43">
        <f t="shared" si="695"/>
        <v>94.924999999999997</v>
      </c>
      <c r="P825" s="3"/>
      <c r="Q825" s="47">
        <f t="shared" si="696"/>
        <v>0</v>
      </c>
      <c r="R825" s="47">
        <f t="shared" si="697"/>
        <v>0</v>
      </c>
      <c r="S825" s="47">
        <f t="shared" si="698"/>
        <v>901.78750000000002</v>
      </c>
      <c r="T825" s="47">
        <f t="shared" si="699"/>
        <v>806.86250000000007</v>
      </c>
      <c r="U825" s="47">
        <f t="shared" si="700"/>
        <v>711.93750000000011</v>
      </c>
      <c r="V825" s="3"/>
      <c r="W825" s="47">
        <f t="shared" si="701"/>
        <v>0</v>
      </c>
      <c r="X825" s="47">
        <f t="shared" si="702"/>
        <v>0</v>
      </c>
      <c r="Y825" s="47">
        <f t="shared" si="703"/>
        <v>81.730424999999997</v>
      </c>
      <c r="Z825" s="47">
        <f t="shared" si="704"/>
        <v>125.585775</v>
      </c>
      <c r="AA825" s="47">
        <f t="shared" si="705"/>
        <v>121.97862499999999</v>
      </c>
      <c r="AB825" s="3"/>
      <c r="AC825" s="47">
        <f t="shared" si="711"/>
        <v>0</v>
      </c>
      <c r="AD825" s="47">
        <f t="shared" si="711"/>
        <v>0</v>
      </c>
      <c r="AE825" s="47">
        <f t="shared" si="711"/>
        <v>9.4924999999999997</v>
      </c>
      <c r="AF825" s="47">
        <f t="shared" si="711"/>
        <v>9.7192568399999999</v>
      </c>
      <c r="AG825" s="47">
        <f t="shared" si="711"/>
        <v>10.048234245520321</v>
      </c>
      <c r="AH825" s="3"/>
      <c r="AI825" s="47">
        <f t="shared" si="706"/>
        <v>0</v>
      </c>
      <c r="AJ825" s="47">
        <f t="shared" si="707"/>
        <v>0</v>
      </c>
      <c r="AK825" s="47">
        <f t="shared" si="708"/>
        <v>91.222925000000004</v>
      </c>
      <c r="AL825" s="47">
        <f t="shared" si="709"/>
        <v>135.30503184</v>
      </c>
      <c r="AM825" s="47">
        <f t="shared" si="710"/>
        <v>132.02685924552031</v>
      </c>
    </row>
    <row r="826" spans="1:39" s="227" customFormat="1">
      <c r="B826" s="37" t="str">
        <f>'8. Input IC huur Gasunie'!B282</f>
        <v>Asset 24</v>
      </c>
      <c r="C826" s="3"/>
      <c r="D826" s="3"/>
      <c r="E826" s="3"/>
      <c r="F826" s="37" t="str">
        <f>'8. Input IC huur Gasunie'!F282</f>
        <v>10 Gereedschap</v>
      </c>
      <c r="G826" s="37">
        <f>'8. Input IC huur Gasunie'!G282</f>
        <v>2024</v>
      </c>
      <c r="H826" s="42">
        <f>'8. Input IC huur Gasunie'!H282</f>
        <v>57302.38</v>
      </c>
      <c r="I826" s="37">
        <f>'8. Input IC huur Gasunie'!I282</f>
        <v>10</v>
      </c>
      <c r="J826" s="3"/>
      <c r="K826" s="43">
        <f t="shared" si="695"/>
        <v>0</v>
      </c>
      <c r="L826" s="43">
        <f t="shared" si="695"/>
        <v>0</v>
      </c>
      <c r="M826" s="43">
        <f t="shared" si="695"/>
        <v>2865.1190000000001</v>
      </c>
      <c r="N826" s="43">
        <f t="shared" si="695"/>
        <v>5730.2380000000003</v>
      </c>
      <c r="O826" s="43">
        <f t="shared" si="695"/>
        <v>5730.2380000000003</v>
      </c>
      <c r="P826" s="3"/>
      <c r="Q826" s="47">
        <f t="shared" si="696"/>
        <v>0</v>
      </c>
      <c r="R826" s="47">
        <f t="shared" si="697"/>
        <v>0</v>
      </c>
      <c r="S826" s="47">
        <f t="shared" si="698"/>
        <v>54437.260999999999</v>
      </c>
      <c r="T826" s="47">
        <f t="shared" si="699"/>
        <v>48707.023000000001</v>
      </c>
      <c r="U826" s="47">
        <f t="shared" si="700"/>
        <v>42976.785000000003</v>
      </c>
      <c r="V826" s="3"/>
      <c r="W826" s="47">
        <f t="shared" si="701"/>
        <v>0</v>
      </c>
      <c r="X826" s="47">
        <f t="shared" si="702"/>
        <v>0</v>
      </c>
      <c r="Y826" s="47">
        <f t="shared" si="703"/>
        <v>4933.7349180000001</v>
      </c>
      <c r="Z826" s="47">
        <f t="shared" si="704"/>
        <v>7581.1048740000006</v>
      </c>
      <c r="AA826" s="47">
        <f t="shared" si="705"/>
        <v>7363.3558300000004</v>
      </c>
      <c r="AB826" s="3"/>
      <c r="AC826" s="47">
        <f t="shared" si="711"/>
        <v>0</v>
      </c>
      <c r="AD826" s="47">
        <f t="shared" si="711"/>
        <v>0</v>
      </c>
      <c r="AE826" s="47">
        <f t="shared" si="711"/>
        <v>573.02379999999994</v>
      </c>
      <c r="AF826" s="47">
        <f t="shared" si="711"/>
        <v>586.71219253439995</v>
      </c>
      <c r="AG826" s="47">
        <f t="shared" si="711"/>
        <v>606.57122682730437</v>
      </c>
      <c r="AH826" s="3"/>
      <c r="AI826" s="47">
        <f t="shared" si="706"/>
        <v>0</v>
      </c>
      <c r="AJ826" s="47">
        <f t="shared" si="707"/>
        <v>0</v>
      </c>
      <c r="AK826" s="47">
        <f t="shared" si="708"/>
        <v>5506.758718</v>
      </c>
      <c r="AL826" s="47">
        <f t="shared" si="709"/>
        <v>8167.8170665344005</v>
      </c>
      <c r="AM826" s="47">
        <f t="shared" si="710"/>
        <v>7969.927056827305</v>
      </c>
    </row>
    <row r="827" spans="1:39" s="227" customFormat="1">
      <c r="B827" s="37" t="str">
        <f>'8. Input IC huur Gasunie'!B283</f>
        <v>Asset 25</v>
      </c>
      <c r="C827" s="3"/>
      <c r="D827" s="3"/>
      <c r="E827" s="3"/>
      <c r="F827" s="37" t="str">
        <f>'8. Input IC huur Gasunie'!F283</f>
        <v>10 Gereedschap</v>
      </c>
      <c r="G827" s="37">
        <f>'8. Input IC huur Gasunie'!G283</f>
        <v>2024</v>
      </c>
      <c r="H827" s="42">
        <f>'8. Input IC huur Gasunie'!H283</f>
        <v>543.80999999999995</v>
      </c>
      <c r="I827" s="37">
        <f>'8. Input IC huur Gasunie'!I283</f>
        <v>10</v>
      </c>
      <c r="J827" s="3"/>
      <c r="K827" s="43">
        <f t="shared" si="695"/>
        <v>0</v>
      </c>
      <c r="L827" s="43">
        <f t="shared" si="695"/>
        <v>0</v>
      </c>
      <c r="M827" s="43">
        <f t="shared" si="695"/>
        <v>27.1905</v>
      </c>
      <c r="N827" s="43">
        <f t="shared" si="695"/>
        <v>54.380999999999993</v>
      </c>
      <c r="O827" s="43">
        <f t="shared" si="695"/>
        <v>54.380999999999993</v>
      </c>
      <c r="P827" s="3"/>
      <c r="Q827" s="47">
        <f t="shared" si="696"/>
        <v>0</v>
      </c>
      <c r="R827" s="47">
        <f t="shared" si="697"/>
        <v>0</v>
      </c>
      <c r="S827" s="47">
        <f t="shared" si="698"/>
        <v>516.6194999999999</v>
      </c>
      <c r="T827" s="47">
        <f t="shared" si="699"/>
        <v>462.23849999999993</v>
      </c>
      <c r="U827" s="47">
        <f t="shared" si="700"/>
        <v>407.85749999999996</v>
      </c>
      <c r="V827" s="3"/>
      <c r="W827" s="47">
        <f t="shared" si="701"/>
        <v>0</v>
      </c>
      <c r="X827" s="47">
        <f t="shared" si="702"/>
        <v>0</v>
      </c>
      <c r="Y827" s="47">
        <f t="shared" si="703"/>
        <v>46.822040999999999</v>
      </c>
      <c r="Z827" s="47">
        <f t="shared" si="704"/>
        <v>71.946062999999995</v>
      </c>
      <c r="AA827" s="47">
        <f t="shared" si="705"/>
        <v>69.879584999999992</v>
      </c>
      <c r="AB827" s="3"/>
      <c r="AC827" s="47">
        <f t="shared" si="711"/>
        <v>0</v>
      </c>
      <c r="AD827" s="47">
        <f t="shared" si="711"/>
        <v>0</v>
      </c>
      <c r="AE827" s="47">
        <f t="shared" si="711"/>
        <v>5.4380999999999995</v>
      </c>
      <c r="AF827" s="47">
        <f t="shared" si="711"/>
        <v>5.5680053327999994</v>
      </c>
      <c r="AG827" s="47">
        <f t="shared" si="711"/>
        <v>5.7564711773046149</v>
      </c>
      <c r="AH827" s="3"/>
      <c r="AI827" s="47">
        <f t="shared" si="706"/>
        <v>0</v>
      </c>
      <c r="AJ827" s="47">
        <f t="shared" si="707"/>
        <v>0</v>
      </c>
      <c r="AK827" s="47">
        <f t="shared" si="708"/>
        <v>52.260140999999997</v>
      </c>
      <c r="AL827" s="47">
        <f t="shared" si="709"/>
        <v>77.514068332799994</v>
      </c>
      <c r="AM827" s="47">
        <f t="shared" si="710"/>
        <v>75.63605617730461</v>
      </c>
    </row>
    <row r="828" spans="1:39" s="227" customFormat="1">
      <c r="B828" s="37" t="str">
        <f>'8. Input IC huur Gasunie'!B284</f>
        <v>Asset 26</v>
      </c>
      <c r="C828" s="3"/>
      <c r="D828" s="3"/>
      <c r="E828" s="3"/>
      <c r="F828" s="37" t="str">
        <f>'8. Input IC huur Gasunie'!F284</f>
        <v>37 ICT middelen 1</v>
      </c>
      <c r="G828" s="37">
        <f>'8. Input IC huur Gasunie'!G284</f>
        <v>2024</v>
      </c>
      <c r="H828" s="42">
        <f>'8. Input IC huur Gasunie'!H284</f>
        <v>1487353.31</v>
      </c>
      <c r="I828" s="37">
        <f>'8. Input IC huur Gasunie'!I284</f>
        <v>5</v>
      </c>
      <c r="J828" s="3"/>
      <c r="K828" s="43">
        <f t="shared" si="695"/>
        <v>0</v>
      </c>
      <c r="L828" s="43">
        <f t="shared" si="695"/>
        <v>0</v>
      </c>
      <c r="M828" s="43">
        <f t="shared" si="695"/>
        <v>148735.33100000001</v>
      </c>
      <c r="N828" s="43">
        <f t="shared" si="695"/>
        <v>297470.66200000001</v>
      </c>
      <c r="O828" s="43">
        <f t="shared" si="695"/>
        <v>297470.66200000001</v>
      </c>
      <c r="P828" s="3"/>
      <c r="Q828" s="47">
        <f t="shared" si="696"/>
        <v>0</v>
      </c>
      <c r="R828" s="47">
        <f t="shared" si="697"/>
        <v>0</v>
      </c>
      <c r="S828" s="47">
        <f t="shared" si="698"/>
        <v>1338617.9790000001</v>
      </c>
      <c r="T828" s="47">
        <f t="shared" si="699"/>
        <v>1041147.317</v>
      </c>
      <c r="U828" s="47">
        <f t="shared" si="700"/>
        <v>743676.65500000003</v>
      </c>
      <c r="V828" s="3"/>
      <c r="W828" s="47">
        <f t="shared" si="701"/>
        <v>0</v>
      </c>
      <c r="X828" s="47">
        <f t="shared" si="702"/>
        <v>0</v>
      </c>
      <c r="Y828" s="47">
        <f t="shared" si="703"/>
        <v>199602.81420200001</v>
      </c>
      <c r="Z828" s="47">
        <f t="shared" si="704"/>
        <v>337034.26004600001</v>
      </c>
      <c r="AA828" s="47">
        <f t="shared" si="705"/>
        <v>325730.37489000004</v>
      </c>
      <c r="AB828" s="3"/>
      <c r="AC828" s="47">
        <f t="shared" si="711"/>
        <v>0</v>
      </c>
      <c r="AD828" s="47">
        <f t="shared" si="711"/>
        <v>0</v>
      </c>
      <c r="AE828" s="47">
        <f t="shared" si="711"/>
        <v>14873.533100000001</v>
      </c>
      <c r="AF828" s="47">
        <f t="shared" si="711"/>
        <v>15228.8320586928</v>
      </c>
      <c r="AG828" s="47">
        <f t="shared" si="711"/>
        <v>15744.297566215435</v>
      </c>
      <c r="AH828" s="3"/>
      <c r="AI828" s="47">
        <f t="shared" si="706"/>
        <v>0</v>
      </c>
      <c r="AJ828" s="47">
        <f t="shared" si="707"/>
        <v>0</v>
      </c>
      <c r="AK828" s="47">
        <f t="shared" si="708"/>
        <v>214476.34730200001</v>
      </c>
      <c r="AL828" s="47">
        <f t="shared" si="709"/>
        <v>352263.09210469283</v>
      </c>
      <c r="AM828" s="47">
        <f t="shared" si="710"/>
        <v>341474.67245621548</v>
      </c>
    </row>
    <row r="829" spans="1:39" s="227" customFormat="1">
      <c r="B829" s="37" t="str">
        <f>'8. Input IC huur Gasunie'!B285</f>
        <v>Asset 27</v>
      </c>
      <c r="C829" s="3"/>
      <c r="D829" s="3"/>
      <c r="E829" s="3"/>
      <c r="F829" s="37" t="str">
        <f>'8. Input IC huur Gasunie'!F285</f>
        <v>37 ICT middelen 1</v>
      </c>
      <c r="G829" s="37">
        <f>'8. Input IC huur Gasunie'!G285</f>
        <v>2024</v>
      </c>
      <c r="H829" s="42">
        <f>'8. Input IC huur Gasunie'!H285</f>
        <v>936361.01</v>
      </c>
      <c r="I829" s="37">
        <f>'8. Input IC huur Gasunie'!I285</f>
        <v>5</v>
      </c>
      <c r="J829" s="3"/>
      <c r="K829" s="43">
        <f t="shared" si="695"/>
        <v>0</v>
      </c>
      <c r="L829" s="43">
        <f t="shared" si="695"/>
        <v>0</v>
      </c>
      <c r="M829" s="43">
        <f t="shared" si="695"/>
        <v>93636.10100000001</v>
      </c>
      <c r="N829" s="43">
        <f t="shared" si="695"/>
        <v>187272.20199999999</v>
      </c>
      <c r="O829" s="43">
        <f t="shared" si="695"/>
        <v>187272.20199999999</v>
      </c>
      <c r="P829" s="3"/>
      <c r="Q829" s="47">
        <f t="shared" si="696"/>
        <v>0</v>
      </c>
      <c r="R829" s="47">
        <f t="shared" si="697"/>
        <v>0</v>
      </c>
      <c r="S829" s="47">
        <f t="shared" si="698"/>
        <v>842724.90899999999</v>
      </c>
      <c r="T829" s="47">
        <f t="shared" si="699"/>
        <v>655452.70699999994</v>
      </c>
      <c r="U829" s="47">
        <f t="shared" si="700"/>
        <v>468180.50499999995</v>
      </c>
      <c r="V829" s="3"/>
      <c r="W829" s="47">
        <f t="shared" si="701"/>
        <v>0</v>
      </c>
      <c r="X829" s="47">
        <f t="shared" si="702"/>
        <v>0</v>
      </c>
      <c r="Y829" s="47">
        <f t="shared" si="703"/>
        <v>125659.64754200001</v>
      </c>
      <c r="Z829" s="47">
        <f t="shared" si="704"/>
        <v>212179.404866</v>
      </c>
      <c r="AA829" s="47">
        <f t="shared" si="705"/>
        <v>205063.06118999998</v>
      </c>
      <c r="AB829" s="3"/>
      <c r="AC829" s="47">
        <f t="shared" si="711"/>
        <v>0</v>
      </c>
      <c r="AD829" s="47">
        <f t="shared" si="711"/>
        <v>0</v>
      </c>
      <c r="AE829" s="47">
        <f t="shared" si="711"/>
        <v>9363.6100999999999</v>
      </c>
      <c r="AF829" s="47">
        <f t="shared" si="711"/>
        <v>9587.2880180688007</v>
      </c>
      <c r="AG829" s="47">
        <f t="shared" si="711"/>
        <v>9911.7985429043947</v>
      </c>
      <c r="AH829" s="3"/>
      <c r="AI829" s="47">
        <f t="shared" si="706"/>
        <v>0</v>
      </c>
      <c r="AJ829" s="47">
        <f t="shared" si="707"/>
        <v>0</v>
      </c>
      <c r="AK829" s="47">
        <f t="shared" si="708"/>
        <v>135023.25764200001</v>
      </c>
      <c r="AL829" s="47">
        <f t="shared" si="709"/>
        <v>221766.69288406879</v>
      </c>
      <c r="AM829" s="47">
        <f t="shared" si="710"/>
        <v>214974.85973290438</v>
      </c>
    </row>
    <row r="830" spans="1:39" s="227" customFormat="1">
      <c r="B830" s="37" t="str">
        <f>'8. Input IC huur Gasunie'!B286</f>
        <v>Asset 28</v>
      </c>
      <c r="C830" s="3"/>
      <c r="D830" s="3"/>
      <c r="E830" s="3"/>
      <c r="F830" s="37" t="str">
        <f>'8. Input IC huur Gasunie'!F286</f>
        <v>37 ICT middelen 1</v>
      </c>
      <c r="G830" s="37">
        <f>'8. Input IC huur Gasunie'!G286</f>
        <v>2024</v>
      </c>
      <c r="H830" s="42">
        <f>'8. Input IC huur Gasunie'!H286</f>
        <v>438039.14</v>
      </c>
      <c r="I830" s="37">
        <f>'8. Input IC huur Gasunie'!I286</f>
        <v>5</v>
      </c>
      <c r="J830" s="3"/>
      <c r="K830" s="43">
        <f t="shared" si="695"/>
        <v>0</v>
      </c>
      <c r="L830" s="43">
        <f t="shared" si="695"/>
        <v>0</v>
      </c>
      <c r="M830" s="43">
        <f t="shared" si="695"/>
        <v>43803.914000000004</v>
      </c>
      <c r="N830" s="43">
        <f t="shared" si="695"/>
        <v>87607.828000000009</v>
      </c>
      <c r="O830" s="43">
        <f t="shared" si="695"/>
        <v>87607.828000000009</v>
      </c>
      <c r="P830" s="3"/>
      <c r="Q830" s="47">
        <f t="shared" si="696"/>
        <v>0</v>
      </c>
      <c r="R830" s="47">
        <f t="shared" si="697"/>
        <v>0</v>
      </c>
      <c r="S830" s="47">
        <f t="shared" si="698"/>
        <v>394235.22600000002</v>
      </c>
      <c r="T830" s="47">
        <f t="shared" si="699"/>
        <v>306627.39800000004</v>
      </c>
      <c r="U830" s="47">
        <f t="shared" si="700"/>
        <v>219019.57000000004</v>
      </c>
      <c r="V830" s="3"/>
      <c r="W830" s="47">
        <f t="shared" si="701"/>
        <v>0</v>
      </c>
      <c r="X830" s="47">
        <f t="shared" si="702"/>
        <v>0</v>
      </c>
      <c r="Y830" s="47">
        <f t="shared" si="703"/>
        <v>58784.852588000009</v>
      </c>
      <c r="Z830" s="47">
        <f t="shared" si="704"/>
        <v>99259.669124000007</v>
      </c>
      <c r="AA830" s="47">
        <f t="shared" si="705"/>
        <v>95930.571660000016</v>
      </c>
      <c r="AB830" s="3"/>
      <c r="AC830" s="47">
        <f t="shared" si="711"/>
        <v>0</v>
      </c>
      <c r="AD830" s="47">
        <f t="shared" si="711"/>
        <v>0</v>
      </c>
      <c r="AE830" s="47">
        <f t="shared" si="711"/>
        <v>4380.3914000000004</v>
      </c>
      <c r="AF830" s="47">
        <f t="shared" si="711"/>
        <v>4485.0301897631998</v>
      </c>
      <c r="AG830" s="47">
        <f t="shared" si="711"/>
        <v>4636.8394916263051</v>
      </c>
      <c r="AH830" s="3"/>
      <c r="AI830" s="47">
        <f t="shared" si="706"/>
        <v>0</v>
      </c>
      <c r="AJ830" s="47">
        <f t="shared" si="707"/>
        <v>0</v>
      </c>
      <c r="AK830" s="47">
        <f t="shared" si="708"/>
        <v>63165.243988000009</v>
      </c>
      <c r="AL830" s="47">
        <f t="shared" si="709"/>
        <v>103744.69931376321</v>
      </c>
      <c r="AM830" s="47">
        <f t="shared" si="710"/>
        <v>100567.41115162632</v>
      </c>
    </row>
    <row r="831" spans="1:39" s="227" customFormat="1">
      <c r="B831" s="37" t="str">
        <f>'8. Input IC huur Gasunie'!B287</f>
        <v>Asset 29</v>
      </c>
      <c r="C831" s="3"/>
      <c r="D831" s="3"/>
      <c r="E831" s="3"/>
      <c r="F831" s="37" t="str">
        <f>'8. Input IC huur Gasunie'!F287</f>
        <v>37 ICT middelen 1</v>
      </c>
      <c r="G831" s="37">
        <f>'8. Input IC huur Gasunie'!G287</f>
        <v>2024</v>
      </c>
      <c r="H831" s="42">
        <f>'8. Input IC huur Gasunie'!H287</f>
        <v>1519536.38</v>
      </c>
      <c r="I831" s="37">
        <f>'8. Input IC huur Gasunie'!I287</f>
        <v>5</v>
      </c>
      <c r="J831" s="3"/>
      <c r="K831" s="43">
        <f t="shared" si="695"/>
        <v>0</v>
      </c>
      <c r="L831" s="43">
        <f t="shared" si="695"/>
        <v>0</v>
      </c>
      <c r="M831" s="43">
        <f t="shared" si="695"/>
        <v>151953.63800000001</v>
      </c>
      <c r="N831" s="43">
        <f t="shared" si="695"/>
        <v>303907.27599999995</v>
      </c>
      <c r="O831" s="43">
        <f t="shared" si="695"/>
        <v>303907.27599999995</v>
      </c>
      <c r="P831" s="3"/>
      <c r="Q831" s="47">
        <f t="shared" si="696"/>
        <v>0</v>
      </c>
      <c r="R831" s="47">
        <f t="shared" si="697"/>
        <v>0</v>
      </c>
      <c r="S831" s="47">
        <f t="shared" si="698"/>
        <v>1367582.7419999999</v>
      </c>
      <c r="T831" s="47">
        <f t="shared" si="699"/>
        <v>1063675.466</v>
      </c>
      <c r="U831" s="47">
        <f t="shared" si="700"/>
        <v>759768.19000000006</v>
      </c>
      <c r="V831" s="3"/>
      <c r="W831" s="47">
        <f t="shared" si="701"/>
        <v>0</v>
      </c>
      <c r="X831" s="47">
        <f t="shared" si="702"/>
        <v>0</v>
      </c>
      <c r="Y831" s="47">
        <f t="shared" si="703"/>
        <v>203921.78219599999</v>
      </c>
      <c r="Z831" s="47">
        <f t="shared" si="704"/>
        <v>344326.94370799995</v>
      </c>
      <c r="AA831" s="47">
        <f t="shared" si="705"/>
        <v>332778.46721999993</v>
      </c>
      <c r="AB831" s="3"/>
      <c r="AC831" s="47">
        <f t="shared" si="711"/>
        <v>0</v>
      </c>
      <c r="AD831" s="47">
        <f t="shared" si="711"/>
        <v>0</v>
      </c>
      <c r="AE831" s="47">
        <f t="shared" si="711"/>
        <v>15195.363799999999</v>
      </c>
      <c r="AF831" s="47">
        <f t="shared" si="711"/>
        <v>15558.350650454402</v>
      </c>
      <c r="AG831" s="47">
        <f t="shared" si="711"/>
        <v>16084.969703270979</v>
      </c>
      <c r="AH831" s="3"/>
      <c r="AI831" s="47">
        <f t="shared" si="706"/>
        <v>0</v>
      </c>
      <c r="AJ831" s="47">
        <f t="shared" si="707"/>
        <v>0</v>
      </c>
      <c r="AK831" s="47">
        <f t="shared" si="708"/>
        <v>219117.14599599998</v>
      </c>
      <c r="AL831" s="47">
        <f t="shared" si="709"/>
        <v>359885.29435845435</v>
      </c>
      <c r="AM831" s="47">
        <f t="shared" si="710"/>
        <v>348863.43692327093</v>
      </c>
    </row>
    <row r="832" spans="1:39" s="227" customFormat="1">
      <c r="B832" s="37" t="str">
        <f>'8. Input IC huur Gasunie'!B288</f>
        <v>Asset 30</v>
      </c>
      <c r="C832" s="3"/>
      <c r="D832" s="3"/>
      <c r="E832" s="3"/>
      <c r="F832" s="37" t="str">
        <f>'8. Input IC huur Gasunie'!F288</f>
        <v>37 ICT middelen 1</v>
      </c>
      <c r="G832" s="37">
        <f>'8. Input IC huur Gasunie'!G288</f>
        <v>2024</v>
      </c>
      <c r="H832" s="42">
        <f>'8. Input IC huur Gasunie'!H288</f>
        <v>4539688.4400000004</v>
      </c>
      <c r="I832" s="37">
        <f>'8. Input IC huur Gasunie'!I288</f>
        <v>5</v>
      </c>
      <c r="J832" s="3"/>
      <c r="K832" s="43">
        <f t="shared" si="695"/>
        <v>0</v>
      </c>
      <c r="L832" s="43">
        <f t="shared" si="695"/>
        <v>0</v>
      </c>
      <c r="M832" s="43">
        <f t="shared" si="695"/>
        <v>453968.84400000004</v>
      </c>
      <c r="N832" s="43">
        <f t="shared" si="695"/>
        <v>907937.68800000008</v>
      </c>
      <c r="O832" s="43">
        <f t="shared" si="695"/>
        <v>907937.68800000008</v>
      </c>
      <c r="P832" s="3"/>
      <c r="Q832" s="47">
        <f t="shared" si="696"/>
        <v>0</v>
      </c>
      <c r="R832" s="47">
        <f t="shared" si="697"/>
        <v>0</v>
      </c>
      <c r="S832" s="47">
        <f t="shared" si="698"/>
        <v>4085719.5960000004</v>
      </c>
      <c r="T832" s="47">
        <f t="shared" si="699"/>
        <v>3177781.9080000003</v>
      </c>
      <c r="U832" s="47">
        <f t="shared" si="700"/>
        <v>2269844.2200000002</v>
      </c>
      <c r="V832" s="3"/>
      <c r="W832" s="47">
        <f t="shared" si="701"/>
        <v>0</v>
      </c>
      <c r="X832" s="47">
        <f t="shared" si="702"/>
        <v>0</v>
      </c>
      <c r="Y832" s="47">
        <f t="shared" si="703"/>
        <v>609226.18864800001</v>
      </c>
      <c r="Z832" s="47">
        <f t="shared" si="704"/>
        <v>1028693.4005040001</v>
      </c>
      <c r="AA832" s="47">
        <f t="shared" si="705"/>
        <v>994191.7683600001</v>
      </c>
      <c r="AB832" s="3"/>
      <c r="AC832" s="47">
        <f t="shared" si="711"/>
        <v>0</v>
      </c>
      <c r="AD832" s="47">
        <f t="shared" si="711"/>
        <v>0</v>
      </c>
      <c r="AE832" s="47">
        <f t="shared" si="711"/>
        <v>45396.884400000003</v>
      </c>
      <c r="AF832" s="47">
        <f t="shared" si="711"/>
        <v>46481.325174547208</v>
      </c>
      <c r="AG832" s="47">
        <f t="shared" si="711"/>
        <v>48054.625069055277</v>
      </c>
      <c r="AH832" s="3"/>
      <c r="AI832" s="47">
        <f t="shared" si="706"/>
        <v>0</v>
      </c>
      <c r="AJ832" s="47">
        <f t="shared" si="707"/>
        <v>0</v>
      </c>
      <c r="AK832" s="47">
        <f t="shared" si="708"/>
        <v>654623.07304799999</v>
      </c>
      <c r="AL832" s="47">
        <f t="shared" si="709"/>
        <v>1075174.7256785473</v>
      </c>
      <c r="AM832" s="47">
        <f t="shared" si="710"/>
        <v>1042246.3934290553</v>
      </c>
    </row>
    <row r="833" spans="1:39" s="227" customFormat="1">
      <c r="B833" s="37" t="str">
        <f>'8. Input IC huur Gasunie'!B289</f>
        <v>Asset 31</v>
      </c>
      <c r="C833" s="3"/>
      <c r="D833" s="3"/>
      <c r="E833" s="3"/>
      <c r="F833" s="37" t="str">
        <f>'8. Input IC huur Gasunie'!F289</f>
        <v>38 ICT middelen 2</v>
      </c>
      <c r="G833" s="37">
        <f>'8. Input IC huur Gasunie'!G289</f>
        <v>2024</v>
      </c>
      <c r="H833" s="42">
        <f>'8. Input IC huur Gasunie'!H289</f>
        <v>6226578.5599999996</v>
      </c>
      <c r="I833" s="37">
        <f>'8. Input IC huur Gasunie'!I289</f>
        <v>10</v>
      </c>
      <c r="J833" s="3"/>
      <c r="K833" s="43">
        <f t="shared" si="695"/>
        <v>0</v>
      </c>
      <c r="L833" s="43">
        <f t="shared" si="695"/>
        <v>0</v>
      </c>
      <c r="M833" s="43">
        <f t="shared" si="695"/>
        <v>311328.92800000001</v>
      </c>
      <c r="N833" s="43">
        <f t="shared" si="695"/>
        <v>622657.85599999991</v>
      </c>
      <c r="O833" s="43">
        <f t="shared" si="695"/>
        <v>622657.85599999991</v>
      </c>
      <c r="P833" s="3"/>
      <c r="Q833" s="47">
        <f t="shared" si="696"/>
        <v>0</v>
      </c>
      <c r="R833" s="47">
        <f t="shared" si="697"/>
        <v>0</v>
      </c>
      <c r="S833" s="47">
        <f t="shared" si="698"/>
        <v>5915249.6319999993</v>
      </c>
      <c r="T833" s="47">
        <f t="shared" si="699"/>
        <v>5292591.7759999996</v>
      </c>
      <c r="U833" s="47">
        <f t="shared" si="700"/>
        <v>4669933.92</v>
      </c>
      <c r="V833" s="3"/>
      <c r="W833" s="47">
        <f t="shared" si="701"/>
        <v>0</v>
      </c>
      <c r="X833" s="47">
        <f t="shared" si="702"/>
        <v>0</v>
      </c>
      <c r="Y833" s="47">
        <f t="shared" si="703"/>
        <v>536108.414016</v>
      </c>
      <c r="Z833" s="47">
        <f t="shared" si="704"/>
        <v>823776.34348799987</v>
      </c>
      <c r="AA833" s="47">
        <f t="shared" si="705"/>
        <v>800115.3449599999</v>
      </c>
      <c r="AB833" s="3"/>
      <c r="AC833" s="47">
        <f t="shared" ref="AC833:AG859" si="712">IF(AC$801&gt;=$G833,$H833*INDEX($G$40:$M$46,$G833-2019,AC$801-2019)*INDEX($G$49:$M$55,$G833-2019,AC$801-2019)*$F$28,0)</f>
        <v>0</v>
      </c>
      <c r="AD833" s="47">
        <f t="shared" si="712"/>
        <v>0</v>
      </c>
      <c r="AE833" s="47">
        <f t="shared" si="712"/>
        <v>62265.785599999996</v>
      </c>
      <c r="AF833" s="47">
        <f t="shared" si="712"/>
        <v>63753.190686412803</v>
      </c>
      <c r="AG833" s="47">
        <f t="shared" si="712"/>
        <v>65911.108684766499</v>
      </c>
      <c r="AH833" s="3"/>
      <c r="AI833" s="47">
        <f t="shared" si="706"/>
        <v>0</v>
      </c>
      <c r="AJ833" s="47">
        <f t="shared" si="707"/>
        <v>0</v>
      </c>
      <c r="AK833" s="47">
        <f t="shared" si="708"/>
        <v>598374.19961599994</v>
      </c>
      <c r="AL833" s="47">
        <f t="shared" si="709"/>
        <v>887529.53417441272</v>
      </c>
      <c r="AM833" s="47">
        <f t="shared" si="710"/>
        <v>866026.45364476636</v>
      </c>
    </row>
    <row r="834" spans="1:39" s="227" customFormat="1">
      <c r="B834" s="37" t="str">
        <f>'8. Input IC huur Gasunie'!B290</f>
        <v>Asset 32</v>
      </c>
      <c r="C834" s="3"/>
      <c r="D834" s="3"/>
      <c r="E834" s="3"/>
      <c r="F834" s="37" t="str">
        <f>'8. Input IC huur Gasunie'!F290</f>
        <v>38 ICT middelen 2</v>
      </c>
      <c r="G834" s="37">
        <f>'8. Input IC huur Gasunie'!G290</f>
        <v>2024</v>
      </c>
      <c r="H834" s="42">
        <f>'8. Input IC huur Gasunie'!H290</f>
        <v>187.42</v>
      </c>
      <c r="I834" s="37">
        <f>'8. Input IC huur Gasunie'!I290</f>
        <v>10</v>
      </c>
      <c r="J834" s="3"/>
      <c r="K834" s="43">
        <f t="shared" si="695"/>
        <v>0</v>
      </c>
      <c r="L834" s="43">
        <f t="shared" si="695"/>
        <v>0</v>
      </c>
      <c r="M834" s="43">
        <f t="shared" si="695"/>
        <v>9.3710000000000004</v>
      </c>
      <c r="N834" s="43">
        <f t="shared" si="695"/>
        <v>18.741999999999997</v>
      </c>
      <c r="O834" s="43">
        <f t="shared" si="695"/>
        <v>18.741999999999997</v>
      </c>
      <c r="P834" s="3"/>
      <c r="Q834" s="47">
        <f t="shared" si="696"/>
        <v>0</v>
      </c>
      <c r="R834" s="47">
        <f t="shared" si="697"/>
        <v>0</v>
      </c>
      <c r="S834" s="47">
        <f t="shared" si="698"/>
        <v>178.04899999999998</v>
      </c>
      <c r="T834" s="47">
        <f t="shared" si="699"/>
        <v>159.30699999999999</v>
      </c>
      <c r="U834" s="47">
        <f t="shared" si="700"/>
        <v>140.565</v>
      </c>
      <c r="V834" s="3"/>
      <c r="W834" s="47">
        <f t="shared" si="701"/>
        <v>0</v>
      </c>
      <c r="X834" s="47">
        <f t="shared" si="702"/>
        <v>0</v>
      </c>
      <c r="Y834" s="47">
        <f t="shared" si="703"/>
        <v>16.136862000000001</v>
      </c>
      <c r="Z834" s="47">
        <f t="shared" si="704"/>
        <v>24.795665999999997</v>
      </c>
      <c r="AA834" s="47">
        <f t="shared" si="705"/>
        <v>24.083469999999998</v>
      </c>
      <c r="AB834" s="3"/>
      <c r="AC834" s="47">
        <f t="shared" si="712"/>
        <v>0</v>
      </c>
      <c r="AD834" s="47">
        <f t="shared" si="712"/>
        <v>0</v>
      </c>
      <c r="AE834" s="47">
        <f t="shared" si="712"/>
        <v>1.8741999999999999</v>
      </c>
      <c r="AF834" s="47">
        <f t="shared" si="712"/>
        <v>1.9189708896</v>
      </c>
      <c r="AG834" s="47">
        <f t="shared" si="712"/>
        <v>1.9839242162711808</v>
      </c>
      <c r="AH834" s="3"/>
      <c r="AI834" s="47">
        <f t="shared" si="706"/>
        <v>0</v>
      </c>
      <c r="AJ834" s="47">
        <f t="shared" si="707"/>
        <v>0</v>
      </c>
      <c r="AK834" s="47">
        <f t="shared" si="708"/>
        <v>18.011061999999999</v>
      </c>
      <c r="AL834" s="47">
        <f t="shared" si="709"/>
        <v>26.714636889599998</v>
      </c>
      <c r="AM834" s="47">
        <f t="shared" si="710"/>
        <v>26.067394216271179</v>
      </c>
    </row>
    <row r="835" spans="1:39" s="227" customFormat="1">
      <c r="A835" s="3"/>
      <c r="B835" s="37" t="str">
        <f>'8. Input IC huur Gasunie'!B291</f>
        <v>Asset 33</v>
      </c>
      <c r="C835" s="3"/>
      <c r="D835" s="3"/>
      <c r="E835" s="3"/>
      <c r="F835" s="37" t="str">
        <f>'8. Input IC huur Gasunie'!F291</f>
        <v>39 ICT middelen 3</v>
      </c>
      <c r="G835" s="37">
        <f>'8. Input IC huur Gasunie'!G291</f>
        <v>2024</v>
      </c>
      <c r="H835" s="42">
        <f>'8. Input IC huur Gasunie'!H291</f>
        <v>42771036.399999999</v>
      </c>
      <c r="I835" s="37">
        <f>'8. Input IC huur Gasunie'!I291</f>
        <v>15</v>
      </c>
      <c r="J835" s="3"/>
      <c r="K835" s="43">
        <f t="shared" si="695"/>
        <v>0</v>
      </c>
      <c r="L835" s="43">
        <f t="shared" si="695"/>
        <v>0</v>
      </c>
      <c r="M835" s="43">
        <f t="shared" si="695"/>
        <v>1425701.2133333334</v>
      </c>
      <c r="N835" s="43">
        <f t="shared" si="695"/>
        <v>2851402.4266666668</v>
      </c>
      <c r="O835" s="43">
        <f t="shared" si="695"/>
        <v>2851402.4266666668</v>
      </c>
      <c r="P835" s="3"/>
      <c r="Q835" s="47">
        <f t="shared" si="696"/>
        <v>0</v>
      </c>
      <c r="R835" s="47">
        <f t="shared" si="697"/>
        <v>0</v>
      </c>
      <c r="S835" s="47">
        <f t="shared" si="698"/>
        <v>41345335.186666667</v>
      </c>
      <c r="T835" s="47">
        <f t="shared" si="699"/>
        <v>38493932.759999998</v>
      </c>
      <c r="U835" s="47">
        <f t="shared" si="700"/>
        <v>35642530.333333328</v>
      </c>
      <c r="V835" s="3"/>
      <c r="W835" s="47">
        <f t="shared" si="701"/>
        <v>0</v>
      </c>
      <c r="X835" s="47">
        <f t="shared" si="702"/>
        <v>0</v>
      </c>
      <c r="Y835" s="47">
        <f t="shared" si="703"/>
        <v>2996823.950426667</v>
      </c>
      <c r="Z835" s="47">
        <f t="shared" si="704"/>
        <v>4314171.8715466671</v>
      </c>
      <c r="AA835" s="47">
        <f t="shared" si="705"/>
        <v>4205818.5793333333</v>
      </c>
      <c r="AB835" s="3"/>
      <c r="AC835" s="47">
        <f t="shared" si="712"/>
        <v>0</v>
      </c>
      <c r="AD835" s="47">
        <f t="shared" si="712"/>
        <v>0</v>
      </c>
      <c r="AE835" s="47">
        <f t="shared" si="712"/>
        <v>427710.364</v>
      </c>
      <c r="AF835" s="47">
        <f t="shared" si="712"/>
        <v>437927.50917523209</v>
      </c>
      <c r="AG835" s="47">
        <f t="shared" si="712"/>
        <v>452750.47950579523</v>
      </c>
      <c r="AH835" s="3"/>
      <c r="AI835" s="47">
        <f t="shared" si="706"/>
        <v>0</v>
      </c>
      <c r="AJ835" s="47">
        <f t="shared" si="707"/>
        <v>0</v>
      </c>
      <c r="AK835" s="47">
        <f t="shared" si="708"/>
        <v>3424534.3144266671</v>
      </c>
      <c r="AL835" s="47">
        <f t="shared" si="709"/>
        <v>4752099.3807218987</v>
      </c>
      <c r="AM835" s="47">
        <f t="shared" si="710"/>
        <v>4658569.0588391284</v>
      </c>
    </row>
    <row r="836" spans="1:39" s="227" customFormat="1">
      <c r="A836" s="3"/>
      <c r="B836" s="37" t="str">
        <f>'8. Input IC huur Gasunie'!B292</f>
        <v>Asset 34</v>
      </c>
      <c r="C836" s="3"/>
      <c r="D836" s="3"/>
      <c r="E836" s="3"/>
      <c r="F836" s="37" t="str">
        <f>'8. Input IC huur Gasunie'!F292</f>
        <v>06 Utiliteitsgebouwen</v>
      </c>
      <c r="G836" s="37">
        <f>'8. Input IC huur Gasunie'!G292</f>
        <v>2025</v>
      </c>
      <c r="H836" s="42">
        <f>'8. Input IC huur Gasunie'!H292</f>
        <v>823119.14938283106</v>
      </c>
      <c r="I836" s="37">
        <f>'8. Input IC huur Gasunie'!I292</f>
        <v>30</v>
      </c>
      <c r="J836" s="3"/>
      <c r="K836" s="43">
        <f t="shared" si="695"/>
        <v>0</v>
      </c>
      <c r="L836" s="43">
        <f t="shared" si="695"/>
        <v>0</v>
      </c>
      <c r="M836" s="43">
        <f t="shared" si="695"/>
        <v>0</v>
      </c>
      <c r="N836" s="43">
        <f t="shared" si="695"/>
        <v>13718.652489713852</v>
      </c>
      <c r="O836" s="43">
        <f t="shared" si="695"/>
        <v>27437.304979427703</v>
      </c>
      <c r="P836" s="3"/>
      <c r="Q836" s="47">
        <f t="shared" ref="Q836:Q839" si="713">IF($I836=0,$H836,IF(OR($G836&gt;Q$801,$G836+$I836&lt;=Q$801),0,IF($G836=Q$801,$H836-K836,$H836-K836)))</f>
        <v>0</v>
      </c>
      <c r="R836" s="47">
        <f t="shared" ref="R836:R839" si="714">IF($I836=0,$H836,IF(OR($G836&gt;R$801,$G836+$I836&lt;=R$801),0,IF($G836=R$801,$H836-L836,Q836-L836)))</f>
        <v>0</v>
      </c>
      <c r="S836" s="47">
        <f t="shared" ref="S836:S839" si="715">IF($I836=0,$H836,IF(OR($G836&gt;S$801,$G836+$I836&lt;=S$801),0,IF($G836=S$801,$H836-M836,R836-M836)))</f>
        <v>0</v>
      </c>
      <c r="T836" s="47">
        <f t="shared" ref="T836:T839" si="716">IF($I836=0,$H836,IF(OR($G836&gt;T$801,$G836+$I836&lt;=T$801),0,IF($G836=T$801,$H836-N836,S836-N836)))</f>
        <v>809400.4968931172</v>
      </c>
      <c r="U836" s="47">
        <f t="shared" ref="U836:U839" si="717">IF($I836=0,$H836,IF(OR($G836&gt;U$801,$G836+$I836&lt;=U$801),0,IF($G836=U$801,$H836-O836,T836-O836)))</f>
        <v>781963.19191368949</v>
      </c>
      <c r="V836" s="3"/>
      <c r="W836" s="47">
        <f t="shared" ref="W836:W839" si="718">(K836+Q836*I$16)</f>
        <v>0</v>
      </c>
      <c r="X836" s="47">
        <f t="shared" ref="X836:X839" si="719">(L836+R836*J$16)</f>
        <v>0</v>
      </c>
      <c r="Y836" s="47">
        <f t="shared" ref="Y836:Y839" si="720">(M836+S836*K$16)</f>
        <v>0</v>
      </c>
      <c r="Z836" s="47">
        <f t="shared" ref="Z836:Z839" si="721">(N836+T836*L$16)</f>
        <v>44475.871371652305</v>
      </c>
      <c r="AA836" s="47">
        <f t="shared" ref="AA836:AA839" si="722">(O836+U836*M$16)</f>
        <v>57151.906272147899</v>
      </c>
      <c r="AB836" s="3"/>
      <c r="AC836" s="47">
        <f t="shared" si="712"/>
        <v>0</v>
      </c>
      <c r="AD836" s="47">
        <f t="shared" si="712"/>
        <v>0</v>
      </c>
      <c r="AE836" s="47">
        <f t="shared" si="712"/>
        <v>0</v>
      </c>
      <c r="AF836" s="47">
        <f t="shared" si="712"/>
        <v>8231.1914938283116</v>
      </c>
      <c r="AG836" s="47">
        <f t="shared" si="712"/>
        <v>8509.8008635114129</v>
      </c>
      <c r="AH836" s="3"/>
      <c r="AI836" s="47">
        <f t="shared" ref="AI836:AI839" si="723">W836+AC836</f>
        <v>0</v>
      </c>
      <c r="AJ836" s="47">
        <f t="shared" ref="AJ836:AJ839" si="724">X836+AD836</f>
        <v>0</v>
      </c>
      <c r="AK836" s="47">
        <f t="shared" ref="AK836:AK839" si="725">Y836+AE836</f>
        <v>0</v>
      </c>
      <c r="AL836" s="47">
        <f t="shared" ref="AL836:AL839" si="726">Z836+AF836</f>
        <v>52707.062865480621</v>
      </c>
      <c r="AM836" s="47">
        <f t="shared" ref="AM836:AM839" si="727">AA836+AG836</f>
        <v>65661.707135659308</v>
      </c>
    </row>
    <row r="837" spans="1:39" s="227" customFormat="1">
      <c r="A837" s="3"/>
      <c r="B837" s="37" t="str">
        <f>'8. Input IC huur Gasunie'!B293</f>
        <v>Asset 35</v>
      </c>
      <c r="C837" s="3"/>
      <c r="D837" s="3"/>
      <c r="E837" s="3"/>
      <c r="F837" s="37" t="str">
        <f>'8. Input IC huur Gasunie'!F293</f>
        <v>06 Utiliteitsgebouwen</v>
      </c>
      <c r="G837" s="37">
        <f>'8. Input IC huur Gasunie'!G293</f>
        <v>2025</v>
      </c>
      <c r="H837" s="42">
        <f>'8. Input IC huur Gasunie'!H293</f>
        <v>79840.511408965336</v>
      </c>
      <c r="I837" s="37">
        <f>'8. Input IC huur Gasunie'!I293</f>
        <v>30</v>
      </c>
      <c r="J837" s="3"/>
      <c r="K837" s="43">
        <f t="shared" ref="K837:O869" si="728">IF($I837=0,0,IF($G837&lt;=K$801,VDB(ABS($H837),0,$I837,MAX(0,K$801-$G837-0.5),MIN(K$801-$G837+0.5),1),0))</f>
        <v>0</v>
      </c>
      <c r="L837" s="43">
        <f t="shared" si="728"/>
        <v>0</v>
      </c>
      <c r="M837" s="43">
        <f t="shared" si="728"/>
        <v>0</v>
      </c>
      <c r="N837" s="43">
        <f t="shared" si="728"/>
        <v>1330.6751901494222</v>
      </c>
      <c r="O837" s="43">
        <f t="shared" si="728"/>
        <v>2661.3503802988444</v>
      </c>
      <c r="P837" s="3"/>
      <c r="Q837" s="47">
        <f t="shared" si="713"/>
        <v>0</v>
      </c>
      <c r="R837" s="47">
        <f t="shared" si="714"/>
        <v>0</v>
      </c>
      <c r="S837" s="47">
        <f t="shared" si="715"/>
        <v>0</v>
      </c>
      <c r="T837" s="47">
        <f t="shared" si="716"/>
        <v>78509.836218815908</v>
      </c>
      <c r="U837" s="47">
        <f t="shared" si="717"/>
        <v>75848.485838517066</v>
      </c>
      <c r="V837" s="3"/>
      <c r="W837" s="47">
        <f t="shared" si="718"/>
        <v>0</v>
      </c>
      <c r="X837" s="47">
        <f t="shared" si="719"/>
        <v>0</v>
      </c>
      <c r="Y837" s="47">
        <f t="shared" si="720"/>
        <v>0</v>
      </c>
      <c r="Z837" s="47">
        <f t="shared" si="721"/>
        <v>4314.0489664644265</v>
      </c>
      <c r="AA837" s="47">
        <f t="shared" si="722"/>
        <v>5543.5928421624922</v>
      </c>
      <c r="AB837" s="3"/>
      <c r="AC837" s="47">
        <f t="shared" si="712"/>
        <v>0</v>
      </c>
      <c r="AD837" s="47">
        <f t="shared" si="712"/>
        <v>0</v>
      </c>
      <c r="AE837" s="47">
        <f t="shared" si="712"/>
        <v>0</v>
      </c>
      <c r="AF837" s="47">
        <f t="shared" si="712"/>
        <v>798.40511408965335</v>
      </c>
      <c r="AG837" s="47">
        <f t="shared" si="712"/>
        <v>825.42953039136</v>
      </c>
      <c r="AH837" s="3"/>
      <c r="AI837" s="47">
        <f t="shared" si="723"/>
        <v>0</v>
      </c>
      <c r="AJ837" s="47">
        <f t="shared" si="724"/>
        <v>0</v>
      </c>
      <c r="AK837" s="47">
        <f t="shared" si="725"/>
        <v>0</v>
      </c>
      <c r="AL837" s="47">
        <f t="shared" si="726"/>
        <v>5112.4540805540801</v>
      </c>
      <c r="AM837" s="47">
        <f t="shared" si="727"/>
        <v>6369.0223725538526</v>
      </c>
    </row>
    <row r="838" spans="1:39" s="227" customFormat="1">
      <c r="A838" s="3"/>
      <c r="B838" s="37" t="str">
        <f>'8. Input IC huur Gasunie'!B294</f>
        <v>Asset 36</v>
      </c>
      <c r="C838" s="3"/>
      <c r="D838" s="3"/>
      <c r="E838" s="3"/>
      <c r="F838" s="37" t="str">
        <f>'8. Input IC huur Gasunie'!F294</f>
        <v>06 Utiliteitsgebouwen</v>
      </c>
      <c r="G838" s="37">
        <f>'8. Input IC huur Gasunie'!G294</f>
        <v>2025</v>
      </c>
      <c r="H838" s="42">
        <f>'8. Input IC huur Gasunie'!H294</f>
        <v>29516.404582978834</v>
      </c>
      <c r="I838" s="37">
        <f>'8. Input IC huur Gasunie'!I294</f>
        <v>30</v>
      </c>
      <c r="J838" s="3"/>
      <c r="K838" s="43">
        <f t="shared" si="728"/>
        <v>0</v>
      </c>
      <c r="L838" s="43">
        <f t="shared" si="728"/>
        <v>0</v>
      </c>
      <c r="M838" s="43">
        <f t="shared" si="728"/>
        <v>0</v>
      </c>
      <c r="N838" s="43">
        <f t="shared" si="728"/>
        <v>491.94007638298058</v>
      </c>
      <c r="O838" s="43">
        <f t="shared" si="728"/>
        <v>983.88015276596116</v>
      </c>
      <c r="P838" s="3"/>
      <c r="Q838" s="47">
        <f t="shared" si="713"/>
        <v>0</v>
      </c>
      <c r="R838" s="47">
        <f t="shared" si="714"/>
        <v>0</v>
      </c>
      <c r="S838" s="47">
        <f t="shared" si="715"/>
        <v>0</v>
      </c>
      <c r="T838" s="47">
        <f t="shared" si="716"/>
        <v>29024.464506595854</v>
      </c>
      <c r="U838" s="47">
        <f t="shared" si="717"/>
        <v>28040.584353829894</v>
      </c>
      <c r="V838" s="3"/>
      <c r="W838" s="47">
        <f t="shared" si="718"/>
        <v>0</v>
      </c>
      <c r="X838" s="47">
        <f t="shared" si="719"/>
        <v>0</v>
      </c>
      <c r="Y838" s="47">
        <f t="shared" si="720"/>
        <v>0</v>
      </c>
      <c r="Z838" s="47">
        <f t="shared" si="721"/>
        <v>1594.8697276336229</v>
      </c>
      <c r="AA838" s="47">
        <f t="shared" si="722"/>
        <v>2049.4223582114973</v>
      </c>
      <c r="AB838" s="3"/>
      <c r="AC838" s="47">
        <f t="shared" si="712"/>
        <v>0</v>
      </c>
      <c r="AD838" s="47">
        <f t="shared" si="712"/>
        <v>0</v>
      </c>
      <c r="AE838" s="47">
        <f t="shared" si="712"/>
        <v>0</v>
      </c>
      <c r="AF838" s="47">
        <f t="shared" si="712"/>
        <v>295.16404582978834</v>
      </c>
      <c r="AG838" s="47">
        <f t="shared" si="712"/>
        <v>305.15475845303502</v>
      </c>
      <c r="AH838" s="3"/>
      <c r="AI838" s="47">
        <f t="shared" si="723"/>
        <v>0</v>
      </c>
      <c r="AJ838" s="47">
        <f t="shared" si="724"/>
        <v>0</v>
      </c>
      <c r="AK838" s="47">
        <f t="shared" si="725"/>
        <v>0</v>
      </c>
      <c r="AL838" s="47">
        <f t="shared" si="726"/>
        <v>1890.0337734634113</v>
      </c>
      <c r="AM838" s="47">
        <f t="shared" si="727"/>
        <v>2354.5771166645322</v>
      </c>
    </row>
    <row r="839" spans="1:39" s="227" customFormat="1">
      <c r="A839" s="3"/>
      <c r="B839" s="37" t="str">
        <f>'8. Input IC huur Gasunie'!B295</f>
        <v>Asset 37</v>
      </c>
      <c r="C839" s="3"/>
      <c r="D839" s="3"/>
      <c r="E839" s="3"/>
      <c r="F839" s="37" t="str">
        <f>'8. Input IC huur Gasunie'!F295</f>
        <v>06 Utiliteitsgebouwen</v>
      </c>
      <c r="G839" s="37">
        <f>'8. Input IC huur Gasunie'!G295</f>
        <v>2025</v>
      </c>
      <c r="H839" s="42">
        <f>'8. Input IC huur Gasunie'!H295</f>
        <v>142001.2741841212</v>
      </c>
      <c r="I839" s="37">
        <f>'8. Input IC huur Gasunie'!I295</f>
        <v>30</v>
      </c>
      <c r="J839" s="3"/>
      <c r="K839" s="43">
        <f t="shared" si="728"/>
        <v>0</v>
      </c>
      <c r="L839" s="43">
        <f t="shared" si="728"/>
        <v>0</v>
      </c>
      <c r="M839" s="43">
        <f t="shared" si="728"/>
        <v>0</v>
      </c>
      <c r="N839" s="43">
        <f t="shared" si="728"/>
        <v>2366.6879030686864</v>
      </c>
      <c r="O839" s="43">
        <f t="shared" si="728"/>
        <v>4733.3758061373728</v>
      </c>
      <c r="P839" s="3"/>
      <c r="Q839" s="47">
        <f t="shared" si="713"/>
        <v>0</v>
      </c>
      <c r="R839" s="47">
        <f t="shared" si="714"/>
        <v>0</v>
      </c>
      <c r="S839" s="47">
        <f t="shared" si="715"/>
        <v>0</v>
      </c>
      <c r="T839" s="47">
        <f t="shared" si="716"/>
        <v>139634.5862810525</v>
      </c>
      <c r="U839" s="47">
        <f t="shared" si="717"/>
        <v>134901.21047491513</v>
      </c>
      <c r="V839" s="3"/>
      <c r="W839" s="47">
        <f t="shared" si="718"/>
        <v>0</v>
      </c>
      <c r="X839" s="47">
        <f t="shared" si="719"/>
        <v>0</v>
      </c>
      <c r="Y839" s="47">
        <f t="shared" si="720"/>
        <v>0</v>
      </c>
      <c r="Z839" s="47">
        <f t="shared" si="721"/>
        <v>7672.8021817486806</v>
      </c>
      <c r="AA839" s="47">
        <f t="shared" si="722"/>
        <v>9859.6218041841475</v>
      </c>
      <c r="AB839" s="3"/>
      <c r="AC839" s="47">
        <f t="shared" si="712"/>
        <v>0</v>
      </c>
      <c r="AD839" s="47">
        <f t="shared" si="712"/>
        <v>0</v>
      </c>
      <c r="AE839" s="47">
        <f t="shared" si="712"/>
        <v>0</v>
      </c>
      <c r="AF839" s="47">
        <f t="shared" si="712"/>
        <v>1420.0127418412119</v>
      </c>
      <c r="AG839" s="47">
        <f t="shared" si="712"/>
        <v>1468.0773331270536</v>
      </c>
      <c r="AH839" s="3"/>
      <c r="AI839" s="47">
        <f t="shared" si="723"/>
        <v>0</v>
      </c>
      <c r="AJ839" s="47">
        <f t="shared" si="724"/>
        <v>0</v>
      </c>
      <c r="AK839" s="47">
        <f t="shared" si="725"/>
        <v>0</v>
      </c>
      <c r="AL839" s="47">
        <f t="shared" si="726"/>
        <v>9092.8149235898927</v>
      </c>
      <c r="AM839" s="47">
        <f t="shared" si="727"/>
        <v>11327.699137311201</v>
      </c>
    </row>
    <row r="840" spans="1:39" s="227" customFormat="1">
      <c r="A840" s="3"/>
      <c r="B840" s="37" t="str">
        <f>'8. Input IC huur Gasunie'!B296</f>
        <v>Asset 38</v>
      </c>
      <c r="C840" s="3"/>
      <c r="D840" s="3"/>
      <c r="E840" s="3"/>
      <c r="F840" s="37" t="str">
        <f>'8. Input IC huur Gasunie'!F296</f>
        <v>06 Utiliteitsgebouwen</v>
      </c>
      <c r="G840" s="37">
        <f>'8. Input IC huur Gasunie'!G296</f>
        <v>2025</v>
      </c>
      <c r="H840" s="42">
        <f>'8. Input IC huur Gasunie'!H296</f>
        <v>284374.62756886677</v>
      </c>
      <c r="I840" s="37">
        <f>'8. Input IC huur Gasunie'!I296</f>
        <v>30</v>
      </c>
      <c r="J840" s="3"/>
      <c r="K840" s="43">
        <f t="shared" si="728"/>
        <v>0</v>
      </c>
      <c r="L840" s="43">
        <f t="shared" si="728"/>
        <v>0</v>
      </c>
      <c r="M840" s="43">
        <f t="shared" si="728"/>
        <v>0</v>
      </c>
      <c r="N840" s="43">
        <f t="shared" si="728"/>
        <v>4739.5771261477794</v>
      </c>
      <c r="O840" s="43">
        <f t="shared" si="728"/>
        <v>9479.1542522955588</v>
      </c>
      <c r="P840" s="3"/>
      <c r="Q840" s="47">
        <f t="shared" ref="Q840:Q869" si="729">IF($I840=0,$H840,IF(OR($G840&gt;Q$801,$G840+$I840&lt;=Q$801),0,IF($G840=Q$801,$H840-K840,$H840-K840)))</f>
        <v>0</v>
      </c>
      <c r="R840" s="47">
        <f t="shared" ref="R840:R869" si="730">IF($I840=0,$H840,IF(OR($G840&gt;R$801,$G840+$I840&lt;=R$801),0,IF($G840=R$801,$H840-L840,Q840-L840)))</f>
        <v>0</v>
      </c>
      <c r="S840" s="47">
        <f t="shared" ref="S840:S869" si="731">IF($I840=0,$H840,IF(OR($G840&gt;S$801,$G840+$I840&lt;=S$801),0,IF($G840=S$801,$H840-M840,R840-M840)))</f>
        <v>0</v>
      </c>
      <c r="T840" s="47">
        <f t="shared" ref="T840:T869" si="732">IF($I840=0,$H840,IF(OR($G840&gt;T$801,$G840+$I840&lt;=T$801),0,IF($G840=T$801,$H840-N840,S840-N840)))</f>
        <v>279635.05044271896</v>
      </c>
      <c r="U840" s="47">
        <f t="shared" ref="U840:U869" si="733">IF($I840=0,$H840,IF(OR($G840&gt;U$801,$G840+$I840&lt;=U$801),0,IF($G840=U$801,$H840-O840,T840-O840)))</f>
        <v>270155.8961904234</v>
      </c>
      <c r="V840" s="3"/>
      <c r="W840" s="47">
        <f t="shared" ref="W840:W869" si="734">(K840+Q840*I$16)</f>
        <v>0</v>
      </c>
      <c r="X840" s="47">
        <f t="shared" ref="X840:X869" si="735">(L840+R840*J$16)</f>
        <v>0</v>
      </c>
      <c r="Y840" s="47">
        <f t="shared" ref="Y840:Y869" si="736">(M840+S840*K$16)</f>
        <v>0</v>
      </c>
      <c r="Z840" s="47">
        <f t="shared" ref="Z840:Z869" si="737">(N840+T840*L$16)</f>
        <v>15365.709042971099</v>
      </c>
      <c r="AA840" s="47">
        <f t="shared" ref="AA840:AA869" si="738">(O840+U840*M$16)</f>
        <v>19745.07830753165</v>
      </c>
      <c r="AB840" s="3"/>
      <c r="AC840" s="47">
        <f t="shared" si="712"/>
        <v>0</v>
      </c>
      <c r="AD840" s="47">
        <f t="shared" si="712"/>
        <v>0</v>
      </c>
      <c r="AE840" s="47">
        <f t="shared" si="712"/>
        <v>0</v>
      </c>
      <c r="AF840" s="47">
        <f t="shared" si="712"/>
        <v>2843.7462756886675</v>
      </c>
      <c r="AG840" s="47">
        <f t="shared" si="712"/>
        <v>2940.0013996281782</v>
      </c>
      <c r="AH840" s="3"/>
      <c r="AI840" s="47">
        <f t="shared" ref="AI840:AI869" si="739">W840+AC840</f>
        <v>0</v>
      </c>
      <c r="AJ840" s="47">
        <f t="shared" ref="AJ840:AJ869" si="740">X840+AD840</f>
        <v>0</v>
      </c>
      <c r="AK840" s="47">
        <f t="shared" ref="AK840:AK869" si="741">Y840+AE840</f>
        <v>0</v>
      </c>
      <c r="AL840" s="47">
        <f t="shared" ref="AL840:AL869" si="742">Z840+AF840</f>
        <v>18209.455318659766</v>
      </c>
      <c r="AM840" s="47">
        <f t="shared" ref="AM840:AM869" si="743">AA840+AG840</f>
        <v>22685.079707159828</v>
      </c>
    </row>
    <row r="841" spans="1:39" s="227" customFormat="1">
      <c r="A841" s="3"/>
      <c r="B841" s="37" t="str">
        <f>'8. Input IC huur Gasunie'!B297</f>
        <v>Asset 39</v>
      </c>
      <c r="C841" s="3"/>
      <c r="D841" s="3"/>
      <c r="E841" s="3"/>
      <c r="F841" s="37" t="str">
        <f>'8. Input IC huur Gasunie'!F297</f>
        <v>06 Utiliteitsgebouwen</v>
      </c>
      <c r="G841" s="37">
        <f>'8. Input IC huur Gasunie'!G297</f>
        <v>2025</v>
      </c>
      <c r="H841" s="42">
        <f>'8. Input IC huur Gasunie'!H297</f>
        <v>39033.41174066325</v>
      </c>
      <c r="I841" s="37">
        <f>'8. Input IC huur Gasunie'!I297</f>
        <v>30</v>
      </c>
      <c r="J841" s="3"/>
      <c r="K841" s="43">
        <f t="shared" si="728"/>
        <v>0</v>
      </c>
      <c r="L841" s="43">
        <f t="shared" si="728"/>
        <v>0</v>
      </c>
      <c r="M841" s="43">
        <f t="shared" si="728"/>
        <v>0</v>
      </c>
      <c r="N841" s="43">
        <f t="shared" si="728"/>
        <v>650.55686234438747</v>
      </c>
      <c r="O841" s="43">
        <f t="shared" si="728"/>
        <v>1301.1137246887749</v>
      </c>
      <c r="P841" s="3"/>
      <c r="Q841" s="47">
        <f t="shared" si="729"/>
        <v>0</v>
      </c>
      <c r="R841" s="47">
        <f t="shared" si="730"/>
        <v>0</v>
      </c>
      <c r="S841" s="47">
        <f t="shared" si="731"/>
        <v>0</v>
      </c>
      <c r="T841" s="47">
        <f t="shared" si="732"/>
        <v>38382.85487831886</v>
      </c>
      <c r="U841" s="47">
        <f t="shared" si="733"/>
        <v>37081.741153630086</v>
      </c>
      <c r="V841" s="3"/>
      <c r="W841" s="47">
        <f t="shared" si="734"/>
        <v>0</v>
      </c>
      <c r="X841" s="47">
        <f t="shared" si="735"/>
        <v>0</v>
      </c>
      <c r="Y841" s="47">
        <f t="shared" si="736"/>
        <v>0</v>
      </c>
      <c r="Z841" s="47">
        <f t="shared" si="737"/>
        <v>2109.1053477205041</v>
      </c>
      <c r="AA841" s="47">
        <f t="shared" si="738"/>
        <v>2710.219888526718</v>
      </c>
      <c r="AB841" s="3"/>
      <c r="AC841" s="47">
        <f t="shared" si="712"/>
        <v>0</v>
      </c>
      <c r="AD841" s="47">
        <f t="shared" si="712"/>
        <v>0</v>
      </c>
      <c r="AE841" s="47">
        <f t="shared" si="712"/>
        <v>0</v>
      </c>
      <c r="AF841" s="47">
        <f t="shared" si="712"/>
        <v>390.33411740663252</v>
      </c>
      <c r="AG841" s="47">
        <f t="shared" si="712"/>
        <v>403.54614661261223</v>
      </c>
      <c r="AH841" s="3"/>
      <c r="AI841" s="47">
        <f t="shared" si="739"/>
        <v>0</v>
      </c>
      <c r="AJ841" s="47">
        <f t="shared" si="740"/>
        <v>0</v>
      </c>
      <c r="AK841" s="47">
        <f t="shared" si="741"/>
        <v>0</v>
      </c>
      <c r="AL841" s="47">
        <f t="shared" si="742"/>
        <v>2499.4394651271368</v>
      </c>
      <c r="AM841" s="47">
        <f t="shared" si="743"/>
        <v>3113.7660351393301</v>
      </c>
    </row>
    <row r="842" spans="1:39" s="227" customFormat="1">
      <c r="A842" s="3"/>
      <c r="B842" s="37" t="str">
        <f>'8. Input IC huur Gasunie'!B298</f>
        <v>Asset 40</v>
      </c>
      <c r="C842" s="3"/>
      <c r="D842" s="3"/>
      <c r="E842" s="3"/>
      <c r="F842" s="37" t="str">
        <f>'8. Input IC huur Gasunie'!F298</f>
        <v>05 Wegen en terreinvoorzieningen</v>
      </c>
      <c r="G842" s="37">
        <f>'8. Input IC huur Gasunie'!G298</f>
        <v>2025</v>
      </c>
      <c r="H842" s="42">
        <f>'8. Input IC huur Gasunie'!H298</f>
        <v>276192.35192739591</v>
      </c>
      <c r="I842" s="37">
        <f>'8. Input IC huur Gasunie'!I298</f>
        <v>10</v>
      </c>
      <c r="J842" s="3"/>
      <c r="K842" s="43">
        <f t="shared" si="728"/>
        <v>0</v>
      </c>
      <c r="L842" s="43">
        <f t="shared" si="728"/>
        <v>0</v>
      </c>
      <c r="M842" s="43">
        <f t="shared" si="728"/>
        <v>0</v>
      </c>
      <c r="N842" s="43">
        <f t="shared" si="728"/>
        <v>13809.617596369797</v>
      </c>
      <c r="O842" s="43">
        <f t="shared" si="728"/>
        <v>27619.23519273959</v>
      </c>
      <c r="P842" s="3"/>
      <c r="Q842" s="47">
        <f t="shared" si="729"/>
        <v>0</v>
      </c>
      <c r="R842" s="47">
        <f t="shared" si="730"/>
        <v>0</v>
      </c>
      <c r="S842" s="47">
        <f t="shared" si="731"/>
        <v>0</v>
      </c>
      <c r="T842" s="47">
        <f t="shared" si="732"/>
        <v>262382.73433102609</v>
      </c>
      <c r="U842" s="47">
        <f t="shared" si="733"/>
        <v>234763.49913828651</v>
      </c>
      <c r="V842" s="3"/>
      <c r="W842" s="47">
        <f t="shared" si="734"/>
        <v>0</v>
      </c>
      <c r="X842" s="47">
        <f t="shared" si="735"/>
        <v>0</v>
      </c>
      <c r="Y842" s="47">
        <f t="shared" si="736"/>
        <v>0</v>
      </c>
      <c r="Z842" s="47">
        <f t="shared" si="737"/>
        <v>23780.161500948787</v>
      </c>
      <c r="AA842" s="47">
        <f t="shared" si="738"/>
        <v>36540.248159994473</v>
      </c>
      <c r="AB842" s="3"/>
      <c r="AC842" s="47">
        <f t="shared" si="712"/>
        <v>0</v>
      </c>
      <c r="AD842" s="47">
        <f t="shared" si="712"/>
        <v>0</v>
      </c>
      <c r="AE842" s="47">
        <f t="shared" si="712"/>
        <v>0</v>
      </c>
      <c r="AF842" s="47">
        <f t="shared" si="712"/>
        <v>2761.9235192739593</v>
      </c>
      <c r="AG842" s="47">
        <f t="shared" si="712"/>
        <v>2855.4091065543444</v>
      </c>
      <c r="AH842" s="3"/>
      <c r="AI842" s="47">
        <f t="shared" si="739"/>
        <v>0</v>
      </c>
      <c r="AJ842" s="47">
        <f t="shared" si="740"/>
        <v>0</v>
      </c>
      <c r="AK842" s="47">
        <f t="shared" si="741"/>
        <v>0</v>
      </c>
      <c r="AL842" s="47">
        <f t="shared" si="742"/>
        <v>26542.085020222745</v>
      </c>
      <c r="AM842" s="47">
        <f t="shared" si="743"/>
        <v>39395.65726654882</v>
      </c>
    </row>
    <row r="843" spans="1:39" s="227" customFormat="1">
      <c r="A843" s="3"/>
      <c r="B843" s="37" t="str">
        <f>'8. Input IC huur Gasunie'!B299</f>
        <v>Asset 41</v>
      </c>
      <c r="C843" s="3"/>
      <c r="D843" s="3"/>
      <c r="E843" s="3"/>
      <c r="F843" s="37" t="str">
        <f>'8. Input IC huur Gasunie'!F299</f>
        <v>05 Wegen en terreinvoorzieningen</v>
      </c>
      <c r="G843" s="37">
        <f>'8. Input IC huur Gasunie'!G299</f>
        <v>2025</v>
      </c>
      <c r="H843" s="42">
        <f>'8. Input IC huur Gasunie'!H299</f>
        <v>84632.380796501107</v>
      </c>
      <c r="I843" s="37">
        <f>'8. Input IC huur Gasunie'!I299</f>
        <v>10</v>
      </c>
      <c r="J843" s="3"/>
      <c r="K843" s="43">
        <f t="shared" si="728"/>
        <v>0</v>
      </c>
      <c r="L843" s="43">
        <f t="shared" si="728"/>
        <v>0</v>
      </c>
      <c r="M843" s="43">
        <f t="shared" si="728"/>
        <v>0</v>
      </c>
      <c r="N843" s="43">
        <f t="shared" si="728"/>
        <v>4231.6190398250556</v>
      </c>
      <c r="O843" s="43">
        <f t="shared" si="728"/>
        <v>8463.2380796501093</v>
      </c>
      <c r="P843" s="3"/>
      <c r="Q843" s="47">
        <f t="shared" si="729"/>
        <v>0</v>
      </c>
      <c r="R843" s="47">
        <f t="shared" si="730"/>
        <v>0</v>
      </c>
      <c r="S843" s="47">
        <f t="shared" si="731"/>
        <v>0</v>
      </c>
      <c r="T843" s="47">
        <f t="shared" si="732"/>
        <v>80400.761756676045</v>
      </c>
      <c r="U843" s="47">
        <f t="shared" si="733"/>
        <v>71937.523677025936</v>
      </c>
      <c r="V843" s="3"/>
      <c r="W843" s="47">
        <f t="shared" si="734"/>
        <v>0</v>
      </c>
      <c r="X843" s="47">
        <f t="shared" si="735"/>
        <v>0</v>
      </c>
      <c r="Y843" s="47">
        <f t="shared" si="736"/>
        <v>0</v>
      </c>
      <c r="Z843" s="47">
        <f t="shared" si="737"/>
        <v>7286.8479865787449</v>
      </c>
      <c r="AA843" s="47">
        <f t="shared" si="738"/>
        <v>11196.863979377094</v>
      </c>
      <c r="AB843" s="3"/>
      <c r="AC843" s="47">
        <f t="shared" si="712"/>
        <v>0</v>
      </c>
      <c r="AD843" s="47">
        <f t="shared" si="712"/>
        <v>0</v>
      </c>
      <c r="AE843" s="47">
        <f t="shared" si="712"/>
        <v>0</v>
      </c>
      <c r="AF843" s="47">
        <f t="shared" si="712"/>
        <v>846.32380796501104</v>
      </c>
      <c r="AG843" s="47">
        <f t="shared" si="712"/>
        <v>874.9701762170107</v>
      </c>
      <c r="AH843" s="3"/>
      <c r="AI843" s="47">
        <f t="shared" si="739"/>
        <v>0</v>
      </c>
      <c r="AJ843" s="47">
        <f t="shared" si="740"/>
        <v>0</v>
      </c>
      <c r="AK843" s="47">
        <f t="shared" si="741"/>
        <v>0</v>
      </c>
      <c r="AL843" s="47">
        <f t="shared" si="742"/>
        <v>8133.1717945437558</v>
      </c>
      <c r="AM843" s="47">
        <f t="shared" si="743"/>
        <v>12071.834155594104</v>
      </c>
    </row>
    <row r="844" spans="1:39" s="227" customFormat="1">
      <c r="A844" s="3"/>
      <c r="B844" s="37" t="str">
        <f>'8. Input IC huur Gasunie'!B300</f>
        <v>Asset 42</v>
      </c>
      <c r="C844" s="3"/>
      <c r="D844" s="3"/>
      <c r="E844" s="3"/>
      <c r="F844" s="37" t="str">
        <f>'8. Input IC huur Gasunie'!F300</f>
        <v>08 Inrichting gebouwen</v>
      </c>
      <c r="G844" s="37">
        <f>'8. Input IC huur Gasunie'!G300</f>
        <v>2025</v>
      </c>
      <c r="H844" s="42">
        <f>'8. Input IC huur Gasunie'!H300</f>
        <v>121066.85850569428</v>
      </c>
      <c r="I844" s="37">
        <f>'8. Input IC huur Gasunie'!I300</f>
        <v>10</v>
      </c>
      <c r="J844" s="3"/>
      <c r="K844" s="43">
        <f t="shared" si="728"/>
        <v>0</v>
      </c>
      <c r="L844" s="43">
        <f t="shared" si="728"/>
        <v>0</v>
      </c>
      <c r="M844" s="43">
        <f t="shared" si="728"/>
        <v>0</v>
      </c>
      <c r="N844" s="43">
        <f t="shared" si="728"/>
        <v>6053.3429252847145</v>
      </c>
      <c r="O844" s="43">
        <f t="shared" si="728"/>
        <v>12106.685850569429</v>
      </c>
      <c r="P844" s="3"/>
      <c r="Q844" s="47">
        <f t="shared" si="729"/>
        <v>0</v>
      </c>
      <c r="R844" s="47">
        <f t="shared" si="730"/>
        <v>0</v>
      </c>
      <c r="S844" s="47">
        <f t="shared" si="731"/>
        <v>0</v>
      </c>
      <c r="T844" s="47">
        <f t="shared" si="732"/>
        <v>115013.51558040957</v>
      </c>
      <c r="U844" s="47">
        <f t="shared" si="733"/>
        <v>102906.82972984014</v>
      </c>
      <c r="V844" s="3"/>
      <c r="W844" s="47">
        <f t="shared" si="734"/>
        <v>0</v>
      </c>
      <c r="X844" s="47">
        <f t="shared" si="735"/>
        <v>0</v>
      </c>
      <c r="Y844" s="47">
        <f t="shared" si="736"/>
        <v>0</v>
      </c>
      <c r="Z844" s="47">
        <f t="shared" si="737"/>
        <v>10423.856517340279</v>
      </c>
      <c r="AA844" s="47">
        <f t="shared" si="738"/>
        <v>16017.145380303355</v>
      </c>
      <c r="AB844" s="3"/>
      <c r="AC844" s="47">
        <f t="shared" si="712"/>
        <v>0</v>
      </c>
      <c r="AD844" s="47">
        <f t="shared" si="712"/>
        <v>0</v>
      </c>
      <c r="AE844" s="47">
        <f t="shared" si="712"/>
        <v>0</v>
      </c>
      <c r="AF844" s="47">
        <f t="shared" si="712"/>
        <v>1210.6685850569429</v>
      </c>
      <c r="AG844" s="47">
        <f t="shared" si="712"/>
        <v>1251.6472953239502</v>
      </c>
      <c r="AH844" s="3"/>
      <c r="AI844" s="47">
        <f t="shared" si="739"/>
        <v>0</v>
      </c>
      <c r="AJ844" s="47">
        <f t="shared" si="740"/>
        <v>0</v>
      </c>
      <c r="AK844" s="47">
        <f t="shared" si="741"/>
        <v>0</v>
      </c>
      <c r="AL844" s="47">
        <f t="shared" si="742"/>
        <v>11634.525102397221</v>
      </c>
      <c r="AM844" s="47">
        <f t="shared" si="743"/>
        <v>17268.792675627305</v>
      </c>
    </row>
    <row r="845" spans="1:39" s="227" customFormat="1">
      <c r="A845" s="3"/>
      <c r="B845" s="37" t="str">
        <f>'8. Input IC huur Gasunie'!B301</f>
        <v>Asset 43</v>
      </c>
      <c r="C845" s="3"/>
      <c r="D845" s="3"/>
      <c r="E845" s="3"/>
      <c r="F845" s="37" t="str">
        <f>'8. Input IC huur Gasunie'!F301</f>
        <v>08 Inrichting gebouwen</v>
      </c>
      <c r="G845" s="37">
        <f>'8. Input IC huur Gasunie'!G301</f>
        <v>2025</v>
      </c>
      <c r="H845" s="42">
        <f>'8. Input IC huur Gasunie'!H301</f>
        <v>447550.44191847811</v>
      </c>
      <c r="I845" s="37">
        <f>'8. Input IC huur Gasunie'!I301</f>
        <v>10</v>
      </c>
      <c r="J845" s="3"/>
      <c r="K845" s="43">
        <f t="shared" si="728"/>
        <v>0</v>
      </c>
      <c r="L845" s="43">
        <f t="shared" si="728"/>
        <v>0</v>
      </c>
      <c r="M845" s="43">
        <f t="shared" si="728"/>
        <v>0</v>
      </c>
      <c r="N845" s="43">
        <f t="shared" si="728"/>
        <v>22377.522095923909</v>
      </c>
      <c r="O845" s="43">
        <f t="shared" si="728"/>
        <v>44755.04419184781</v>
      </c>
      <c r="P845" s="3"/>
      <c r="Q845" s="47">
        <f t="shared" si="729"/>
        <v>0</v>
      </c>
      <c r="R845" s="47">
        <f t="shared" si="730"/>
        <v>0</v>
      </c>
      <c r="S845" s="47">
        <f t="shared" si="731"/>
        <v>0</v>
      </c>
      <c r="T845" s="47">
        <f t="shared" si="732"/>
        <v>425172.91982255422</v>
      </c>
      <c r="U845" s="47">
        <f t="shared" si="733"/>
        <v>380417.87563070643</v>
      </c>
      <c r="V845" s="3"/>
      <c r="W845" s="47">
        <f t="shared" si="734"/>
        <v>0</v>
      </c>
      <c r="X845" s="47">
        <f t="shared" si="735"/>
        <v>0</v>
      </c>
      <c r="Y845" s="47">
        <f t="shared" si="736"/>
        <v>0</v>
      </c>
      <c r="Z845" s="47">
        <f t="shared" si="737"/>
        <v>38534.09304918097</v>
      </c>
      <c r="AA845" s="47">
        <f t="shared" si="738"/>
        <v>59210.923465814652</v>
      </c>
      <c r="AB845" s="3"/>
      <c r="AC845" s="47">
        <f t="shared" si="712"/>
        <v>0</v>
      </c>
      <c r="AD845" s="47">
        <f t="shared" si="712"/>
        <v>0</v>
      </c>
      <c r="AE845" s="47">
        <f t="shared" si="712"/>
        <v>0</v>
      </c>
      <c r="AF845" s="47">
        <f t="shared" si="712"/>
        <v>4475.504419184781</v>
      </c>
      <c r="AG845" s="47">
        <f t="shared" si="712"/>
        <v>4626.9912927653477</v>
      </c>
      <c r="AH845" s="3"/>
      <c r="AI845" s="47">
        <f t="shared" si="739"/>
        <v>0</v>
      </c>
      <c r="AJ845" s="47">
        <f t="shared" si="740"/>
        <v>0</v>
      </c>
      <c r="AK845" s="47">
        <f t="shared" si="741"/>
        <v>0</v>
      </c>
      <c r="AL845" s="47">
        <f t="shared" si="742"/>
        <v>43009.597468365755</v>
      </c>
      <c r="AM845" s="47">
        <f t="shared" si="743"/>
        <v>63837.914758580002</v>
      </c>
    </row>
    <row r="846" spans="1:39" s="227" customFormat="1">
      <c r="A846" s="3"/>
      <c r="B846" s="37" t="str">
        <f>'8. Input IC huur Gasunie'!B302</f>
        <v>Asset 44</v>
      </c>
      <c r="C846" s="3"/>
      <c r="D846" s="3"/>
      <c r="E846" s="3"/>
      <c r="F846" s="37" t="str">
        <f>'8. Input IC huur Gasunie'!F302</f>
        <v>10 Gereedschap</v>
      </c>
      <c r="G846" s="37">
        <f>'8. Input IC huur Gasunie'!G302</f>
        <v>2025</v>
      </c>
      <c r="H846" s="42">
        <f>'8. Input IC huur Gasunie'!H302</f>
        <v>277600.2937007302</v>
      </c>
      <c r="I846" s="37">
        <f>'8. Input IC huur Gasunie'!I302</f>
        <v>10</v>
      </c>
      <c r="J846" s="3"/>
      <c r="K846" s="43">
        <f t="shared" si="728"/>
        <v>0</v>
      </c>
      <c r="L846" s="43">
        <f t="shared" si="728"/>
        <v>0</v>
      </c>
      <c r="M846" s="43">
        <f t="shared" si="728"/>
        <v>0</v>
      </c>
      <c r="N846" s="43">
        <f t="shared" si="728"/>
        <v>13880.014685036511</v>
      </c>
      <c r="O846" s="43">
        <f t="shared" si="728"/>
        <v>27760.029370073022</v>
      </c>
      <c r="P846" s="3"/>
      <c r="Q846" s="47">
        <f t="shared" si="729"/>
        <v>0</v>
      </c>
      <c r="R846" s="47">
        <f t="shared" si="730"/>
        <v>0</v>
      </c>
      <c r="S846" s="47">
        <f t="shared" si="731"/>
        <v>0</v>
      </c>
      <c r="T846" s="47">
        <f t="shared" si="732"/>
        <v>263720.2790156937</v>
      </c>
      <c r="U846" s="47">
        <f t="shared" si="733"/>
        <v>235960.24964562067</v>
      </c>
      <c r="V846" s="3"/>
      <c r="W846" s="47">
        <f t="shared" si="734"/>
        <v>0</v>
      </c>
      <c r="X846" s="47">
        <f t="shared" si="735"/>
        <v>0</v>
      </c>
      <c r="Y846" s="47">
        <f t="shared" si="736"/>
        <v>0</v>
      </c>
      <c r="Z846" s="47">
        <f t="shared" si="737"/>
        <v>23901.385287632871</v>
      </c>
      <c r="AA846" s="47">
        <f t="shared" si="738"/>
        <v>36726.518856606606</v>
      </c>
      <c r="AB846" s="3"/>
      <c r="AC846" s="47">
        <f t="shared" si="712"/>
        <v>0</v>
      </c>
      <c r="AD846" s="47">
        <f t="shared" si="712"/>
        <v>0</v>
      </c>
      <c r="AE846" s="47">
        <f t="shared" si="712"/>
        <v>0</v>
      </c>
      <c r="AF846" s="47">
        <f t="shared" si="712"/>
        <v>2776.0029370073021</v>
      </c>
      <c r="AG846" s="47">
        <f t="shared" si="712"/>
        <v>2869.9650844191256</v>
      </c>
      <c r="AH846" s="3"/>
      <c r="AI846" s="47">
        <f t="shared" si="739"/>
        <v>0</v>
      </c>
      <c r="AJ846" s="47">
        <f t="shared" si="740"/>
        <v>0</v>
      </c>
      <c r="AK846" s="47">
        <f t="shared" si="741"/>
        <v>0</v>
      </c>
      <c r="AL846" s="47">
        <f t="shared" si="742"/>
        <v>26677.388224640174</v>
      </c>
      <c r="AM846" s="47">
        <f t="shared" si="743"/>
        <v>39596.483941025734</v>
      </c>
    </row>
    <row r="847" spans="1:39" s="227" customFormat="1">
      <c r="A847" s="3"/>
      <c r="B847" s="37" t="str">
        <f>'8. Input IC huur Gasunie'!B303</f>
        <v>Asset 45</v>
      </c>
      <c r="C847" s="3"/>
      <c r="D847" s="3"/>
      <c r="E847" s="3"/>
      <c r="F847" s="37" t="str">
        <f>'8. Input IC huur Gasunie'!F303</f>
        <v>10 Gereedschap</v>
      </c>
      <c r="G847" s="37">
        <f>'8. Input IC huur Gasunie'!G303</f>
        <v>2025</v>
      </c>
      <c r="H847" s="42">
        <f>'8. Input IC huur Gasunie'!H303</f>
        <v>90158.086544321428</v>
      </c>
      <c r="I847" s="37">
        <f>'8. Input IC huur Gasunie'!I303</f>
        <v>10</v>
      </c>
      <c r="J847" s="3"/>
      <c r="K847" s="43">
        <f t="shared" si="728"/>
        <v>0</v>
      </c>
      <c r="L847" s="43">
        <f t="shared" si="728"/>
        <v>0</v>
      </c>
      <c r="M847" s="43">
        <f t="shared" si="728"/>
        <v>0</v>
      </c>
      <c r="N847" s="43">
        <f t="shared" si="728"/>
        <v>4507.9043272160716</v>
      </c>
      <c r="O847" s="43">
        <f t="shared" si="728"/>
        <v>9015.8086544321413</v>
      </c>
      <c r="P847" s="3"/>
      <c r="Q847" s="47">
        <f t="shared" si="729"/>
        <v>0</v>
      </c>
      <c r="R847" s="47">
        <f t="shared" si="730"/>
        <v>0</v>
      </c>
      <c r="S847" s="47">
        <f t="shared" si="731"/>
        <v>0</v>
      </c>
      <c r="T847" s="47">
        <f t="shared" si="732"/>
        <v>85650.18221710535</v>
      </c>
      <c r="U847" s="47">
        <f t="shared" si="733"/>
        <v>76634.373562673209</v>
      </c>
      <c r="V847" s="3"/>
      <c r="W847" s="47">
        <f t="shared" si="734"/>
        <v>0</v>
      </c>
      <c r="X847" s="47">
        <f t="shared" si="735"/>
        <v>0</v>
      </c>
      <c r="Y847" s="47">
        <f t="shared" si="736"/>
        <v>0</v>
      </c>
      <c r="Z847" s="47">
        <f t="shared" si="737"/>
        <v>7762.6112514660745</v>
      </c>
      <c r="AA847" s="47">
        <f t="shared" si="738"/>
        <v>11927.914849813724</v>
      </c>
      <c r="AB847" s="3"/>
      <c r="AC847" s="47">
        <f t="shared" si="712"/>
        <v>0</v>
      </c>
      <c r="AD847" s="47">
        <f t="shared" si="712"/>
        <v>0</v>
      </c>
      <c r="AE847" s="47">
        <f t="shared" si="712"/>
        <v>0</v>
      </c>
      <c r="AF847" s="47">
        <f t="shared" si="712"/>
        <v>901.58086544321429</v>
      </c>
      <c r="AG847" s="47">
        <f t="shared" si="712"/>
        <v>932.09757457673629</v>
      </c>
      <c r="AH847" s="3"/>
      <c r="AI847" s="47">
        <f t="shared" si="739"/>
        <v>0</v>
      </c>
      <c r="AJ847" s="47">
        <f t="shared" si="740"/>
        <v>0</v>
      </c>
      <c r="AK847" s="47">
        <f t="shared" si="741"/>
        <v>0</v>
      </c>
      <c r="AL847" s="47">
        <f t="shared" si="742"/>
        <v>8664.1921169092893</v>
      </c>
      <c r="AM847" s="47">
        <f t="shared" si="743"/>
        <v>12860.012424390459</v>
      </c>
    </row>
    <row r="848" spans="1:39" s="227" customFormat="1">
      <c r="A848" s="3"/>
      <c r="B848" s="37" t="str">
        <f>'8. Input IC huur Gasunie'!B304</f>
        <v>Asset 46</v>
      </c>
      <c r="C848" s="3"/>
      <c r="D848" s="3"/>
      <c r="E848" s="3"/>
      <c r="F848" s="37" t="str">
        <f>'8. Input IC huur Gasunie'!F304</f>
        <v>10 Gereedschap</v>
      </c>
      <c r="G848" s="37">
        <f>'8. Input IC huur Gasunie'!G304</f>
        <v>2025</v>
      </c>
      <c r="H848" s="42">
        <f>'8. Input IC huur Gasunie'!H304</f>
        <v>257382.92525200447</v>
      </c>
      <c r="I848" s="37">
        <f>'8. Input IC huur Gasunie'!I304</f>
        <v>10</v>
      </c>
      <c r="J848" s="3"/>
      <c r="K848" s="43">
        <f t="shared" si="728"/>
        <v>0</v>
      </c>
      <c r="L848" s="43">
        <f t="shared" si="728"/>
        <v>0</v>
      </c>
      <c r="M848" s="43">
        <f t="shared" si="728"/>
        <v>0</v>
      </c>
      <c r="N848" s="43">
        <f t="shared" si="728"/>
        <v>12869.146262600225</v>
      </c>
      <c r="O848" s="43">
        <f t="shared" si="728"/>
        <v>25738.292525200446</v>
      </c>
      <c r="P848" s="3"/>
      <c r="Q848" s="47">
        <f t="shared" si="729"/>
        <v>0</v>
      </c>
      <c r="R848" s="47">
        <f t="shared" si="730"/>
        <v>0</v>
      </c>
      <c r="S848" s="47">
        <f t="shared" si="731"/>
        <v>0</v>
      </c>
      <c r="T848" s="47">
        <f t="shared" si="732"/>
        <v>244513.77898940424</v>
      </c>
      <c r="U848" s="47">
        <f t="shared" si="733"/>
        <v>218775.4864642038</v>
      </c>
      <c r="V848" s="3"/>
      <c r="W848" s="47">
        <f t="shared" si="734"/>
        <v>0</v>
      </c>
      <c r="X848" s="47">
        <f t="shared" si="735"/>
        <v>0</v>
      </c>
      <c r="Y848" s="47">
        <f t="shared" si="736"/>
        <v>0</v>
      </c>
      <c r="Z848" s="47">
        <f t="shared" si="737"/>
        <v>22160.669864197585</v>
      </c>
      <c r="AA848" s="47">
        <f t="shared" si="738"/>
        <v>34051.761010840186</v>
      </c>
      <c r="AB848" s="3"/>
      <c r="AC848" s="47">
        <f t="shared" si="712"/>
        <v>0</v>
      </c>
      <c r="AD848" s="47">
        <f t="shared" si="712"/>
        <v>0</v>
      </c>
      <c r="AE848" s="47">
        <f t="shared" si="712"/>
        <v>0</v>
      </c>
      <c r="AF848" s="47">
        <f t="shared" si="712"/>
        <v>2573.8292525200445</v>
      </c>
      <c r="AG848" s="47">
        <f t="shared" si="712"/>
        <v>2660.9482250593428</v>
      </c>
      <c r="AH848" s="3"/>
      <c r="AI848" s="47">
        <f t="shared" si="739"/>
        <v>0</v>
      </c>
      <c r="AJ848" s="47">
        <f t="shared" si="740"/>
        <v>0</v>
      </c>
      <c r="AK848" s="47">
        <f t="shared" si="741"/>
        <v>0</v>
      </c>
      <c r="AL848" s="47">
        <f t="shared" si="742"/>
        <v>24734.49911671763</v>
      </c>
      <c r="AM848" s="47">
        <f t="shared" si="743"/>
        <v>36712.709235899529</v>
      </c>
    </row>
    <row r="849" spans="1:39" s="227" customFormat="1">
      <c r="A849" s="3"/>
      <c r="B849" s="37" t="str">
        <f>'8. Input IC huur Gasunie'!B305</f>
        <v>Asset 47</v>
      </c>
      <c r="C849" s="3"/>
      <c r="D849" s="3"/>
      <c r="E849" s="3"/>
      <c r="F849" s="37" t="str">
        <f>'8. Input IC huur Gasunie'!F305</f>
        <v>10 Gereedschap</v>
      </c>
      <c r="G849" s="37">
        <f>'8. Input IC huur Gasunie'!G305</f>
        <v>2025</v>
      </c>
      <c r="H849" s="42">
        <f>'8. Input IC huur Gasunie'!H305</f>
        <v>171995.69866994492</v>
      </c>
      <c r="I849" s="37">
        <f>'8. Input IC huur Gasunie'!I305</f>
        <v>10</v>
      </c>
      <c r="J849" s="3"/>
      <c r="K849" s="43">
        <f t="shared" si="728"/>
        <v>0</v>
      </c>
      <c r="L849" s="43">
        <f t="shared" si="728"/>
        <v>0</v>
      </c>
      <c r="M849" s="43">
        <f t="shared" si="728"/>
        <v>0</v>
      </c>
      <c r="N849" s="43">
        <f t="shared" si="728"/>
        <v>8599.784933497247</v>
      </c>
      <c r="O849" s="43">
        <f t="shared" si="728"/>
        <v>17199.56986699449</v>
      </c>
      <c r="P849" s="3"/>
      <c r="Q849" s="47">
        <f t="shared" si="729"/>
        <v>0</v>
      </c>
      <c r="R849" s="47">
        <f t="shared" si="730"/>
        <v>0</v>
      </c>
      <c r="S849" s="47">
        <f t="shared" si="731"/>
        <v>0</v>
      </c>
      <c r="T849" s="47">
        <f t="shared" si="732"/>
        <v>163395.91373644766</v>
      </c>
      <c r="U849" s="47">
        <f t="shared" si="733"/>
        <v>146196.34386945318</v>
      </c>
      <c r="V849" s="3"/>
      <c r="W849" s="47">
        <f t="shared" si="734"/>
        <v>0</v>
      </c>
      <c r="X849" s="47">
        <f t="shared" si="735"/>
        <v>0</v>
      </c>
      <c r="Y849" s="47">
        <f t="shared" si="736"/>
        <v>0</v>
      </c>
      <c r="Z849" s="47">
        <f t="shared" si="737"/>
        <v>14808.829655482259</v>
      </c>
      <c r="AA849" s="47">
        <f t="shared" si="738"/>
        <v>22755.030934033712</v>
      </c>
      <c r="AB849" s="3"/>
      <c r="AC849" s="47">
        <f t="shared" si="712"/>
        <v>0</v>
      </c>
      <c r="AD849" s="47">
        <f t="shared" si="712"/>
        <v>0</v>
      </c>
      <c r="AE849" s="47">
        <f t="shared" si="712"/>
        <v>0</v>
      </c>
      <c r="AF849" s="47">
        <f t="shared" si="712"/>
        <v>1719.9569866994493</v>
      </c>
      <c r="AG849" s="47">
        <f t="shared" si="712"/>
        <v>1778.1740907852525</v>
      </c>
      <c r="AH849" s="3"/>
      <c r="AI849" s="47">
        <f t="shared" si="739"/>
        <v>0</v>
      </c>
      <c r="AJ849" s="47">
        <f t="shared" si="740"/>
        <v>0</v>
      </c>
      <c r="AK849" s="47">
        <f t="shared" si="741"/>
        <v>0</v>
      </c>
      <c r="AL849" s="47">
        <f t="shared" si="742"/>
        <v>16528.786642181709</v>
      </c>
      <c r="AM849" s="47">
        <f t="shared" si="743"/>
        <v>24533.205024818963</v>
      </c>
    </row>
    <row r="850" spans="1:39" s="227" customFormat="1">
      <c r="A850" s="3"/>
      <c r="B850" s="37" t="str">
        <f>'8. Input IC huur Gasunie'!B306</f>
        <v>Asset 48</v>
      </c>
      <c r="C850" s="3"/>
      <c r="D850" s="3"/>
      <c r="E850" s="3"/>
      <c r="F850" s="37" t="str">
        <f>'8. Input IC huur Gasunie'!F306</f>
        <v>10 Gereedschap</v>
      </c>
      <c r="G850" s="37">
        <f>'8. Input IC huur Gasunie'!G306</f>
        <v>2025</v>
      </c>
      <c r="H850" s="42">
        <f>'8. Input IC huur Gasunie'!H306</f>
        <v>40529.953802321266</v>
      </c>
      <c r="I850" s="37">
        <f>'8. Input IC huur Gasunie'!I306</f>
        <v>10</v>
      </c>
      <c r="J850" s="3"/>
      <c r="K850" s="43">
        <f t="shared" si="728"/>
        <v>0</v>
      </c>
      <c r="L850" s="43">
        <f t="shared" si="728"/>
        <v>0</v>
      </c>
      <c r="M850" s="43">
        <f t="shared" si="728"/>
        <v>0</v>
      </c>
      <c r="N850" s="43">
        <f t="shared" si="728"/>
        <v>2026.4976901160635</v>
      </c>
      <c r="O850" s="43">
        <f t="shared" si="728"/>
        <v>4052.9953802321265</v>
      </c>
      <c r="P850" s="3"/>
      <c r="Q850" s="47">
        <f t="shared" si="729"/>
        <v>0</v>
      </c>
      <c r="R850" s="47">
        <f t="shared" si="730"/>
        <v>0</v>
      </c>
      <c r="S850" s="47">
        <f t="shared" si="731"/>
        <v>0</v>
      </c>
      <c r="T850" s="47">
        <f t="shared" si="732"/>
        <v>38503.456112205204</v>
      </c>
      <c r="U850" s="47">
        <f t="shared" si="733"/>
        <v>34450.460731973079</v>
      </c>
      <c r="V850" s="3"/>
      <c r="W850" s="47">
        <f t="shared" si="734"/>
        <v>0</v>
      </c>
      <c r="X850" s="47">
        <f t="shared" si="735"/>
        <v>0</v>
      </c>
      <c r="Y850" s="47">
        <f t="shared" si="736"/>
        <v>0</v>
      </c>
      <c r="Z850" s="47">
        <f t="shared" si="737"/>
        <v>3489.6290223798615</v>
      </c>
      <c r="AA850" s="47">
        <f t="shared" si="738"/>
        <v>5362.1128880471033</v>
      </c>
      <c r="AB850" s="3"/>
      <c r="AC850" s="47">
        <f t="shared" si="712"/>
        <v>0</v>
      </c>
      <c r="AD850" s="47">
        <f t="shared" si="712"/>
        <v>0</v>
      </c>
      <c r="AE850" s="47">
        <f t="shared" si="712"/>
        <v>0</v>
      </c>
      <c r="AF850" s="47">
        <f t="shared" si="712"/>
        <v>405.29953802321268</v>
      </c>
      <c r="AG850" s="47">
        <f t="shared" si="712"/>
        <v>419.01811678622238</v>
      </c>
      <c r="AH850" s="3"/>
      <c r="AI850" s="47">
        <f t="shared" si="739"/>
        <v>0</v>
      </c>
      <c r="AJ850" s="47">
        <f t="shared" si="740"/>
        <v>0</v>
      </c>
      <c r="AK850" s="47">
        <f t="shared" si="741"/>
        <v>0</v>
      </c>
      <c r="AL850" s="47">
        <f t="shared" si="742"/>
        <v>3894.9285604030742</v>
      </c>
      <c r="AM850" s="47">
        <f t="shared" si="743"/>
        <v>5781.1310048333253</v>
      </c>
    </row>
    <row r="851" spans="1:39" s="227" customFormat="1">
      <c r="A851" s="3"/>
      <c r="B851" s="37" t="str">
        <f>'8. Input IC huur Gasunie'!B307</f>
        <v>Asset 49</v>
      </c>
      <c r="C851" s="3"/>
      <c r="D851" s="3"/>
      <c r="E851" s="3"/>
      <c r="F851" s="37" t="str">
        <f>'8. Input IC huur Gasunie'!F307</f>
        <v>10 Gereedschap</v>
      </c>
      <c r="G851" s="37">
        <f>'8. Input IC huur Gasunie'!G307</f>
        <v>2025</v>
      </c>
      <c r="H851" s="42">
        <f>'8. Input IC huur Gasunie'!H307</f>
        <v>498043.26023031282</v>
      </c>
      <c r="I851" s="37">
        <f>'8. Input IC huur Gasunie'!I307</f>
        <v>10</v>
      </c>
      <c r="J851" s="3"/>
      <c r="K851" s="43">
        <f t="shared" si="728"/>
        <v>0</v>
      </c>
      <c r="L851" s="43">
        <f t="shared" si="728"/>
        <v>0</v>
      </c>
      <c r="M851" s="43">
        <f t="shared" si="728"/>
        <v>0</v>
      </c>
      <c r="N851" s="43">
        <f t="shared" si="728"/>
        <v>24902.163011515644</v>
      </c>
      <c r="O851" s="43">
        <f t="shared" si="728"/>
        <v>49804.326023031281</v>
      </c>
      <c r="P851" s="3"/>
      <c r="Q851" s="47">
        <f t="shared" si="729"/>
        <v>0</v>
      </c>
      <c r="R851" s="47">
        <f t="shared" si="730"/>
        <v>0</v>
      </c>
      <c r="S851" s="47">
        <f t="shared" si="731"/>
        <v>0</v>
      </c>
      <c r="T851" s="47">
        <f t="shared" si="732"/>
        <v>473141.09721879719</v>
      </c>
      <c r="U851" s="47">
        <f t="shared" si="733"/>
        <v>423336.77119576593</v>
      </c>
      <c r="V851" s="3"/>
      <c r="W851" s="47">
        <f t="shared" si="734"/>
        <v>0</v>
      </c>
      <c r="X851" s="47">
        <f t="shared" si="735"/>
        <v>0</v>
      </c>
      <c r="Y851" s="47">
        <f t="shared" si="736"/>
        <v>0</v>
      </c>
      <c r="Z851" s="47">
        <f t="shared" si="737"/>
        <v>42881.524705829936</v>
      </c>
      <c r="AA851" s="47">
        <f t="shared" si="738"/>
        <v>65891.123328470392</v>
      </c>
      <c r="AB851" s="3"/>
      <c r="AC851" s="47">
        <f t="shared" si="712"/>
        <v>0</v>
      </c>
      <c r="AD851" s="47">
        <f t="shared" si="712"/>
        <v>0</v>
      </c>
      <c r="AE851" s="47">
        <f t="shared" si="712"/>
        <v>0</v>
      </c>
      <c r="AF851" s="47">
        <f t="shared" si="712"/>
        <v>4980.4326023031281</v>
      </c>
      <c r="AG851" s="47">
        <f t="shared" si="712"/>
        <v>5149.0102850258845</v>
      </c>
      <c r="AH851" s="3"/>
      <c r="AI851" s="47">
        <f t="shared" si="739"/>
        <v>0</v>
      </c>
      <c r="AJ851" s="47">
        <f t="shared" si="740"/>
        <v>0</v>
      </c>
      <c r="AK851" s="47">
        <f t="shared" si="741"/>
        <v>0</v>
      </c>
      <c r="AL851" s="47">
        <f t="shared" si="742"/>
        <v>47861.95730813306</v>
      </c>
      <c r="AM851" s="47">
        <f t="shared" si="743"/>
        <v>71040.133613496277</v>
      </c>
    </row>
    <row r="852" spans="1:39" s="227" customFormat="1">
      <c r="A852" s="3"/>
      <c r="B852" s="37" t="str">
        <f>'8. Input IC huur Gasunie'!B308</f>
        <v>Asset 50</v>
      </c>
      <c r="C852" s="3"/>
      <c r="D852" s="3"/>
      <c r="E852" s="3"/>
      <c r="F852" s="37" t="str">
        <f>'8. Input IC huur Gasunie'!F308</f>
        <v>10 Gereedschap</v>
      </c>
      <c r="G852" s="37">
        <f>'8. Input IC huur Gasunie'!G308</f>
        <v>2025</v>
      </c>
      <c r="H852" s="42">
        <f>'8. Input IC huur Gasunie'!H308</f>
        <v>447746.86834126408</v>
      </c>
      <c r="I852" s="37">
        <f>'8. Input IC huur Gasunie'!I308</f>
        <v>10</v>
      </c>
      <c r="J852" s="3"/>
      <c r="K852" s="43">
        <f t="shared" si="728"/>
        <v>0</v>
      </c>
      <c r="L852" s="43">
        <f t="shared" si="728"/>
        <v>0</v>
      </c>
      <c r="M852" s="43">
        <f t="shared" si="728"/>
        <v>0</v>
      </c>
      <c r="N852" s="43">
        <f t="shared" si="728"/>
        <v>22387.343417063206</v>
      </c>
      <c r="O852" s="43">
        <f t="shared" si="728"/>
        <v>44774.686834126413</v>
      </c>
      <c r="P852" s="3"/>
      <c r="Q852" s="47">
        <f t="shared" si="729"/>
        <v>0</v>
      </c>
      <c r="R852" s="47">
        <f t="shared" si="730"/>
        <v>0</v>
      </c>
      <c r="S852" s="47">
        <f t="shared" si="731"/>
        <v>0</v>
      </c>
      <c r="T852" s="47">
        <f t="shared" si="732"/>
        <v>425359.5249242009</v>
      </c>
      <c r="U852" s="47">
        <f t="shared" si="733"/>
        <v>380584.83809007448</v>
      </c>
      <c r="V852" s="3"/>
      <c r="W852" s="47">
        <f t="shared" si="734"/>
        <v>0</v>
      </c>
      <c r="X852" s="47">
        <f t="shared" si="735"/>
        <v>0</v>
      </c>
      <c r="Y852" s="47">
        <f t="shared" si="736"/>
        <v>0</v>
      </c>
      <c r="Z852" s="47">
        <f t="shared" si="737"/>
        <v>38551.005364182842</v>
      </c>
      <c r="AA852" s="47">
        <f t="shared" si="738"/>
        <v>59236.910681549241</v>
      </c>
      <c r="AB852" s="3"/>
      <c r="AC852" s="47">
        <f t="shared" si="712"/>
        <v>0</v>
      </c>
      <c r="AD852" s="47">
        <f t="shared" si="712"/>
        <v>0</v>
      </c>
      <c r="AE852" s="47">
        <f t="shared" si="712"/>
        <v>0</v>
      </c>
      <c r="AF852" s="47">
        <f t="shared" si="712"/>
        <v>4477.4686834126405</v>
      </c>
      <c r="AG852" s="47">
        <f t="shared" si="712"/>
        <v>4629.0220434087923</v>
      </c>
      <c r="AH852" s="3"/>
      <c r="AI852" s="47">
        <f t="shared" si="739"/>
        <v>0</v>
      </c>
      <c r="AJ852" s="47">
        <f t="shared" si="740"/>
        <v>0</v>
      </c>
      <c r="AK852" s="47">
        <f t="shared" si="741"/>
        <v>0</v>
      </c>
      <c r="AL852" s="47">
        <f t="shared" si="742"/>
        <v>43028.474047595482</v>
      </c>
      <c r="AM852" s="47">
        <f t="shared" si="743"/>
        <v>63865.932724958031</v>
      </c>
    </row>
    <row r="853" spans="1:39" s="227" customFormat="1">
      <c r="A853" s="3"/>
      <c r="B853" s="37" t="str">
        <f>'8. Input IC huur Gasunie'!B309</f>
        <v>Asset 51</v>
      </c>
      <c r="C853" s="3"/>
      <c r="D853" s="3"/>
      <c r="E853" s="3"/>
      <c r="F853" s="37" t="str">
        <f>'8. Input IC huur Gasunie'!F309</f>
        <v>10 Gereedschap</v>
      </c>
      <c r="G853" s="37">
        <f>'8. Input IC huur Gasunie'!G309</f>
        <v>2025</v>
      </c>
      <c r="H853" s="42">
        <f>'8. Input IC huur Gasunie'!H309</f>
        <v>189082.81131048431</v>
      </c>
      <c r="I853" s="37">
        <f>'8. Input IC huur Gasunie'!I309</f>
        <v>10</v>
      </c>
      <c r="J853" s="3"/>
      <c r="K853" s="43">
        <f t="shared" si="728"/>
        <v>0</v>
      </c>
      <c r="L853" s="43">
        <f t="shared" si="728"/>
        <v>0</v>
      </c>
      <c r="M853" s="43">
        <f t="shared" si="728"/>
        <v>0</v>
      </c>
      <c r="N853" s="43">
        <f t="shared" si="728"/>
        <v>9454.1405655242161</v>
      </c>
      <c r="O853" s="43">
        <f t="shared" si="728"/>
        <v>18908.281131048429</v>
      </c>
      <c r="P853" s="3"/>
      <c r="Q853" s="47">
        <f t="shared" si="729"/>
        <v>0</v>
      </c>
      <c r="R853" s="47">
        <f t="shared" si="730"/>
        <v>0</v>
      </c>
      <c r="S853" s="47">
        <f t="shared" si="731"/>
        <v>0</v>
      </c>
      <c r="T853" s="47">
        <f t="shared" si="732"/>
        <v>179628.67074496008</v>
      </c>
      <c r="U853" s="47">
        <f t="shared" si="733"/>
        <v>160720.38961391166</v>
      </c>
      <c r="V853" s="3"/>
      <c r="W853" s="47">
        <f t="shared" si="734"/>
        <v>0</v>
      </c>
      <c r="X853" s="47">
        <f t="shared" si="735"/>
        <v>0</v>
      </c>
      <c r="Y853" s="47">
        <f t="shared" si="736"/>
        <v>0</v>
      </c>
      <c r="Z853" s="47">
        <f t="shared" si="737"/>
        <v>16280.030053832699</v>
      </c>
      <c r="AA853" s="47">
        <f t="shared" si="738"/>
        <v>25015.655936377072</v>
      </c>
      <c r="AB853" s="3"/>
      <c r="AC853" s="47">
        <f t="shared" si="712"/>
        <v>0</v>
      </c>
      <c r="AD853" s="47">
        <f t="shared" si="712"/>
        <v>0</v>
      </c>
      <c r="AE853" s="47">
        <f t="shared" si="712"/>
        <v>0</v>
      </c>
      <c r="AF853" s="47">
        <f t="shared" si="712"/>
        <v>1890.8281131048432</v>
      </c>
      <c r="AG853" s="47">
        <f t="shared" si="712"/>
        <v>1954.8288630772158</v>
      </c>
      <c r="AH853" s="3"/>
      <c r="AI853" s="47">
        <f t="shared" si="739"/>
        <v>0</v>
      </c>
      <c r="AJ853" s="47">
        <f t="shared" si="740"/>
        <v>0</v>
      </c>
      <c r="AK853" s="47">
        <f t="shared" si="741"/>
        <v>0</v>
      </c>
      <c r="AL853" s="47">
        <f t="shared" si="742"/>
        <v>18170.858166937542</v>
      </c>
      <c r="AM853" s="47">
        <f t="shared" si="743"/>
        <v>26970.484799454287</v>
      </c>
    </row>
    <row r="854" spans="1:39" s="227" customFormat="1">
      <c r="A854" s="3"/>
      <c r="B854" s="37" t="str">
        <f>'8. Input IC huur Gasunie'!B310</f>
        <v>Asset 52</v>
      </c>
      <c r="C854" s="3"/>
      <c r="D854" s="3"/>
      <c r="E854" s="3"/>
      <c r="F854" s="37" t="str">
        <f>'8. Input IC huur Gasunie'!F310</f>
        <v>37 ICT middelen 1</v>
      </c>
      <c r="G854" s="37">
        <f>'8. Input IC huur Gasunie'!G310</f>
        <v>2025</v>
      </c>
      <c r="H854" s="42">
        <f>'8. Input IC huur Gasunie'!H310</f>
        <v>297114.52824447717</v>
      </c>
      <c r="I854" s="37">
        <f>'8. Input IC huur Gasunie'!I310</f>
        <v>5</v>
      </c>
      <c r="J854" s="3"/>
      <c r="K854" s="43">
        <f t="shared" si="728"/>
        <v>0</v>
      </c>
      <c r="L854" s="43">
        <f t="shared" si="728"/>
        <v>0</v>
      </c>
      <c r="M854" s="43">
        <f t="shared" si="728"/>
        <v>0</v>
      </c>
      <c r="N854" s="43">
        <f t="shared" si="728"/>
        <v>29711.452824447719</v>
      </c>
      <c r="O854" s="43">
        <f t="shared" si="728"/>
        <v>59422.905648895437</v>
      </c>
      <c r="P854" s="3"/>
      <c r="Q854" s="47">
        <f t="shared" si="729"/>
        <v>0</v>
      </c>
      <c r="R854" s="47">
        <f t="shared" si="730"/>
        <v>0</v>
      </c>
      <c r="S854" s="47">
        <f t="shared" si="731"/>
        <v>0</v>
      </c>
      <c r="T854" s="47">
        <f t="shared" si="732"/>
        <v>267403.07542002946</v>
      </c>
      <c r="U854" s="47">
        <f t="shared" si="733"/>
        <v>207980.16977113404</v>
      </c>
      <c r="V854" s="3"/>
      <c r="W854" s="47">
        <f t="shared" si="734"/>
        <v>0</v>
      </c>
      <c r="X854" s="47">
        <f t="shared" si="735"/>
        <v>0</v>
      </c>
      <c r="Y854" s="47">
        <f t="shared" si="736"/>
        <v>0</v>
      </c>
      <c r="Z854" s="47">
        <f t="shared" si="737"/>
        <v>39872.769690408837</v>
      </c>
      <c r="AA854" s="47">
        <f t="shared" si="738"/>
        <v>67326.152100198524</v>
      </c>
      <c r="AB854" s="3"/>
      <c r="AC854" s="47">
        <f t="shared" si="712"/>
        <v>0</v>
      </c>
      <c r="AD854" s="47">
        <f t="shared" si="712"/>
        <v>0</v>
      </c>
      <c r="AE854" s="47">
        <f t="shared" si="712"/>
        <v>0</v>
      </c>
      <c r="AF854" s="47">
        <f t="shared" si="712"/>
        <v>2971.145282444772</v>
      </c>
      <c r="AG854" s="47">
        <f t="shared" si="712"/>
        <v>3071.7126079649624</v>
      </c>
      <c r="AH854" s="3"/>
      <c r="AI854" s="47">
        <f t="shared" si="739"/>
        <v>0</v>
      </c>
      <c r="AJ854" s="47">
        <f t="shared" si="740"/>
        <v>0</v>
      </c>
      <c r="AK854" s="47">
        <f t="shared" si="741"/>
        <v>0</v>
      </c>
      <c r="AL854" s="47">
        <f t="shared" si="742"/>
        <v>42843.914972853607</v>
      </c>
      <c r="AM854" s="47">
        <f t="shared" si="743"/>
        <v>70397.864708163484</v>
      </c>
    </row>
    <row r="855" spans="1:39" s="227" customFormat="1">
      <c r="A855" s="3"/>
      <c r="B855" s="37" t="str">
        <f>'8. Input IC huur Gasunie'!B311</f>
        <v>Asset 53</v>
      </c>
      <c r="C855" s="3"/>
      <c r="D855" s="3"/>
      <c r="E855" s="3"/>
      <c r="F855" s="37" t="str">
        <f>'8. Input IC huur Gasunie'!F311</f>
        <v>37 ICT middelen 1</v>
      </c>
      <c r="G855" s="37">
        <f>'8. Input IC huur Gasunie'!G311</f>
        <v>2025</v>
      </c>
      <c r="H855" s="42">
        <f>'8. Input IC huur Gasunie'!H311</f>
        <v>217468.61428458735</v>
      </c>
      <c r="I855" s="37">
        <f>'8. Input IC huur Gasunie'!I311</f>
        <v>5</v>
      </c>
      <c r="J855" s="3"/>
      <c r="K855" s="43">
        <f t="shared" si="728"/>
        <v>0</v>
      </c>
      <c r="L855" s="43">
        <f t="shared" si="728"/>
        <v>0</v>
      </c>
      <c r="M855" s="43">
        <f t="shared" si="728"/>
        <v>0</v>
      </c>
      <c r="N855" s="43">
        <f t="shared" si="728"/>
        <v>21746.861428458738</v>
      </c>
      <c r="O855" s="43">
        <f t="shared" si="728"/>
        <v>43493.722856917469</v>
      </c>
      <c r="P855" s="3"/>
      <c r="Q855" s="47">
        <f t="shared" si="729"/>
        <v>0</v>
      </c>
      <c r="R855" s="47">
        <f t="shared" si="730"/>
        <v>0</v>
      </c>
      <c r="S855" s="47">
        <f t="shared" si="731"/>
        <v>0</v>
      </c>
      <c r="T855" s="47">
        <f t="shared" si="732"/>
        <v>195721.75285612862</v>
      </c>
      <c r="U855" s="47">
        <f t="shared" si="733"/>
        <v>152228.02999921114</v>
      </c>
      <c r="V855" s="3"/>
      <c r="W855" s="47">
        <f t="shared" si="734"/>
        <v>0</v>
      </c>
      <c r="X855" s="47">
        <f t="shared" si="735"/>
        <v>0</v>
      </c>
      <c r="Y855" s="47">
        <f t="shared" si="736"/>
        <v>0</v>
      </c>
      <c r="Z855" s="47">
        <f t="shared" si="737"/>
        <v>29184.288036991624</v>
      </c>
      <c r="AA855" s="47">
        <f t="shared" si="738"/>
        <v>49278.38799688749</v>
      </c>
      <c r="AB855" s="3"/>
      <c r="AC855" s="47">
        <f t="shared" si="712"/>
        <v>0</v>
      </c>
      <c r="AD855" s="47">
        <f t="shared" si="712"/>
        <v>0</v>
      </c>
      <c r="AE855" s="47">
        <f t="shared" si="712"/>
        <v>0</v>
      </c>
      <c r="AF855" s="47">
        <f t="shared" si="712"/>
        <v>2174.6861428458737</v>
      </c>
      <c r="AG855" s="47">
        <f t="shared" si="712"/>
        <v>2248.294919408921</v>
      </c>
      <c r="AH855" s="3"/>
      <c r="AI855" s="47">
        <f t="shared" si="739"/>
        <v>0</v>
      </c>
      <c r="AJ855" s="47">
        <f t="shared" si="740"/>
        <v>0</v>
      </c>
      <c r="AK855" s="47">
        <f t="shared" si="741"/>
        <v>0</v>
      </c>
      <c r="AL855" s="47">
        <f t="shared" si="742"/>
        <v>31358.974179837496</v>
      </c>
      <c r="AM855" s="47">
        <f t="shared" si="743"/>
        <v>51526.682916296413</v>
      </c>
    </row>
    <row r="856" spans="1:39" s="227" customFormat="1">
      <c r="A856" s="3"/>
      <c r="B856" s="37" t="str">
        <f>'8. Input IC huur Gasunie'!B312</f>
        <v>Asset 54</v>
      </c>
      <c r="C856" s="3"/>
      <c r="D856" s="3"/>
      <c r="E856" s="3"/>
      <c r="F856" s="37" t="str">
        <f>'8. Input IC huur Gasunie'!F312</f>
        <v>37 ICT middelen 1</v>
      </c>
      <c r="G856" s="37">
        <f>'8. Input IC huur Gasunie'!G312</f>
        <v>2025</v>
      </c>
      <c r="H856" s="42">
        <f>'8. Input IC huur Gasunie'!H312</f>
        <v>1335715.0239646256</v>
      </c>
      <c r="I856" s="37">
        <f>'8. Input IC huur Gasunie'!I312</f>
        <v>5</v>
      </c>
      <c r="J856" s="3"/>
      <c r="K856" s="43">
        <f t="shared" si="728"/>
        <v>0</v>
      </c>
      <c r="L856" s="43">
        <f t="shared" si="728"/>
        <v>0</v>
      </c>
      <c r="M856" s="43">
        <f t="shared" si="728"/>
        <v>0</v>
      </c>
      <c r="N856" s="43">
        <f t="shared" si="728"/>
        <v>133571.50239646257</v>
      </c>
      <c r="O856" s="43">
        <f t="shared" si="728"/>
        <v>267143.00479292515</v>
      </c>
      <c r="P856" s="3"/>
      <c r="Q856" s="47">
        <f t="shared" si="729"/>
        <v>0</v>
      </c>
      <c r="R856" s="47">
        <f t="shared" si="730"/>
        <v>0</v>
      </c>
      <c r="S856" s="47">
        <f t="shared" si="731"/>
        <v>0</v>
      </c>
      <c r="T856" s="47">
        <f t="shared" si="732"/>
        <v>1202143.5215681631</v>
      </c>
      <c r="U856" s="47">
        <f t="shared" si="733"/>
        <v>935000.51677523786</v>
      </c>
      <c r="V856" s="3"/>
      <c r="W856" s="47">
        <f t="shared" si="734"/>
        <v>0</v>
      </c>
      <c r="X856" s="47">
        <f t="shared" si="735"/>
        <v>0</v>
      </c>
      <c r="Y856" s="47">
        <f t="shared" si="736"/>
        <v>0</v>
      </c>
      <c r="Z856" s="47">
        <f t="shared" si="737"/>
        <v>179252.95621605276</v>
      </c>
      <c r="AA856" s="47">
        <f t="shared" si="738"/>
        <v>302673.02443038416</v>
      </c>
      <c r="AB856" s="3"/>
      <c r="AC856" s="47">
        <f t="shared" si="712"/>
        <v>0</v>
      </c>
      <c r="AD856" s="47">
        <f t="shared" si="712"/>
        <v>0</v>
      </c>
      <c r="AE856" s="47">
        <f t="shared" si="712"/>
        <v>0</v>
      </c>
      <c r="AF856" s="47">
        <f t="shared" si="712"/>
        <v>13357.150239646257</v>
      </c>
      <c r="AG856" s="47">
        <f t="shared" si="712"/>
        <v>13809.263060957801</v>
      </c>
      <c r="AH856" s="3"/>
      <c r="AI856" s="47">
        <f t="shared" si="739"/>
        <v>0</v>
      </c>
      <c r="AJ856" s="47">
        <f t="shared" si="740"/>
        <v>0</v>
      </c>
      <c r="AK856" s="47">
        <f t="shared" si="741"/>
        <v>0</v>
      </c>
      <c r="AL856" s="47">
        <f t="shared" si="742"/>
        <v>192610.10645569902</v>
      </c>
      <c r="AM856" s="47">
        <f t="shared" si="743"/>
        <v>316482.28749134194</v>
      </c>
    </row>
    <row r="857" spans="1:39" s="227" customFormat="1">
      <c r="A857" s="3"/>
      <c r="B857" s="37" t="str">
        <f>'8. Input IC huur Gasunie'!B313</f>
        <v>Asset 55</v>
      </c>
      <c r="C857" s="3"/>
      <c r="D857" s="3"/>
      <c r="E857" s="3"/>
      <c r="F857" s="37" t="str">
        <f>'8. Input IC huur Gasunie'!F313</f>
        <v>37 ICT middelen 1</v>
      </c>
      <c r="G857" s="37">
        <f>'8. Input IC huur Gasunie'!G313</f>
        <v>2025</v>
      </c>
      <c r="H857" s="42">
        <f>'8. Input IC huur Gasunie'!H313</f>
        <v>878537.45827228902</v>
      </c>
      <c r="I857" s="37">
        <f>'8. Input IC huur Gasunie'!I313</f>
        <v>5</v>
      </c>
      <c r="J857" s="3"/>
      <c r="K857" s="43">
        <f t="shared" si="728"/>
        <v>0</v>
      </c>
      <c r="L857" s="43">
        <f t="shared" si="728"/>
        <v>0</v>
      </c>
      <c r="M857" s="43">
        <f t="shared" si="728"/>
        <v>0</v>
      </c>
      <c r="N857" s="43">
        <f t="shared" si="728"/>
        <v>87853.745827228908</v>
      </c>
      <c r="O857" s="43">
        <f t="shared" si="728"/>
        <v>175707.49165445782</v>
      </c>
      <c r="P857" s="3"/>
      <c r="Q857" s="47">
        <f t="shared" si="729"/>
        <v>0</v>
      </c>
      <c r="R857" s="47">
        <f t="shared" si="730"/>
        <v>0</v>
      </c>
      <c r="S857" s="47">
        <f t="shared" si="731"/>
        <v>0</v>
      </c>
      <c r="T857" s="47">
        <f t="shared" si="732"/>
        <v>790683.71244506014</v>
      </c>
      <c r="U857" s="47">
        <f t="shared" si="733"/>
        <v>614976.22079060227</v>
      </c>
      <c r="V857" s="3"/>
      <c r="W857" s="47">
        <f t="shared" si="734"/>
        <v>0</v>
      </c>
      <c r="X857" s="47">
        <f t="shared" si="735"/>
        <v>0</v>
      </c>
      <c r="Y857" s="47">
        <f t="shared" si="736"/>
        <v>0</v>
      </c>
      <c r="Z857" s="47">
        <f t="shared" si="737"/>
        <v>117899.72690014119</v>
      </c>
      <c r="AA857" s="47">
        <f t="shared" si="738"/>
        <v>199076.58804450071</v>
      </c>
      <c r="AB857" s="3"/>
      <c r="AC857" s="47">
        <f t="shared" si="712"/>
        <v>0</v>
      </c>
      <c r="AD857" s="47">
        <f t="shared" si="712"/>
        <v>0</v>
      </c>
      <c r="AE857" s="47">
        <f t="shared" si="712"/>
        <v>0</v>
      </c>
      <c r="AF857" s="47">
        <f t="shared" si="712"/>
        <v>8785.3745827228904</v>
      </c>
      <c r="AG857" s="47">
        <f t="shared" si="712"/>
        <v>9082.7419415988952</v>
      </c>
      <c r="AH857" s="3"/>
      <c r="AI857" s="47">
        <f t="shared" si="739"/>
        <v>0</v>
      </c>
      <c r="AJ857" s="47">
        <f t="shared" si="740"/>
        <v>0</v>
      </c>
      <c r="AK857" s="47">
        <f t="shared" si="741"/>
        <v>0</v>
      </c>
      <c r="AL857" s="47">
        <f t="shared" si="742"/>
        <v>126685.10148286408</v>
      </c>
      <c r="AM857" s="47">
        <f t="shared" si="743"/>
        <v>208159.32998609959</v>
      </c>
    </row>
    <row r="858" spans="1:39" s="227" customFormat="1">
      <c r="A858" s="3"/>
      <c r="B858" s="37" t="str">
        <f>'8. Input IC huur Gasunie'!B314</f>
        <v>Asset 56</v>
      </c>
      <c r="C858" s="3"/>
      <c r="D858" s="3"/>
      <c r="E858" s="3"/>
      <c r="F858" s="37" t="str">
        <f>'8. Input IC huur Gasunie'!F314</f>
        <v>37 ICT middelen 1</v>
      </c>
      <c r="G858" s="37">
        <f>'8. Input IC huur Gasunie'!G314</f>
        <v>2025</v>
      </c>
      <c r="H858" s="42">
        <f>'8. Input IC huur Gasunie'!H314</f>
        <v>478319.2748695566</v>
      </c>
      <c r="I858" s="37">
        <f>'8. Input IC huur Gasunie'!I314</f>
        <v>5</v>
      </c>
      <c r="J858" s="3"/>
      <c r="K858" s="43">
        <f t="shared" si="728"/>
        <v>0</v>
      </c>
      <c r="L858" s="43">
        <f t="shared" si="728"/>
        <v>0</v>
      </c>
      <c r="M858" s="43">
        <f t="shared" si="728"/>
        <v>0</v>
      </c>
      <c r="N858" s="43">
        <f t="shared" si="728"/>
        <v>47831.927486955661</v>
      </c>
      <c r="O858" s="43">
        <f t="shared" si="728"/>
        <v>95663.854973911322</v>
      </c>
      <c r="P858" s="3"/>
      <c r="Q858" s="47">
        <f t="shared" si="729"/>
        <v>0</v>
      </c>
      <c r="R858" s="47">
        <f t="shared" si="730"/>
        <v>0</v>
      </c>
      <c r="S858" s="47">
        <f t="shared" si="731"/>
        <v>0</v>
      </c>
      <c r="T858" s="47">
        <f t="shared" si="732"/>
        <v>430487.34738260094</v>
      </c>
      <c r="U858" s="47">
        <f t="shared" si="733"/>
        <v>334823.49240868964</v>
      </c>
      <c r="V858" s="3"/>
      <c r="W858" s="47">
        <f t="shared" si="734"/>
        <v>0</v>
      </c>
      <c r="X858" s="47">
        <f t="shared" si="735"/>
        <v>0</v>
      </c>
      <c r="Y858" s="47">
        <f t="shared" si="736"/>
        <v>0</v>
      </c>
      <c r="Z858" s="47">
        <f t="shared" si="737"/>
        <v>64190.446687494499</v>
      </c>
      <c r="AA858" s="47">
        <f t="shared" si="738"/>
        <v>108387.14768544152</v>
      </c>
      <c r="AB858" s="3"/>
      <c r="AC858" s="47">
        <f t="shared" si="712"/>
        <v>0</v>
      </c>
      <c r="AD858" s="47">
        <f t="shared" si="712"/>
        <v>0</v>
      </c>
      <c r="AE858" s="47">
        <f t="shared" si="712"/>
        <v>0</v>
      </c>
      <c r="AF858" s="47">
        <f t="shared" si="712"/>
        <v>4783.1927486955665</v>
      </c>
      <c r="AG858" s="47">
        <f t="shared" si="712"/>
        <v>4945.0942568534138</v>
      </c>
      <c r="AH858" s="3"/>
      <c r="AI858" s="47">
        <f t="shared" si="739"/>
        <v>0</v>
      </c>
      <c r="AJ858" s="47">
        <f t="shared" si="740"/>
        <v>0</v>
      </c>
      <c r="AK858" s="47">
        <f t="shared" si="741"/>
        <v>0</v>
      </c>
      <c r="AL858" s="47">
        <f t="shared" si="742"/>
        <v>68973.63943619006</v>
      </c>
      <c r="AM858" s="47">
        <f t="shared" si="743"/>
        <v>113332.24194229493</v>
      </c>
    </row>
    <row r="859" spans="1:39" s="227" customFormat="1">
      <c r="A859" s="3"/>
      <c r="B859" s="37" t="str">
        <f>'8. Input IC huur Gasunie'!B315</f>
        <v>Asset 57</v>
      </c>
      <c r="C859" s="3"/>
      <c r="D859" s="3"/>
      <c r="E859" s="3"/>
      <c r="F859" s="37" t="str">
        <f>'8. Input IC huur Gasunie'!F315</f>
        <v>37 ICT middelen 1</v>
      </c>
      <c r="G859" s="37">
        <f>'8. Input IC huur Gasunie'!G315</f>
        <v>2025</v>
      </c>
      <c r="H859" s="42">
        <f>'8. Input IC huur Gasunie'!H315</f>
        <v>1900915.1317635803</v>
      </c>
      <c r="I859" s="37">
        <f>'8. Input IC huur Gasunie'!I315</f>
        <v>5</v>
      </c>
      <c r="J859" s="3"/>
      <c r="K859" s="43">
        <f t="shared" si="728"/>
        <v>0</v>
      </c>
      <c r="L859" s="43">
        <f t="shared" si="728"/>
        <v>0</v>
      </c>
      <c r="M859" s="43">
        <f t="shared" si="728"/>
        <v>0</v>
      </c>
      <c r="N859" s="43">
        <f t="shared" si="728"/>
        <v>190091.51317635804</v>
      </c>
      <c r="O859" s="43">
        <f t="shared" si="728"/>
        <v>380183.02635271603</v>
      </c>
      <c r="P859" s="3"/>
      <c r="Q859" s="47">
        <f t="shared" si="729"/>
        <v>0</v>
      </c>
      <c r="R859" s="47">
        <f t="shared" si="730"/>
        <v>0</v>
      </c>
      <c r="S859" s="47">
        <f t="shared" si="731"/>
        <v>0</v>
      </c>
      <c r="T859" s="47">
        <f t="shared" si="732"/>
        <v>1710823.6185872222</v>
      </c>
      <c r="U859" s="47">
        <f t="shared" si="733"/>
        <v>1330640.5922345063</v>
      </c>
      <c r="V859" s="3"/>
      <c r="W859" s="47">
        <f t="shared" si="734"/>
        <v>0</v>
      </c>
      <c r="X859" s="47">
        <f t="shared" si="735"/>
        <v>0</v>
      </c>
      <c r="Y859" s="47">
        <f t="shared" si="736"/>
        <v>0</v>
      </c>
      <c r="Z859" s="47">
        <f t="shared" si="737"/>
        <v>255102.81068267248</v>
      </c>
      <c r="AA859" s="47">
        <f t="shared" si="738"/>
        <v>430747.36885762727</v>
      </c>
      <c r="AB859" s="3"/>
      <c r="AC859" s="47">
        <f t="shared" si="712"/>
        <v>0</v>
      </c>
      <c r="AD859" s="47">
        <f t="shared" si="712"/>
        <v>0</v>
      </c>
      <c r="AE859" s="47">
        <f t="shared" si="712"/>
        <v>0</v>
      </c>
      <c r="AF859" s="47">
        <f t="shared" si="712"/>
        <v>19009.151317635802</v>
      </c>
      <c r="AG859" s="47">
        <f t="shared" si="712"/>
        <v>19652.573071435138</v>
      </c>
      <c r="AH859" s="3"/>
      <c r="AI859" s="47">
        <f t="shared" si="739"/>
        <v>0</v>
      </c>
      <c r="AJ859" s="47">
        <f t="shared" si="740"/>
        <v>0</v>
      </c>
      <c r="AK859" s="47">
        <f t="shared" si="741"/>
        <v>0</v>
      </c>
      <c r="AL859" s="47">
        <f t="shared" si="742"/>
        <v>274111.96200030827</v>
      </c>
      <c r="AM859" s="47">
        <f t="shared" si="743"/>
        <v>450399.94192906242</v>
      </c>
    </row>
    <row r="860" spans="1:39" s="227" customFormat="1">
      <c r="A860" s="3"/>
      <c r="B860" s="37" t="str">
        <f>'8. Input IC huur Gasunie'!B316</f>
        <v>Asset 58</v>
      </c>
      <c r="C860" s="3"/>
      <c r="D860" s="3"/>
      <c r="E860" s="3"/>
      <c r="F860" s="37" t="str">
        <f>'8. Input IC huur Gasunie'!F316</f>
        <v>37 ICT middelen 1</v>
      </c>
      <c r="G860" s="37">
        <f>'8. Input IC huur Gasunie'!G316</f>
        <v>2025</v>
      </c>
      <c r="H860" s="42">
        <f>'8. Input IC huur Gasunie'!H316</f>
        <v>2724326.998950419</v>
      </c>
      <c r="I860" s="37">
        <f>'8. Input IC huur Gasunie'!I316</f>
        <v>5</v>
      </c>
      <c r="J860" s="3"/>
      <c r="K860" s="43">
        <f t="shared" si="728"/>
        <v>0</v>
      </c>
      <c r="L860" s="43">
        <f t="shared" si="728"/>
        <v>0</v>
      </c>
      <c r="M860" s="43">
        <f t="shared" si="728"/>
        <v>0</v>
      </c>
      <c r="N860" s="43">
        <f t="shared" si="728"/>
        <v>272432.69989504194</v>
      </c>
      <c r="O860" s="43">
        <f t="shared" si="728"/>
        <v>544865.39979008376</v>
      </c>
      <c r="P860" s="3"/>
      <c r="Q860" s="47">
        <f t="shared" si="729"/>
        <v>0</v>
      </c>
      <c r="R860" s="47">
        <f t="shared" si="730"/>
        <v>0</v>
      </c>
      <c r="S860" s="47">
        <f t="shared" si="731"/>
        <v>0</v>
      </c>
      <c r="T860" s="47">
        <f t="shared" si="732"/>
        <v>2451894.299055377</v>
      </c>
      <c r="U860" s="47">
        <f t="shared" si="733"/>
        <v>1907028.8992652933</v>
      </c>
      <c r="V860" s="3"/>
      <c r="W860" s="47">
        <f t="shared" si="734"/>
        <v>0</v>
      </c>
      <c r="X860" s="47">
        <f t="shared" si="735"/>
        <v>0</v>
      </c>
      <c r="Y860" s="47">
        <f t="shared" si="736"/>
        <v>0</v>
      </c>
      <c r="Z860" s="47">
        <f t="shared" si="737"/>
        <v>365604.68325914629</v>
      </c>
      <c r="AA860" s="47">
        <f t="shared" si="738"/>
        <v>617332.49796216493</v>
      </c>
      <c r="AB860" s="3"/>
      <c r="AC860" s="47">
        <f t="shared" ref="AC860:AG869" si="744">IF(AC$801&gt;=$G860,$H860*INDEX($G$40:$M$46,$G860-2019,AC$801-2019)*INDEX($G$49:$M$55,$G860-2019,AC$801-2019)*$F$28,0)</f>
        <v>0</v>
      </c>
      <c r="AD860" s="47">
        <f t="shared" si="744"/>
        <v>0</v>
      </c>
      <c r="AE860" s="47">
        <f t="shared" si="744"/>
        <v>0</v>
      </c>
      <c r="AF860" s="47">
        <f t="shared" si="744"/>
        <v>27243.269989504191</v>
      </c>
      <c r="AG860" s="47">
        <f t="shared" si="744"/>
        <v>28165.400192108929</v>
      </c>
      <c r="AH860" s="3"/>
      <c r="AI860" s="47">
        <f t="shared" si="739"/>
        <v>0</v>
      </c>
      <c r="AJ860" s="47">
        <f t="shared" si="740"/>
        <v>0</v>
      </c>
      <c r="AK860" s="47">
        <f t="shared" si="741"/>
        <v>0</v>
      </c>
      <c r="AL860" s="47">
        <f t="shared" si="742"/>
        <v>392847.95324865048</v>
      </c>
      <c r="AM860" s="47">
        <f t="shared" si="743"/>
        <v>645497.89815427386</v>
      </c>
    </row>
    <row r="861" spans="1:39" s="227" customFormat="1">
      <c r="A861" s="3"/>
      <c r="B861" s="37" t="str">
        <f>'8. Input IC huur Gasunie'!B317</f>
        <v>Asset 59</v>
      </c>
      <c r="C861" s="3"/>
      <c r="D861" s="3"/>
      <c r="E861" s="3"/>
      <c r="F861" s="37" t="str">
        <f>'8. Input IC huur Gasunie'!F317</f>
        <v>37 ICT middelen 1</v>
      </c>
      <c r="G861" s="37">
        <f>'8. Input IC huur Gasunie'!G317</f>
        <v>2025</v>
      </c>
      <c r="H861" s="42">
        <f>'8. Input IC huur Gasunie'!H317</f>
        <v>8922694.8197416607</v>
      </c>
      <c r="I861" s="37">
        <f>'8. Input IC huur Gasunie'!I317</f>
        <v>5</v>
      </c>
      <c r="J861" s="3"/>
      <c r="K861" s="43">
        <f t="shared" si="728"/>
        <v>0</v>
      </c>
      <c r="L861" s="43">
        <f t="shared" si="728"/>
        <v>0</v>
      </c>
      <c r="M861" s="43">
        <f t="shared" si="728"/>
        <v>0</v>
      </c>
      <c r="N861" s="43">
        <f t="shared" si="728"/>
        <v>892269.48197416612</v>
      </c>
      <c r="O861" s="43">
        <f t="shared" si="728"/>
        <v>1784538.9639483322</v>
      </c>
      <c r="P861" s="3"/>
      <c r="Q861" s="47">
        <f t="shared" si="729"/>
        <v>0</v>
      </c>
      <c r="R861" s="47">
        <f t="shared" si="730"/>
        <v>0</v>
      </c>
      <c r="S861" s="47">
        <f t="shared" si="731"/>
        <v>0</v>
      </c>
      <c r="T861" s="47">
        <f t="shared" si="732"/>
        <v>8030425.3377674948</v>
      </c>
      <c r="U861" s="47">
        <f t="shared" si="733"/>
        <v>6245886.3738191631</v>
      </c>
      <c r="V861" s="3"/>
      <c r="W861" s="47">
        <f t="shared" si="734"/>
        <v>0</v>
      </c>
      <c r="X861" s="47">
        <f t="shared" si="735"/>
        <v>0</v>
      </c>
      <c r="Y861" s="47">
        <f t="shared" si="736"/>
        <v>0</v>
      </c>
      <c r="Z861" s="47">
        <f t="shared" si="737"/>
        <v>1197425.6448093308</v>
      </c>
      <c r="AA861" s="47">
        <f t="shared" si="738"/>
        <v>2021882.6461534605</v>
      </c>
      <c r="AB861" s="3"/>
      <c r="AC861" s="47">
        <f t="shared" si="744"/>
        <v>0</v>
      </c>
      <c r="AD861" s="47">
        <f t="shared" si="744"/>
        <v>0</v>
      </c>
      <c r="AE861" s="47">
        <f t="shared" si="744"/>
        <v>0</v>
      </c>
      <c r="AF861" s="47">
        <f t="shared" si="744"/>
        <v>89226.948197416612</v>
      </c>
      <c r="AG861" s="47">
        <f t="shared" si="744"/>
        <v>92247.101940002773</v>
      </c>
      <c r="AH861" s="3"/>
      <c r="AI861" s="47">
        <f t="shared" si="739"/>
        <v>0</v>
      </c>
      <c r="AJ861" s="47">
        <f t="shared" si="740"/>
        <v>0</v>
      </c>
      <c r="AK861" s="47">
        <f t="shared" si="741"/>
        <v>0</v>
      </c>
      <c r="AL861" s="47">
        <f t="shared" si="742"/>
        <v>1286652.5930067473</v>
      </c>
      <c r="AM861" s="47">
        <f t="shared" si="743"/>
        <v>2114129.7480934635</v>
      </c>
    </row>
    <row r="862" spans="1:39" s="227" customFormat="1">
      <c r="A862" s="3"/>
      <c r="B862" s="37" t="str">
        <f>'8. Input IC huur Gasunie'!B318</f>
        <v>Asset 60</v>
      </c>
      <c r="C862" s="3"/>
      <c r="D862" s="3"/>
      <c r="E862" s="3"/>
      <c r="F862" s="37" t="str">
        <f>'8. Input IC huur Gasunie'!F318</f>
        <v>37 ICT middelen 1</v>
      </c>
      <c r="G862" s="37">
        <f>'8. Input IC huur Gasunie'!G318</f>
        <v>2025</v>
      </c>
      <c r="H862" s="42">
        <f>'8. Input IC huur Gasunie'!H318</f>
        <v>6448701.9665837865</v>
      </c>
      <c r="I862" s="37">
        <f>'8. Input IC huur Gasunie'!I318</f>
        <v>5</v>
      </c>
      <c r="J862" s="3"/>
      <c r="K862" s="43">
        <f t="shared" si="728"/>
        <v>0</v>
      </c>
      <c r="L862" s="43">
        <f t="shared" si="728"/>
        <v>0</v>
      </c>
      <c r="M862" s="43">
        <f t="shared" si="728"/>
        <v>0</v>
      </c>
      <c r="N862" s="43">
        <f t="shared" si="728"/>
        <v>644870.1966583787</v>
      </c>
      <c r="O862" s="43">
        <f t="shared" si="728"/>
        <v>1289740.3933167574</v>
      </c>
      <c r="P862" s="3"/>
      <c r="Q862" s="47">
        <f t="shared" si="729"/>
        <v>0</v>
      </c>
      <c r="R862" s="47">
        <f t="shared" si="730"/>
        <v>0</v>
      </c>
      <c r="S862" s="47">
        <f t="shared" si="731"/>
        <v>0</v>
      </c>
      <c r="T862" s="47">
        <f t="shared" si="732"/>
        <v>5803831.7699254081</v>
      </c>
      <c r="U862" s="47">
        <f t="shared" si="733"/>
        <v>4514091.3766086511</v>
      </c>
      <c r="V862" s="3"/>
      <c r="W862" s="47">
        <f t="shared" si="734"/>
        <v>0</v>
      </c>
      <c r="X862" s="47">
        <f t="shared" si="735"/>
        <v>0</v>
      </c>
      <c r="Y862" s="47">
        <f t="shared" si="736"/>
        <v>0</v>
      </c>
      <c r="Z862" s="47">
        <f t="shared" si="737"/>
        <v>865415.80391554418</v>
      </c>
      <c r="AA862" s="47">
        <f t="shared" si="738"/>
        <v>1461275.8656278863</v>
      </c>
      <c r="AB862" s="3"/>
      <c r="AC862" s="47">
        <f t="shared" si="744"/>
        <v>0</v>
      </c>
      <c r="AD862" s="47">
        <f t="shared" si="744"/>
        <v>0</v>
      </c>
      <c r="AE862" s="47">
        <f t="shared" si="744"/>
        <v>0</v>
      </c>
      <c r="AF862" s="47">
        <f t="shared" si="744"/>
        <v>64487.01966583787</v>
      </c>
      <c r="AG862" s="47">
        <f t="shared" si="744"/>
        <v>66669.776307487147</v>
      </c>
      <c r="AH862" s="3"/>
      <c r="AI862" s="47">
        <f t="shared" si="739"/>
        <v>0</v>
      </c>
      <c r="AJ862" s="47">
        <f t="shared" si="740"/>
        <v>0</v>
      </c>
      <c r="AK862" s="47">
        <f t="shared" si="741"/>
        <v>0</v>
      </c>
      <c r="AL862" s="47">
        <f t="shared" si="742"/>
        <v>929902.82358138205</v>
      </c>
      <c r="AM862" s="47">
        <f t="shared" si="743"/>
        <v>1527945.6419353734</v>
      </c>
    </row>
    <row r="863" spans="1:39" s="227" customFormat="1">
      <c r="A863" s="3"/>
      <c r="B863" s="37" t="str">
        <f>'8. Input IC huur Gasunie'!B319</f>
        <v>Asset 61</v>
      </c>
      <c r="C863" s="3"/>
      <c r="D863" s="3"/>
      <c r="E863" s="3"/>
      <c r="F863" s="37" t="str">
        <f>'8. Input IC huur Gasunie'!F319</f>
        <v>38 ICT middelen 2</v>
      </c>
      <c r="G863" s="37">
        <f>'8. Input IC huur Gasunie'!G319</f>
        <v>2025</v>
      </c>
      <c r="H863" s="42">
        <f>'8. Input IC huur Gasunie'!H319</f>
        <v>110.98759755843852</v>
      </c>
      <c r="I863" s="37">
        <f>'8. Input IC huur Gasunie'!I319</f>
        <v>10</v>
      </c>
      <c r="J863" s="3"/>
      <c r="K863" s="43">
        <f t="shared" si="728"/>
        <v>0</v>
      </c>
      <c r="L863" s="43">
        <f t="shared" si="728"/>
        <v>0</v>
      </c>
      <c r="M863" s="43">
        <f t="shared" si="728"/>
        <v>0</v>
      </c>
      <c r="N863" s="43">
        <f t="shared" si="728"/>
        <v>5.5493798779219263</v>
      </c>
      <c r="O863" s="43">
        <f t="shared" si="728"/>
        <v>11.098759755843853</v>
      </c>
      <c r="P863" s="3"/>
      <c r="Q863" s="47">
        <f t="shared" si="729"/>
        <v>0</v>
      </c>
      <c r="R863" s="47">
        <f t="shared" si="730"/>
        <v>0</v>
      </c>
      <c r="S863" s="47">
        <f t="shared" si="731"/>
        <v>0</v>
      </c>
      <c r="T863" s="47">
        <f t="shared" si="732"/>
        <v>105.4382176805166</v>
      </c>
      <c r="U863" s="47">
        <f t="shared" si="733"/>
        <v>94.339457924672743</v>
      </c>
      <c r="V863" s="3"/>
      <c r="W863" s="47">
        <f t="shared" si="734"/>
        <v>0</v>
      </c>
      <c r="X863" s="47">
        <f t="shared" si="735"/>
        <v>0</v>
      </c>
      <c r="Y863" s="47">
        <f t="shared" si="736"/>
        <v>0</v>
      </c>
      <c r="Z863" s="47">
        <f t="shared" si="737"/>
        <v>9.5560321497815579</v>
      </c>
      <c r="AA863" s="47">
        <f t="shared" si="738"/>
        <v>14.683659156981417</v>
      </c>
      <c r="AB863" s="3"/>
      <c r="AC863" s="47">
        <f t="shared" si="744"/>
        <v>0</v>
      </c>
      <c r="AD863" s="47">
        <f t="shared" si="744"/>
        <v>0</v>
      </c>
      <c r="AE863" s="47">
        <f t="shared" si="744"/>
        <v>0</v>
      </c>
      <c r="AF863" s="47">
        <f t="shared" si="744"/>
        <v>1.1098759755843852</v>
      </c>
      <c r="AG863" s="47">
        <f t="shared" si="744"/>
        <v>1.1474430576059655</v>
      </c>
      <c r="AH863" s="3"/>
      <c r="AI863" s="47">
        <f t="shared" si="739"/>
        <v>0</v>
      </c>
      <c r="AJ863" s="47">
        <f t="shared" si="740"/>
        <v>0</v>
      </c>
      <c r="AK863" s="47">
        <f t="shared" si="741"/>
        <v>0</v>
      </c>
      <c r="AL863" s="47">
        <f t="shared" si="742"/>
        <v>10.665908125365943</v>
      </c>
      <c r="AM863" s="47">
        <f t="shared" si="743"/>
        <v>15.831102214587382</v>
      </c>
    </row>
    <row r="864" spans="1:39" s="227" customFormat="1">
      <c r="A864" s="3"/>
      <c r="B864" s="37" t="str">
        <f>'8. Input IC huur Gasunie'!B320</f>
        <v>Asset 62</v>
      </c>
      <c r="C864" s="3"/>
      <c r="D864" s="3"/>
      <c r="E864" s="3"/>
      <c r="F864" s="37" t="str">
        <f>'8. Input IC huur Gasunie'!F320</f>
        <v>38 ICT middelen 2</v>
      </c>
      <c r="G864" s="37">
        <f>'8. Input IC huur Gasunie'!G320</f>
        <v>2025</v>
      </c>
      <c r="H864" s="42">
        <f>'8. Input IC huur Gasunie'!H320</f>
        <v>114758.60095242156</v>
      </c>
      <c r="I864" s="37">
        <f>'8. Input IC huur Gasunie'!I320</f>
        <v>10</v>
      </c>
      <c r="J864" s="3"/>
      <c r="K864" s="43">
        <f t="shared" si="728"/>
        <v>0</v>
      </c>
      <c r="L864" s="43">
        <f t="shared" si="728"/>
        <v>0</v>
      </c>
      <c r="M864" s="43">
        <f t="shared" si="728"/>
        <v>0</v>
      </c>
      <c r="N864" s="43">
        <f t="shared" si="728"/>
        <v>5737.9300476210783</v>
      </c>
      <c r="O864" s="43">
        <f t="shared" si="728"/>
        <v>11475.860095242157</v>
      </c>
      <c r="P864" s="3"/>
      <c r="Q864" s="47">
        <f t="shared" si="729"/>
        <v>0</v>
      </c>
      <c r="R864" s="47">
        <f t="shared" si="730"/>
        <v>0</v>
      </c>
      <c r="S864" s="47">
        <f t="shared" si="731"/>
        <v>0</v>
      </c>
      <c r="T864" s="47">
        <f t="shared" si="732"/>
        <v>109020.67090480049</v>
      </c>
      <c r="U864" s="47">
        <f t="shared" si="733"/>
        <v>97544.81080955833</v>
      </c>
      <c r="V864" s="3"/>
      <c r="W864" s="47">
        <f t="shared" si="734"/>
        <v>0</v>
      </c>
      <c r="X864" s="47">
        <f t="shared" si="735"/>
        <v>0</v>
      </c>
      <c r="Y864" s="47">
        <f t="shared" si="736"/>
        <v>0</v>
      </c>
      <c r="Z864" s="47">
        <f t="shared" si="737"/>
        <v>9880.7155420034978</v>
      </c>
      <c r="AA864" s="47">
        <f t="shared" si="738"/>
        <v>15182.562906005372</v>
      </c>
      <c r="AB864" s="3"/>
      <c r="AC864" s="47">
        <f t="shared" si="744"/>
        <v>0</v>
      </c>
      <c r="AD864" s="47">
        <f t="shared" si="744"/>
        <v>0</v>
      </c>
      <c r="AE864" s="47">
        <f t="shared" si="744"/>
        <v>0</v>
      </c>
      <c r="AF864" s="47">
        <f t="shared" si="744"/>
        <v>1147.5860095242156</v>
      </c>
      <c r="AG864" s="47">
        <f t="shared" si="744"/>
        <v>1186.4295007745914</v>
      </c>
      <c r="AH864" s="3"/>
      <c r="AI864" s="47">
        <f t="shared" si="739"/>
        <v>0</v>
      </c>
      <c r="AJ864" s="47">
        <f t="shared" si="740"/>
        <v>0</v>
      </c>
      <c r="AK864" s="47">
        <f t="shared" si="741"/>
        <v>0</v>
      </c>
      <c r="AL864" s="47">
        <f t="shared" si="742"/>
        <v>11028.301551527713</v>
      </c>
      <c r="AM864" s="47">
        <f t="shared" si="743"/>
        <v>16368.992406779964</v>
      </c>
    </row>
    <row r="865" spans="1:39" s="227" customFormat="1">
      <c r="A865" s="3"/>
      <c r="B865" s="37" t="str">
        <f>'8. Input IC huur Gasunie'!B321</f>
        <v>Asset 63</v>
      </c>
      <c r="C865" s="3"/>
      <c r="D865" s="3"/>
      <c r="E865" s="3"/>
      <c r="F865" s="37" t="str">
        <f>'8. Input IC huur Gasunie'!F321</f>
        <v>38 ICT middelen 2</v>
      </c>
      <c r="G865" s="37">
        <f>'8. Input IC huur Gasunie'!G321</f>
        <v>2025</v>
      </c>
      <c r="H865" s="42">
        <f>'8. Input IC huur Gasunie'!H321</f>
        <v>499173.21952495427</v>
      </c>
      <c r="I865" s="37">
        <f>'8. Input IC huur Gasunie'!I321</f>
        <v>10</v>
      </c>
      <c r="J865" s="3"/>
      <c r="K865" s="43">
        <f t="shared" si="728"/>
        <v>0</v>
      </c>
      <c r="L865" s="43">
        <f t="shared" si="728"/>
        <v>0</v>
      </c>
      <c r="M865" s="43">
        <f t="shared" si="728"/>
        <v>0</v>
      </c>
      <c r="N865" s="43">
        <f t="shared" si="728"/>
        <v>24958.660976247716</v>
      </c>
      <c r="O865" s="43">
        <f t="shared" si="728"/>
        <v>49917.321952495433</v>
      </c>
      <c r="P865" s="3"/>
      <c r="Q865" s="47">
        <f t="shared" si="729"/>
        <v>0</v>
      </c>
      <c r="R865" s="47">
        <f t="shared" si="730"/>
        <v>0</v>
      </c>
      <c r="S865" s="47">
        <f t="shared" si="731"/>
        <v>0</v>
      </c>
      <c r="T865" s="47">
        <f t="shared" si="732"/>
        <v>474214.55854870658</v>
      </c>
      <c r="U865" s="47">
        <f t="shared" si="733"/>
        <v>424297.23659621115</v>
      </c>
      <c r="V865" s="3"/>
      <c r="W865" s="47">
        <f t="shared" si="734"/>
        <v>0</v>
      </c>
      <c r="X865" s="47">
        <f t="shared" si="735"/>
        <v>0</v>
      </c>
      <c r="Y865" s="47">
        <f t="shared" si="736"/>
        <v>0</v>
      </c>
      <c r="Z865" s="47">
        <f t="shared" si="737"/>
        <v>42978.814201098561</v>
      </c>
      <c r="AA865" s="47">
        <f t="shared" si="738"/>
        <v>66040.616943151457</v>
      </c>
      <c r="AB865" s="3"/>
      <c r="AC865" s="47">
        <f t="shared" si="744"/>
        <v>0</v>
      </c>
      <c r="AD865" s="47">
        <f t="shared" si="744"/>
        <v>0</v>
      </c>
      <c r="AE865" s="47">
        <f t="shared" si="744"/>
        <v>0</v>
      </c>
      <c r="AF865" s="47">
        <f t="shared" si="744"/>
        <v>4991.7321952495431</v>
      </c>
      <c r="AG865" s="47">
        <f t="shared" si="744"/>
        <v>5160.6923465943491</v>
      </c>
      <c r="AH865" s="3"/>
      <c r="AI865" s="47">
        <f t="shared" si="739"/>
        <v>0</v>
      </c>
      <c r="AJ865" s="47">
        <f t="shared" si="740"/>
        <v>0</v>
      </c>
      <c r="AK865" s="47">
        <f t="shared" si="741"/>
        <v>0</v>
      </c>
      <c r="AL865" s="47">
        <f t="shared" si="742"/>
        <v>47970.546396348102</v>
      </c>
      <c r="AM865" s="47">
        <f t="shared" si="743"/>
        <v>71201.309289745812</v>
      </c>
    </row>
    <row r="866" spans="1:39" s="227" customFormat="1">
      <c r="A866" s="3"/>
      <c r="B866" s="37" t="str">
        <f>'8. Input IC huur Gasunie'!B322</f>
        <v>Asset 64</v>
      </c>
      <c r="C866" s="3"/>
      <c r="D866" s="3"/>
      <c r="E866" s="3"/>
      <c r="F866" s="37" t="str">
        <f>'8. Input IC huur Gasunie'!F322</f>
        <v>38 ICT middelen 2</v>
      </c>
      <c r="G866" s="37">
        <f>'8. Input IC huur Gasunie'!G322</f>
        <v>2025</v>
      </c>
      <c r="H866" s="42">
        <f>'8. Input IC huur Gasunie'!H322</f>
        <v>0</v>
      </c>
      <c r="I866" s="37">
        <f>'8. Input IC huur Gasunie'!I322</f>
        <v>10</v>
      </c>
      <c r="J866" s="3"/>
      <c r="K866" s="43">
        <f t="shared" si="728"/>
        <v>0</v>
      </c>
      <c r="L866" s="43">
        <f t="shared" si="728"/>
        <v>0</v>
      </c>
      <c r="M866" s="43">
        <f t="shared" si="728"/>
        <v>0</v>
      </c>
      <c r="N866" s="43">
        <f t="shared" si="728"/>
        <v>0</v>
      </c>
      <c r="O866" s="43">
        <f t="shared" si="728"/>
        <v>0</v>
      </c>
      <c r="P866" s="3"/>
      <c r="Q866" s="47">
        <f t="shared" si="729"/>
        <v>0</v>
      </c>
      <c r="R866" s="47">
        <f t="shared" si="730"/>
        <v>0</v>
      </c>
      <c r="S866" s="47">
        <f t="shared" si="731"/>
        <v>0</v>
      </c>
      <c r="T866" s="47">
        <f t="shared" si="732"/>
        <v>0</v>
      </c>
      <c r="U866" s="47">
        <f t="shared" si="733"/>
        <v>0</v>
      </c>
      <c r="V866" s="3"/>
      <c r="W866" s="47">
        <f t="shared" si="734"/>
        <v>0</v>
      </c>
      <c r="X866" s="47">
        <f t="shared" si="735"/>
        <v>0</v>
      </c>
      <c r="Y866" s="47">
        <f t="shared" si="736"/>
        <v>0</v>
      </c>
      <c r="Z866" s="47">
        <f t="shared" si="737"/>
        <v>0</v>
      </c>
      <c r="AA866" s="47">
        <f t="shared" si="738"/>
        <v>0</v>
      </c>
      <c r="AB866" s="3"/>
      <c r="AC866" s="47">
        <f t="shared" si="744"/>
        <v>0</v>
      </c>
      <c r="AD866" s="47">
        <f t="shared" si="744"/>
        <v>0</v>
      </c>
      <c r="AE866" s="47">
        <f t="shared" si="744"/>
        <v>0</v>
      </c>
      <c r="AF866" s="47">
        <f t="shared" si="744"/>
        <v>0</v>
      </c>
      <c r="AG866" s="47">
        <f t="shared" si="744"/>
        <v>0</v>
      </c>
      <c r="AH866" s="3"/>
      <c r="AI866" s="47">
        <f t="shared" si="739"/>
        <v>0</v>
      </c>
      <c r="AJ866" s="47">
        <f t="shared" si="740"/>
        <v>0</v>
      </c>
      <c r="AK866" s="47">
        <f t="shared" si="741"/>
        <v>0</v>
      </c>
      <c r="AL866" s="47">
        <f t="shared" si="742"/>
        <v>0</v>
      </c>
      <c r="AM866" s="47">
        <f t="shared" si="743"/>
        <v>0</v>
      </c>
    </row>
    <row r="867" spans="1:39" s="227" customFormat="1">
      <c r="A867" s="3"/>
      <c r="B867" s="37" t="str">
        <f>'8. Input IC huur Gasunie'!B323</f>
        <v>Asset 65</v>
      </c>
      <c r="C867" s="3"/>
      <c r="D867" s="3"/>
      <c r="E867" s="3"/>
      <c r="F867" s="37" t="str">
        <f>'8. Input IC huur Gasunie'!F323</f>
        <v>39 ICT middelen 3</v>
      </c>
      <c r="G867" s="37">
        <f>'8. Input IC huur Gasunie'!G323</f>
        <v>2025</v>
      </c>
      <c r="H867" s="42">
        <f>'8. Input IC huur Gasunie'!H323</f>
        <v>474545.29911399848</v>
      </c>
      <c r="I867" s="37">
        <f>'8. Input IC huur Gasunie'!I323</f>
        <v>15</v>
      </c>
      <c r="J867" s="3"/>
      <c r="K867" s="43">
        <f t="shared" si="728"/>
        <v>0</v>
      </c>
      <c r="L867" s="43">
        <f t="shared" si="728"/>
        <v>0</v>
      </c>
      <c r="M867" s="43">
        <f t="shared" si="728"/>
        <v>0</v>
      </c>
      <c r="N867" s="43">
        <f t="shared" si="728"/>
        <v>15818.176637133283</v>
      </c>
      <c r="O867" s="43">
        <f t="shared" si="728"/>
        <v>31636.353274266563</v>
      </c>
      <c r="P867" s="3"/>
      <c r="Q867" s="47">
        <f t="shared" si="729"/>
        <v>0</v>
      </c>
      <c r="R867" s="47">
        <f t="shared" si="730"/>
        <v>0</v>
      </c>
      <c r="S867" s="47">
        <f t="shared" si="731"/>
        <v>0</v>
      </c>
      <c r="T867" s="47">
        <f t="shared" si="732"/>
        <v>458727.12247686519</v>
      </c>
      <c r="U867" s="47">
        <f t="shared" si="733"/>
        <v>427090.7692025986</v>
      </c>
      <c r="V867" s="3"/>
      <c r="W867" s="47">
        <f t="shared" si="734"/>
        <v>0</v>
      </c>
      <c r="X867" s="47">
        <f t="shared" si="735"/>
        <v>0</v>
      </c>
      <c r="Y867" s="47">
        <f t="shared" si="736"/>
        <v>0</v>
      </c>
      <c r="Z867" s="47">
        <f t="shared" si="737"/>
        <v>33249.807291254161</v>
      </c>
      <c r="AA867" s="47">
        <f t="shared" si="738"/>
        <v>47865.802503965308</v>
      </c>
      <c r="AB867" s="3"/>
      <c r="AC867" s="47">
        <f t="shared" si="744"/>
        <v>0</v>
      </c>
      <c r="AD867" s="47">
        <f t="shared" si="744"/>
        <v>0</v>
      </c>
      <c r="AE867" s="47">
        <f t="shared" si="744"/>
        <v>0</v>
      </c>
      <c r="AF867" s="47">
        <f t="shared" si="744"/>
        <v>4745.452991139985</v>
      </c>
      <c r="AG867" s="47">
        <f t="shared" si="744"/>
        <v>4906.0770839840916</v>
      </c>
      <c r="AH867" s="3"/>
      <c r="AI867" s="47">
        <f t="shared" si="739"/>
        <v>0</v>
      </c>
      <c r="AJ867" s="47">
        <f t="shared" si="740"/>
        <v>0</v>
      </c>
      <c r="AK867" s="47">
        <f t="shared" si="741"/>
        <v>0</v>
      </c>
      <c r="AL867" s="47">
        <f t="shared" si="742"/>
        <v>37995.260282394149</v>
      </c>
      <c r="AM867" s="47">
        <f t="shared" si="743"/>
        <v>52771.879587949399</v>
      </c>
    </row>
    <row r="868" spans="1:39" s="227" customFormat="1">
      <c r="A868" s="3"/>
      <c r="B868" s="37" t="str">
        <f>'8. Input IC huur Gasunie'!B324</f>
        <v>Asset 66</v>
      </c>
      <c r="C868" s="3"/>
      <c r="D868" s="3"/>
      <c r="E868" s="3"/>
      <c r="F868" s="37" t="str">
        <f>'8. Input IC huur Gasunie'!F324</f>
        <v>39 ICT middelen 3</v>
      </c>
      <c r="G868" s="37">
        <f>'8. Input IC huur Gasunie'!G324</f>
        <v>2025</v>
      </c>
      <c r="H868" s="42">
        <f>'8. Input IC huur Gasunie'!H324</f>
        <v>448390.27327665774</v>
      </c>
      <c r="I868" s="37">
        <f>'8. Input IC huur Gasunie'!I324</f>
        <v>15</v>
      </c>
      <c r="J868" s="3"/>
      <c r="K868" s="43">
        <f t="shared" si="728"/>
        <v>0</v>
      </c>
      <c r="L868" s="43">
        <f t="shared" si="728"/>
        <v>0</v>
      </c>
      <c r="M868" s="43">
        <f t="shared" si="728"/>
        <v>0</v>
      </c>
      <c r="N868" s="43">
        <f t="shared" si="728"/>
        <v>14946.342442555258</v>
      </c>
      <c r="O868" s="43">
        <f t="shared" si="728"/>
        <v>29892.684885110517</v>
      </c>
      <c r="P868" s="3"/>
      <c r="Q868" s="47">
        <f t="shared" si="729"/>
        <v>0</v>
      </c>
      <c r="R868" s="47">
        <f t="shared" si="730"/>
        <v>0</v>
      </c>
      <c r="S868" s="47">
        <f t="shared" si="731"/>
        <v>0</v>
      </c>
      <c r="T868" s="47">
        <f t="shared" si="732"/>
        <v>433443.9308341025</v>
      </c>
      <c r="U868" s="47">
        <f t="shared" si="733"/>
        <v>403551.24594899197</v>
      </c>
      <c r="V868" s="3"/>
      <c r="W868" s="47">
        <f t="shared" si="734"/>
        <v>0</v>
      </c>
      <c r="X868" s="47">
        <f t="shared" si="735"/>
        <v>0</v>
      </c>
      <c r="Y868" s="47">
        <f t="shared" si="736"/>
        <v>0</v>
      </c>
      <c r="Z868" s="47">
        <f t="shared" si="737"/>
        <v>31417.211814251154</v>
      </c>
      <c r="AA868" s="47">
        <f t="shared" si="738"/>
        <v>45227.632231172211</v>
      </c>
      <c r="AB868" s="3"/>
      <c r="AC868" s="47">
        <f t="shared" si="744"/>
        <v>0</v>
      </c>
      <c r="AD868" s="47">
        <f t="shared" si="744"/>
        <v>0</v>
      </c>
      <c r="AE868" s="47">
        <f t="shared" si="744"/>
        <v>0</v>
      </c>
      <c r="AF868" s="47">
        <f t="shared" si="744"/>
        <v>4483.9027327665772</v>
      </c>
      <c r="AG868" s="47">
        <f t="shared" si="744"/>
        <v>4635.6738724652605</v>
      </c>
      <c r="AH868" s="3"/>
      <c r="AI868" s="47">
        <f t="shared" si="739"/>
        <v>0</v>
      </c>
      <c r="AJ868" s="47">
        <f t="shared" si="740"/>
        <v>0</v>
      </c>
      <c r="AK868" s="47">
        <f t="shared" si="741"/>
        <v>0</v>
      </c>
      <c r="AL868" s="47">
        <f t="shared" si="742"/>
        <v>35901.114547017729</v>
      </c>
      <c r="AM868" s="47">
        <f t="shared" si="743"/>
        <v>49863.306103637471</v>
      </c>
    </row>
    <row r="869" spans="1:39" s="227" customFormat="1">
      <c r="A869" s="3"/>
      <c r="B869" s="37" t="str">
        <f>'8. Input IC huur Gasunie'!B325</f>
        <v>Asset 67</v>
      </c>
      <c r="C869" s="3"/>
      <c r="D869" s="3"/>
      <c r="E869" s="3"/>
      <c r="F869" s="37" t="str">
        <f>'8. Input IC huur Gasunie'!F325</f>
        <v>39 ICT middelen 3</v>
      </c>
      <c r="G869" s="37">
        <f>'8. Input IC huur Gasunie'!G325</f>
        <v>2025</v>
      </c>
      <c r="H869" s="42">
        <f>'8. Input IC huur Gasunie'!H325</f>
        <v>5747091.0393672939</v>
      </c>
      <c r="I869" s="37">
        <f>'8. Input IC huur Gasunie'!I325</f>
        <v>15</v>
      </c>
      <c r="J869" s="3"/>
      <c r="K869" s="43">
        <f t="shared" si="728"/>
        <v>0</v>
      </c>
      <c r="L869" s="43">
        <f t="shared" si="728"/>
        <v>0</v>
      </c>
      <c r="M869" s="43">
        <f t="shared" si="728"/>
        <v>0</v>
      </c>
      <c r="N869" s="43">
        <f t="shared" si="728"/>
        <v>191569.70131224312</v>
      </c>
      <c r="O869" s="43">
        <f t="shared" si="728"/>
        <v>383139.40262448625</v>
      </c>
      <c r="P869" s="3"/>
      <c r="Q869" s="47">
        <f t="shared" si="729"/>
        <v>0</v>
      </c>
      <c r="R869" s="47">
        <f t="shared" si="730"/>
        <v>0</v>
      </c>
      <c r="S869" s="47">
        <f t="shared" si="731"/>
        <v>0</v>
      </c>
      <c r="T869" s="47">
        <f t="shared" si="732"/>
        <v>5555521.3380550509</v>
      </c>
      <c r="U869" s="47">
        <f t="shared" si="733"/>
        <v>5172381.9354305649</v>
      </c>
      <c r="V869" s="3"/>
      <c r="W869" s="47">
        <f t="shared" si="734"/>
        <v>0</v>
      </c>
      <c r="X869" s="47">
        <f t="shared" si="735"/>
        <v>0</v>
      </c>
      <c r="Y869" s="47">
        <f t="shared" si="736"/>
        <v>0</v>
      </c>
      <c r="Z869" s="47">
        <f t="shared" si="737"/>
        <v>402679.51215833507</v>
      </c>
      <c r="AA869" s="47">
        <f t="shared" si="738"/>
        <v>579689.91617084772</v>
      </c>
      <c r="AB869" s="3"/>
      <c r="AC869" s="47">
        <f t="shared" si="744"/>
        <v>0</v>
      </c>
      <c r="AD869" s="47">
        <f t="shared" si="744"/>
        <v>0</v>
      </c>
      <c r="AE869" s="47">
        <f t="shared" si="744"/>
        <v>0</v>
      </c>
      <c r="AF869" s="47">
        <f t="shared" si="744"/>
        <v>57470.910393672937</v>
      </c>
      <c r="AG869" s="47">
        <f t="shared" si="744"/>
        <v>59416.185768677984</v>
      </c>
      <c r="AH869" s="3"/>
      <c r="AI869" s="47">
        <f t="shared" si="739"/>
        <v>0</v>
      </c>
      <c r="AJ869" s="47">
        <f t="shared" si="740"/>
        <v>0</v>
      </c>
      <c r="AK869" s="47">
        <f t="shared" si="741"/>
        <v>0</v>
      </c>
      <c r="AL869" s="47">
        <f t="shared" si="742"/>
        <v>460150.42255200801</v>
      </c>
      <c r="AM869" s="47">
        <f t="shared" si="743"/>
        <v>639106.10193952569</v>
      </c>
    </row>
    <row r="870" spans="1:39">
      <c r="AL870" s="88"/>
    </row>
    <row r="871" spans="1:39" s="8" customFormat="1">
      <c r="B871" s="8" t="s">
        <v>1083</v>
      </c>
      <c r="D871" s="8" t="s">
        <v>204</v>
      </c>
      <c r="G871" s="46"/>
      <c r="H871" s="46">
        <v>2021</v>
      </c>
      <c r="I871" s="46">
        <v>2022</v>
      </c>
      <c r="J871" s="46">
        <v>2023</v>
      </c>
      <c r="K871" s="46">
        <v>2024</v>
      </c>
      <c r="L871" s="46">
        <v>2025</v>
      </c>
      <c r="M871" s="46">
        <v>2026</v>
      </c>
      <c r="N871" s="46">
        <v>2027</v>
      </c>
      <c r="P871" s="8" t="s">
        <v>207</v>
      </c>
    </row>
    <row r="873" spans="1:39">
      <c r="B873" s="3" t="s">
        <v>1084</v>
      </c>
      <c r="D873" s="3" t="s">
        <v>482</v>
      </c>
      <c r="H873" s="10"/>
      <c r="I873" s="47">
        <f>SUM(AJ307:AJ549)</f>
        <v>47303712.275716439</v>
      </c>
      <c r="J873" s="47">
        <f>SUM(AK307:AK549)</f>
        <v>31689565.787792545</v>
      </c>
      <c r="K873" s="47">
        <f>SUM(AL307:AL549)</f>
        <v>27885415.248524517</v>
      </c>
      <c r="L873" s="47">
        <f>SUM(AM307:AM549)</f>
        <v>22650429.620528437</v>
      </c>
      <c r="M873" s="47">
        <f>SUM(AN307:AN549)</f>
        <v>17735981.863229234</v>
      </c>
      <c r="N873" s="10"/>
    </row>
    <row r="874" spans="1:39">
      <c r="B874" s="3" t="s">
        <v>1085</v>
      </c>
      <c r="D874" s="3" t="s">
        <v>482</v>
      </c>
      <c r="H874" s="10"/>
      <c r="I874" s="47">
        <f>SUM(AB555:AB797)</f>
        <v>39217738.402224623</v>
      </c>
      <c r="J874" s="47">
        <f>SUM(AC555:AC797)</f>
        <v>33189273.645462066</v>
      </c>
      <c r="K874" s="47">
        <f>SUM(AD555:AD797)</f>
        <v>29216317.285462335</v>
      </c>
      <c r="L874" s="47">
        <f>SUM(AE555:AE797)</f>
        <v>24012638.624367848</v>
      </c>
      <c r="M874" s="47">
        <f>SUM(AF555:AF797)</f>
        <v>18660000.753578022</v>
      </c>
      <c r="N874" s="10"/>
    </row>
    <row r="875" spans="1:39">
      <c r="B875" s="3" t="s">
        <v>1086</v>
      </c>
      <c r="D875" s="3" t="s">
        <v>482</v>
      </c>
      <c r="H875" s="174">
        <f>MAX(SUM(M59:M301),H876)</f>
        <v>216951830.34509885</v>
      </c>
      <c r="I875" s="10"/>
      <c r="J875" s="10"/>
      <c r="K875" s="104"/>
      <c r="L875" s="10"/>
      <c r="M875" s="10"/>
      <c r="N875" s="10"/>
      <c r="P875" s="3" t="s">
        <v>1087</v>
      </c>
    </row>
    <row r="876" spans="1:39">
      <c r="B876" s="3" t="s">
        <v>1088</v>
      </c>
      <c r="D876" s="3" t="s">
        <v>482</v>
      </c>
      <c r="H876" s="43">
        <f>SUM(N307:N549)</f>
        <v>216951830.34509885</v>
      </c>
      <c r="I876" s="10"/>
      <c r="J876" s="10"/>
      <c r="K876" s="10"/>
      <c r="L876" s="10"/>
      <c r="M876" s="10"/>
      <c r="N876" s="10"/>
    </row>
    <row r="877" spans="1:39">
      <c r="B877" s="3" t="s">
        <v>1089</v>
      </c>
      <c r="D877" s="3" t="s">
        <v>482</v>
      </c>
      <c r="H877" s="10"/>
      <c r="I877" s="47">
        <f>SUMIF($G$803:$G$869,2022,AI803:AI869)</f>
        <v>1428124.2132085976</v>
      </c>
      <c r="J877" s="47">
        <f>SUMIF($G$803:$G$869,2022,AJ803:AJ869)</f>
        <v>2217707.8337649051</v>
      </c>
      <c r="K877" s="47">
        <f>SUMIF($G$803:$G$869,2022,AK803:AK869)</f>
        <v>2220228.5401113494</v>
      </c>
      <c r="L877" s="47">
        <f>SUMIF($G$803:$G$869,2022,AL803:AL869)</f>
        <v>2159320.7927243733</v>
      </c>
      <c r="M877" s="47">
        <f>SUMIF($G$803:$G$869,2022,AM803:AM869)</f>
        <v>2100101.5141843641</v>
      </c>
      <c r="N877" s="10"/>
    </row>
    <row r="878" spans="1:39">
      <c r="B878" s="3" t="s">
        <v>1090</v>
      </c>
      <c r="D878" s="3" t="s">
        <v>482</v>
      </c>
      <c r="H878" s="10"/>
      <c r="I878" s="10"/>
      <c r="J878" s="47">
        <f>SUMIF($G$803:$G$869,2023,AJ803:AJ869)</f>
        <v>1028574.5024785999</v>
      </c>
      <c r="K878" s="47">
        <f>SUMIF($G$803:$G$869,2023,AK803:AK869)</f>
        <v>1712271.072741084</v>
      </c>
      <c r="L878" s="47">
        <f>SUMIF($G$803:$G$869,2023,AL803:AL869)</f>
        <v>1661865.047384599</v>
      </c>
      <c r="M878" s="47">
        <f>SUMIF($G$803:$G$869,2023,AM803:AM869)</f>
        <v>1612428.4349268554</v>
      </c>
      <c r="N878" s="10"/>
    </row>
    <row r="879" spans="1:39">
      <c r="B879" s="3" t="s">
        <v>1091</v>
      </c>
      <c r="D879" s="3" t="s">
        <v>482</v>
      </c>
      <c r="H879" s="10"/>
      <c r="I879" s="10"/>
      <c r="J879" s="10"/>
      <c r="K879" s="47">
        <f>SUMIF($G$803:$G$869,2024,AK803:AK869)</f>
        <v>5721939.4973236667</v>
      </c>
      <c r="L879" s="47">
        <f>SUMIF($G$803:$G$869,2024,AL803:AL869)</f>
        <v>8267219.8231534604</v>
      </c>
      <c r="M879" s="47">
        <f>SUMIF($G$803:$G$869,2024,AM803:AM869)</f>
        <v>8081427.3833027044</v>
      </c>
      <c r="N879" s="10"/>
    </row>
    <row r="880" spans="1:39">
      <c r="B880" s="3" t="s">
        <v>1092</v>
      </c>
      <c r="D880" s="3" t="s">
        <v>482</v>
      </c>
      <c r="H880" s="10"/>
      <c r="I880" s="10"/>
      <c r="J880" s="10"/>
      <c r="K880" s="10"/>
      <c r="L880" s="47">
        <f>SUMIF($G$803:$G$869,2025,AL803:AL869)</f>
        <v>4307435.1035978757</v>
      </c>
      <c r="M880" s="47">
        <f>SUMIF($G$803:$G$869,2025,AM803:AM869)</f>
        <v>6852645.2007159367</v>
      </c>
      <c r="N880" s="10"/>
    </row>
    <row r="881" spans="2:16">
      <c r="B881" s="3" t="s">
        <v>1093</v>
      </c>
      <c r="D881" s="3" t="s">
        <v>482</v>
      </c>
      <c r="H881" s="10"/>
      <c r="I881" s="10"/>
      <c r="J881" s="174">
        <f>(-H875+H876)*J32+(-I873+I874)*J33+(-J873+J874)</f>
        <v>-6747985.4932921315</v>
      </c>
      <c r="K881" s="51">
        <f>-K873+K874</f>
        <v>1330902.0369378179</v>
      </c>
      <c r="L881" s="174">
        <f>-L873+L874+I877*L33+SUM(J877:J878)*L34+SUM(K877:K878)*L35+SUM(L877:L878)</f>
        <v>14624633.370419957</v>
      </c>
      <c r="M881" s="51">
        <f>-M873+M874+SUM(M877:M879)+K879*M35+L879*M36</f>
        <v>27827156.062316984</v>
      </c>
      <c r="N881" s="174">
        <f>L880*N36+M880*N37</f>
        <v>11830470.141873455</v>
      </c>
      <c r="O881" s="170"/>
    </row>
    <row r="883" spans="2:16">
      <c r="M883" s="88"/>
    </row>
    <row r="884" spans="2:16">
      <c r="M884" s="88"/>
      <c r="P884" s="88"/>
    </row>
  </sheetData>
  <mergeCells count="2">
    <mergeCell ref="B5:D5"/>
    <mergeCell ref="B8:D8"/>
  </mergeCells>
  <phoneticPr fontId="41" type="noConversion"/>
  <pageMargins left="0.7" right="0.7" top="0.75" bottom="0.75" header="0.3" footer="0.3"/>
  <pageSetup paperSize="9" orientation="portrait" r:id="rId1"/>
  <headerFooter>
    <oddFooter>&amp;C_x000D_&amp;1#&amp;"Calibri"&amp;10&amp;K000000 Vertrouwelijk/Confidential</oddFooter>
  </headerFooter>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7470-D7EA-419F-AF08-374DC7FF5252}">
  <sheetPr>
    <tabColor rgb="FFFFFFCC"/>
  </sheetPr>
  <dimension ref="A2:T137"/>
  <sheetViews>
    <sheetView showGridLines="0" zoomScale="85" zoomScaleNormal="85" workbookViewId="0">
      <pane xSplit="4" ySplit="10" topLeftCell="H11"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70" style="3" bestFit="1" customWidth="1"/>
    <col min="3" max="3" width="2.5703125" style="3" customWidth="1"/>
    <col min="4" max="4" width="15" style="3" bestFit="1" customWidth="1"/>
    <col min="5" max="5" width="2.5703125" style="3" customWidth="1"/>
    <col min="6" max="6" width="12.5703125" style="3" bestFit="1" customWidth="1"/>
    <col min="7" max="7" width="2.5703125" style="3" customWidth="1"/>
    <col min="8" max="9" width="10.85546875" style="3" bestFit="1" customWidth="1"/>
    <col min="10" max="10" width="11.28515625" style="3" bestFit="1" customWidth="1"/>
    <col min="11" max="11" width="13" style="3" bestFit="1" customWidth="1"/>
    <col min="12" max="12" width="14.5703125" style="3" bestFit="1" customWidth="1"/>
    <col min="13" max="13" width="12.5703125" style="3" bestFit="1" customWidth="1"/>
    <col min="14" max="14" width="12.28515625" style="3" bestFit="1" customWidth="1"/>
    <col min="15" max="15" width="12.5703125" style="3" bestFit="1" customWidth="1"/>
    <col min="16" max="17" width="12.28515625" style="3" bestFit="1" customWidth="1"/>
    <col min="18" max="18" width="12.28515625" style="3" customWidth="1"/>
    <col min="19" max="19" width="2.5703125" style="3" customWidth="1"/>
    <col min="20" max="20" width="12.85546875" style="3" bestFit="1" customWidth="1"/>
    <col min="21" max="33" width="13.5703125" style="3" customWidth="1"/>
    <col min="34" max="16384" width="9" style="3"/>
  </cols>
  <sheetData>
    <row r="2" spans="2:20" s="12" customFormat="1" ht="18">
      <c r="B2" s="12" t="s">
        <v>1094</v>
      </c>
    </row>
    <row r="4" spans="2:20">
      <c r="B4" s="16" t="s">
        <v>893</v>
      </c>
      <c r="C4" s="2"/>
      <c r="L4"/>
    </row>
    <row r="5" spans="2:20" ht="16.5" customHeight="1">
      <c r="B5" s="359" t="s">
        <v>1095</v>
      </c>
      <c r="C5" s="359"/>
      <c r="D5" s="359"/>
      <c r="F5" s="13"/>
    </row>
    <row r="6" spans="2:20">
      <c r="B6" s="4"/>
    </row>
    <row r="7" spans="2:20">
      <c r="B7" s="17" t="s">
        <v>158</v>
      </c>
    </row>
    <row r="8" spans="2:20" ht="38.25" customHeight="1">
      <c r="B8" s="359" t="s">
        <v>1096</v>
      </c>
      <c r="C8" s="359"/>
      <c r="D8" s="359"/>
    </row>
    <row r="10" spans="2:20" s="8" customFormat="1">
      <c r="B10" s="8" t="s">
        <v>162</v>
      </c>
      <c r="D10" s="8" t="s">
        <v>204</v>
      </c>
      <c r="F10" s="8" t="s">
        <v>205</v>
      </c>
      <c r="H10" s="46">
        <v>2017</v>
      </c>
      <c r="I10" s="46">
        <v>2018</v>
      </c>
      <c r="J10" s="46">
        <v>2019</v>
      </c>
      <c r="K10" s="46">
        <v>2020</v>
      </c>
      <c r="L10" s="46">
        <v>2021</v>
      </c>
      <c r="M10" s="46">
        <v>2022</v>
      </c>
      <c r="N10" s="46">
        <v>2023</v>
      </c>
      <c r="O10" s="46">
        <v>2024</v>
      </c>
      <c r="P10" s="46">
        <v>2025</v>
      </c>
      <c r="Q10" s="46">
        <v>2026</v>
      </c>
      <c r="R10" s="46">
        <v>2027</v>
      </c>
      <c r="T10" s="8" t="s">
        <v>207</v>
      </c>
    </row>
    <row r="12" spans="2:20" s="8" customFormat="1">
      <c r="B12" s="8" t="s">
        <v>897</v>
      </c>
    </row>
    <row r="13" spans="2:20">
      <c r="P13" s="88"/>
    </row>
    <row r="14" spans="2:20">
      <c r="B14" s="2" t="s">
        <v>220</v>
      </c>
    </row>
    <row r="15" spans="2:20">
      <c r="B15" s="145" t="s">
        <v>217</v>
      </c>
      <c r="D15" s="3" t="s">
        <v>214</v>
      </c>
      <c r="H15" s="10"/>
      <c r="I15" s="10"/>
      <c r="J15" s="10"/>
      <c r="K15" s="10"/>
      <c r="L15" s="10"/>
      <c r="M15" s="55">
        <f>'2. Parameters'!M23</f>
        <v>4.1000000000000002E-2</v>
      </c>
      <c r="N15" s="55">
        <f>'2. Parameters'!N23</f>
        <v>5.0999999999999997E-2</v>
      </c>
      <c r="O15" s="55">
        <f>'2. Parameters'!O23</f>
        <v>5.0999999999999997E-2</v>
      </c>
      <c r="P15" s="55">
        <f>'2. Parameters'!P23</f>
        <v>5.5E-2</v>
      </c>
      <c r="Q15" s="10"/>
      <c r="R15" s="10"/>
    </row>
    <row r="17" spans="1:18">
      <c r="B17" s="2" t="s">
        <v>223</v>
      </c>
    </row>
    <row r="18" spans="1:18">
      <c r="B18" s="3" t="s">
        <v>223</v>
      </c>
      <c r="D18" s="3" t="s">
        <v>214</v>
      </c>
      <c r="F18" s="173">
        <f>'2. Parameters'!F27</f>
        <v>0.01</v>
      </c>
    </row>
    <row r="19" spans="1:18">
      <c r="B19" s="16"/>
    </row>
    <row r="20" spans="1:18" s="89" customFormat="1">
      <c r="A20" s="3"/>
      <c r="B20" s="106" t="s">
        <v>1006</v>
      </c>
    </row>
    <row r="21" spans="1:18" s="89" customFormat="1">
      <c r="A21" s="3"/>
      <c r="B21" s="89" t="s">
        <v>1007</v>
      </c>
      <c r="D21" s="89" t="s">
        <v>214</v>
      </c>
      <c r="F21" s="78">
        <f>'2. Parameters'!F95</f>
        <v>0.25</v>
      </c>
    </row>
    <row r="22" spans="1:18">
      <c r="B22" s="3" t="s">
        <v>1008</v>
      </c>
      <c r="D22" s="3" t="s">
        <v>214</v>
      </c>
      <c r="F22" s="78">
        <f>'2. Parameters'!F96</f>
        <v>0.2</v>
      </c>
    </row>
    <row r="24" spans="1:18">
      <c r="B24" s="2" t="s">
        <v>251</v>
      </c>
    </row>
    <row r="25" spans="1:18">
      <c r="B25" s="3" t="s">
        <v>251</v>
      </c>
      <c r="D25" s="3" t="s">
        <v>214</v>
      </c>
      <c r="F25" s="78">
        <f>'2. Parameters'!F91</f>
        <v>0.9</v>
      </c>
    </row>
    <row r="27" spans="1:18">
      <c r="B27" s="16" t="s">
        <v>243</v>
      </c>
    </row>
    <row r="28" spans="1:18">
      <c r="B28" s="28" t="s">
        <v>231</v>
      </c>
      <c r="D28" s="3" t="s">
        <v>247</v>
      </c>
      <c r="H28" s="10"/>
      <c r="I28" s="10"/>
      <c r="J28" s="10"/>
      <c r="K28" s="54">
        <f>'2. Parameters'!K69</f>
        <v>1</v>
      </c>
      <c r="L28" s="54">
        <f>'2. Parameters'!L69</f>
        <v>1.02</v>
      </c>
      <c r="M28" s="54">
        <f>'2. Parameters'!M69</f>
        <v>1.0404</v>
      </c>
      <c r="N28" s="54">
        <f>'2. Parameters'!N69</f>
        <v>1.0612079999999999</v>
      </c>
      <c r="O28" s="54">
        <f>'2. Parameters'!O69</f>
        <v>1.10365632</v>
      </c>
      <c r="P28" s="54">
        <f>'2. Parameters'!P69</f>
        <v>1.1809122624000001</v>
      </c>
      <c r="Q28" s="54">
        <f>'2. Parameters'!Q69</f>
        <v>1.2399578755200003</v>
      </c>
      <c r="R28" s="54">
        <f>'2. Parameters'!R69</f>
        <v>1.2895561905408004</v>
      </c>
    </row>
    <row r="29" spans="1:18">
      <c r="B29" s="28" t="s">
        <v>232</v>
      </c>
      <c r="D29" s="3" t="s">
        <v>247</v>
      </c>
      <c r="H29" s="10"/>
      <c r="I29" s="10"/>
      <c r="J29" s="10"/>
      <c r="K29" s="10"/>
      <c r="L29" s="54">
        <f>'2. Parameters'!L70</f>
        <v>1</v>
      </c>
      <c r="M29" s="54">
        <f>'2. Parameters'!M70</f>
        <v>1.02</v>
      </c>
      <c r="N29" s="54">
        <f>'2. Parameters'!N70</f>
        <v>1.0404</v>
      </c>
      <c r="O29" s="54">
        <f>'2. Parameters'!O70</f>
        <v>1.0820160000000001</v>
      </c>
      <c r="P29" s="54">
        <f>'2. Parameters'!P70</f>
        <v>1.1577571200000001</v>
      </c>
      <c r="Q29" s="54">
        <f>'2. Parameters'!Q70</f>
        <v>1.2156449760000001</v>
      </c>
      <c r="R29" s="54">
        <f>'2. Parameters'!R70</f>
        <v>1.2642707750400002</v>
      </c>
    </row>
    <row r="30" spans="1:18">
      <c r="B30" s="28" t="s">
        <v>233</v>
      </c>
      <c r="D30" s="3" t="s">
        <v>247</v>
      </c>
      <c r="H30" s="10"/>
      <c r="I30" s="10"/>
      <c r="J30" s="10"/>
      <c r="K30" s="10"/>
      <c r="L30" s="10"/>
      <c r="M30" s="54">
        <f>'2. Parameters'!M71</f>
        <v>1</v>
      </c>
      <c r="N30" s="54">
        <f>'2. Parameters'!N71</f>
        <v>1.02</v>
      </c>
      <c r="O30" s="54">
        <f>'2. Parameters'!O71</f>
        <v>1.0608</v>
      </c>
      <c r="P30" s="54">
        <f>'2. Parameters'!P71</f>
        <v>1.1350560000000001</v>
      </c>
      <c r="Q30" s="54">
        <f>'2. Parameters'!Q71</f>
        <v>1.1918088000000002</v>
      </c>
      <c r="R30" s="54">
        <f>'2. Parameters'!R71</f>
        <v>1.2394811520000002</v>
      </c>
    </row>
    <row r="31" spans="1:18">
      <c r="B31" s="28" t="s">
        <v>234</v>
      </c>
      <c r="D31" s="3" t="s">
        <v>247</v>
      </c>
      <c r="H31" s="10"/>
      <c r="I31" s="10"/>
      <c r="J31" s="10"/>
      <c r="K31" s="10"/>
      <c r="L31" s="10"/>
      <c r="M31" s="10"/>
      <c r="N31" s="54">
        <f>'2. Parameters'!N72</f>
        <v>1</v>
      </c>
      <c r="O31" s="54">
        <f>'2. Parameters'!O72</f>
        <v>1.04</v>
      </c>
      <c r="P31" s="54">
        <f>'2. Parameters'!P72</f>
        <v>1.1128</v>
      </c>
      <c r="Q31" s="54">
        <f>'2. Parameters'!Q72</f>
        <v>1.1684400000000001</v>
      </c>
      <c r="R31" s="54">
        <f>'2. Parameters'!R72</f>
        <v>1.2151776000000003</v>
      </c>
    </row>
    <row r="32" spans="1:18">
      <c r="B32" s="28" t="s">
        <v>235</v>
      </c>
      <c r="D32" s="3" t="s">
        <v>247</v>
      </c>
      <c r="H32" s="10"/>
      <c r="I32" s="10"/>
      <c r="J32" s="10"/>
      <c r="K32" s="10"/>
      <c r="L32" s="10"/>
      <c r="M32" s="10"/>
      <c r="N32" s="10"/>
      <c r="O32" s="54">
        <f>'2. Parameters'!O73</f>
        <v>1</v>
      </c>
      <c r="P32" s="54">
        <f>'2. Parameters'!P73</f>
        <v>1.07</v>
      </c>
      <c r="Q32" s="54">
        <f>'2. Parameters'!Q73</f>
        <v>1.1235000000000002</v>
      </c>
      <c r="R32" s="54">
        <f>'2. Parameters'!R73</f>
        <v>1.1684400000000001</v>
      </c>
    </row>
    <row r="33" spans="2:18">
      <c r="B33" s="28" t="s">
        <v>236</v>
      </c>
      <c r="D33" s="3" t="s">
        <v>247</v>
      </c>
      <c r="H33" s="10"/>
      <c r="I33" s="10"/>
      <c r="J33" s="10"/>
      <c r="K33" s="10"/>
      <c r="L33" s="10"/>
      <c r="M33" s="10"/>
      <c r="N33" s="10"/>
      <c r="O33" s="10"/>
      <c r="P33" s="54">
        <f>'2. Parameters'!P74</f>
        <v>1</v>
      </c>
      <c r="Q33" s="54">
        <f>'2. Parameters'!Q74</f>
        <v>1.05</v>
      </c>
      <c r="R33" s="54">
        <f>'2. Parameters'!R74</f>
        <v>1.0920000000000001</v>
      </c>
    </row>
    <row r="34" spans="2:18">
      <c r="B34" s="28" t="s">
        <v>237</v>
      </c>
      <c r="D34" s="3" t="s">
        <v>247</v>
      </c>
      <c r="H34" s="10"/>
      <c r="I34" s="10"/>
      <c r="J34" s="10"/>
      <c r="K34" s="10"/>
      <c r="L34" s="10"/>
      <c r="M34" s="10"/>
      <c r="N34" s="10"/>
      <c r="O34" s="10"/>
      <c r="P34" s="10"/>
      <c r="Q34" s="54">
        <f>'2. Parameters'!Q75</f>
        <v>1</v>
      </c>
      <c r="R34" s="54">
        <f>'2. Parameters'!R75</f>
        <v>1.04</v>
      </c>
    </row>
    <row r="36" spans="2:18">
      <c r="B36" s="2" t="s">
        <v>224</v>
      </c>
    </row>
    <row r="37" spans="2:18">
      <c r="B37" s="3" t="s">
        <v>1097</v>
      </c>
      <c r="D37" s="3" t="s">
        <v>228</v>
      </c>
      <c r="H37" s="32">
        <f>'2. Parameters'!H35</f>
        <v>1</v>
      </c>
      <c r="I37" s="32">
        <f>'2. Parameters'!I35</f>
        <v>1.014</v>
      </c>
      <c r="J37" s="32">
        <f>'2. Parameters'!J35</f>
        <v>1.026168</v>
      </c>
      <c r="K37" s="32">
        <f>'2. Parameters'!K35</f>
        <v>1.052848368</v>
      </c>
      <c r="L37" s="32">
        <f>'2. Parameters'!L35</f>
        <v>1.069693941888</v>
      </c>
      <c r="M37" s="32">
        <f>'2. Parameters'!M35</f>
        <v>1.0889484328419841</v>
      </c>
      <c r="N37" s="32">
        <f>'2. Parameters'!N35</f>
        <v>1.1564632356781872</v>
      </c>
      <c r="O37" s="32">
        <f>'2. Parameters'!O35</f>
        <v>1.2489802945324422</v>
      </c>
      <c r="P37" s="32">
        <f>'2. Parameters'!P35</f>
        <v>1.2839517427793505</v>
      </c>
      <c r="Q37" s="32">
        <f>'2. Parameters'!Q35</f>
        <v>1.3327419090049659</v>
      </c>
      <c r="R37" s="10"/>
    </row>
    <row r="38" spans="2:18">
      <c r="B38" s="3" t="s">
        <v>1098</v>
      </c>
      <c r="D38" s="3" t="s">
        <v>228</v>
      </c>
      <c r="H38" s="10"/>
      <c r="I38" s="32">
        <f>'2. Parameters'!I36</f>
        <v>1</v>
      </c>
      <c r="J38" s="32">
        <f>'2. Parameters'!J36</f>
        <v>1.012</v>
      </c>
      <c r="K38" s="32">
        <f>'2. Parameters'!K36</f>
        <v>1.0383120000000001</v>
      </c>
      <c r="L38" s="32">
        <f>'2. Parameters'!L36</f>
        <v>1.0549249920000001</v>
      </c>
      <c r="M38" s="32">
        <f>'2. Parameters'!M36</f>
        <v>1.0739136418560002</v>
      </c>
      <c r="N38" s="32">
        <f>'2. Parameters'!N36</f>
        <v>1.1404962876510722</v>
      </c>
      <c r="O38" s="32">
        <f>'2. Parameters'!O36</f>
        <v>1.2317359906631582</v>
      </c>
      <c r="P38" s="32">
        <f>'2. Parameters'!P36</f>
        <v>1.2662245984017266</v>
      </c>
      <c r="Q38" s="32">
        <f>'2. Parameters'!Q36</f>
        <v>1.3143411331409922</v>
      </c>
      <c r="R38" s="10"/>
    </row>
    <row r="39" spans="2:18">
      <c r="B39" s="3" t="s">
        <v>1099</v>
      </c>
      <c r="D39" s="3" t="s">
        <v>228</v>
      </c>
      <c r="H39" s="10"/>
      <c r="I39" s="10"/>
      <c r="J39" s="32">
        <f>'2. Parameters'!J37</f>
        <v>1</v>
      </c>
      <c r="K39" s="32">
        <f>'2. Parameters'!K37</f>
        <v>1.026</v>
      </c>
      <c r="L39" s="32">
        <f>'2. Parameters'!L37</f>
        <v>1.042416</v>
      </c>
      <c r="M39" s="32">
        <f>'2. Parameters'!M37</f>
        <v>1.0611794880000001</v>
      </c>
      <c r="N39" s="32">
        <f>'2. Parameters'!N37</f>
        <v>1.1269726162560001</v>
      </c>
      <c r="O39" s="32">
        <f>'2. Parameters'!O37</f>
        <v>1.2171304255564801</v>
      </c>
      <c r="P39" s="32">
        <f>'2. Parameters'!P37</f>
        <v>1.2512100774720616</v>
      </c>
      <c r="Q39" s="32">
        <f>'2. Parameters'!Q37</f>
        <v>1.298756060416</v>
      </c>
      <c r="R39" s="10"/>
    </row>
    <row r="40" spans="2:18">
      <c r="B40" s="3" t="s">
        <v>900</v>
      </c>
      <c r="D40" s="3" t="s">
        <v>228</v>
      </c>
      <c r="H40" s="10"/>
      <c r="I40" s="10"/>
      <c r="J40" s="10"/>
      <c r="K40" s="32">
        <f>'2. Parameters'!K38</f>
        <v>1</v>
      </c>
      <c r="L40" s="32">
        <f>'2. Parameters'!L38</f>
        <v>1.016</v>
      </c>
      <c r="M40" s="32">
        <f>'2. Parameters'!M38</f>
        <v>1.0342880000000001</v>
      </c>
      <c r="N40" s="32">
        <f>'2. Parameters'!N38</f>
        <v>1.0984138560000001</v>
      </c>
      <c r="O40" s="32">
        <f>'2. Parameters'!O38</f>
        <v>1.1862869644800003</v>
      </c>
      <c r="P40" s="32">
        <f>'2. Parameters'!P38</f>
        <v>1.2195029994854403</v>
      </c>
      <c r="Q40" s="32">
        <f>'2. Parameters'!Q38</f>
        <v>1.2658441134658871</v>
      </c>
      <c r="R40" s="10"/>
    </row>
    <row r="41" spans="2:18">
      <c r="B41" s="3" t="s">
        <v>901</v>
      </c>
      <c r="D41" s="3" t="s">
        <v>228</v>
      </c>
      <c r="H41" s="10"/>
      <c r="I41" s="10"/>
      <c r="J41" s="10"/>
      <c r="K41" s="10"/>
      <c r="L41" s="32">
        <f>'2. Parameters'!L39</f>
        <v>1</v>
      </c>
      <c r="M41" s="32">
        <f>'2. Parameters'!M39</f>
        <v>1.018</v>
      </c>
      <c r="N41" s="32">
        <f>'2. Parameters'!N39</f>
        <v>1.081116</v>
      </c>
      <c r="O41" s="32">
        <f>'2. Parameters'!O39</f>
        <v>1.1676052800000001</v>
      </c>
      <c r="P41" s="32">
        <f>'2. Parameters'!P39</f>
        <v>1.2002982278400001</v>
      </c>
      <c r="Q41" s="32">
        <f>'2. Parameters'!Q39</f>
        <v>1.24590956049792</v>
      </c>
      <c r="R41" s="10"/>
    </row>
    <row r="42" spans="2:18">
      <c r="B42" s="3" t="s">
        <v>902</v>
      </c>
      <c r="D42" s="3" t="s">
        <v>228</v>
      </c>
      <c r="H42" s="10"/>
      <c r="I42" s="10"/>
      <c r="J42" s="10"/>
      <c r="K42" s="10"/>
      <c r="L42" s="10"/>
      <c r="M42" s="32">
        <f>'2. Parameters'!M40</f>
        <v>1</v>
      </c>
      <c r="N42" s="32">
        <f>'2. Parameters'!N40</f>
        <v>1.0620000000000001</v>
      </c>
      <c r="O42" s="32">
        <f>'2. Parameters'!O40</f>
        <v>1.1469600000000002</v>
      </c>
      <c r="P42" s="32">
        <f>'2. Parameters'!P40</f>
        <v>1.1790748800000002</v>
      </c>
      <c r="Q42" s="32">
        <f>'2. Parameters'!Q40</f>
        <v>1.2238797254400002</v>
      </c>
      <c r="R42" s="10"/>
    </row>
    <row r="43" spans="2:18">
      <c r="B43" s="3" t="s">
        <v>903</v>
      </c>
      <c r="D43" s="3" t="s">
        <v>228</v>
      </c>
      <c r="H43" s="10"/>
      <c r="I43" s="10"/>
      <c r="J43" s="10"/>
      <c r="K43" s="10"/>
      <c r="L43" s="10"/>
      <c r="M43" s="10"/>
      <c r="N43" s="32">
        <f>'2. Parameters'!N41</f>
        <v>1</v>
      </c>
      <c r="O43" s="32">
        <f>'2. Parameters'!O41</f>
        <v>1.08</v>
      </c>
      <c r="P43" s="32">
        <f>'2. Parameters'!P41</f>
        <v>1.1102400000000001</v>
      </c>
      <c r="Q43" s="32">
        <f>'2. Parameters'!Q41</f>
        <v>1.1524291200000001</v>
      </c>
      <c r="R43" s="10"/>
    </row>
    <row r="44" spans="2:18">
      <c r="B44" s="3" t="s">
        <v>904</v>
      </c>
      <c r="D44" s="3" t="s">
        <v>228</v>
      </c>
      <c r="H44" s="10"/>
      <c r="I44" s="10"/>
      <c r="J44" s="10"/>
      <c r="K44" s="10"/>
      <c r="L44" s="10"/>
      <c r="M44" s="10"/>
      <c r="N44" s="10"/>
      <c r="O44" s="32">
        <f>'2. Parameters'!O42</f>
        <v>1</v>
      </c>
      <c r="P44" s="32">
        <f>'2. Parameters'!P42</f>
        <v>1.028</v>
      </c>
      <c r="Q44" s="32">
        <f>'2. Parameters'!Q42</f>
        <v>1.067064</v>
      </c>
      <c r="R44" s="10"/>
    </row>
    <row r="45" spans="2:18">
      <c r="B45" s="3" t="s">
        <v>905</v>
      </c>
      <c r="D45" s="3" t="s">
        <v>228</v>
      </c>
      <c r="H45" s="10"/>
      <c r="I45" s="10"/>
      <c r="J45" s="10"/>
      <c r="K45" s="10"/>
      <c r="L45" s="10"/>
      <c r="M45" s="10"/>
      <c r="N45" s="10"/>
      <c r="O45" s="10"/>
      <c r="P45" s="32">
        <f>'2. Parameters'!P43</f>
        <v>1</v>
      </c>
      <c r="Q45" s="32">
        <f>'2. Parameters'!Q43</f>
        <v>1.038</v>
      </c>
      <c r="R45" s="10"/>
    </row>
    <row r="46" spans="2:18">
      <c r="B46" s="3" t="s">
        <v>906</v>
      </c>
      <c r="D46" s="3" t="s">
        <v>228</v>
      </c>
      <c r="H46" s="10"/>
      <c r="I46" s="10"/>
      <c r="J46" s="10"/>
      <c r="K46" s="10"/>
      <c r="L46" s="10"/>
      <c r="M46" s="10"/>
      <c r="N46" s="10"/>
      <c r="O46" s="10"/>
      <c r="P46" s="10"/>
      <c r="Q46" s="32">
        <f>'2. Parameters'!Q44</f>
        <v>1</v>
      </c>
      <c r="R46" s="10"/>
    </row>
    <row r="47" spans="2:18" ht="13.5" customHeight="1"/>
    <row r="48" spans="2:18">
      <c r="B48" s="2" t="s">
        <v>238</v>
      </c>
    </row>
    <row r="49" spans="2:18">
      <c r="B49" s="28" t="s">
        <v>227</v>
      </c>
      <c r="D49" s="3" t="s">
        <v>242</v>
      </c>
      <c r="H49" s="32">
        <f>'2. Parameters'!H52</f>
        <v>1</v>
      </c>
      <c r="I49" s="32">
        <f>'2. Parameters'!I52</f>
        <v>0.999</v>
      </c>
      <c r="J49" s="32">
        <f>'2. Parameters'!J52</f>
        <v>0.99800100000000003</v>
      </c>
      <c r="K49" s="32">
        <f>'2. Parameters'!K52</f>
        <v>0.997002999</v>
      </c>
      <c r="L49" s="32">
        <f>'2. Parameters'!L52</f>
        <v>0.99600599600100004</v>
      </c>
      <c r="M49" s="32">
        <f>'2. Parameters'!M52</f>
        <v>0.99202197201699605</v>
      </c>
      <c r="N49" s="32">
        <f>'2. Parameters'!N52</f>
        <v>0.98805388412892803</v>
      </c>
      <c r="O49" s="32">
        <f>'2. Parameters'!O52</f>
        <v>0.98410166859241233</v>
      </c>
      <c r="P49" s="32">
        <f>'2. Parameters'!P52</f>
        <v>0.98016526191804265</v>
      </c>
      <c r="Q49" s="32">
        <f>'2. Parameters'!Q52</f>
        <v>0.97624460087037046</v>
      </c>
      <c r="R49" s="10"/>
    </row>
    <row r="50" spans="2:18">
      <c r="B50" s="28" t="s">
        <v>229</v>
      </c>
      <c r="D50" s="3" t="s">
        <v>242</v>
      </c>
      <c r="H50" s="10"/>
      <c r="I50" s="32">
        <f>'2. Parameters'!I53</f>
        <v>1</v>
      </c>
      <c r="J50" s="32">
        <f>'2. Parameters'!J53</f>
        <v>0.999</v>
      </c>
      <c r="K50" s="32">
        <f>'2. Parameters'!K53</f>
        <v>0.99800100000000003</v>
      </c>
      <c r="L50" s="32">
        <f>'2. Parameters'!L53</f>
        <v>0.997002999</v>
      </c>
      <c r="M50" s="32">
        <f>'2. Parameters'!M53</f>
        <v>0.99301498700400004</v>
      </c>
      <c r="N50" s="32">
        <f>'2. Parameters'!N53</f>
        <v>0.98904292705598407</v>
      </c>
      <c r="O50" s="32">
        <f>'2. Parameters'!O53</f>
        <v>0.98508675534776013</v>
      </c>
      <c r="P50" s="32">
        <f>'2. Parameters'!P53</f>
        <v>0.98114640832636912</v>
      </c>
      <c r="Q50" s="32">
        <f>'2. Parameters'!Q53</f>
        <v>0.97722182269306368</v>
      </c>
      <c r="R50" s="10"/>
    </row>
    <row r="51" spans="2:18">
      <c r="B51" s="28" t="s">
        <v>230</v>
      </c>
      <c r="D51" s="3" t="s">
        <v>242</v>
      </c>
      <c r="H51" s="10"/>
      <c r="I51" s="10"/>
      <c r="J51" s="32">
        <f>'2. Parameters'!J54</f>
        <v>1</v>
      </c>
      <c r="K51" s="32">
        <f>'2. Parameters'!K54</f>
        <v>0.999</v>
      </c>
      <c r="L51" s="32">
        <f>'2. Parameters'!L54</f>
        <v>0.99800100000000003</v>
      </c>
      <c r="M51" s="32">
        <f>'2. Parameters'!M54</f>
        <v>0.99400899600000003</v>
      </c>
      <c r="N51" s="32">
        <f>'2. Parameters'!N54</f>
        <v>0.99003296001600005</v>
      </c>
      <c r="O51" s="32">
        <f>'2. Parameters'!O54</f>
        <v>0.986072828175936</v>
      </c>
      <c r="P51" s="32">
        <f>'2. Parameters'!P54</f>
        <v>0.9821285368632322</v>
      </c>
      <c r="Q51" s="32">
        <f>'2. Parameters'!Q54</f>
        <v>0.97820002271577933</v>
      </c>
      <c r="R51" s="10"/>
    </row>
    <row r="52" spans="2:18">
      <c r="B52" s="28" t="s">
        <v>231</v>
      </c>
      <c r="D52" s="3" t="s">
        <v>242</v>
      </c>
      <c r="H52" s="10"/>
      <c r="I52" s="10"/>
      <c r="J52" s="10"/>
      <c r="K52" s="32">
        <f>'2. Parameters'!K55</f>
        <v>1</v>
      </c>
      <c r="L52" s="32">
        <f>'2. Parameters'!L55</f>
        <v>0.999</v>
      </c>
      <c r="M52" s="32">
        <f>'2. Parameters'!M55</f>
        <v>0.995004</v>
      </c>
      <c r="N52" s="32">
        <f>'2. Parameters'!N55</f>
        <v>0.99102398400000002</v>
      </c>
      <c r="O52" s="32">
        <f>'2. Parameters'!O55</f>
        <v>0.98705988806400002</v>
      </c>
      <c r="P52" s="32">
        <f>'2. Parameters'!P55</f>
        <v>0.98311164851174404</v>
      </c>
      <c r="Q52" s="32">
        <f>'2. Parameters'!Q55</f>
        <v>0.97917920191769703</v>
      </c>
      <c r="R52" s="10"/>
    </row>
    <row r="53" spans="2:18">
      <c r="B53" s="28" t="s">
        <v>232</v>
      </c>
      <c r="D53" s="3" t="s">
        <v>242</v>
      </c>
      <c r="H53" s="10"/>
      <c r="I53" s="10"/>
      <c r="J53" s="10"/>
      <c r="K53" s="10"/>
      <c r="L53" s="32">
        <f>'2. Parameters'!L56</f>
        <v>1</v>
      </c>
      <c r="M53" s="32">
        <f>'2. Parameters'!M56</f>
        <v>0.996</v>
      </c>
      <c r="N53" s="32">
        <f>'2. Parameters'!N56</f>
        <v>0.99201600000000001</v>
      </c>
      <c r="O53" s="32">
        <f>'2. Parameters'!O56</f>
        <v>0.98804793599999996</v>
      </c>
      <c r="P53" s="32">
        <f>'2. Parameters'!P56</f>
        <v>0.98409574425599999</v>
      </c>
      <c r="Q53" s="32">
        <f>'2. Parameters'!Q56</f>
        <v>0.98015936127897596</v>
      </c>
      <c r="R53" s="10"/>
    </row>
    <row r="54" spans="2:18">
      <c r="B54" s="28" t="s">
        <v>233</v>
      </c>
      <c r="D54" s="3" t="s">
        <v>242</v>
      </c>
      <c r="H54" s="10"/>
      <c r="I54" s="10"/>
      <c r="J54" s="10"/>
      <c r="K54" s="10"/>
      <c r="L54" s="10"/>
      <c r="M54" s="32">
        <f>'2. Parameters'!M57</f>
        <v>1</v>
      </c>
      <c r="N54" s="32">
        <f>'2. Parameters'!N57</f>
        <v>0.996</v>
      </c>
      <c r="O54" s="32">
        <f>'2. Parameters'!O57</f>
        <v>0.99201600000000001</v>
      </c>
      <c r="P54" s="32">
        <f>'2. Parameters'!P57</f>
        <v>0.98804793599999996</v>
      </c>
      <c r="Q54" s="32">
        <f>'2. Parameters'!Q57</f>
        <v>0.98409574425599999</v>
      </c>
      <c r="R54" s="10"/>
    </row>
    <row r="55" spans="2:18">
      <c r="B55" s="28" t="s">
        <v>234</v>
      </c>
      <c r="D55" s="3" t="s">
        <v>242</v>
      </c>
      <c r="H55" s="10"/>
      <c r="I55" s="10"/>
      <c r="J55" s="10"/>
      <c r="K55" s="10"/>
      <c r="L55" s="10"/>
      <c r="M55" s="10"/>
      <c r="N55" s="32">
        <f>'2. Parameters'!N58</f>
        <v>1</v>
      </c>
      <c r="O55" s="32">
        <f>'2. Parameters'!O58</f>
        <v>0.996</v>
      </c>
      <c r="P55" s="32">
        <f>'2. Parameters'!P58</f>
        <v>0.99201600000000001</v>
      </c>
      <c r="Q55" s="32">
        <f>'2. Parameters'!Q58</f>
        <v>0.98804793599999996</v>
      </c>
      <c r="R55" s="10"/>
    </row>
    <row r="56" spans="2:18">
      <c r="B56" s="28" t="s">
        <v>235</v>
      </c>
      <c r="D56" s="3" t="s">
        <v>242</v>
      </c>
      <c r="H56" s="10"/>
      <c r="I56" s="10"/>
      <c r="J56" s="10"/>
      <c r="K56" s="10"/>
      <c r="L56" s="10"/>
      <c r="M56" s="10"/>
      <c r="N56" s="10"/>
      <c r="O56" s="32">
        <f>'2. Parameters'!O59</f>
        <v>1</v>
      </c>
      <c r="P56" s="32">
        <f>'2. Parameters'!P59</f>
        <v>0.996</v>
      </c>
      <c r="Q56" s="32">
        <f>'2. Parameters'!Q59</f>
        <v>0.99201600000000001</v>
      </c>
      <c r="R56" s="10"/>
    </row>
    <row r="57" spans="2:18">
      <c r="B57" s="28" t="s">
        <v>236</v>
      </c>
      <c r="D57" s="3" t="s">
        <v>242</v>
      </c>
      <c r="H57" s="10"/>
      <c r="I57" s="10"/>
      <c r="J57" s="10"/>
      <c r="K57" s="10"/>
      <c r="L57" s="10"/>
      <c r="M57" s="10"/>
      <c r="N57" s="10"/>
      <c r="O57" s="10"/>
      <c r="P57" s="32">
        <f>'2. Parameters'!P60</f>
        <v>1</v>
      </c>
      <c r="Q57" s="32">
        <f>'2. Parameters'!Q60</f>
        <v>0.996</v>
      </c>
      <c r="R57" s="10"/>
    </row>
    <row r="58" spans="2:18">
      <c r="B58" s="28" t="s">
        <v>237</v>
      </c>
      <c r="D58" s="3" t="s">
        <v>242</v>
      </c>
      <c r="H58" s="10"/>
      <c r="I58" s="10"/>
      <c r="J58" s="10"/>
      <c r="K58" s="10"/>
      <c r="L58" s="10"/>
      <c r="M58" s="10"/>
      <c r="N58" s="10"/>
      <c r="O58" s="10"/>
      <c r="P58" s="10"/>
      <c r="Q58" s="32">
        <f>'2. Parameters'!Q61</f>
        <v>1</v>
      </c>
      <c r="R58" s="10"/>
    </row>
    <row r="60" spans="2:18" s="8" customFormat="1">
      <c r="B60" s="8" t="s">
        <v>1100</v>
      </c>
    </row>
    <row r="62" spans="2:18">
      <c r="B62" s="241" t="s">
        <v>562</v>
      </c>
    </row>
    <row r="63" spans="2:18">
      <c r="B63" s="163" t="s">
        <v>562</v>
      </c>
      <c r="D63" s="3" t="s">
        <v>214</v>
      </c>
      <c r="F63" s="173">
        <f>'7. Input IC peakshaver'!F17</f>
        <v>0.77</v>
      </c>
    </row>
    <row r="65" spans="2:18">
      <c r="B65" s="241" t="s">
        <v>564</v>
      </c>
      <c r="C65" s="241"/>
      <c r="D65" s="241"/>
    </row>
    <row r="66" spans="2:18">
      <c r="B66" s="3" t="s">
        <v>565</v>
      </c>
      <c r="D66" s="3" t="s">
        <v>482</v>
      </c>
      <c r="H66" s="10"/>
      <c r="I66" s="10"/>
      <c r="J66" s="10"/>
      <c r="K66" s="10"/>
      <c r="L66" s="10"/>
      <c r="M66" s="242">
        <f>'7. Input IC peakshaver'!M21</f>
        <v>7339829.2418518746</v>
      </c>
      <c r="N66" s="242">
        <f>'7. Input IC peakshaver'!N21</f>
        <v>6662159.7393988082</v>
      </c>
      <c r="O66" s="242">
        <f>'7. Input IC peakshaver'!O21</f>
        <v>6117183.5197096057</v>
      </c>
      <c r="P66" s="242">
        <f>'7. Input IC peakshaver'!P21</f>
        <v>5719048.4597574808</v>
      </c>
      <c r="Q66" s="242">
        <f>'7. Input IC peakshaver'!Q21</f>
        <v>5428026.4892949341</v>
      </c>
      <c r="R66" s="338"/>
    </row>
    <row r="67" spans="2:18">
      <c r="B67" s="3" t="s">
        <v>566</v>
      </c>
      <c r="D67" s="3" t="s">
        <v>482</v>
      </c>
      <c r="H67" s="10"/>
      <c r="I67" s="10"/>
      <c r="J67" s="10"/>
      <c r="K67" s="10"/>
      <c r="L67" s="10"/>
      <c r="M67" s="242">
        <f>'7. Input IC peakshaver'!M22</f>
        <v>92112966.285529599</v>
      </c>
      <c r="N67" s="242">
        <f>'7. Input IC peakshaver'!N22</f>
        <v>85450806.546130821</v>
      </c>
      <c r="O67" s="242">
        <f>'7. Input IC peakshaver'!O22</f>
        <v>79333623.026421189</v>
      </c>
      <c r="P67" s="242">
        <f>'7. Input IC peakshaver'!P22</f>
        <v>73614574.566663712</v>
      </c>
      <c r="Q67" s="242">
        <f>'7. Input IC peakshaver'!Q22</f>
        <v>68186548.077368766</v>
      </c>
      <c r="R67" s="338"/>
    </row>
    <row r="69" spans="2:18">
      <c r="B69" s="2" t="s">
        <v>567</v>
      </c>
    </row>
    <row r="70" spans="2:18">
      <c r="B70" t="s">
        <v>568</v>
      </c>
      <c r="D70" s="3" t="s">
        <v>482</v>
      </c>
      <c r="H70" s="10"/>
      <c r="I70" s="10"/>
      <c r="J70" s="242">
        <f>'7. Input IC peakshaver'!J27</f>
        <v>4311221.7573385285</v>
      </c>
      <c r="K70" s="10"/>
      <c r="L70" s="10"/>
      <c r="M70" s="10"/>
      <c r="N70" s="10"/>
      <c r="O70" s="10"/>
      <c r="P70" s="10"/>
      <c r="Q70" s="10"/>
      <c r="R70" s="10"/>
    </row>
    <row r="71" spans="2:18">
      <c r="B71" s="118" t="s">
        <v>570</v>
      </c>
      <c r="D71" s="3" t="s">
        <v>482</v>
      </c>
      <c r="H71" s="10"/>
      <c r="I71" s="10"/>
      <c r="J71" s="242">
        <f>'7. Input IC peakshaver'!J28</f>
        <v>5089135.5900731999</v>
      </c>
      <c r="K71" s="10"/>
      <c r="L71" s="10"/>
      <c r="M71" s="10"/>
      <c r="N71" s="10"/>
      <c r="O71" s="10"/>
      <c r="P71" s="10"/>
      <c r="Q71" s="10"/>
      <c r="R71" s="10"/>
    </row>
    <row r="73" spans="2:18">
      <c r="B73" s="2" t="s">
        <v>571</v>
      </c>
    </row>
    <row r="74" spans="2:18">
      <c r="B74" s="3" t="s">
        <v>1004</v>
      </c>
      <c r="D74" s="3" t="s">
        <v>482</v>
      </c>
      <c r="H74" s="242">
        <f>'7. Input IC peakshaver'!H31</f>
        <v>1320509.5900000001</v>
      </c>
      <c r="I74" s="242">
        <f>'7. Input IC peakshaver'!I31</f>
        <v>1966066.3200000003</v>
      </c>
      <c r="J74" s="242">
        <f>'7. Input IC peakshaver'!J31</f>
        <v>1575548.13</v>
      </c>
      <c r="K74" s="10"/>
      <c r="L74" s="10"/>
      <c r="M74" s="10"/>
      <c r="N74" s="10"/>
      <c r="O74" s="10"/>
      <c r="P74" s="10"/>
      <c r="Q74" s="10"/>
      <c r="R74" s="10"/>
    </row>
    <row r="76" spans="2:18" s="240" customFormat="1">
      <c r="B76" s="8" t="s">
        <v>1101</v>
      </c>
    </row>
    <row r="78" spans="2:18">
      <c r="B78" s="2" t="s">
        <v>1102</v>
      </c>
    </row>
    <row r="79" spans="2:18">
      <c r="B79" s="3" t="s">
        <v>1103</v>
      </c>
      <c r="D79" s="3" t="s">
        <v>482</v>
      </c>
      <c r="H79" s="10"/>
      <c r="I79" s="10"/>
      <c r="J79" s="10"/>
      <c r="K79" s="10"/>
      <c r="L79" s="10"/>
      <c r="M79" s="43">
        <f>M67*M$15</f>
        <v>3776631.6177067137</v>
      </c>
      <c r="N79" s="43">
        <f>N67*N$15</f>
        <v>4357991.1338526718</v>
      </c>
      <c r="O79" s="43">
        <f>O67*O$15</f>
        <v>4046014.7743474804</v>
      </c>
      <c r="P79" s="43">
        <f>P67*P$15</f>
        <v>4048801.601166504</v>
      </c>
      <c r="Q79" s="243"/>
      <c r="R79" s="243"/>
    </row>
    <row r="80" spans="2:18">
      <c r="B80" s="3" t="s">
        <v>1104</v>
      </c>
      <c r="D80" s="3" t="s">
        <v>482</v>
      </c>
      <c r="H80" s="10"/>
      <c r="I80" s="10"/>
      <c r="J80" s="10"/>
      <c r="K80" s="10"/>
      <c r="L80" s="10"/>
      <c r="M80" s="43">
        <f>M66+M79</f>
        <v>11116460.859558588</v>
      </c>
      <c r="N80" s="43">
        <f>N66+N79</f>
        <v>11020150.873251479</v>
      </c>
      <c r="O80" s="43">
        <f>O66+O79</f>
        <v>10163198.294057086</v>
      </c>
      <c r="P80" s="43">
        <f>P66+P79</f>
        <v>9767850.0609239843</v>
      </c>
      <c r="Q80" s="10"/>
      <c r="R80" s="10"/>
    </row>
    <row r="81" spans="1:18">
      <c r="B81" s="3" t="s">
        <v>1105</v>
      </c>
      <c r="D81" s="3" t="s">
        <v>482</v>
      </c>
      <c r="H81" s="10"/>
      <c r="I81" s="10"/>
      <c r="J81" s="10"/>
      <c r="K81" s="10"/>
      <c r="L81" s="10"/>
      <c r="M81" s="10"/>
      <c r="N81" s="10"/>
      <c r="O81" s="43">
        <f>-$F$63*M80*O30</f>
        <v>-9080103.093461208</v>
      </c>
      <c r="P81" s="43">
        <f>-$F$63*N80*P31</f>
        <v>-9442682.3966507707</v>
      </c>
      <c r="Q81" s="43">
        <f>-$F$63*O80*Q32</f>
        <v>-8792132.0281973165</v>
      </c>
      <c r="R81" s="43">
        <f>-$F$63*P80*R33</f>
        <v>-8213199.0452273237</v>
      </c>
    </row>
    <row r="83" spans="1:18" s="240" customFormat="1">
      <c r="B83" s="8" t="s">
        <v>1106</v>
      </c>
    </row>
    <row r="85" spans="1:18">
      <c r="B85" s="2" t="s">
        <v>1107</v>
      </c>
    </row>
    <row r="86" spans="1:18">
      <c r="B86" s="3" t="s">
        <v>1108</v>
      </c>
      <c r="D86" s="3" t="s">
        <v>482</v>
      </c>
      <c r="H86" s="10"/>
      <c r="I86" s="10"/>
      <c r="J86" s="10"/>
      <c r="K86" s="10"/>
      <c r="L86" s="10"/>
      <c r="M86" s="43">
        <f>SUM($J$70:$J$71)*M$39*M$51</f>
        <v>9915703.3378574643</v>
      </c>
      <c r="N86" s="43">
        <f>SUM($J$70:$J$71)*N$39*N$51</f>
        <v>10488355.037025411</v>
      </c>
      <c r="O86" s="43">
        <f>SUM($J$70:$J$71)*O$39*O$51</f>
        <v>11282113.746227492</v>
      </c>
      <c r="P86" s="43">
        <f>SUM($J$70:$J$71)*P$39*P$51</f>
        <v>11551620.879397374</v>
      </c>
      <c r="Q86" s="10"/>
      <c r="R86" s="10"/>
    </row>
    <row r="88" spans="1:18">
      <c r="B88" s="3" t="s">
        <v>1105</v>
      </c>
      <c r="D88" s="3" t="s">
        <v>482</v>
      </c>
      <c r="H88" s="10"/>
      <c r="I88" s="10"/>
      <c r="J88" s="10"/>
      <c r="K88" s="10"/>
      <c r="L88" s="10"/>
      <c r="M88" s="10"/>
      <c r="N88" s="10"/>
      <c r="O88" s="43">
        <f>-$F$63*(M86*O30)</f>
        <v>-8099305.1376153817</v>
      </c>
      <c r="P88" s="43">
        <f>-$F$63*(N86*P31)</f>
        <v>-8987009.9436054453</v>
      </c>
      <c r="Q88" s="43">
        <f>-$F$63*(O86*Q32)</f>
        <v>-9760100.1912926733</v>
      </c>
      <c r="R88" s="43">
        <f>-$F$63*(P86*R33)</f>
        <v>-9713064.9002324883</v>
      </c>
    </row>
    <row r="90" spans="1:18" s="240" customFormat="1">
      <c r="B90" s="8" t="s">
        <v>1109</v>
      </c>
    </row>
    <row r="92" spans="1:18">
      <c r="B92" s="3" t="s">
        <v>1110</v>
      </c>
      <c r="D92" s="3" t="s">
        <v>482</v>
      </c>
      <c r="H92" s="10"/>
      <c r="I92" s="10"/>
      <c r="J92" s="10"/>
      <c r="K92" s="10"/>
      <c r="L92" s="10"/>
      <c r="M92" s="43">
        <f>AVERAGE($H$74*M$37*M$49,$I$74*M$38*M$50,$J$74*M$39*M$51)</f>
        <v>1728351.6194830742</v>
      </c>
      <c r="N92" s="43">
        <f>AVERAGE($H$74*N$37*N$49,$I$74*N$38*N$50,$J$74*N$39*N$51)</f>
        <v>1828167.3822114607</v>
      </c>
      <c r="O92" s="43">
        <f>AVERAGE($H$74*O$37*O$49,$I$74*O$38*O$50,$J$74*O$39*O$51)</f>
        <v>1966523.0896972241</v>
      </c>
      <c r="P92" s="43">
        <f>AVERAGE($H$74*P$37*P$49,$I$74*P$38*P$50,$J$74*P$39*P$51)</f>
        <v>2013499.3932639111</v>
      </c>
      <c r="Q92" s="10"/>
      <c r="R92" s="10"/>
    </row>
    <row r="94" spans="1:18">
      <c r="B94" s="3" t="s">
        <v>1105</v>
      </c>
      <c r="D94" s="3" t="s">
        <v>482</v>
      </c>
      <c r="H94" s="10"/>
      <c r="I94" s="10"/>
      <c r="J94" s="10"/>
      <c r="K94" s="10"/>
      <c r="L94" s="10"/>
      <c r="M94" s="10"/>
      <c r="N94" s="10"/>
      <c r="O94" s="43">
        <f>-$F$63*M92*O30</f>
        <v>-1411745.2564196866</v>
      </c>
      <c r="P94" s="43">
        <f>-$F$63*N92*P31</f>
        <v>-1566476.1904521834</v>
      </c>
      <c r="Q94" s="43">
        <f>-$F$63*O92*Q32</f>
        <v>-1701229.2922816202</v>
      </c>
      <c r="R94" s="43">
        <f>-$F$63*P92*R33</f>
        <v>-1693030.8298320272</v>
      </c>
    </row>
    <row r="95" spans="1:18" s="89" customFormat="1">
      <c r="A95" s="3"/>
      <c r="O95" s="186"/>
    </row>
    <row r="96" spans="1:18" s="240" customFormat="1">
      <c r="B96" s="8" t="s">
        <v>1111</v>
      </c>
    </row>
    <row r="98" spans="2:18">
      <c r="B98" s="3" t="s">
        <v>1112</v>
      </c>
      <c r="D98" s="3" t="s">
        <v>482</v>
      </c>
      <c r="H98" s="10"/>
      <c r="I98" s="10"/>
      <c r="J98" s="10"/>
      <c r="K98" s="10"/>
      <c r="L98" s="10"/>
      <c r="M98" s="43">
        <f>SUMIFS('17. Nacalculatie bijschatten'!AN$217:AN$339,'17. Nacalculatie bijschatten'!$I$217:$I$339,"16 LNG installaties",'17. Nacalculatie bijschatten'!$H$217:$H$339,2020)*M$15
+SUMIFS('17. Nacalculatie bijschatten'!AT$217:AT$339,'17. Nacalculatie bijschatten'!$I$217:$I$339,"16 LNG installaties",'17. Nacalculatie bijschatten'!$H$217:$H$339,2020)
+SUMIFS('17. Nacalculatie bijschatten'!AH$217:AH$339,'17. Nacalculatie bijschatten'!$I$217:$I$339,"16 LNG installaties",'17. Nacalculatie bijschatten'!$H$217:$H$339,2020)</f>
        <v>46064.373901539235</v>
      </c>
      <c r="N98" s="43">
        <f>SUMIFS('17. Nacalculatie bijschatten'!AO$217:AO$339,'17. Nacalculatie bijschatten'!$I$217:$I$339,"16 LNG installaties",'17. Nacalculatie bijschatten'!$H$217:$H$339,2020)*N$15
+SUMIFS('17. Nacalculatie bijschatten'!AU$217:AU$339,'17. Nacalculatie bijschatten'!$I$217:$I$339,"16 LNG installaties",'17. Nacalculatie bijschatten'!$H$217:$H$339,2020)
+SUMIFS('17. Nacalculatie bijschatten'!AI$217:AI$339,'17. Nacalculatie bijschatten'!$I$217:$I$339,"16 LNG installaties",'17. Nacalculatie bijschatten'!$H$217:$H$339,2020)</f>
        <v>49051.074670627742</v>
      </c>
      <c r="O98" s="43">
        <f>SUMIFS('17. Nacalculatie bijschatten'!AP$217:AP$339,'17. Nacalculatie bijschatten'!$I$217:$I$339,"16 LNG installaties",'17. Nacalculatie bijschatten'!$H$217:$H$339,2020)*O$15
+SUMIFS('17. Nacalculatie bijschatten'!AV$217:AV$339,'17. Nacalculatie bijschatten'!$I$217:$I$339,"16 LNG installaties",'17. Nacalculatie bijschatten'!$H$217:$H$339,2020)
+SUMIFS('17. Nacalculatie bijschatten'!AJ$217:AJ$339,'17. Nacalculatie bijschatten'!$I$217:$I$339,"16 LNG installaties",'17. Nacalculatie bijschatten'!$H$217:$H$339,2020)</f>
        <v>47577.535665136267</v>
      </c>
      <c r="P98" s="43">
        <f>SUMIFS('17. Nacalculatie bijschatten'!AQ$217:AQ$339,'17. Nacalculatie bijschatten'!$I$217:$I$339,"16 LNG installaties",'17. Nacalculatie bijschatten'!$H$217:$H$339,2020)*P$15
+SUMIFS('17. Nacalculatie bijschatten'!AW$217:AW$339,'17. Nacalculatie bijschatten'!$I$217:$I$339,"16 LNG installaties",'17. Nacalculatie bijschatten'!$H$217:$H$339,2020)
+SUMIFS('17. Nacalculatie bijschatten'!AK$217:AK$339,'17. Nacalculatie bijschatten'!$I$217:$I$339,"16 LNG installaties",'17. Nacalculatie bijschatten'!$H$217:$H$339,2020)</f>
        <v>47536.431696589076</v>
      </c>
      <c r="Q98" s="10"/>
      <c r="R98" s="10"/>
    </row>
    <row r="99" spans="2:18">
      <c r="B99" s="3" t="s">
        <v>1113</v>
      </c>
      <c r="D99" s="3" t="s">
        <v>482</v>
      </c>
      <c r="H99" s="10"/>
      <c r="I99" s="10"/>
      <c r="J99" s="10"/>
      <c r="K99" s="10"/>
      <c r="L99" s="10"/>
      <c r="M99" s="43">
        <f>SUMIFS('17. Nacalculatie bijschatten'!AN$217:AN$339,'17. Nacalculatie bijschatten'!$I$217:$I$339,"16 LNG installaties",'17. Nacalculatie bijschatten'!$H$217:$H$339,2021)*M$15
+SUMIFS('17. Nacalculatie bijschatten'!AT$217:AT$339,'17. Nacalculatie bijschatten'!$I$217:$I$339,"16 LNG installaties",'17. Nacalculatie bijschatten'!$H$217:$H$339,2021)
+SUMIFS('17. Nacalculatie bijschatten'!AH$217:AH$339,'17. Nacalculatie bijschatten'!$I$217:$I$339,"16 LNG installaties",'17. Nacalculatie bijschatten'!$H$217:$H$339,2021)</f>
        <v>27541.27802254694</v>
      </c>
      <c r="N99" s="43">
        <f>SUMIFS('17. Nacalculatie bijschatten'!AO$217:AO$339,'17. Nacalculatie bijschatten'!$I$217:$I$339,"16 LNG installaties",'17. Nacalculatie bijschatten'!$H$217:$H$339,2021)*N$15
+SUMIFS('17. Nacalculatie bijschatten'!AU$217:AU$339,'17. Nacalculatie bijschatten'!$I$217:$I$339,"16 LNG installaties",'17. Nacalculatie bijschatten'!$H$217:$H$339,2021)
+SUMIFS('17. Nacalculatie bijschatten'!AI$217:AI$339,'17. Nacalculatie bijschatten'!$I$217:$I$339,"16 LNG installaties",'17. Nacalculatie bijschatten'!$H$217:$H$339,2021)</f>
        <v>29418.296798326017</v>
      </c>
      <c r="O99" s="43">
        <f>SUMIFS('17. Nacalculatie bijschatten'!AP$217:AP$339,'17. Nacalculatie bijschatten'!$I$217:$I$339,"16 LNG installaties",'17. Nacalculatie bijschatten'!$H$217:$H$339,2021)*O$15
+SUMIFS('17. Nacalculatie bijschatten'!AV$217:AV$339,'17. Nacalculatie bijschatten'!$I$217:$I$339,"16 LNG installaties",'17. Nacalculatie bijschatten'!$H$217:$H$339,2021)
+SUMIFS('17. Nacalculatie bijschatten'!AJ$217:AJ$339,'17. Nacalculatie bijschatten'!$I$217:$I$339,"16 LNG installaties",'17. Nacalculatie bijschatten'!$H$217:$H$339,2021)</f>
        <v>28565.681728396528</v>
      </c>
      <c r="P99" s="43">
        <f>SUMIFS('17. Nacalculatie bijschatten'!AQ$217:AQ$339,'17. Nacalculatie bijschatten'!$I$217:$I$339,"16 LNG installaties",'17. Nacalculatie bijschatten'!$H$217:$H$339,2021)*P$15
+SUMIFS('17. Nacalculatie bijschatten'!AW$217:AW$339,'17. Nacalculatie bijschatten'!$I$217:$I$339,"16 LNG installaties",'17. Nacalculatie bijschatten'!$H$217:$H$339,2021)
+SUMIFS('17. Nacalculatie bijschatten'!AK$217:AK$339,'17. Nacalculatie bijschatten'!$I$217:$I$339,"16 LNG installaties",'17. Nacalculatie bijschatten'!$H$217:$H$339,2021)</f>
        <v>28594.011379385287</v>
      </c>
      <c r="Q99" s="10"/>
      <c r="R99" s="10"/>
    </row>
    <row r="100" spans="2:18">
      <c r="B100" s="3" t="s">
        <v>1114</v>
      </c>
      <c r="D100" s="3" t="s">
        <v>482</v>
      </c>
      <c r="H100" s="10"/>
      <c r="I100" s="10"/>
      <c r="J100" s="10"/>
      <c r="K100" s="10"/>
      <c r="L100" s="10"/>
      <c r="M100" s="43">
        <f>SUMIFS('17. Nacalculatie bijschatten'!AN$217:AN$339,'17. Nacalculatie bijschatten'!$I$217:$I$339,"16 LNG installaties",'17. Nacalculatie bijschatten'!$H$217:$H$339,2022)*M$15
+SUMIFS('17. Nacalculatie bijschatten'!AT$217:AT$339,'17. Nacalculatie bijschatten'!$I$217:$I$339,"16 LNG installaties",'17. Nacalculatie bijschatten'!$H$217:$H$339,2022)
+SUMIFS('17. Nacalculatie bijschatten'!AH$217:AH$339,'17. Nacalculatie bijschatten'!$I$217:$I$339,"16 LNG installaties",'17. Nacalculatie bijschatten'!$H$217:$H$339,2022)</f>
        <v>741850.1575410401</v>
      </c>
      <c r="N100" s="43">
        <f>SUMIFS('17. Nacalculatie bijschatten'!AO$217:AO$339,'17. Nacalculatie bijschatten'!$I$217:$I$339,"16 LNG installaties",'17. Nacalculatie bijschatten'!$H$217:$H$339,2022)*N$15
+SUMIFS('17. Nacalculatie bijschatten'!AU$217:AU$339,'17. Nacalculatie bijschatten'!$I$217:$I$339,"16 LNG installaties",'17. Nacalculatie bijschatten'!$H$217:$H$339,2022)
+SUMIFS('17. Nacalculatie bijschatten'!AI$217:AI$339,'17. Nacalculatie bijschatten'!$I$217:$I$339,"16 LNG installaties",'17. Nacalculatie bijschatten'!$H$217:$H$339,2022)</f>
        <v>1039132.1199240423</v>
      </c>
      <c r="O100" s="43">
        <f>SUMIFS('17. Nacalculatie bijschatten'!AP$217:AP$339,'17. Nacalculatie bijschatten'!$I$217:$I$339,"16 LNG installaties",'17. Nacalculatie bijschatten'!$H$217:$H$339,2022)*O$15
+SUMIFS('17. Nacalculatie bijschatten'!AV$217:AV$339,'17. Nacalculatie bijschatten'!$I$217:$I$339,"16 LNG installaties",'17. Nacalculatie bijschatten'!$H$217:$H$339,2022)
+SUMIFS('17. Nacalculatie bijschatten'!AJ$217:AJ$339,'17. Nacalculatie bijschatten'!$I$217:$I$339,"16 LNG installaties",'17. Nacalculatie bijschatten'!$H$217:$H$339,2022)</f>
        <v>1009119.8979105589</v>
      </c>
      <c r="P100" s="43">
        <f>SUMIFS('17. Nacalculatie bijschatten'!AQ$217:AQ$339,'17. Nacalculatie bijschatten'!$I$217:$I$339,"16 LNG installaties",'17. Nacalculatie bijschatten'!$H$217:$H$339,2022)*P$15
+SUMIFS('17. Nacalculatie bijschatten'!AW$217:AW$339,'17. Nacalculatie bijschatten'!$I$217:$I$339,"16 LNG installaties",'17. Nacalculatie bijschatten'!$H$217:$H$339,2022)
+SUMIFS('17. Nacalculatie bijschatten'!AK$217:AK$339,'17. Nacalculatie bijschatten'!$I$217:$I$339,"16 LNG installaties",'17. Nacalculatie bijschatten'!$H$217:$H$339,2022)</f>
        <v>1010952.9642065404</v>
      </c>
      <c r="Q100" s="10"/>
      <c r="R100" s="10"/>
    </row>
    <row r="101" spans="2:18">
      <c r="B101" s="3" t="s">
        <v>1115</v>
      </c>
      <c r="D101" s="3" t="s">
        <v>482</v>
      </c>
      <c r="H101" s="10"/>
      <c r="I101" s="10"/>
      <c r="J101" s="10"/>
      <c r="K101" s="10"/>
      <c r="L101" s="10"/>
      <c r="M101" s="10"/>
      <c r="N101" s="43">
        <f>SUMIFS('17. Nacalculatie bijschatten'!AO$217:AO$339,'17. Nacalculatie bijschatten'!$I$217:$I$339,"16 LNG installaties",'17. Nacalculatie bijschatten'!$H$217:$H$339,2023)*N$15
+SUMIFS('17. Nacalculatie bijschatten'!AU$217:AU$339,'17. Nacalculatie bijschatten'!$I$217:$I$339,"16 LNG installaties",'17. Nacalculatie bijschatten'!$H$217:$H$339,2023)
+SUMIFS('17. Nacalculatie bijschatten'!AI$217:AI$339,'17. Nacalculatie bijschatten'!$I$217:$I$339,"16 LNG installaties",'17. Nacalculatie bijschatten'!$H$217:$H$339,2023)</f>
        <v>177048.90175185984</v>
      </c>
      <c r="O101" s="43">
        <f>SUMIFS('17. Nacalculatie bijschatten'!AP$217:AP$339,'17. Nacalculatie bijschatten'!$I$217:$I$339,"16 LNG installaties",'17. Nacalculatie bijschatten'!$H$217:$H$339,2023)*O$15
+SUMIFS('17. Nacalculatie bijschatten'!AV$217:AV$339,'17. Nacalculatie bijschatten'!$I$217:$I$339,"16 LNG installaties",'17. Nacalculatie bijschatten'!$H$217:$H$339,2023)
+SUMIFS('17. Nacalculatie bijschatten'!AJ$217:AJ$339,'17. Nacalculatie bijschatten'!$I$217:$I$339,"16 LNG installaties",'17. Nacalculatie bijschatten'!$H$217:$H$339,2023)</f>
        <v>218452.50303054863</v>
      </c>
      <c r="P101" s="43">
        <f>SUMIFS('17. Nacalculatie bijschatten'!AQ$217:AQ$339,'17. Nacalculatie bijschatten'!$I$217:$I$339,"16 LNG installaties",'17. Nacalculatie bijschatten'!$H$217:$H$339,2023)*P$15
+SUMIFS('17. Nacalculatie bijschatten'!AW$217:AW$339,'17. Nacalculatie bijschatten'!$I$217:$I$339,"16 LNG installaties",'17. Nacalculatie bijschatten'!$H$217:$H$339,2023)
+SUMIFS('17. Nacalculatie bijschatten'!AK$217:AK$339,'17. Nacalculatie bijschatten'!$I$217:$I$339,"16 LNG installaties",'17. Nacalculatie bijschatten'!$H$217:$H$339,2023)</f>
        <v>218806.29192485299</v>
      </c>
      <c r="Q101" s="10"/>
      <c r="R101" s="10"/>
    </row>
    <row r="102" spans="2:18">
      <c r="B102" s="3" t="s">
        <v>1116</v>
      </c>
      <c r="D102" s="3" t="s">
        <v>482</v>
      </c>
      <c r="H102" s="10"/>
      <c r="I102" s="10"/>
      <c r="J102" s="10"/>
      <c r="K102" s="10"/>
      <c r="L102" s="10"/>
      <c r="M102" s="10"/>
      <c r="N102" s="10"/>
      <c r="O102" s="43">
        <f>SUMIFS('17. Nacalculatie bijschatten'!AP$217:AP$339,'17. Nacalculatie bijschatten'!$I$217:$I$339,"16 LNG installaties",'17. Nacalculatie bijschatten'!$H$217:$H$339,2024)*O$15
+SUMIFS('17. Nacalculatie bijschatten'!AV$217:AV$339,'17. Nacalculatie bijschatten'!$I$217:$I$339,"16 LNG installaties",'17. Nacalculatie bijschatten'!$H$217:$H$339,2024)
+SUMIFS('17. Nacalculatie bijschatten'!AJ$217:AJ$339,'17. Nacalculatie bijschatten'!$I$217:$I$339,"16 LNG installaties",'17. Nacalculatie bijschatten'!$H$217:$H$339,2024)</f>
        <v>26304.94165591224</v>
      </c>
      <c r="P102" s="43">
        <f>SUMIFS('17. Nacalculatie bijschatten'!AQ$217:AQ$339,'17. Nacalculatie bijschatten'!$I$217:$I$339,"16 LNG installaties",'17. Nacalculatie bijschatten'!$H$217:$H$339,2024)*P$15
+SUMIFS('17. Nacalculatie bijschatten'!AW$217:AW$339,'17. Nacalculatie bijschatten'!$I$217:$I$339,"16 LNG installaties",'17. Nacalculatie bijschatten'!$H$217:$H$339,2024)
+SUMIFS('17. Nacalculatie bijschatten'!AK$217:AK$339,'17. Nacalculatie bijschatten'!$I$217:$I$339,"16 LNG installaties",'17. Nacalculatie bijschatten'!$H$217:$H$339,2024)</f>
        <v>33504.754758911098</v>
      </c>
      <c r="Q102" s="10"/>
      <c r="R102" s="10"/>
    </row>
    <row r="103" spans="2:18">
      <c r="B103" s="3" t="s">
        <v>1117</v>
      </c>
      <c r="D103" s="3" t="s">
        <v>482</v>
      </c>
      <c r="H103" s="10"/>
      <c r="I103" s="10"/>
      <c r="J103" s="10"/>
      <c r="K103" s="10"/>
      <c r="L103" s="10"/>
      <c r="M103" s="10"/>
      <c r="N103" s="10"/>
      <c r="O103" s="10"/>
      <c r="P103" s="43">
        <f>SUMIFS('17. Nacalculatie bijschatten'!AQ$217:AQ$339,'17. Nacalculatie bijschatten'!$I$217:$I$339,"16 LNG installaties",'17. Nacalculatie bijschatten'!$H$217:$H$339,2025)*P$15
+SUMIFS('17. Nacalculatie bijschatten'!AW$217:AW$339,'17. Nacalculatie bijschatten'!$I$217:$I$339,"16 LNG installaties",'17. Nacalculatie bijschatten'!$H$217:$H$339,2025)
+SUMIFS('17. Nacalculatie bijschatten'!AK$217:AK$339,'17. Nacalculatie bijschatten'!$I$217:$I$339,"16 LNG installaties",'17. Nacalculatie bijschatten'!$H$217:$H$339,2025)</f>
        <v>456012.21897617722</v>
      </c>
      <c r="Q103" s="10"/>
      <c r="R103" s="10"/>
    </row>
    <row r="105" spans="2:18">
      <c r="B105" s="3" t="s">
        <v>1105</v>
      </c>
      <c r="D105" s="3" t="s">
        <v>482</v>
      </c>
      <c r="H105" s="228"/>
      <c r="I105" s="228"/>
      <c r="J105" s="228"/>
      <c r="K105" s="228"/>
      <c r="L105" s="228"/>
      <c r="M105" s="10"/>
      <c r="N105" s="10"/>
      <c r="O105" s="43">
        <f>-$F$63*SUM(M98:M100)*O30</f>
        <v>-666077.35246406659</v>
      </c>
      <c r="P105" s="43">
        <f>-$F$63*SUM(N98:N101)*P31</f>
        <v>-1109328.9572685286</v>
      </c>
      <c r="Q105" s="43">
        <f>-$F$63*SUM(O98:O102)*Q32</f>
        <v>-1150594.1363450272</v>
      </c>
      <c r="R105" s="43">
        <f>-$F$63*SUM(P98:P103)*R33</f>
        <v>-1509649.746876935</v>
      </c>
    </row>
    <row r="107" spans="2:18" s="240" customFormat="1">
      <c r="B107" s="8" t="s">
        <v>1118</v>
      </c>
    </row>
    <row r="108" spans="2:18">
      <c r="K108" s="167"/>
      <c r="L108" s="167"/>
      <c r="M108" s="167"/>
      <c r="N108" s="167"/>
    </row>
    <row r="109" spans="2:18">
      <c r="B109" s="3" t="s">
        <v>1119</v>
      </c>
      <c r="D109" s="3" t="s">
        <v>482</v>
      </c>
      <c r="H109" s="10"/>
      <c r="I109" s="10"/>
      <c r="J109" s="10"/>
      <c r="K109" s="42">
        <f>SUMIFS('19. Indexatie desinvesteringen'!$D$892:$D$1673,'19. Indexatie desinvesteringen'!$D$18:$D$799,"16 LNG installaties",'19. Indexatie desinvesteringen'!$G$18:$G$799,'23. Correctie peakshaver'!K10)+
SUMIFS('19. Indexatie desinvesteringen'!$D$892:$D$1673,'19. Indexatie desinvesteringen'!$D$18:$D$799,"06 Utiliteitsgebouwen (LNG)",'19. Indexatie desinvesteringen'!$G$18:$G$799,'23. Correctie peakshaver'!K10)</f>
        <v>417533.58819327998</v>
      </c>
      <c r="L109" s="42">
        <f>SUMIFS('19. Indexatie desinvesteringen'!$D$892:$D$1673,'19. Indexatie desinvesteringen'!$D$18:$D$799,"16 LNG installaties",'19. Indexatie desinvesteringen'!$G$18:$G$799,'23. Correctie peakshaver'!L10)+
SUMIFS('19. Indexatie desinvesteringen'!$D$892:$D$1673,'19. Indexatie desinvesteringen'!$D$18:$D$799,"06 Utiliteitsgebouwen (LNG)",'19. Indexatie desinvesteringen'!$G$18:$G$799,'23. Correctie peakshaver'!L10)</f>
        <v>132355954.29857111</v>
      </c>
      <c r="M109" s="42">
        <f>SUMIFS('19. Indexatie desinvesteringen'!$D$892:$D$1673,'19. Indexatie desinvesteringen'!$D$18:$D$799,"16 LNG installaties",'19. Indexatie desinvesteringen'!$G$18:$G$799,'23. Correctie peakshaver'!M10)+
SUMIFS('19. Indexatie desinvesteringen'!$D$892:$D$1673,'19. Indexatie desinvesteringen'!$D$18:$D$799,"06 Utiliteitsgebouwen (LNG)",'19. Indexatie desinvesteringen'!$G$18:$G$799,'23. Correctie peakshaver'!M10)</f>
        <v>6175396.5452503702</v>
      </c>
      <c r="N109" s="42">
        <f>SUMIFS('19. Indexatie desinvesteringen'!$D$892:$D$1673,'19. Indexatie desinvesteringen'!$D$18:$D$799,"16 LNG installaties",'19. Indexatie desinvesteringen'!$G$18:$G$799,'23. Correctie peakshaver'!N10)+
SUMIFS('19. Indexatie desinvesteringen'!$D$892:$D$1673,'19. Indexatie desinvesteringen'!$D$18:$D$799,"06 Utiliteitsgebouwen (LNG)",'19. Indexatie desinvesteringen'!$G$18:$G$799,'23. Correctie peakshaver'!N10)</f>
        <v>2525665.1004047501</v>
      </c>
      <c r="O109" s="42">
        <f>SUMIFS('19. Indexatie desinvesteringen'!$D$892:$D$1673,'19. Indexatie desinvesteringen'!$D$18:$D$799,"16 LNG installaties",'19. Indexatie desinvesteringen'!$G$18:$G$799,'23. Correctie peakshaver'!O10)+
SUMIFS('19. Indexatie desinvesteringen'!$D$892:$D$1673,'19. Indexatie desinvesteringen'!$D$18:$D$799,"06 Utiliteitsgebouwen (LNG)",'19. Indexatie desinvesteringen'!$G$18:$G$799,'23. Correctie peakshaver'!O10)</f>
        <v>0</v>
      </c>
      <c r="P109" s="42">
        <f>SUMIFS('19. Indexatie desinvesteringen'!$D$892:$D$1673,'19. Indexatie desinvesteringen'!$D$18:$D$799,"16 LNG installaties",'19. Indexatie desinvesteringen'!$G$18:$G$799,'23. Correctie peakshaver'!P10)+
SUMIFS('19. Indexatie desinvesteringen'!$D$892:$D$1673,'19. Indexatie desinvesteringen'!$D$18:$D$799,"06 Utiliteitsgebouwen (LNG)",'19. Indexatie desinvesteringen'!$G$18:$G$799,'23. Correctie peakshaver'!P10)</f>
        <v>1747558.4142420378</v>
      </c>
      <c r="Q109" s="10"/>
      <c r="R109" s="10"/>
    </row>
    <row r="111" spans="2:18">
      <c r="B111" s="3" t="s">
        <v>1027</v>
      </c>
      <c r="D111" s="3" t="s">
        <v>482</v>
      </c>
      <c r="H111" s="228"/>
      <c r="I111" s="228"/>
      <c r="J111" s="228"/>
      <c r="K111" s="228"/>
      <c r="L111" s="228"/>
      <c r="M111" s="47">
        <f>$F$18*$K$109*M$40*M$52</f>
        <v>4296.9245736584444</v>
      </c>
      <c r="N111" s="47">
        <f>$F$18*$K$109*N$40*N$52</f>
        <v>4545.0805616363659</v>
      </c>
      <c r="O111" s="47">
        <f>$F$18*$K$109*O$40*O$52</f>
        <v>4889.0522585410072</v>
      </c>
      <c r="P111" s="47">
        <f>$F$18*$K$109*P$40*P$52</f>
        <v>5005.8419388930351</v>
      </c>
      <c r="Q111" s="96"/>
      <c r="R111" s="96"/>
    </row>
    <row r="112" spans="2:18">
      <c r="B112" s="3" t="s">
        <v>1029</v>
      </c>
      <c r="D112" s="3" t="s">
        <v>482</v>
      </c>
      <c r="H112" s="228"/>
      <c r="I112" s="228"/>
      <c r="J112" s="228"/>
      <c r="K112" s="228"/>
      <c r="L112" s="228"/>
      <c r="M112" s="47">
        <f>$F$18*$L$109*M$41*M$53</f>
        <v>1341994.0803004161</v>
      </c>
      <c r="N112" s="47">
        <f>$F$18*$L$109*N$41*N$53</f>
        <v>1419496.9224259255</v>
      </c>
      <c r="O112" s="47">
        <f>$F$18*$L$109*O$41*O$53</f>
        <v>1526924.4495151197</v>
      </c>
      <c r="P112" s="47">
        <f>$F$18*$L$109*P$41*P$53</f>
        <v>1563399.620765137</v>
      </c>
      <c r="Q112" s="96"/>
      <c r="R112" s="96"/>
    </row>
    <row r="113" spans="2:20">
      <c r="B113" s="3" t="s">
        <v>1031</v>
      </c>
      <c r="D113" s="3" t="s">
        <v>482</v>
      </c>
      <c r="H113" s="228"/>
      <c r="I113" s="228"/>
      <c r="J113" s="228"/>
      <c r="K113" s="228"/>
      <c r="L113" s="228"/>
      <c r="M113" s="47">
        <f>$F$18*$M$109*M$42*M$54</f>
        <v>61753.965452503704</v>
      </c>
      <c r="N113" s="47">
        <f>$F$18*$M$109*N$42*N$54</f>
        <v>65320.380465316703</v>
      </c>
      <c r="O113" s="47">
        <f>$F$18*$M$109*O$42*O$54</f>
        <v>70263.826858931876</v>
      </c>
      <c r="P113" s="47">
        <f>$F$18*$M$109*P$42*P$54</f>
        <v>71942.289154938029</v>
      </c>
      <c r="Q113" s="96"/>
      <c r="R113" s="96"/>
    </row>
    <row r="114" spans="2:20">
      <c r="B114" s="3" t="s">
        <v>1033</v>
      </c>
      <c r="D114" s="3" t="s">
        <v>482</v>
      </c>
      <c r="H114" s="228"/>
      <c r="I114" s="228"/>
      <c r="J114" s="228"/>
      <c r="K114" s="228"/>
      <c r="L114" s="228"/>
      <c r="M114" s="228"/>
      <c r="N114" s="47">
        <f>$F$18*$N$109*N$43*N$55</f>
        <v>25256.6510040475</v>
      </c>
      <c r="O114" s="47">
        <f>$F$18*$N$109*O$43*O$55</f>
        <v>27168.074352033818</v>
      </c>
      <c r="P114" s="47">
        <f>$F$18*$N$109*P$43*P$55</f>
        <v>27817.065312155202</v>
      </c>
      <c r="Q114" s="96"/>
      <c r="R114" s="96"/>
    </row>
    <row r="115" spans="2:20">
      <c r="B115" s="3" t="s">
        <v>1035</v>
      </c>
      <c r="D115" s="3" t="s">
        <v>482</v>
      </c>
      <c r="H115" s="228"/>
      <c r="I115" s="228"/>
      <c r="J115" s="228"/>
      <c r="K115" s="228"/>
      <c r="L115" s="228"/>
      <c r="M115" s="228"/>
      <c r="N115" s="228"/>
      <c r="O115" s="47">
        <f>$F$18*$O$109*O$44*O$56</f>
        <v>0</v>
      </c>
      <c r="P115" s="47">
        <f>$F$18*$O$109*P$44*P$56</f>
        <v>0</v>
      </c>
      <c r="Q115" s="96"/>
      <c r="R115" s="96"/>
    </row>
    <row r="116" spans="2:20">
      <c r="B116" s="3" t="s">
        <v>1037</v>
      </c>
      <c r="D116" s="3" t="s">
        <v>482</v>
      </c>
      <c r="H116" s="228"/>
      <c r="I116" s="228"/>
      <c r="J116" s="228"/>
      <c r="K116" s="228"/>
      <c r="L116" s="228"/>
      <c r="M116" s="228"/>
      <c r="N116" s="228"/>
      <c r="O116" s="228"/>
      <c r="P116" s="47">
        <f>$F$18*$P$109*P$45*P$57</f>
        <v>17475.584142420379</v>
      </c>
      <c r="Q116" s="96"/>
      <c r="R116" s="96"/>
    </row>
    <row r="118" spans="2:20">
      <c r="B118" s="3" t="s">
        <v>1105</v>
      </c>
      <c r="D118" s="3" t="s">
        <v>482</v>
      </c>
      <c r="H118" s="228"/>
      <c r="I118" s="228"/>
      <c r="J118" s="228"/>
      <c r="K118" s="228"/>
      <c r="L118" s="228"/>
      <c r="M118" s="10"/>
      <c r="N118" s="10"/>
      <c r="O118" s="47">
        <f>-$F$63*(-SUM(M111:M113)*O30)</f>
        <v>1150113.6604822744</v>
      </c>
      <c r="P118" s="47">
        <f>-$F$63*(-SUM(N111:N114)*P31)</f>
        <v>1297810.407388624</v>
      </c>
      <c r="Q118" s="47">
        <f>-$F$63*(-SUM(O111:O115)*Q32)</f>
        <v>1409452.0518949858</v>
      </c>
      <c r="R118" s="47">
        <f>-$F$63*(-SUM(P111:P116)*R33)</f>
        <v>1417353.8750404802</v>
      </c>
    </row>
    <row r="119" spans="2:20">
      <c r="M119" s="88"/>
      <c r="N119" s="88"/>
      <c r="O119" s="88"/>
    </row>
    <row r="120" spans="2:20" s="240" customFormat="1">
      <c r="B120" s="8" t="s">
        <v>514</v>
      </c>
    </row>
    <row r="122" spans="2:20">
      <c r="B122" s="3" t="s">
        <v>958</v>
      </c>
      <c r="D122" s="3" t="s">
        <v>482</v>
      </c>
      <c r="H122" s="228"/>
      <c r="I122" s="228"/>
      <c r="J122" s="228"/>
      <c r="K122" s="228"/>
      <c r="L122" s="228"/>
      <c r="M122" s="10"/>
      <c r="N122" s="10"/>
      <c r="O122" s="10"/>
      <c r="P122" s="10"/>
      <c r="Q122" s="10"/>
      <c r="R122" s="10"/>
      <c r="T122" s="3" t="s">
        <v>1120</v>
      </c>
    </row>
    <row r="123" spans="2:20">
      <c r="B123" s="3" t="s">
        <v>962</v>
      </c>
      <c r="D123" s="3" t="s">
        <v>482</v>
      </c>
      <c r="H123" s="228"/>
      <c r="I123" s="228"/>
      <c r="J123" s="228"/>
      <c r="K123" s="228"/>
      <c r="L123" s="228"/>
      <c r="M123" s="43">
        <f>SUMIFS('18. Nacalculatie desinv.'!AH$52:AH384,'18. Nacalculatie desinv.'!$H52:$H384,M$10,'18. Nacalculatie desinv.'!$I$52:$I$384,"16 LNG installaties")
-SUMIFS('18. Nacalculatie desinv.'!$J$52:$J$384,'18. Nacalculatie desinv.'!$H52:$H384,M$10,'18. Nacalculatie desinv.'!$I$52:$I$384,"16 LNG installaties")*$F$25</f>
        <v>494801.16396341531</v>
      </c>
      <c r="N123" s="43">
        <f>SUMIFS('18. Nacalculatie desinv.'!AI$52:AI384,'18. Nacalculatie desinv.'!$H52:$H384,N$10,'18. Nacalculatie desinv.'!$I$52:$I$384,"16 LNG installaties")
-SUMIFS('18. Nacalculatie desinv.'!$J$52:$J$384,'18. Nacalculatie desinv.'!$H52:$H384,N$10,'18. Nacalculatie desinv.'!$I$52:$I$384,"16 LNG installaties")*$F$25</f>
        <v>0</v>
      </c>
      <c r="O123" s="43">
        <f>SUMIFS('18. Nacalculatie desinv.'!AJ$52:AJ384,'18. Nacalculatie desinv.'!$H52:$H384,O$10,'18. Nacalculatie desinv.'!$I$52:$I$384,"16 LNG installaties")
-SUMIFS('18. Nacalculatie desinv.'!$J$52:$J$384,'18. Nacalculatie desinv.'!$H52:$H384,O$10,'18. Nacalculatie desinv.'!$I$52:$I$384,"16 LNG installaties")*$F$25</f>
        <v>0</v>
      </c>
      <c r="P123" s="43">
        <f>SUMIFS('18. Nacalculatie desinv.'!AK$52:AK384,'18. Nacalculatie desinv.'!$H52:$H384,P$10,'18. Nacalculatie desinv.'!$I$52:$I$384,"16 LNG installaties")
-SUMIFS('18. Nacalculatie desinv.'!$J$52:$J$384,'18. Nacalculatie desinv.'!$H52:$H384,P$10,'18. Nacalculatie desinv.'!$I$52:$I$384,"16 LNG installaties")*$F$25</f>
        <v>0</v>
      </c>
      <c r="Q123" s="10"/>
      <c r="R123" s="10"/>
    </row>
    <row r="125" spans="2:20">
      <c r="B125" s="3" t="s">
        <v>1105</v>
      </c>
      <c r="D125" s="3" t="s">
        <v>482</v>
      </c>
      <c r="H125" s="228"/>
      <c r="I125" s="228"/>
      <c r="J125" s="228"/>
      <c r="K125" s="228"/>
      <c r="L125" s="228"/>
      <c r="M125" s="10"/>
      <c r="N125" s="10"/>
      <c r="O125" s="43">
        <f>-$F$63*((M123-M122)*O30)</f>
        <v>-404161.50754394103</v>
      </c>
      <c r="P125" s="43">
        <f>-$F$63*((N123-N122)*P31)</f>
        <v>0</v>
      </c>
      <c r="Q125" s="43">
        <f>-$F$63*((O123-O122)*Q32)</f>
        <v>0</v>
      </c>
      <c r="R125" s="43">
        <f>-$F$63*((P123-P122)*R33)</f>
        <v>0</v>
      </c>
    </row>
    <row r="126" spans="2:20">
      <c r="M126" s="88"/>
      <c r="N126" s="88"/>
      <c r="O126" s="88"/>
    </row>
    <row r="127" spans="2:20" s="8" customFormat="1">
      <c r="B127" s="8" t="s">
        <v>1121</v>
      </c>
    </row>
    <row r="129" spans="2:18">
      <c r="B129" s="3" t="s">
        <v>1122</v>
      </c>
      <c r="D129" s="3" t="s">
        <v>482</v>
      </c>
      <c r="H129" s="228"/>
      <c r="I129" s="228"/>
      <c r="J129" s="228"/>
      <c r="K129" s="228"/>
      <c r="L129" s="228"/>
      <c r="M129" s="228"/>
      <c r="N129" s="94"/>
      <c r="O129" s="43">
        <f>O125+O118+O88+O105+O94+O81</f>
        <v>-18511278.687022008</v>
      </c>
      <c r="P129" s="43">
        <f>P125+P118+P88+P105+P94+P81</f>
        <v>-19807687.080588304</v>
      </c>
      <c r="Q129" s="43">
        <f>Q125+Q118+Q88+Q105+Q94+Q81</f>
        <v>-19994603.596221652</v>
      </c>
      <c r="R129" s="51">
        <f>R125+R118+R88+R105+R94+R81</f>
        <v>-19711590.647128295</v>
      </c>
    </row>
    <row r="132" spans="2:18">
      <c r="P132" s="88"/>
    </row>
    <row r="135" spans="2:18">
      <c r="M135" s="88"/>
    </row>
    <row r="136" spans="2:18">
      <c r="M136" s="88"/>
    </row>
    <row r="137" spans="2:18">
      <c r="M137" s="88"/>
    </row>
  </sheetData>
  <mergeCells count="2">
    <mergeCell ref="B5:D5"/>
    <mergeCell ref="B8:D8"/>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pageSetUpPr fitToPage="1"/>
  </sheetPr>
  <dimension ref="B2:J33"/>
  <sheetViews>
    <sheetView showGridLines="0" zoomScale="80" zoomScaleNormal="80" workbookViewId="0">
      <pane ySplit="3" topLeftCell="A7" activePane="bottomLeft" state="frozen"/>
      <selection pane="bottomLeft"/>
      <selection activeCell="C40" sqref="C40"/>
    </sheetView>
  </sheetViews>
  <sheetFormatPr defaultColWidth="9" defaultRowHeight="12.75"/>
  <cols>
    <col min="1" max="1" width="2.5703125" style="3" customWidth="1"/>
    <col min="2" max="2" width="7.5703125" style="3" customWidth="1"/>
    <col min="3" max="3" width="71" style="3" bestFit="1" customWidth="1"/>
    <col min="4" max="4" width="51.28515625" style="3" bestFit="1" customWidth="1"/>
    <col min="5" max="5" width="36.28515625" style="3" customWidth="1"/>
    <col min="6" max="6" width="40.5703125" style="3" customWidth="1"/>
    <col min="7" max="7" width="4.5703125" style="3" customWidth="1"/>
    <col min="8" max="16384" width="9" style="3"/>
  </cols>
  <sheetData>
    <row r="2" spans="2:10" s="12" customFormat="1" ht="18">
      <c r="B2" s="12" t="s">
        <v>95</v>
      </c>
    </row>
    <row r="4" spans="2:10" s="8" customFormat="1">
      <c r="B4" s="8" t="s">
        <v>96</v>
      </c>
    </row>
    <row r="6" spans="2:10">
      <c r="B6" s="17" t="s">
        <v>97</v>
      </c>
    </row>
    <row r="7" spans="2:10">
      <c r="B7" s="17" t="s">
        <v>98</v>
      </c>
    </row>
    <row r="9" spans="2:10">
      <c r="B9" s="11" t="s">
        <v>99</v>
      </c>
      <c r="C9" s="11" t="s">
        <v>100</v>
      </c>
      <c r="D9" s="11" t="s">
        <v>101</v>
      </c>
      <c r="E9" s="11" t="s">
        <v>102</v>
      </c>
      <c r="F9" s="11" t="s">
        <v>103</v>
      </c>
      <c r="J9" s="13"/>
    </row>
    <row r="10" spans="2:10">
      <c r="B10" s="15"/>
      <c r="C10" s="15" t="s">
        <v>104</v>
      </c>
      <c r="D10" s="15" t="s">
        <v>105</v>
      </c>
      <c r="E10" s="15" t="s">
        <v>106</v>
      </c>
      <c r="F10" s="15" t="s">
        <v>107</v>
      </c>
    </row>
    <row r="11" spans="2:10">
      <c r="B11" s="6">
        <v>1</v>
      </c>
      <c r="C11" s="6" t="s">
        <v>108</v>
      </c>
      <c r="D11" s="136" t="s">
        <v>108</v>
      </c>
      <c r="E11" s="6" t="s">
        <v>109</v>
      </c>
      <c r="F11" s="6"/>
    </row>
    <row r="12" spans="2:10">
      <c r="B12" s="6">
        <v>2</v>
      </c>
      <c r="C12" s="6" t="s">
        <v>110</v>
      </c>
      <c r="D12" s="90" t="s">
        <v>111</v>
      </c>
      <c r="E12" s="6" t="s">
        <v>112</v>
      </c>
      <c r="F12" s="6"/>
    </row>
    <row r="13" spans="2:10">
      <c r="B13" s="6">
        <v>3</v>
      </c>
      <c r="C13" s="6" t="s">
        <v>113</v>
      </c>
      <c r="D13" s="29" t="s">
        <v>114</v>
      </c>
      <c r="E13" s="6" t="s">
        <v>10</v>
      </c>
      <c r="F13" s="6"/>
    </row>
    <row r="14" spans="2:10" ht="12" customHeight="1">
      <c r="B14" s="6">
        <v>4</v>
      </c>
      <c r="C14" s="6" t="s">
        <v>115</v>
      </c>
      <c r="D14" s="29" t="s">
        <v>116</v>
      </c>
      <c r="E14" s="6" t="s">
        <v>117</v>
      </c>
      <c r="F14" s="6"/>
    </row>
    <row r="15" spans="2:10">
      <c r="B15" s="6">
        <v>5</v>
      </c>
      <c r="C15" s="6" t="s">
        <v>118</v>
      </c>
      <c r="D15" s="152" t="s">
        <v>119</v>
      </c>
      <c r="E15" s="6" t="s">
        <v>120</v>
      </c>
      <c r="F15" s="6"/>
    </row>
    <row r="16" spans="2:10">
      <c r="B16" s="6">
        <v>6</v>
      </c>
      <c r="C16" s="6" t="s">
        <v>121</v>
      </c>
      <c r="D16" s="29" t="s">
        <v>122</v>
      </c>
      <c r="E16" s="6" t="s">
        <v>10</v>
      </c>
      <c r="F16" s="6"/>
    </row>
    <row r="17" spans="2:6">
      <c r="B17" s="6">
        <v>7</v>
      </c>
      <c r="C17" s="6" t="s">
        <v>123</v>
      </c>
      <c r="D17" s="140" t="s">
        <v>124</v>
      </c>
      <c r="E17" s="6" t="s">
        <v>125</v>
      </c>
      <c r="F17" s="6"/>
    </row>
    <row r="18" spans="2:6">
      <c r="B18" s="6">
        <v>8</v>
      </c>
      <c r="C18" s="6" t="s">
        <v>126</v>
      </c>
      <c r="D18" s="191" t="s">
        <v>127</v>
      </c>
      <c r="E18" s="6" t="s">
        <v>128</v>
      </c>
      <c r="F18" s="6"/>
    </row>
    <row r="19" spans="2:6">
      <c r="B19" s="6">
        <v>9</v>
      </c>
      <c r="C19" s="6" t="s">
        <v>129</v>
      </c>
      <c r="D19" s="29" t="s">
        <v>129</v>
      </c>
      <c r="E19" s="6" t="s">
        <v>10</v>
      </c>
      <c r="F19" s="6"/>
    </row>
    <row r="20" spans="2:6">
      <c r="B20" s="6">
        <v>10</v>
      </c>
      <c r="C20" s="6" t="s">
        <v>130</v>
      </c>
      <c r="D20" s="29" t="s">
        <v>130</v>
      </c>
      <c r="E20" s="6" t="s">
        <v>131</v>
      </c>
      <c r="F20" s="6"/>
    </row>
    <row r="21" spans="2:6">
      <c r="B21" s="6">
        <v>11</v>
      </c>
      <c r="C21" s="6" t="s">
        <v>132</v>
      </c>
      <c r="D21" s="29" t="s">
        <v>133</v>
      </c>
      <c r="E21" s="6" t="s">
        <v>134</v>
      </c>
      <c r="F21" s="6"/>
    </row>
    <row r="22" spans="2:6">
      <c r="B22" s="6">
        <v>12</v>
      </c>
      <c r="C22" s="6" t="s">
        <v>135</v>
      </c>
      <c r="D22" s="29" t="s">
        <v>136</v>
      </c>
      <c r="E22" s="6" t="s">
        <v>131</v>
      </c>
      <c r="F22" s="6"/>
    </row>
    <row r="23" spans="2:6">
      <c r="B23" s="6">
        <v>13</v>
      </c>
      <c r="C23" s="6" t="s">
        <v>137</v>
      </c>
      <c r="D23" s="136" t="s">
        <v>138</v>
      </c>
      <c r="E23" s="6" t="s">
        <v>139</v>
      </c>
      <c r="F23" s="6"/>
    </row>
    <row r="24" spans="2:6">
      <c r="B24" s="6">
        <v>14</v>
      </c>
      <c r="C24" s="6" t="s">
        <v>140</v>
      </c>
      <c r="D24" s="328" t="s">
        <v>140</v>
      </c>
      <c r="E24" s="6" t="s">
        <v>141</v>
      </c>
      <c r="F24" s="6"/>
    </row>
    <row r="25" spans="2:6">
      <c r="B25" s="6">
        <v>15</v>
      </c>
      <c r="C25" s="6" t="s">
        <v>142</v>
      </c>
      <c r="D25" s="294" t="s">
        <v>143</v>
      </c>
      <c r="E25" s="6" t="s">
        <v>144</v>
      </c>
      <c r="F25" s="6"/>
    </row>
    <row r="26" spans="2:6">
      <c r="B26" s="6">
        <v>16</v>
      </c>
      <c r="C26" s="6" t="s">
        <v>145</v>
      </c>
      <c r="D26" s="136" t="s">
        <v>146</v>
      </c>
      <c r="E26" s="6" t="s">
        <v>147</v>
      </c>
      <c r="F26" s="6"/>
    </row>
    <row r="27" spans="2:6">
      <c r="B27" s="6">
        <v>17</v>
      </c>
      <c r="C27" s="6" t="s">
        <v>148</v>
      </c>
      <c r="D27" s="136" t="s">
        <v>149</v>
      </c>
      <c r="E27" s="6" t="s">
        <v>147</v>
      </c>
      <c r="F27" s="6"/>
    </row>
    <row r="28" spans="2:6">
      <c r="B28" s="6">
        <v>18</v>
      </c>
      <c r="C28" s="6" t="s">
        <v>150</v>
      </c>
      <c r="D28" s="339" t="s">
        <v>151</v>
      </c>
      <c r="E28" s="6" t="s">
        <v>152</v>
      </c>
      <c r="F28" s="6"/>
    </row>
    <row r="29" spans="2:6">
      <c r="D29" s="292"/>
      <c r="E29" s="293"/>
    </row>
    <row r="30" spans="2:6" s="8" customFormat="1">
      <c r="B30" s="8" t="s">
        <v>153</v>
      </c>
      <c r="E30" s="153"/>
    </row>
    <row r="32" spans="2:6">
      <c r="B32" s="17" t="s">
        <v>154</v>
      </c>
    </row>
    <row r="33" spans="2:2">
      <c r="B33" s="17"/>
    </row>
  </sheetData>
  <phoneticPr fontId="41" type="noConversion"/>
  <hyperlinks>
    <hyperlink ref="D12" r:id="rId1" xr:uid="{00000000-0004-0000-0200-000000000000}"/>
    <hyperlink ref="D14" r:id="rId2" display="Gewijzigd Methodebesluit GTS 2017-2021" xr:uid="{00000000-0004-0000-0200-000002000000}"/>
    <hyperlink ref="D11" r:id="rId3" xr:uid="{44EA7B38-C039-47C3-A377-F0264E1E43FC}"/>
    <hyperlink ref="D15" r:id="rId4" xr:uid="{67BCA6AE-FDB9-4EFD-A25B-662638CB4D18}"/>
    <hyperlink ref="D17" r:id="rId5" xr:uid="{40CDF460-322A-4F3D-B530-0071539FA283}"/>
    <hyperlink ref="D13" r:id="rId6" location="/CBS/nl/dataset/83131NED/table" xr:uid="{01DAB045-F46E-4D95-BE72-A2139C6EC9DD}"/>
    <hyperlink ref="D18" r:id="rId7" display="Rekenmodule tarieven GTS 2020" xr:uid="{7E68E786-485E-4E7F-BBA8-2A3DB2553C7D}"/>
    <hyperlink ref="D19" r:id="rId8" xr:uid="{5BFF3038-6747-474D-854A-1F02C48C4ED2}"/>
    <hyperlink ref="D16" r:id="rId9" location="/details/wettelijke-rente/dataset/2ed0b77d-72c5-47e8-8a3d-0c213048e11d/resource/b363a333-1ce1-4ba0-83b9-80bdf6f78fa0" xr:uid="{792E2A66-A561-49B2-A3D9-3C15C023C692}"/>
    <hyperlink ref="D20" r:id="rId10" xr:uid="{CC01A927-8117-4557-8BC9-D9133B8FCA3E}"/>
    <hyperlink ref="D22" r:id="rId11" xr:uid="{7E591574-CCE7-4670-90F3-A5B3C2CF3F43}"/>
    <hyperlink ref="D21" r:id="rId12" location=":~:text=Met%20dit%20besluit%20stelt%20de,van%20de%20tarieven%20over%202022." xr:uid="{16891D03-749E-4FF9-AF9F-6B43FC4CCCF4}"/>
    <hyperlink ref="D23" r:id="rId13" display="https://www.acm.nl/nl/publicaties/gewijzigd-methodebesluit-gts-2022-2026" xr:uid="{5868F87E-9A6C-4DF8-8556-33B4746D331F}"/>
    <hyperlink ref="D24" r:id="rId14" location=":~:text=Om%20deze%20reden%20heeft%20de,in%20het%20tarievenbesluit%202025%20verwerkt." xr:uid="{7791DD30-8A71-4C13-B36D-ACC017815E6C}"/>
    <hyperlink ref="D27" r:id="rId15" xr:uid="{88EEA329-0639-4B35-B1EB-2ED3BD9F0F67}"/>
    <hyperlink ref="D26" r:id="rId16" xr:uid="{2C7D7BBB-9625-4678-AAFE-88F4BE9AD5FA}"/>
  </hyperlinks>
  <pageMargins left="0.75" right="0.75" top="1" bottom="1" header="0.5" footer="0.5"/>
  <pageSetup paperSize="9" scale="45" orientation="portrait" r:id="rId17"/>
  <headerFooter alignWithMargins="0">
    <oddFooter>&amp;C_x000D_&amp;1#&amp;"Calibri"&amp;10&amp;K000000 Vertrouwelijk/Confidential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DAC59-B00A-44AA-8F68-1963F33DE64D}">
  <sheetPr>
    <tabColor rgb="FFFFFFCC"/>
  </sheetPr>
  <dimension ref="B2:T25"/>
  <sheetViews>
    <sheetView showGridLines="0" zoomScale="85" zoomScaleNormal="85" workbookViewId="0">
      <pane xSplit="4" ySplit="9" topLeftCell="J10"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57.28515625" style="3" customWidth="1"/>
    <col min="3" max="3" width="2.5703125" style="3" customWidth="1"/>
    <col min="4" max="4" width="13.5703125" style="3" customWidth="1"/>
    <col min="5" max="5" width="2.5703125" style="3" customWidth="1"/>
    <col min="6" max="6" width="13.5703125" style="3" customWidth="1"/>
    <col min="7" max="7" width="2.5703125" style="3" customWidth="1"/>
    <col min="8" max="18" width="14.5703125" style="3" customWidth="1"/>
    <col min="19" max="19" width="2.5703125" style="3" customWidth="1"/>
    <col min="20" max="33" width="13.5703125" style="3" customWidth="1"/>
    <col min="34" max="16384" width="9" style="3"/>
  </cols>
  <sheetData>
    <row r="2" spans="2:20" s="12" customFormat="1" ht="18">
      <c r="B2" s="12" t="s">
        <v>1123</v>
      </c>
    </row>
    <row r="4" spans="2:20">
      <c r="B4" s="16" t="s">
        <v>893</v>
      </c>
      <c r="C4" s="2"/>
    </row>
    <row r="5" spans="2:20" ht="67.150000000000006" customHeight="1">
      <c r="B5" s="359" t="s">
        <v>1124</v>
      </c>
      <c r="C5" s="359"/>
      <c r="D5" s="359"/>
      <c r="F5" s="13"/>
    </row>
    <row r="6" spans="2:20">
      <c r="B6" s="4"/>
    </row>
    <row r="7" spans="2:20">
      <c r="B7" s="17" t="s">
        <v>158</v>
      </c>
    </row>
    <row r="9" spans="2:20" s="8" customFormat="1">
      <c r="B9" s="8" t="s">
        <v>162</v>
      </c>
      <c r="D9" s="8" t="s">
        <v>204</v>
      </c>
      <c r="F9" s="8" t="s">
        <v>205</v>
      </c>
      <c r="H9" s="46">
        <v>2017</v>
      </c>
      <c r="I9" s="46">
        <v>2018</v>
      </c>
      <c r="J9" s="46">
        <v>2019</v>
      </c>
      <c r="K9" s="46">
        <v>2020</v>
      </c>
      <c r="L9" s="46">
        <v>2021</v>
      </c>
      <c r="M9" s="46">
        <v>2022</v>
      </c>
      <c r="N9" s="46">
        <v>2023</v>
      </c>
      <c r="O9" s="46">
        <v>2024</v>
      </c>
      <c r="P9" s="46">
        <v>2025</v>
      </c>
      <c r="Q9" s="46">
        <v>2026</v>
      </c>
      <c r="R9" s="46">
        <v>2027</v>
      </c>
      <c r="T9" s="8" t="s">
        <v>207</v>
      </c>
    </row>
    <row r="11" spans="2:20" s="8" customFormat="1">
      <c r="B11" s="8" t="s">
        <v>897</v>
      </c>
    </row>
    <row r="12" spans="2:20">
      <c r="P12" s="88"/>
    </row>
    <row r="13" spans="2:20">
      <c r="B13" s="16" t="s">
        <v>243</v>
      </c>
    </row>
    <row r="14" spans="2:20">
      <c r="B14" s="28" t="s">
        <v>236</v>
      </c>
      <c r="D14" s="3" t="s">
        <v>247</v>
      </c>
      <c r="H14" s="10"/>
      <c r="I14" s="10"/>
      <c r="J14" s="10"/>
      <c r="K14" s="10"/>
      <c r="L14" s="10"/>
      <c r="M14" s="10"/>
      <c r="N14" s="10"/>
      <c r="O14" s="10"/>
      <c r="P14" s="10"/>
      <c r="Q14" s="10"/>
      <c r="R14" s="54">
        <f xml:space="preserve"> '2. Parameters'!R74</f>
        <v>1.0920000000000001</v>
      </c>
    </row>
    <row r="16" spans="2:20" s="8" customFormat="1">
      <c r="B16" s="8" t="s">
        <v>1072</v>
      </c>
    </row>
    <row r="18" spans="2:18">
      <c r="B18" s="3" t="s">
        <v>1125</v>
      </c>
      <c r="D18" s="3" t="s">
        <v>482</v>
      </c>
      <c r="H18" s="10"/>
      <c r="I18" s="10"/>
      <c r="J18" s="10"/>
      <c r="K18" s="10"/>
      <c r="L18" s="10"/>
      <c r="M18" s="10"/>
      <c r="N18" s="10"/>
      <c r="O18" s="10"/>
      <c r="P18" s="52">
        <f xml:space="preserve"> '4. Input nacalculaties'!Q55</f>
        <v>-10000000</v>
      </c>
      <c r="Q18" s="10"/>
      <c r="R18" s="10"/>
    </row>
    <row r="20" spans="2:18" s="8" customFormat="1">
      <c r="B20" s="8" t="s">
        <v>1083</v>
      </c>
    </row>
    <row r="22" spans="2:18">
      <c r="B22" s="3" t="s">
        <v>1093</v>
      </c>
      <c r="D22" s="3" t="s">
        <v>482</v>
      </c>
      <c r="H22" s="10"/>
      <c r="I22" s="10"/>
      <c r="J22" s="10"/>
      <c r="K22" s="10"/>
      <c r="L22" s="10"/>
      <c r="M22" s="10"/>
      <c r="N22" s="10"/>
      <c r="O22" s="10"/>
      <c r="P22" s="10"/>
      <c r="Q22" s="10"/>
      <c r="R22" s="51">
        <f xml:space="preserve"> - P18 * R14</f>
        <v>10920000</v>
      </c>
    </row>
    <row r="25" spans="2:18">
      <c r="P25" s="88"/>
    </row>
  </sheetData>
  <mergeCells count="1">
    <mergeCell ref="B5:D5"/>
  </mergeCells>
  <pageMargins left="0.7" right="0.7" top="0.75" bottom="0.75" header="0.3" footer="0.3"/>
  <headerFooter>
    <oddFooter>&amp;C_x000D_&amp;1#&amp;"Calibri"&amp;10&amp;K000000 Vertrouwelijk/Confidential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ACCF-E5D3-4C0C-A290-D351999682B9}">
  <sheetPr>
    <tabColor rgb="FFFFFFCC"/>
  </sheetPr>
  <dimension ref="B2:S24"/>
  <sheetViews>
    <sheetView showGridLines="0" zoomScale="85" zoomScaleNormal="85" workbookViewId="0">
      <pane xSplit="4" ySplit="10" topLeftCell="E11" activePane="bottomRight" state="frozen"/>
      <selection pane="bottomRight"/>
      <selection pane="bottomLeft" activeCell="A11" sqref="A11"/>
      <selection pane="topRight" activeCell="E1" sqref="E1"/>
    </sheetView>
  </sheetViews>
  <sheetFormatPr defaultColWidth="9" defaultRowHeight="12.75"/>
  <cols>
    <col min="1" max="1" width="2.5703125" style="3" customWidth="1"/>
    <col min="2" max="2" width="57.28515625" style="3" customWidth="1"/>
    <col min="3" max="3" width="2.5703125" style="3" customWidth="1"/>
    <col min="4" max="4" width="13.5703125" style="3" customWidth="1"/>
    <col min="5" max="5" width="2.5703125" style="3" customWidth="1"/>
    <col min="6" max="6" width="13.5703125" style="3" customWidth="1"/>
    <col min="7" max="7" width="2.5703125" style="3" customWidth="1"/>
    <col min="8" max="17" width="14.5703125" style="3" customWidth="1"/>
    <col min="18" max="18" width="2.5703125" style="3" customWidth="1"/>
    <col min="19" max="32" width="13.5703125" style="3" customWidth="1"/>
    <col min="33" max="16384" width="9" style="3"/>
  </cols>
  <sheetData>
    <row r="2" spans="2:19" s="12" customFormat="1" ht="18">
      <c r="B2" s="12" t="s">
        <v>1126</v>
      </c>
    </row>
    <row r="4" spans="2:19">
      <c r="B4" s="16" t="s">
        <v>893</v>
      </c>
      <c r="C4" s="2"/>
    </row>
    <row r="5" spans="2:19" ht="16.5" customHeight="1">
      <c r="B5" s="359" t="s">
        <v>1070</v>
      </c>
      <c r="C5" s="359"/>
      <c r="D5" s="359"/>
      <c r="F5" s="13"/>
    </row>
    <row r="6" spans="2:19">
      <c r="B6" s="4"/>
    </row>
    <row r="7" spans="2:19">
      <c r="B7" s="17" t="s">
        <v>158</v>
      </c>
    </row>
    <row r="8" spans="2:19" ht="42" customHeight="1">
      <c r="B8" s="367" t="s">
        <v>1096</v>
      </c>
      <c r="C8" s="367"/>
      <c r="D8" s="367"/>
    </row>
    <row r="10" spans="2:19" s="8" customFormat="1">
      <c r="B10" s="8" t="s">
        <v>162</v>
      </c>
      <c r="D10" s="8" t="s">
        <v>204</v>
      </c>
      <c r="F10" s="8" t="s">
        <v>205</v>
      </c>
      <c r="H10" s="46">
        <v>2017</v>
      </c>
      <c r="I10" s="46">
        <v>2018</v>
      </c>
      <c r="J10" s="46">
        <v>2019</v>
      </c>
      <c r="K10" s="46">
        <v>2020</v>
      </c>
      <c r="L10" s="46">
        <v>2021</v>
      </c>
      <c r="M10" s="46">
        <v>2022</v>
      </c>
      <c r="N10" s="46">
        <v>2023</v>
      </c>
      <c r="O10" s="46">
        <v>2024</v>
      </c>
      <c r="P10" s="46">
        <v>2025</v>
      </c>
      <c r="Q10" s="46">
        <v>2026</v>
      </c>
      <c r="S10" s="8" t="s">
        <v>207</v>
      </c>
    </row>
    <row r="12" spans="2:19" s="8" customFormat="1">
      <c r="B12" s="8" t="s">
        <v>897</v>
      </c>
    </row>
    <row r="13" spans="2:19">
      <c r="P13" s="88"/>
    </row>
    <row r="14" spans="2:19">
      <c r="B14" s="2"/>
    </row>
    <row r="16" spans="2:19" s="8" customFormat="1">
      <c r="B16" s="8" t="s">
        <v>1072</v>
      </c>
    </row>
    <row r="19" spans="2:17" s="8" customFormat="1">
      <c r="B19" s="8" t="s">
        <v>1083</v>
      </c>
    </row>
    <row r="21" spans="2:17">
      <c r="B21" s="3" t="s">
        <v>1093</v>
      </c>
      <c r="D21" s="3" t="s">
        <v>482</v>
      </c>
      <c r="M21" s="283"/>
      <c r="N21" s="51"/>
      <c r="O21" s="283"/>
      <c r="P21" s="283"/>
      <c r="Q21" s="283"/>
    </row>
    <row r="24" spans="2:17">
      <c r="P24" s="88"/>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57"/>
  <sheetViews>
    <sheetView showGridLines="0" zoomScale="80" zoomScaleNormal="80" workbookViewId="0">
      <pane xSplit="4" ySplit="7" topLeftCell="E8" activePane="bottomRight" state="frozen"/>
      <selection pane="bottomRight"/>
      <selection pane="bottomLeft" activeCell="A8" sqref="A8"/>
      <selection pane="topRight" activeCell="E1" sqref="E1"/>
    </sheetView>
  </sheetViews>
  <sheetFormatPr defaultColWidth="9" defaultRowHeight="12.75"/>
  <cols>
    <col min="1" max="1" width="2.5703125" style="3" customWidth="1"/>
    <col min="2" max="2" width="83.5703125" style="3" customWidth="1"/>
    <col min="3" max="3" width="2.5703125" style="3" customWidth="1"/>
    <col min="4" max="4" width="15.285156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5.5703125" style="3" customWidth="1"/>
    <col min="14" max="14" width="17" style="3" bestFit="1" customWidth="1"/>
    <col min="15" max="15" width="2.5703125" style="3" customWidth="1"/>
    <col min="16" max="16" width="15.28515625" style="3" customWidth="1"/>
    <col min="17" max="20" width="13.5703125" style="3" customWidth="1"/>
    <col min="21" max="16384" width="9" style="3"/>
  </cols>
  <sheetData>
    <row r="2" spans="2:16" s="12" customFormat="1" ht="18">
      <c r="B2" s="12" t="s">
        <v>1127</v>
      </c>
    </row>
    <row r="4" spans="2:16">
      <c r="B4" s="16" t="s">
        <v>893</v>
      </c>
      <c r="C4" s="2"/>
    </row>
    <row r="5" spans="2:16" ht="39.75" customHeight="1">
      <c r="B5" s="359" t="s">
        <v>1128</v>
      </c>
      <c r="C5" s="359"/>
      <c r="D5" s="359"/>
      <c r="F5" s="13"/>
    </row>
    <row r="7" spans="2:16" s="8" customFormat="1">
      <c r="B7" s="8" t="s">
        <v>162</v>
      </c>
      <c r="D7" s="8" t="s">
        <v>204</v>
      </c>
      <c r="F7" s="8" t="s">
        <v>205</v>
      </c>
      <c r="H7" s="46">
        <v>2021</v>
      </c>
      <c r="I7" s="46">
        <v>2022</v>
      </c>
      <c r="J7" s="46">
        <v>2023</v>
      </c>
      <c r="K7" s="46">
        <v>2024</v>
      </c>
      <c r="L7" s="46">
        <v>2025</v>
      </c>
      <c r="M7" s="46">
        <v>2026</v>
      </c>
      <c r="N7" s="46">
        <v>2027</v>
      </c>
      <c r="P7" s="8" t="s">
        <v>207</v>
      </c>
    </row>
    <row r="9" spans="2:16" s="8" customFormat="1">
      <c r="B9" s="8" t="s">
        <v>897</v>
      </c>
    </row>
    <row r="11" spans="2:16">
      <c r="B11" s="16" t="s">
        <v>208</v>
      </c>
    </row>
    <row r="12" spans="2:16">
      <c r="B12" s="3" t="s">
        <v>209</v>
      </c>
      <c r="D12" s="3" t="s">
        <v>214</v>
      </c>
      <c r="H12" s="44"/>
      <c r="I12" s="165">
        <f xml:space="preserve"> '2. Parameters'!M12</f>
        <v>929870695.57498884</v>
      </c>
      <c r="J12" s="165">
        <f xml:space="preserve"> '2. Parameters'!N12</f>
        <v>952373566.40790355</v>
      </c>
      <c r="K12" s="165">
        <f xml:space="preserve"> '2. Parameters'!O12</f>
        <v>992563730.91031706</v>
      </c>
      <c r="L12" s="165">
        <f xml:space="preserve"> '2. Parameters'!P12</f>
        <v>1069326535.024132</v>
      </c>
      <c r="M12" s="165">
        <f xml:space="preserve"> '2. Parameters'!Q12</f>
        <v>1075956359.5412817</v>
      </c>
      <c r="N12" s="165">
        <f xml:space="preserve"> '2. Parameters'!R12</f>
        <v>1253355084.0501223</v>
      </c>
    </row>
    <row r="13" spans="2:16">
      <c r="K13" s="88"/>
      <c r="P13" s="167"/>
    </row>
    <row r="14" spans="2:16">
      <c r="B14" s="16" t="s">
        <v>243</v>
      </c>
    </row>
    <row r="15" spans="2:16">
      <c r="B15" s="28" t="s">
        <v>237</v>
      </c>
      <c r="D15" s="3" t="s">
        <v>247</v>
      </c>
      <c r="H15" s="10"/>
      <c r="I15" s="10"/>
      <c r="J15" s="10"/>
      <c r="K15" s="10"/>
      <c r="L15" s="10"/>
      <c r="M15" s="10"/>
      <c r="N15" s="54">
        <f xml:space="preserve"> '2. Parameters'!R75</f>
        <v>1.04</v>
      </c>
    </row>
    <row r="16" spans="2:16">
      <c r="K16" s="88"/>
      <c r="P16" s="167"/>
    </row>
    <row r="17" spans="2:17" s="8" customFormat="1">
      <c r="B17" s="8" t="s">
        <v>1129</v>
      </c>
      <c r="P17" s="335"/>
    </row>
    <row r="18" spans="2:17">
      <c r="P18" s="167"/>
    </row>
    <row r="19" spans="2:17">
      <c r="B19" s="3" t="s">
        <v>505</v>
      </c>
      <c r="D19" s="3" t="s">
        <v>482</v>
      </c>
      <c r="H19" s="44"/>
      <c r="I19" s="165">
        <f>'4. Input nacalculaties'!N36</f>
        <v>0</v>
      </c>
      <c r="J19" s="165">
        <f>'4. Input nacalculaties'!O36</f>
        <v>0</v>
      </c>
      <c r="K19" s="165">
        <f>'4. Input nacalculaties'!P36</f>
        <v>0</v>
      </c>
      <c r="L19" s="165">
        <f>'4. Input nacalculaties'!Q36</f>
        <v>53053730.542234212</v>
      </c>
      <c r="M19" s="165">
        <f>'4. Input nacalculaties'!R36</f>
        <v>141713845.03448284</v>
      </c>
      <c r="N19" s="165">
        <f>'16. WUI &amp; ombouwtaak'!O103</f>
        <v>1624598.3649830471</v>
      </c>
      <c r="O19" s="167"/>
      <c r="P19" s="167"/>
      <c r="Q19" s="88"/>
    </row>
    <row r="20" spans="2:17">
      <c r="B20" s="3" t="s">
        <v>507</v>
      </c>
      <c r="D20" s="3" t="s">
        <v>482</v>
      </c>
      <c r="H20" s="44"/>
      <c r="I20" s="165">
        <f>'4. Input nacalculaties'!N37</f>
        <v>119072.05535743562</v>
      </c>
      <c r="J20" s="165">
        <f>'4. Input nacalculaties'!O37</f>
        <v>43971.119724233969</v>
      </c>
      <c r="K20" s="165">
        <f>'4. Input nacalculaties'!P37</f>
        <v>2404144.6778045101</v>
      </c>
      <c r="L20" s="165">
        <f>'4. Input nacalculaties'!Q37</f>
        <v>2407837.6116711642</v>
      </c>
      <c r="M20" s="165">
        <f>'4. Input nacalculaties'!R37</f>
        <v>9785566.4517509788</v>
      </c>
      <c r="N20" s="42">
        <f>'16. WUI &amp; ombouwtaak'!O104</f>
        <v>7856409.9903304772</v>
      </c>
      <c r="O20" s="167"/>
      <c r="P20" s="167"/>
      <c r="Q20" s="88"/>
    </row>
    <row r="21" spans="2:17">
      <c r="B21" s="3" t="s">
        <v>508</v>
      </c>
      <c r="D21" s="3" t="s">
        <v>482</v>
      </c>
      <c r="H21" s="44"/>
      <c r="I21" s="165">
        <f>'4. Input nacalculaties'!N38</f>
        <v>-2514124.5400079801</v>
      </c>
      <c r="J21" s="42">
        <f>'4. Input nacalculaties'!O38</f>
        <v>-892610.16077459906</v>
      </c>
      <c r="K21" s="42">
        <f>'4. Input nacalculaties'!P38</f>
        <v>-418587875.91763008</v>
      </c>
      <c r="L21" s="165">
        <f>'4. Input nacalculaties'!Q38</f>
        <v>-31230124.495261651</v>
      </c>
      <c r="M21" s="165">
        <f>'4. Input nacalculaties'!R38</f>
        <v>66872286.285418212</v>
      </c>
      <c r="N21" s="42">
        <f>'20. Nacalculaties'!R75</f>
        <v>68446359.191942587</v>
      </c>
      <c r="O21" s="167"/>
      <c r="P21" s="167"/>
      <c r="Q21" s="88"/>
    </row>
    <row r="22" spans="2:17">
      <c r="B22" s="3" t="s">
        <v>509</v>
      </c>
      <c r="D22" s="3" t="s">
        <v>482</v>
      </c>
      <c r="H22" s="44"/>
      <c r="I22" s="165">
        <f>'4. Input nacalculaties'!N39</f>
        <v>-3840127.8443999998</v>
      </c>
      <c r="J22" s="42">
        <f>'4. Input nacalculaties'!O39</f>
        <v>-7019622.9493739996</v>
      </c>
      <c r="K22" s="42">
        <f>'4. Input nacalculaties'!P39</f>
        <v>-17676502.662623998</v>
      </c>
      <c r="L22" s="165">
        <f>'4. Input nacalculaties'!Q39</f>
        <v>-20334638.624196</v>
      </c>
      <c r="M22" s="165">
        <f>'4. Input nacalculaties'!R39</f>
        <v>-9566363.896687502</v>
      </c>
      <c r="N22" s="42">
        <f>'20. Nacalculaties'!R82</f>
        <v>-7997049.7861800008</v>
      </c>
      <c r="O22" s="167"/>
      <c r="P22" s="167"/>
      <c r="Q22" s="88"/>
    </row>
    <row r="23" spans="2:17">
      <c r="B23" s="3" t="s">
        <v>510</v>
      </c>
      <c r="D23" s="3" t="s">
        <v>482</v>
      </c>
      <c r="H23" s="44"/>
      <c r="I23" s="165">
        <f>'4. Input nacalculaties'!N40</f>
        <v>-1510375</v>
      </c>
      <c r="J23" s="42">
        <f>'4. Input nacalculaties'!O40</f>
        <v>-1091840.3578679999</v>
      </c>
      <c r="K23" s="42">
        <f>'4. Input nacalculaties'!P40</f>
        <v>0</v>
      </c>
      <c r="L23" s="165">
        <f>'4. Input nacalculaties'!Q40</f>
        <v>-430850783.87126899</v>
      </c>
      <c r="M23" s="165">
        <f>'4. Input nacalculaties'!R40</f>
        <v>-54292976.244045004</v>
      </c>
      <c r="N23" s="42">
        <f>'20. Nacalculaties'!R92</f>
        <v>-5120776.1841599997</v>
      </c>
      <c r="O23" s="167"/>
      <c r="P23" s="167"/>
      <c r="Q23" s="88"/>
    </row>
    <row r="24" spans="2:17">
      <c r="B24" s="3" t="s">
        <v>511</v>
      </c>
      <c r="D24" s="3" t="s">
        <v>482</v>
      </c>
      <c r="H24" s="44"/>
      <c r="I24" s="165">
        <f>'4. Input nacalculaties'!N41</f>
        <v>37459989.57773035</v>
      </c>
      <c r="J24" s="42">
        <f>'4. Input nacalculaties'!O41</f>
        <v>94853547.603668377</v>
      </c>
      <c r="K24" s="44"/>
      <c r="L24" s="165">
        <f>'4. Input nacalculaties'!Q41</f>
        <v>218988596.2163403</v>
      </c>
      <c r="M24" s="165">
        <f>'4. Input nacalculaties'!R41</f>
        <v>83371027.523610294</v>
      </c>
      <c r="N24" s="165">
        <f>'20. Nacalculaties'!R148</f>
        <v>55536968.849398933</v>
      </c>
      <c r="O24" s="167"/>
      <c r="P24" s="167"/>
      <c r="Q24" s="88"/>
    </row>
    <row r="25" spans="2:17">
      <c r="B25" s="3" t="s">
        <v>512</v>
      </c>
      <c r="D25" s="3" t="s">
        <v>482</v>
      </c>
      <c r="H25" s="44"/>
      <c r="I25" s="165">
        <f>'4. Input nacalculaties'!N42</f>
        <v>7429834.5300000003</v>
      </c>
      <c r="J25" s="42">
        <f>'4. Input nacalculaties'!O42</f>
        <v>22739593.510152001</v>
      </c>
      <c r="K25" s="42">
        <f>'4. Input nacalculaties'!P42</f>
        <v>2370440.480303999</v>
      </c>
      <c r="L25" s="165">
        <f>'4. Input nacalculaties'!Q42</f>
        <v>84987160.105392396</v>
      </c>
      <c r="M25" s="165">
        <f>'4. Input nacalculaties'!R42</f>
        <v>46590933.973290004</v>
      </c>
      <c r="N25" s="42">
        <f>'20. Nacalculaties'!R99</f>
        <v>52092913.050360009</v>
      </c>
      <c r="O25" s="167"/>
      <c r="P25" s="167"/>
      <c r="Q25" s="88"/>
    </row>
    <row r="26" spans="2:17">
      <c r="B26" s="3" t="s">
        <v>513</v>
      </c>
      <c r="D26" s="3" t="s">
        <v>482</v>
      </c>
      <c r="H26" s="44"/>
      <c r="I26" s="165">
        <f>'4. Input nacalculaties'!N43</f>
        <v>-6987581.421986118</v>
      </c>
      <c r="J26" s="42">
        <f>'4. Input nacalculaties'!O43</f>
        <v>-26590510.266268313</v>
      </c>
      <c r="K26" s="42">
        <f>'4. Input nacalculaties'!P43</f>
        <v>-37620979.270649046</v>
      </c>
      <c r="L26" s="165">
        <f>'4. Input nacalculaties'!Q43</f>
        <v>-85362788.83980006</v>
      </c>
      <c r="M26" s="165">
        <f>'4. Input nacalculaties'!R43</f>
        <v>-92141688.170288146</v>
      </c>
      <c r="N26" s="301">
        <f>'17. Nacalculatie bijschatten'!O362</f>
        <v>-27025999.470919721</v>
      </c>
      <c r="O26" s="167"/>
      <c r="P26" s="167"/>
      <c r="Q26" s="88"/>
    </row>
    <row r="27" spans="2:17">
      <c r="B27" s="3" t="s">
        <v>514</v>
      </c>
      <c r="D27" s="3" t="s">
        <v>482</v>
      </c>
      <c r="H27" s="44"/>
      <c r="I27" s="44"/>
      <c r="J27" s="44"/>
      <c r="K27" s="42">
        <f>'4. Input nacalculaties'!P44</f>
        <v>2363403.9056672235</v>
      </c>
      <c r="L27" s="165">
        <f>'4. Input nacalculaties'!Q44</f>
        <v>14755154.906724626</v>
      </c>
      <c r="M27" s="165">
        <f>'4. Input nacalculaties'!R44</f>
        <v>34143314.35257566</v>
      </c>
      <c r="N27" s="42">
        <f>'18. Nacalculatie desinv.'!M528</f>
        <v>6480102.8314165603</v>
      </c>
      <c r="O27" s="167"/>
      <c r="P27" s="167"/>
      <c r="Q27" s="88"/>
    </row>
    <row r="28" spans="2:17">
      <c r="B28" s="3" t="s">
        <v>515</v>
      </c>
      <c r="D28" s="3" t="s">
        <v>482</v>
      </c>
      <c r="H28" s="44"/>
      <c r="I28" s="44"/>
      <c r="J28" s="44"/>
      <c r="K28" s="42">
        <f>'4. Input nacalculaties'!P45</f>
        <v>14652295.895247623</v>
      </c>
      <c r="L28" s="165">
        <f>'4. Input nacalculaties'!Q45</f>
        <v>16724582.409155497</v>
      </c>
      <c r="M28" s="165">
        <f>'4. Input nacalculaties'!R45</f>
        <v>18703759.82677523</v>
      </c>
      <c r="N28" s="42">
        <f>'20. Nacalculaties'!R106</f>
        <v>37578631.046943188</v>
      </c>
      <c r="O28" s="167"/>
      <c r="P28" s="167"/>
      <c r="Q28" s="88"/>
    </row>
    <row r="29" spans="2:17">
      <c r="B29" s="3" t="s">
        <v>516</v>
      </c>
      <c r="D29" s="3" t="s">
        <v>482</v>
      </c>
      <c r="H29" s="44"/>
      <c r="I29" s="165">
        <f>'4. Input nacalculaties'!N46</f>
        <v>-651743.81498073554</v>
      </c>
      <c r="J29" s="42">
        <f>'4. Input nacalculaties'!O46</f>
        <v>-2713634.922561896</v>
      </c>
      <c r="K29" s="42">
        <f>'4. Input nacalculaties'!P46</f>
        <v>-6263691.195662085</v>
      </c>
      <c r="L29" s="165">
        <f>'4. Input nacalculaties'!Q46</f>
        <v>-7178437.7711590901</v>
      </c>
      <c r="M29" s="165">
        <f>'4. Input nacalculaties'!R46</f>
        <v>-13167856.604152044</v>
      </c>
      <c r="N29" s="42">
        <f>'20. Nacalculaties'!R126</f>
        <v>-1377185.9309533215</v>
      </c>
      <c r="O29" s="167"/>
      <c r="P29" s="167"/>
      <c r="Q29" s="88"/>
    </row>
    <row r="30" spans="2:17">
      <c r="B30" s="3" t="s">
        <v>517</v>
      </c>
      <c r="D30" s="3" t="s">
        <v>482</v>
      </c>
      <c r="H30" s="44"/>
      <c r="I30" s="44"/>
      <c r="J30" s="44"/>
      <c r="K30" s="42">
        <f>'4. Input nacalculaties'!P47</f>
        <v>56578492.792342328</v>
      </c>
      <c r="L30" s="165">
        <f>'4. Input nacalculaties'!Q47</f>
        <v>122315270.04842561</v>
      </c>
      <c r="M30" s="165">
        <f>'4. Input nacalculaties'!R47</f>
        <v>93323791.857641906</v>
      </c>
      <c r="N30" s="42">
        <f ca="1">'20. Nacalculaties'!R139</f>
        <v>115035128.16057287</v>
      </c>
      <c r="O30" s="167"/>
      <c r="P30" s="167"/>
      <c r="Q30" s="88"/>
    </row>
    <row r="31" spans="2:17">
      <c r="B31" s="3" t="s">
        <v>518</v>
      </c>
      <c r="D31" s="3" t="s">
        <v>482</v>
      </c>
      <c r="H31" s="44"/>
      <c r="I31" s="44"/>
      <c r="J31" s="44"/>
      <c r="K31" s="42">
        <f>'4. Input nacalculaties'!P48</f>
        <v>5993118.6408960866</v>
      </c>
      <c r="L31" s="165">
        <f>'4. Input nacalculaties'!Q48</f>
        <v>6269821.1828594869</v>
      </c>
      <c r="M31" s="165">
        <f>'4. Input nacalculaties'!R48</f>
        <v>6247008.5743884807</v>
      </c>
      <c r="N31" s="42">
        <f>'21. Correctie WQA'!M57</f>
        <v>6367726.1587421708</v>
      </c>
      <c r="O31" s="167"/>
      <c r="P31" s="167"/>
      <c r="Q31" s="88"/>
    </row>
    <row r="32" spans="2:17">
      <c r="B32" s="3" t="s">
        <v>519</v>
      </c>
      <c r="D32" s="3" t="s">
        <v>482</v>
      </c>
      <c r="H32" s="44"/>
      <c r="I32" s="165">
        <f>'4. Input nacalculaties'!N49</f>
        <v>109745.32379785551</v>
      </c>
      <c r="J32" s="94"/>
      <c r="K32" s="94"/>
      <c r="L32" s="44"/>
      <c r="M32" s="44"/>
      <c r="N32" s="44"/>
      <c r="O32" s="167"/>
      <c r="P32" s="167"/>
      <c r="Q32" s="88"/>
    </row>
    <row r="33" spans="2:17">
      <c r="B33" s="3" t="s">
        <v>520</v>
      </c>
      <c r="D33" s="3" t="s">
        <v>482</v>
      </c>
      <c r="H33" s="44"/>
      <c r="I33" s="44"/>
      <c r="J33" s="94"/>
      <c r="K33" s="165">
        <f>'4. Input nacalculaties'!P50</f>
        <v>270388092.45989364</v>
      </c>
      <c r="L33" s="289"/>
      <c r="M33" s="289"/>
      <c r="N33" s="289"/>
      <c r="O33" s="167"/>
      <c r="P33" s="167"/>
      <c r="Q33" s="88"/>
    </row>
    <row r="34" spans="2:17">
      <c r="B34" s="3" t="s">
        <v>521</v>
      </c>
      <c r="D34" s="3" t="s">
        <v>482</v>
      </c>
      <c r="H34" s="44"/>
      <c r="I34" s="165">
        <f>'4. Input nacalculaties'!N51</f>
        <v>0</v>
      </c>
      <c r="J34" s="42">
        <f>'4. Input nacalculaties'!O51</f>
        <v>-6549650.4501419598</v>
      </c>
      <c r="K34" s="42">
        <f>'4. Input nacalculaties'!P51</f>
        <v>1236097.6837258562</v>
      </c>
      <c r="L34" s="165">
        <f>'4. Input nacalculaties'!Q51</f>
        <v>14624633.370419957</v>
      </c>
      <c r="M34" s="165">
        <f>'4. Input nacalculaties'!R51</f>
        <v>27827156.062316984</v>
      </c>
      <c r="N34" s="42">
        <f>'22. Correctie assetoverdracht'!N881</f>
        <v>11830470.141873455</v>
      </c>
      <c r="O34" s="167"/>
      <c r="P34" s="167"/>
      <c r="Q34" s="88"/>
    </row>
    <row r="35" spans="2:17">
      <c r="B35" s="3" t="s">
        <v>522</v>
      </c>
      <c r="D35" s="3" t="s">
        <v>482</v>
      </c>
      <c r="H35" s="44"/>
      <c r="I35" s="44"/>
      <c r="J35" s="44"/>
      <c r="K35" s="165">
        <f>'4. Input nacalculaties'!P52</f>
        <v>-18434074.327111505</v>
      </c>
      <c r="L35" s="165">
        <f>'4. Input nacalculaties'!Q52</f>
        <v>-19829873.659733675</v>
      </c>
      <c r="M35" s="165">
        <f>'4. Input nacalculaties'!R52</f>
        <v>-19994603.596221652</v>
      </c>
      <c r="N35" s="165">
        <f>'23. Correctie peakshaver'!R129</f>
        <v>-19711590.647128295</v>
      </c>
      <c r="O35" s="167"/>
      <c r="P35" s="167"/>
      <c r="Q35" s="88"/>
    </row>
    <row r="36" spans="2:17">
      <c r="B36" s="3" t="s">
        <v>523</v>
      </c>
      <c r="D36" s="3" t="s">
        <v>482</v>
      </c>
      <c r="H36" s="44"/>
      <c r="I36" s="44"/>
      <c r="J36" s="44"/>
      <c r="K36" s="44"/>
      <c r="L36" s="165">
        <f>'4. Input nacalculaties'!Q53</f>
        <v>177577613.12560752</v>
      </c>
      <c r="M36" s="44"/>
      <c r="N36" s="44"/>
      <c r="P36" s="167"/>
      <c r="Q36" s="88"/>
    </row>
    <row r="37" spans="2:17">
      <c r="B37" s="3" t="s">
        <v>524</v>
      </c>
      <c r="D37" s="3" t="s">
        <v>482</v>
      </c>
      <c r="H37" s="44"/>
      <c r="I37" s="44"/>
      <c r="J37" s="44"/>
      <c r="K37" s="44"/>
      <c r="L37" s="165">
        <f>'4. Input nacalculaties'!Q54</f>
        <v>-106774394.81170595</v>
      </c>
      <c r="M37" s="44"/>
      <c r="N37" s="44"/>
      <c r="P37" s="167"/>
      <c r="Q37" s="88"/>
    </row>
    <row r="38" spans="2:17">
      <c r="B38" s="3" t="s">
        <v>525</v>
      </c>
      <c r="D38" s="3" t="s">
        <v>482</v>
      </c>
      <c r="H38" s="44"/>
      <c r="I38" s="44"/>
      <c r="J38" s="44"/>
      <c r="K38" s="44"/>
      <c r="L38" s="165">
        <f>'4. Input nacalculaties'!Q55</f>
        <v>-10000000</v>
      </c>
      <c r="M38" s="44"/>
      <c r="N38" s="44"/>
      <c r="P38" s="167"/>
      <c r="Q38" s="88"/>
    </row>
    <row r="39" spans="2:17">
      <c r="B39" s="3" t="s">
        <v>1130</v>
      </c>
      <c r="H39" s="44"/>
      <c r="I39" s="44"/>
      <c r="J39" s="44"/>
      <c r="K39" s="44"/>
      <c r="L39" s="44"/>
      <c r="M39" s="44"/>
      <c r="N39" s="165">
        <f>'24. Correctie schatting ITC'!R22</f>
        <v>10920000</v>
      </c>
      <c r="P39" s="167"/>
      <c r="Q39" s="88"/>
    </row>
    <row r="40" spans="2:17">
      <c r="P40" s="167"/>
    </row>
    <row r="41" spans="2:17" s="8" customFormat="1">
      <c r="B41" s="8" t="s">
        <v>526</v>
      </c>
    </row>
    <row r="42" spans="2:17">
      <c r="P42" s="167"/>
    </row>
    <row r="43" spans="2:17">
      <c r="B43" s="3" t="s">
        <v>1131</v>
      </c>
      <c r="D43" s="3" t="s">
        <v>482</v>
      </c>
      <c r="H43" s="44"/>
      <c r="I43" s="44"/>
      <c r="J43" s="44"/>
      <c r="K43" s="44"/>
      <c r="L43" s="44"/>
      <c r="M43" s="165">
        <f xml:space="preserve"> '4. Input nacalculaties'!R59</f>
        <v>0</v>
      </c>
      <c r="N43" s="44"/>
      <c r="P43" s="167"/>
    </row>
    <row r="44" spans="2:17">
      <c r="B44" s="3" t="s">
        <v>1132</v>
      </c>
      <c r="D44" s="3" t="s">
        <v>482</v>
      </c>
      <c r="H44" s="44"/>
      <c r="I44" s="44"/>
      <c r="J44" s="44"/>
      <c r="K44" s="44"/>
      <c r="L44" s="44"/>
      <c r="M44" s="44"/>
      <c r="N44" s="47">
        <f xml:space="preserve"> M43 * N15</f>
        <v>0</v>
      </c>
      <c r="P44" s="167"/>
    </row>
    <row r="45" spans="2:17">
      <c r="B45" s="3" t="s">
        <v>1133</v>
      </c>
      <c r="D45" s="3" t="s">
        <v>482</v>
      </c>
      <c r="H45" s="44"/>
      <c r="I45" s="44"/>
      <c r="J45" s="44"/>
      <c r="K45" s="44"/>
      <c r="L45" s="44"/>
      <c r="M45" s="44"/>
      <c r="N45" s="47">
        <f ca="1" xml:space="preserve"> SUM(N19:N39)</f>
        <v>312536705.76722199</v>
      </c>
      <c r="P45" s="167"/>
    </row>
    <row r="46" spans="2:17">
      <c r="B46" s="3" t="s">
        <v>530</v>
      </c>
      <c r="D46" s="3" t="s">
        <v>482</v>
      </c>
      <c r="H46" s="44"/>
      <c r="I46" s="44"/>
      <c r="J46" s="44"/>
      <c r="K46" s="44"/>
      <c r="L46" s="44"/>
      <c r="M46" s="44"/>
      <c r="N46" s="47">
        <f ca="1" xml:space="preserve"> N44 + N45</f>
        <v>312536705.76722199</v>
      </c>
      <c r="P46" s="167"/>
    </row>
    <row r="47" spans="2:17">
      <c r="B47" s="3" t="s">
        <v>532</v>
      </c>
      <c r="D47" s="3" t="s">
        <v>482</v>
      </c>
      <c r="H47" s="44"/>
      <c r="I47" s="44"/>
      <c r="J47" s="44"/>
      <c r="K47" s="44"/>
      <c r="L47" s="44"/>
      <c r="M47" s="44"/>
      <c r="N47" s="95">
        <f xml:space="preserve"> '4. Input nacalculaties'!S61</f>
        <v>275536705.76722199</v>
      </c>
      <c r="P47" s="167"/>
    </row>
    <row r="48" spans="2:17">
      <c r="B48" s="3" t="s">
        <v>1134</v>
      </c>
      <c r="D48" s="3" t="s">
        <v>482</v>
      </c>
      <c r="H48" s="44"/>
      <c r="I48" s="44"/>
      <c r="J48" s="44"/>
      <c r="K48" s="44"/>
      <c r="L48" s="44"/>
      <c r="M48" s="44"/>
      <c r="N48" s="165">
        <f xml:space="preserve"> N47</f>
        <v>275536705.76722199</v>
      </c>
      <c r="P48" s="167"/>
    </row>
    <row r="49" spans="2:16">
      <c r="P49" s="167"/>
    </row>
    <row r="50" spans="2:16" s="8" customFormat="1">
      <c r="B50" s="8" t="s">
        <v>1135</v>
      </c>
      <c r="P50" s="335"/>
    </row>
    <row r="51" spans="2:16">
      <c r="P51" s="167"/>
    </row>
    <row r="52" spans="2:16">
      <c r="B52" s="3" t="s">
        <v>1136</v>
      </c>
      <c r="D52" s="3" t="s">
        <v>482</v>
      </c>
      <c r="H52" s="44"/>
      <c r="I52" s="47">
        <f>I12+SUM(I19:I39)</f>
        <v>959485384.44049966</v>
      </c>
      <c r="J52" s="47">
        <f t="shared" ref="J52:M52" si="0">J12+SUM(J19:J39)</f>
        <v>1025152809.5344594</v>
      </c>
      <c r="K52" s="47">
        <f t="shared" si="0"/>
        <v>849966694.07252169</v>
      </c>
      <c r="L52" s="47">
        <f t="shared" si="0"/>
        <v>1069469892.4698374</v>
      </c>
      <c r="M52" s="47">
        <f t="shared" si="0"/>
        <v>1415371560.9721379</v>
      </c>
      <c r="N52" s="95">
        <f ca="1" xml:space="preserve"> N12 + N46 - N47</f>
        <v>1290355084.0501223</v>
      </c>
      <c r="P52" s="167"/>
    </row>
    <row r="53" spans="2:16">
      <c r="J53" s="88"/>
    </row>
    <row r="54" spans="2:16">
      <c r="J54" s="23"/>
      <c r="K54" s="88"/>
      <c r="M54" s="220"/>
    </row>
    <row r="55" spans="2:16">
      <c r="I55" s="88"/>
      <c r="J55" s="88"/>
      <c r="K55" s="23"/>
      <c r="L55" s="336"/>
      <c r="M55" s="336"/>
    </row>
    <row r="56" spans="2:16">
      <c r="M56" s="88"/>
    </row>
    <row r="57" spans="2:16">
      <c r="L57" s="220"/>
      <c r="M57" s="220"/>
    </row>
  </sheetData>
  <mergeCells count="1">
    <mergeCell ref="B5:D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4"/>
  <sheetViews>
    <sheetView showGridLines="0" zoomScale="85" zoomScaleNormal="85" workbookViewId="0">
      <pane xSplit="4" ySplit="7" topLeftCell="F35" activePane="bottomRight" state="frozen"/>
      <selection pane="bottomRight"/>
      <selection pane="bottomLeft" activeCell="A8" sqref="A8"/>
      <selection pane="topRight" activeCell="E1" sqref="E1"/>
    </sheetView>
  </sheetViews>
  <sheetFormatPr defaultColWidth="9" defaultRowHeight="12.75"/>
  <cols>
    <col min="1" max="1" width="2.5703125" style="3" customWidth="1"/>
    <col min="2" max="2" width="57.28515625" style="3" bestFit="1" customWidth="1"/>
    <col min="3" max="3" width="2.5703125" style="3" customWidth="1"/>
    <col min="4" max="4" width="25.5703125" style="3" customWidth="1"/>
    <col min="5" max="5" width="2.5703125" style="3" customWidth="1"/>
    <col min="6" max="6" width="14.5703125" style="3" customWidth="1"/>
    <col min="7" max="7" width="2.5703125" style="3" customWidth="1"/>
    <col min="8" max="8" width="13.5703125" style="3" customWidth="1"/>
    <col min="9" max="10" width="17.5703125" style="3" customWidth="1"/>
    <col min="11" max="12" width="16.85546875" style="3" customWidth="1"/>
    <col min="13" max="13" width="16.5703125" style="3" bestFit="1" customWidth="1"/>
    <col min="14" max="14" width="16.5703125" style="3" customWidth="1"/>
    <col min="15" max="15" width="2.5703125" style="3" customWidth="1"/>
    <col min="16" max="23" width="13.5703125" style="3" customWidth="1"/>
    <col min="24" max="16384" width="9" style="3"/>
  </cols>
  <sheetData>
    <row r="2" spans="2:16" s="12" customFormat="1" ht="18">
      <c r="B2" s="12" t="s">
        <v>1137</v>
      </c>
    </row>
    <row r="4" spans="2:16">
      <c r="B4" s="16" t="s">
        <v>893</v>
      </c>
      <c r="C4" s="2"/>
    </row>
    <row r="5" spans="2:16" ht="97.5" customHeight="1">
      <c r="B5" s="359" t="s">
        <v>1138</v>
      </c>
      <c r="C5" s="359"/>
      <c r="D5" s="359"/>
      <c r="F5" s="13"/>
    </row>
    <row r="7" spans="2:16" s="8" customFormat="1">
      <c r="B7" s="8" t="s">
        <v>162</v>
      </c>
      <c r="D7" s="8" t="s">
        <v>204</v>
      </c>
      <c r="F7" s="8" t="s">
        <v>205</v>
      </c>
      <c r="H7" s="46">
        <v>2021</v>
      </c>
      <c r="I7" s="46">
        <v>2022</v>
      </c>
      <c r="J7" s="46">
        <v>2023</v>
      </c>
      <c r="K7" s="46">
        <v>2024</v>
      </c>
      <c r="L7" s="46">
        <v>2025</v>
      </c>
      <c r="M7" s="46">
        <v>2026</v>
      </c>
      <c r="N7" s="46">
        <v>2027</v>
      </c>
      <c r="P7" s="8" t="s">
        <v>207</v>
      </c>
    </row>
    <row r="9" spans="2:16" s="8" customFormat="1">
      <c r="B9" s="8" t="s">
        <v>1139</v>
      </c>
    </row>
    <row r="11" spans="2:16">
      <c r="B11" s="16" t="s">
        <v>830</v>
      </c>
    </row>
    <row r="12" spans="2:16">
      <c r="B12" s="3" t="s">
        <v>831</v>
      </c>
      <c r="D12" s="3" t="s">
        <v>832</v>
      </c>
      <c r="H12" s="10"/>
      <c r="I12" s="10"/>
      <c r="J12" s="10"/>
      <c r="K12" s="94"/>
      <c r="L12" s="94"/>
      <c r="M12" s="94"/>
      <c r="N12" s="42">
        <f>'10. Input capaciteit'!O12</f>
        <v>109121387</v>
      </c>
    </row>
    <row r="13" spans="2:16">
      <c r="B13" s="3" t="s">
        <v>833</v>
      </c>
      <c r="D13" s="3" t="s">
        <v>832</v>
      </c>
      <c r="H13" s="10"/>
      <c r="I13" s="10"/>
      <c r="J13" s="10"/>
      <c r="K13" s="94"/>
      <c r="L13" s="94"/>
      <c r="M13" s="94"/>
      <c r="N13" s="42">
        <f>'10. Input capaciteit'!O13</f>
        <v>175878613</v>
      </c>
    </row>
    <row r="15" spans="2:16">
      <c r="B15" s="3" t="s">
        <v>834</v>
      </c>
      <c r="D15" s="3" t="s">
        <v>832</v>
      </c>
      <c r="H15" s="10"/>
      <c r="I15" s="10"/>
      <c r="J15" s="10"/>
      <c r="K15" s="94"/>
      <c r="L15" s="94"/>
      <c r="M15" s="94"/>
      <c r="N15" s="42">
        <f>'10. Input capaciteit'!O15</f>
        <v>34958672</v>
      </c>
    </row>
    <row r="16" spans="2:16">
      <c r="B16" s="3" t="s">
        <v>835</v>
      </c>
      <c r="D16" s="3" t="s">
        <v>832</v>
      </c>
      <c r="H16" s="10"/>
      <c r="I16" s="10"/>
      <c r="J16" s="10"/>
      <c r="K16" s="94"/>
      <c r="L16" s="94"/>
      <c r="M16" s="94"/>
      <c r="N16" s="42">
        <f>'10. Input capaciteit'!O16</f>
        <v>15987135</v>
      </c>
    </row>
    <row r="18" spans="2:17">
      <c r="B18" s="3" t="s">
        <v>836</v>
      </c>
      <c r="D18" s="3" t="s">
        <v>832</v>
      </c>
      <c r="H18" s="10"/>
      <c r="I18" s="10"/>
      <c r="J18" s="10"/>
      <c r="K18" s="94"/>
      <c r="L18" s="94"/>
      <c r="M18" s="94"/>
      <c r="N18" s="42">
        <f>'10. Input capaciteit'!O18</f>
        <v>33329341</v>
      </c>
    </row>
    <row r="20" spans="2:17">
      <c r="B20" s="2" t="s">
        <v>258</v>
      </c>
    </row>
    <row r="21" spans="2:17">
      <c r="B21" s="3" t="s">
        <v>259</v>
      </c>
      <c r="D21" s="3" t="s">
        <v>214</v>
      </c>
      <c r="F21" s="78">
        <f>'2. Parameters'!F105</f>
        <v>0.75</v>
      </c>
    </row>
    <row r="22" spans="2:17">
      <c r="B22" s="3" t="s">
        <v>260</v>
      </c>
      <c r="D22" s="3" t="s">
        <v>214</v>
      </c>
      <c r="F22" s="78">
        <f>'2. Parameters'!F106</f>
        <v>0.94</v>
      </c>
    </row>
    <row r="23" spans="2:17">
      <c r="B23" s="3" t="s">
        <v>261</v>
      </c>
      <c r="D23" s="3" t="s">
        <v>214</v>
      </c>
      <c r="F23" s="78">
        <f>'2. Parameters'!F107</f>
        <v>0</v>
      </c>
    </row>
    <row r="24" spans="2:17">
      <c r="F24" s="19"/>
    </row>
    <row r="25" spans="2:17">
      <c r="B25" s="2" t="s">
        <v>255</v>
      </c>
      <c r="F25" s="19"/>
    </row>
    <row r="26" spans="2:17">
      <c r="B26" s="3" t="s">
        <v>256</v>
      </c>
      <c r="D26" s="3" t="s">
        <v>214</v>
      </c>
      <c r="F26" s="78">
        <f>'2. Parameters'!F100</f>
        <v>0.4</v>
      </c>
    </row>
    <row r="27" spans="2:17">
      <c r="B27" s="3" t="s">
        <v>257</v>
      </c>
      <c r="D27" s="3" t="s">
        <v>214</v>
      </c>
      <c r="F27" s="78">
        <f>'2. Parameters'!F101</f>
        <v>0.6</v>
      </c>
    </row>
    <row r="29" spans="2:17" s="8" customFormat="1">
      <c r="B29" s="8" t="s">
        <v>1140</v>
      </c>
    </row>
    <row r="31" spans="2:17">
      <c r="B31" s="3" t="s">
        <v>1135</v>
      </c>
      <c r="D31" s="3" t="s">
        <v>482</v>
      </c>
      <c r="H31" s="10"/>
      <c r="I31" s="10"/>
      <c r="J31" s="94"/>
      <c r="K31" s="94"/>
      <c r="L31" s="94"/>
      <c r="M31" s="94"/>
      <c r="N31" s="42">
        <f ca="1">'26. Toegestane inkomsten'!N52</f>
        <v>1290355084.0501223</v>
      </c>
      <c r="P31" s="351"/>
      <c r="Q31" s="23"/>
    </row>
    <row r="33" spans="2:17">
      <c r="B33" s="3" t="s">
        <v>1141</v>
      </c>
      <c r="D33" s="3" t="s">
        <v>1142</v>
      </c>
      <c r="H33" s="10"/>
      <c r="I33" s="10"/>
      <c r="J33" s="10"/>
      <c r="K33" s="239"/>
      <c r="L33" s="94"/>
      <c r="M33" s="94"/>
      <c r="N33" s="352">
        <f ca="1">(N$31*$F26)/N12</f>
        <v>4.7299805089542062</v>
      </c>
      <c r="P33" s="329"/>
      <c r="Q33" s="87"/>
    </row>
    <row r="34" spans="2:17">
      <c r="B34" s="3" t="s">
        <v>1143</v>
      </c>
      <c r="D34" s="3" t="s">
        <v>1142</v>
      </c>
      <c r="H34" s="10"/>
      <c r="I34" s="10"/>
      <c r="J34" s="10"/>
      <c r="K34" s="295"/>
      <c r="L34" s="94"/>
      <c r="M34" s="94"/>
      <c r="N34" s="27">
        <f ca="1">(N$31*$F27)/N13</f>
        <v>4.4019738228779035</v>
      </c>
      <c r="P34" s="329"/>
      <c r="Q34" s="87"/>
    </row>
    <row r="36" spans="2:17" s="8" customFormat="1">
      <c r="B36" s="8" t="s">
        <v>1144</v>
      </c>
    </row>
    <row r="38" spans="2:17">
      <c r="B38" s="3" t="s">
        <v>1145</v>
      </c>
      <c r="D38" s="3" t="s">
        <v>482</v>
      </c>
      <c r="H38" s="10"/>
      <c r="I38" s="10"/>
      <c r="J38" s="10"/>
      <c r="K38" s="94"/>
      <c r="L38" s="94"/>
      <c r="M38" s="94"/>
      <c r="N38" s="43">
        <f ca="1">$F21*(N15*N33+N16*N34)+$F23*N18*N33</f>
        <v>176796590.21380371</v>
      </c>
      <c r="P38" s="167"/>
    </row>
    <row r="39" spans="2:17">
      <c r="B39" s="3" t="s">
        <v>1146</v>
      </c>
      <c r="H39" s="10"/>
      <c r="I39" s="10"/>
      <c r="J39" s="10"/>
      <c r="K39" s="239"/>
      <c r="L39" s="94"/>
      <c r="M39" s="94"/>
      <c r="N39" s="27">
        <f ca="1">N31/(N31-N38)</f>
        <v>1.1587672234484263</v>
      </c>
    </row>
    <row r="41" spans="2:17" s="8" customFormat="1">
      <c r="B41" s="8" t="s">
        <v>1147</v>
      </c>
    </row>
    <row r="43" spans="2:17">
      <c r="B43" s="3" t="s">
        <v>1148</v>
      </c>
      <c r="D43" s="3" t="s">
        <v>1142</v>
      </c>
      <c r="H43" s="10"/>
      <c r="I43" s="10"/>
      <c r="J43" s="239"/>
      <c r="K43" s="296"/>
      <c r="L43" s="94"/>
      <c r="M43" s="94"/>
      <c r="N43" s="56">
        <f ca="1">N33*N$39</f>
        <v>5.4809463813260395</v>
      </c>
      <c r="P43" s="23"/>
    </row>
    <row r="44" spans="2:17">
      <c r="B44" s="3" t="s">
        <v>1149</v>
      </c>
      <c r="D44" s="3" t="s">
        <v>1142</v>
      </c>
      <c r="H44" s="10"/>
      <c r="I44" s="10"/>
      <c r="J44" s="239"/>
      <c r="K44" s="296"/>
      <c r="L44" s="94"/>
      <c r="M44" s="94"/>
      <c r="N44" s="56">
        <f ca="1">N34*N$39</f>
        <v>5.1008629844288826</v>
      </c>
      <c r="P44" s="238"/>
    </row>
    <row r="45" spans="2:17">
      <c r="B45" s="3" t="s">
        <v>1150</v>
      </c>
      <c r="D45" s="3" t="s">
        <v>1142</v>
      </c>
      <c r="H45" s="10"/>
      <c r="I45" s="10"/>
      <c r="J45" s="239"/>
      <c r="K45" s="296"/>
      <c r="L45" s="94"/>
      <c r="M45" s="94"/>
      <c r="N45" s="56">
        <f ca="1">(1-$F$21)*N33*N$39</f>
        <v>1.3702365953315099</v>
      </c>
      <c r="P45" s="238"/>
    </row>
    <row r="46" spans="2:17">
      <c r="B46" s="3" t="s">
        <v>1151</v>
      </c>
      <c r="D46" s="3" t="s">
        <v>1142</v>
      </c>
      <c r="H46" s="10"/>
      <c r="I46" s="10"/>
      <c r="J46" s="239"/>
      <c r="K46" s="296"/>
      <c r="L46" s="94"/>
      <c r="M46" s="94"/>
      <c r="N46" s="56">
        <f ca="1">(1-$F$21)*N34*N$39</f>
        <v>1.2752157461072207</v>
      </c>
      <c r="P46" s="238"/>
    </row>
    <row r="47" spans="2:17">
      <c r="B47" s="3" t="s">
        <v>1152</v>
      </c>
      <c r="D47" s="3" t="s">
        <v>1142</v>
      </c>
      <c r="H47" s="10"/>
      <c r="I47" s="10"/>
      <c r="J47" s="239"/>
      <c r="K47" s="296"/>
      <c r="L47" s="94"/>
      <c r="M47" s="94"/>
      <c r="N47" s="56">
        <f ca="1">(1-$F23)*N33*N39</f>
        <v>5.4809463813260395</v>
      </c>
      <c r="P47" s="238"/>
    </row>
    <row r="49" spans="2:14" s="8" customFormat="1">
      <c r="B49" s="8" t="s">
        <v>1153</v>
      </c>
    </row>
    <row r="51" spans="2:14">
      <c r="B51" s="3" t="s">
        <v>1154</v>
      </c>
      <c r="D51" s="3" t="s">
        <v>482</v>
      </c>
      <c r="H51" s="10"/>
      <c r="I51" s="10"/>
      <c r="J51" s="10"/>
      <c r="K51" s="297"/>
      <c r="L51" s="94"/>
      <c r="M51" s="94"/>
      <c r="N51" s="358">
        <f ca="1">N12*N33+N13*N34</f>
        <v>1290355084.0501223</v>
      </c>
    </row>
    <row r="52" spans="2:14">
      <c r="B52" s="3" t="s">
        <v>1155</v>
      </c>
      <c r="D52" s="3" t="s">
        <v>482</v>
      </c>
      <c r="H52" s="10"/>
      <c r="I52" s="10"/>
      <c r="J52" s="10"/>
      <c r="K52" s="297"/>
      <c r="L52" s="94"/>
      <c r="M52" s="94"/>
      <c r="N52" s="358">
        <f ca="1">(N12-N15-N18)*N43+(N13-N16)*N44+N15*N45+N16*N46+N18*N47</f>
        <v>1290355084.0501223</v>
      </c>
    </row>
    <row r="54" spans="2:14">
      <c r="B54" s="3" t="s">
        <v>1156</v>
      </c>
      <c r="H54" s="10"/>
      <c r="I54" s="10"/>
      <c r="J54" s="10"/>
      <c r="K54" s="297"/>
      <c r="L54" s="94"/>
      <c r="M54" s="94"/>
      <c r="N54" s="22" t="b">
        <f ca="1">ROUND(N51,3)=ROUND(N52,3)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95"/>
  <sheetViews>
    <sheetView showGridLines="0" zoomScale="85" zoomScaleNormal="85" workbookViewId="0"/>
  </sheetViews>
  <sheetFormatPr defaultColWidth="9"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28515625" style="3" customWidth="1"/>
    <col min="26" max="29" width="15.5703125" style="3" customWidth="1"/>
    <col min="30" max="32" width="2.5703125" style="3" customWidth="1"/>
    <col min="33" max="47" width="13.5703125" style="3" customWidth="1"/>
    <col min="48" max="16384" width="9" style="3"/>
  </cols>
  <sheetData>
    <row r="2" spans="2:26" s="12" customFormat="1" ht="18">
      <c r="B2" s="12" t="s">
        <v>1157</v>
      </c>
    </row>
    <row r="4" spans="2:26">
      <c r="B4" s="16" t="s">
        <v>893</v>
      </c>
      <c r="C4" s="2"/>
    </row>
    <row r="5" spans="2:26" ht="123" customHeight="1">
      <c r="B5" s="359" t="s">
        <v>1158</v>
      </c>
      <c r="C5" s="359"/>
      <c r="D5" s="359"/>
    </row>
    <row r="7" spans="2:26" ht="12.75" customHeight="1">
      <c r="B7" s="17" t="s">
        <v>158</v>
      </c>
    </row>
    <row r="8" spans="2:26" ht="57.75" customHeight="1">
      <c r="B8" s="359" t="s">
        <v>1159</v>
      </c>
      <c r="C8" s="359"/>
      <c r="D8" s="359"/>
    </row>
    <row r="10" spans="2:26" s="8" customFormat="1">
      <c r="B10" s="8" t="s">
        <v>162</v>
      </c>
      <c r="D10" s="8" t="s">
        <v>204</v>
      </c>
      <c r="F10" s="8" t="s">
        <v>205</v>
      </c>
      <c r="Z10" s="8" t="s">
        <v>207</v>
      </c>
    </row>
    <row r="12" spans="2:26" s="8" customFormat="1">
      <c r="B12" s="8" t="s">
        <v>897</v>
      </c>
    </row>
    <row r="14" spans="2:26">
      <c r="B14" s="16" t="s">
        <v>262</v>
      </c>
    </row>
    <row r="15" spans="2:26">
      <c r="B15" s="3" t="s">
        <v>263</v>
      </c>
      <c r="F15" s="37">
        <f>'2. Parameters'!F111</f>
        <v>1.25</v>
      </c>
    </row>
    <row r="16" spans="2:26">
      <c r="B16" s="3" t="s">
        <v>264</v>
      </c>
      <c r="F16" s="37">
        <f>'2. Parameters'!F112</f>
        <v>1.5</v>
      </c>
    </row>
    <row r="17" spans="2:6">
      <c r="B17" s="3" t="s">
        <v>265</v>
      </c>
      <c r="F17" s="37">
        <f>'2. Parameters'!F113</f>
        <v>1.75</v>
      </c>
    </row>
    <row r="18" spans="2:6">
      <c r="B18" s="3" t="s">
        <v>266</v>
      </c>
      <c r="F18" s="37">
        <f>'2. Parameters'!F114</f>
        <v>1.75</v>
      </c>
    </row>
    <row r="20" spans="2:6">
      <c r="B20" s="2" t="s">
        <v>268</v>
      </c>
    </row>
    <row r="21" spans="2:6">
      <c r="B21" s="3" t="s">
        <v>269</v>
      </c>
      <c r="F21" s="37">
        <f>'2. Parameters'!F119</f>
        <v>1.482</v>
      </c>
    </row>
    <row r="22" spans="2:6">
      <c r="B22" s="3" t="s">
        <v>270</v>
      </c>
      <c r="F22" s="37">
        <f>'2. Parameters'!F120</f>
        <v>0.78400000000000003</v>
      </c>
    </row>
    <row r="23" spans="2:6">
      <c r="B23" s="3" t="s">
        <v>271</v>
      </c>
      <c r="F23" s="37">
        <f>'2. Parameters'!F121</f>
        <v>0.629</v>
      </c>
    </row>
    <row r="24" spans="2:6">
      <c r="B24" s="3" t="s">
        <v>272</v>
      </c>
      <c r="F24" s="37">
        <f>'2. Parameters'!F122</f>
        <v>1.105</v>
      </c>
    </row>
    <row r="26" spans="2:6">
      <c r="B26" s="2" t="s">
        <v>273</v>
      </c>
    </row>
    <row r="27" spans="2:6">
      <c r="B27" s="3" t="s">
        <v>178</v>
      </c>
      <c r="F27" s="37">
        <f>'2. Parameters'!F125</f>
        <v>1.7150000000000001</v>
      </c>
    </row>
    <row r="28" spans="2:6">
      <c r="B28" s="3" t="s">
        <v>179</v>
      </c>
      <c r="F28" s="37">
        <f>'2. Parameters'!F126</f>
        <v>1.5329999999999999</v>
      </c>
    </row>
    <row r="29" spans="2:6">
      <c r="B29" s="3" t="s">
        <v>180</v>
      </c>
      <c r="F29" s="37">
        <f>'2. Parameters'!F127</f>
        <v>1.1990000000000001</v>
      </c>
    </row>
    <row r="30" spans="2:6">
      <c r="B30" s="3" t="s">
        <v>181</v>
      </c>
      <c r="F30" s="37">
        <f>'2. Parameters'!F128</f>
        <v>0.89400000000000002</v>
      </c>
    </row>
    <row r="31" spans="2:6">
      <c r="B31" s="3" t="s">
        <v>182</v>
      </c>
      <c r="F31" s="37">
        <f>'2. Parameters'!F129</f>
        <v>0.79200000000000004</v>
      </c>
    </row>
    <row r="32" spans="2:6">
      <c r="B32" s="3" t="s">
        <v>183</v>
      </c>
      <c r="F32" s="37">
        <f>'2. Parameters'!F130</f>
        <v>0.66500000000000004</v>
      </c>
    </row>
    <row r="33" spans="2:6">
      <c r="B33" s="3" t="s">
        <v>184</v>
      </c>
      <c r="F33" s="37">
        <f>'2. Parameters'!F131</f>
        <v>0.628</v>
      </c>
    </row>
    <row r="34" spans="2:6">
      <c r="B34" s="3" t="s">
        <v>185</v>
      </c>
      <c r="F34" s="37">
        <f>'2. Parameters'!F132</f>
        <v>0.59699999999999998</v>
      </c>
    </row>
    <row r="35" spans="2:6">
      <c r="B35" s="3" t="s">
        <v>186</v>
      </c>
      <c r="F35" s="37">
        <f>'2. Parameters'!F133</f>
        <v>0.66300000000000003</v>
      </c>
    </row>
    <row r="36" spans="2:6">
      <c r="B36" s="3" t="s">
        <v>187</v>
      </c>
      <c r="F36" s="37">
        <f>'2. Parameters'!F134</f>
        <v>0.76100000000000001</v>
      </c>
    </row>
    <row r="37" spans="2:6">
      <c r="B37" s="3" t="s">
        <v>188</v>
      </c>
      <c r="F37" s="37">
        <f>'2. Parameters'!F135</f>
        <v>1.1299999999999999</v>
      </c>
    </row>
    <row r="38" spans="2:6">
      <c r="B38" s="3" t="s">
        <v>189</v>
      </c>
      <c r="F38" s="37">
        <f>'2. Parameters'!F136</f>
        <v>1.4239999999999999</v>
      </c>
    </row>
    <row r="40" spans="2:6">
      <c r="B40" s="2" t="s">
        <v>274</v>
      </c>
    </row>
    <row r="41" spans="2:6">
      <c r="B41" s="3" t="s">
        <v>178</v>
      </c>
      <c r="F41" s="54">
        <f>'2. Parameters'!F139</f>
        <v>1.7729999999999999</v>
      </c>
    </row>
    <row r="42" spans="2:6">
      <c r="B42" s="3" t="s">
        <v>179</v>
      </c>
      <c r="F42" s="54">
        <f>'2. Parameters'!F140</f>
        <v>1.585</v>
      </c>
    </row>
    <row r="43" spans="2:6">
      <c r="B43" s="3" t="s">
        <v>180</v>
      </c>
      <c r="F43" s="54">
        <f>'2. Parameters'!F141</f>
        <v>1.2390000000000001</v>
      </c>
    </row>
    <row r="44" spans="2:6">
      <c r="B44" s="3" t="s">
        <v>181</v>
      </c>
      <c r="F44" s="54">
        <f>'2. Parameters'!F142</f>
        <v>0.92400000000000004</v>
      </c>
    </row>
    <row r="45" spans="2:6">
      <c r="B45" s="3" t="s">
        <v>182</v>
      </c>
      <c r="F45" s="54">
        <f>'2. Parameters'!F143</f>
        <v>0.81899999999999995</v>
      </c>
    </row>
    <row r="46" spans="2:6">
      <c r="B46" s="3" t="s">
        <v>183</v>
      </c>
      <c r="F46" s="54">
        <f>'2. Parameters'!F144</f>
        <v>0.68799999999999994</v>
      </c>
    </row>
    <row r="47" spans="2:6">
      <c r="B47" s="3" t="s">
        <v>184</v>
      </c>
      <c r="F47" s="54">
        <f>'2. Parameters'!F145</f>
        <v>0.64900000000000002</v>
      </c>
    </row>
    <row r="48" spans="2:6">
      <c r="B48" s="3" t="s">
        <v>185</v>
      </c>
      <c r="F48" s="54">
        <f>'2. Parameters'!F146</f>
        <v>0.61799999999999999</v>
      </c>
    </row>
    <row r="49" spans="2:6">
      <c r="B49" s="3" t="s">
        <v>186</v>
      </c>
      <c r="F49" s="54">
        <f>'2. Parameters'!F147</f>
        <v>0.68600000000000005</v>
      </c>
    </row>
    <row r="50" spans="2:6">
      <c r="B50" s="3" t="s">
        <v>187</v>
      </c>
      <c r="F50" s="54">
        <f>'2. Parameters'!F148</f>
        <v>0.78700000000000003</v>
      </c>
    </row>
    <row r="51" spans="2:6">
      <c r="B51" s="3" t="s">
        <v>188</v>
      </c>
      <c r="F51" s="54">
        <f>'2. Parameters'!F149</f>
        <v>1.1679999999999999</v>
      </c>
    </row>
    <row r="52" spans="2:6">
      <c r="B52" s="3" t="s">
        <v>189</v>
      </c>
      <c r="F52" s="54">
        <f>'2. Parameters'!F150</f>
        <v>1.472</v>
      </c>
    </row>
    <row r="54" spans="2:6">
      <c r="B54" s="2" t="s">
        <v>276</v>
      </c>
    </row>
    <row r="55" spans="2:6">
      <c r="B55" s="3" t="s">
        <v>178</v>
      </c>
      <c r="F55" s="37">
        <f>'2. Parameters'!F155</f>
        <v>31</v>
      </c>
    </row>
    <row r="56" spans="2:6">
      <c r="B56" s="3" t="s">
        <v>179</v>
      </c>
      <c r="F56" s="37">
        <f>'2. Parameters'!F156</f>
        <v>28</v>
      </c>
    </row>
    <row r="57" spans="2:6">
      <c r="B57" s="3" t="s">
        <v>180</v>
      </c>
      <c r="F57" s="37">
        <f>'2. Parameters'!F157</f>
        <v>31</v>
      </c>
    </row>
    <row r="58" spans="2:6">
      <c r="B58" s="3" t="s">
        <v>181</v>
      </c>
      <c r="F58" s="37">
        <f>'2. Parameters'!F158</f>
        <v>30</v>
      </c>
    </row>
    <row r="59" spans="2:6">
      <c r="B59" s="3" t="s">
        <v>182</v>
      </c>
      <c r="F59" s="37">
        <f>'2. Parameters'!F159</f>
        <v>31</v>
      </c>
    </row>
    <row r="60" spans="2:6">
      <c r="B60" s="3" t="s">
        <v>183</v>
      </c>
      <c r="F60" s="37">
        <f>'2. Parameters'!F160</f>
        <v>30</v>
      </c>
    </row>
    <row r="61" spans="2:6">
      <c r="B61" s="3" t="s">
        <v>184</v>
      </c>
      <c r="F61" s="37">
        <f>'2. Parameters'!F161</f>
        <v>31</v>
      </c>
    </row>
    <row r="62" spans="2:6">
      <c r="B62" s="3" t="s">
        <v>185</v>
      </c>
      <c r="F62" s="37">
        <f>'2. Parameters'!F162</f>
        <v>31</v>
      </c>
    </row>
    <row r="63" spans="2:6">
      <c r="B63" s="3" t="s">
        <v>186</v>
      </c>
      <c r="F63" s="37">
        <f>'2. Parameters'!F163</f>
        <v>30</v>
      </c>
    </row>
    <row r="64" spans="2:6">
      <c r="B64" s="3" t="s">
        <v>187</v>
      </c>
      <c r="F64" s="37">
        <f>'2. Parameters'!F164</f>
        <v>31</v>
      </c>
    </row>
    <row r="65" spans="2:6">
      <c r="B65" s="3" t="s">
        <v>188</v>
      </c>
      <c r="F65" s="37">
        <f>'2. Parameters'!F165</f>
        <v>30</v>
      </c>
    </row>
    <row r="66" spans="2:6">
      <c r="B66" s="3" t="s">
        <v>189</v>
      </c>
      <c r="F66" s="37">
        <f>'2. Parameters'!F166</f>
        <v>31</v>
      </c>
    </row>
    <row r="68" spans="2:6">
      <c r="B68" s="2" t="s">
        <v>277</v>
      </c>
    </row>
    <row r="69" spans="2:6">
      <c r="B69" s="3" t="s">
        <v>269</v>
      </c>
      <c r="F69" s="37">
        <f>'2. Parameters'!F169</f>
        <v>90</v>
      </c>
    </row>
    <row r="70" spans="2:6">
      <c r="B70" s="3" t="s">
        <v>270</v>
      </c>
      <c r="F70" s="37">
        <f>'2. Parameters'!F170</f>
        <v>91</v>
      </c>
    </row>
    <row r="71" spans="2:6">
      <c r="B71" s="3" t="s">
        <v>271</v>
      </c>
      <c r="F71" s="37">
        <f>'2. Parameters'!F171</f>
        <v>92</v>
      </c>
    </row>
    <row r="72" spans="2:6">
      <c r="B72" s="3" t="s">
        <v>272</v>
      </c>
      <c r="F72" s="37">
        <f>'2. Parameters'!F172</f>
        <v>92</v>
      </c>
    </row>
    <row r="74" spans="2:6">
      <c r="B74" s="2" t="s">
        <v>278</v>
      </c>
    </row>
    <row r="75" spans="2:6">
      <c r="B75" s="3" t="s">
        <v>279</v>
      </c>
      <c r="F75" s="37">
        <f>'2. Parameters'!F175</f>
        <v>24</v>
      </c>
    </row>
    <row r="76" spans="2:6">
      <c r="B76" s="3" t="s">
        <v>280</v>
      </c>
      <c r="F76" s="37">
        <f>'2. Parameters'!F176</f>
        <v>365</v>
      </c>
    </row>
    <row r="77" spans="2:6">
      <c r="B77" s="3" t="s">
        <v>281</v>
      </c>
      <c r="F77" s="37">
        <f>'2. Parameters'!F177</f>
        <v>8760</v>
      </c>
    </row>
    <row r="78" spans="2:6">
      <c r="B78" s="2"/>
    </row>
    <row r="79" spans="2:6">
      <c r="B79" s="2" t="s">
        <v>258</v>
      </c>
    </row>
    <row r="80" spans="2:6">
      <c r="B80" s="3" t="s">
        <v>1160</v>
      </c>
      <c r="D80" s="3" t="s">
        <v>214</v>
      </c>
      <c r="F80" s="37" t="str">
        <f>'1. Entry- en exittarieven'!J8</f>
        <v>Alle overige entry- en exitpunten</v>
      </c>
    </row>
    <row r="81" spans="2:24">
      <c r="B81" s="3" t="s">
        <v>1161</v>
      </c>
      <c r="D81" s="3" t="s">
        <v>214</v>
      </c>
      <c r="F81" s="77">
        <f>_xlfn.XLOOKUP(F80,'2. Parameters'!B182:B196,'2. Parameters'!F182:F196)</f>
        <v>1E-4</v>
      </c>
    </row>
    <row r="82" spans="2:24">
      <c r="B82" s="3" t="s">
        <v>1162</v>
      </c>
      <c r="D82" s="3" t="s">
        <v>214</v>
      </c>
      <c r="F82" s="77">
        <f>_xlfn.XLOOKUP(F80,'2. Parameters'!B199:B213,'2. Parameters'!F199:F213)</f>
        <v>1E-4</v>
      </c>
    </row>
    <row r="83" spans="2:24">
      <c r="B83" s="3" t="s">
        <v>260</v>
      </c>
      <c r="D83" s="3" t="s">
        <v>214</v>
      </c>
      <c r="F83" s="77">
        <f>'2. Parameters'!F106</f>
        <v>0.94</v>
      </c>
    </row>
    <row r="85" spans="2:24" s="8" customFormat="1">
      <c r="B85" s="8" t="s">
        <v>1163</v>
      </c>
    </row>
    <row r="87" spans="2:24">
      <c r="B87" s="3" t="s">
        <v>1148</v>
      </c>
      <c r="D87" s="3" t="s">
        <v>1164</v>
      </c>
      <c r="F87" s="32">
        <f ca="1">'27. RPM'!N43</f>
        <v>5.4809463813260395</v>
      </c>
    </row>
    <row r="88" spans="2:24">
      <c r="B88" s="3" t="s">
        <v>1149</v>
      </c>
      <c r="D88" s="3" t="s">
        <v>1164</v>
      </c>
      <c r="F88" s="32">
        <f ca="1">'27. RPM'!N44</f>
        <v>5.1008629844288826</v>
      </c>
    </row>
    <row r="89" spans="2:24">
      <c r="B89" s="3" t="s">
        <v>1150</v>
      </c>
      <c r="D89" s="3" t="s">
        <v>1164</v>
      </c>
      <c r="F89" s="32">
        <f ca="1">'27. RPM'!N45</f>
        <v>1.3702365953315099</v>
      </c>
      <c r="I89" s="220"/>
    </row>
    <row r="90" spans="2:24">
      <c r="B90" s="3" t="s">
        <v>1151</v>
      </c>
      <c r="D90" s="3" t="s">
        <v>1164</v>
      </c>
      <c r="F90" s="32">
        <f ca="1">'27. RPM'!N46</f>
        <v>1.2752157461072207</v>
      </c>
    </row>
    <row r="91" spans="2:24">
      <c r="B91" s="3" t="s">
        <v>1152</v>
      </c>
      <c r="D91" s="3" t="s">
        <v>1164</v>
      </c>
      <c r="F91" s="32">
        <f ca="1">'27. RPM'!N47</f>
        <v>5.4809463813260395</v>
      </c>
    </row>
    <row r="93" spans="2:24" s="33" customFormat="1">
      <c r="B93" s="33" t="s">
        <v>163</v>
      </c>
      <c r="H93" s="33" t="s">
        <v>164</v>
      </c>
      <c r="N93" s="33" t="s">
        <v>165</v>
      </c>
      <c r="T93" s="33" t="s">
        <v>166</v>
      </c>
    </row>
    <row r="94" spans="2:24" s="36" customFormat="1">
      <c r="B94" s="36" t="s">
        <v>167</v>
      </c>
      <c r="H94" s="36" t="s">
        <v>168</v>
      </c>
      <c r="I94" s="36" t="s">
        <v>169</v>
      </c>
      <c r="J94" s="36" t="s">
        <v>170</v>
      </c>
      <c r="K94" s="36" t="s">
        <v>171</v>
      </c>
      <c r="L94" s="36" t="s">
        <v>172</v>
      </c>
      <c r="N94" s="36" t="s">
        <v>168</v>
      </c>
      <c r="O94" s="36" t="s">
        <v>169</v>
      </c>
      <c r="P94" s="36" t="s">
        <v>170</v>
      </c>
      <c r="Q94" s="36" t="s">
        <v>171</v>
      </c>
      <c r="R94" s="36" t="s">
        <v>172</v>
      </c>
      <c r="T94" s="36" t="s">
        <v>168</v>
      </c>
      <c r="U94" s="36" t="s">
        <v>169</v>
      </c>
      <c r="V94" s="36" t="s">
        <v>170</v>
      </c>
      <c r="W94" s="36" t="s">
        <v>171</v>
      </c>
      <c r="X94" s="36" t="s">
        <v>172</v>
      </c>
    </row>
    <row r="95" spans="2:24" s="34" customFormat="1">
      <c r="H95" s="34" t="s">
        <v>173</v>
      </c>
      <c r="I95" s="34" t="s">
        <v>174</v>
      </c>
      <c r="J95" s="34" t="s">
        <v>175</v>
      </c>
      <c r="K95" s="34" t="s">
        <v>176</v>
      </c>
      <c r="L95" s="34" t="s">
        <v>177</v>
      </c>
      <c r="N95" s="34" t="s">
        <v>173</v>
      </c>
      <c r="O95" s="34" t="s">
        <v>174</v>
      </c>
      <c r="P95" s="34" t="s">
        <v>175</v>
      </c>
      <c r="Q95" s="34" t="s">
        <v>176</v>
      </c>
      <c r="R95" s="34" t="s">
        <v>177</v>
      </c>
      <c r="T95" s="34" t="s">
        <v>173</v>
      </c>
      <c r="U95" s="34" t="s">
        <v>174</v>
      </c>
      <c r="V95" s="34" t="s">
        <v>175</v>
      </c>
      <c r="W95" s="34" t="s">
        <v>176</v>
      </c>
      <c r="X95" s="34" t="s">
        <v>177</v>
      </c>
    </row>
    <row r="97" spans="2:33" ht="12.75" customHeight="1">
      <c r="B97" s="3" t="s">
        <v>178</v>
      </c>
      <c r="H97" s="370">
        <f ca="1">ROUND(F87,8)</f>
        <v>5.4809463799999998</v>
      </c>
      <c r="I97" s="371">
        <f ca="1">ROUND($F$15*$F$21*$F$69/$F$76*$F$87,8)</f>
        <v>2.5035911899999999</v>
      </c>
      <c r="J97" s="86">
        <f t="shared" ref="J97:J108" ca="1" si="0">ROUND($F$16*$F27*$F55/$F$76*$F$87,8)</f>
        <v>1.1975117</v>
      </c>
      <c r="K97" s="86">
        <f t="shared" ref="K97:K108" ca="1" si="1">ROUND($F$17*$F41/$F$76*$F$87,8)</f>
        <v>4.6591800000000003E-2</v>
      </c>
      <c r="L97" s="259">
        <f t="shared" ref="L97:L108" ca="1" si="2">ROUNDUP($F$18*$F41/$F$77*$F$87,8)</f>
        <v>1.94133E-3</v>
      </c>
      <c r="M97" s="87"/>
      <c r="N97" s="370">
        <f ca="1">ROUND(F89,8)</f>
        <v>1.3702365999999999</v>
      </c>
      <c r="O97" s="371">
        <f ca="1">ROUND($F$15*$F$21*$F$69/$F$76*$F$89,8)</f>
        <v>0.62589779999999995</v>
      </c>
      <c r="P97" s="86">
        <f ca="1">ROUND($F$16*$F$27*$F$55/$F$76*$F$89,8)</f>
        <v>0.29937793000000001</v>
      </c>
      <c r="Q97" s="86">
        <f ca="1">ROUND($F$17*$F$41/$F$76*$F$89,8)</f>
        <v>1.1647950000000001E-2</v>
      </c>
      <c r="R97" s="259">
        <f t="shared" ref="R97:R108" ca="1" si="3">ROUNDUP($F$18*$F41/$F$77*$F$89,8)</f>
        <v>4.8534000000000001E-4</v>
      </c>
      <c r="S97" s="284"/>
      <c r="T97" s="370">
        <f ca="1">ROUND(F91,8)</f>
        <v>5.4809463799999998</v>
      </c>
      <c r="U97" s="371">
        <f ca="1">ROUND($F$15*$F$21*$F$69/$F$76*$F$91,8)</f>
        <v>2.5035911899999999</v>
      </c>
      <c r="V97" s="285">
        <f t="shared" ref="V97:V108" ca="1" si="4">ROUND($F$16*$F27*$F55/$F$76*$F$91,8)</f>
        <v>1.1975117</v>
      </c>
      <c r="W97" s="285">
        <f t="shared" ref="W97:W108" ca="1" si="5">ROUND($F$17*$F41/$F$76*$F$91,8)</f>
        <v>4.6591800000000003E-2</v>
      </c>
      <c r="X97" s="259">
        <f t="shared" ref="X97:X108" ca="1" si="6">ROUNDUP($F$18*$F41/$F$77*$F$91,8)</f>
        <v>1.94133E-3</v>
      </c>
      <c r="Z97" s="372" t="s">
        <v>1165</v>
      </c>
      <c r="AA97" s="372"/>
      <c r="AB97" s="372"/>
      <c r="AG97" s="252"/>
    </row>
    <row r="98" spans="2:33">
      <c r="B98" s="3" t="s">
        <v>179</v>
      </c>
      <c r="H98" s="370"/>
      <c r="I98" s="371"/>
      <c r="J98" s="86">
        <f t="shared" ca="1" si="0"/>
        <v>0.96683894000000004</v>
      </c>
      <c r="K98" s="86">
        <f t="shared" ca="1" si="1"/>
        <v>4.1651439999999998E-2</v>
      </c>
      <c r="L98" s="259">
        <f t="shared" ca="1" si="2"/>
        <v>1.73548E-3</v>
      </c>
      <c r="M98" s="87"/>
      <c r="N98" s="370"/>
      <c r="O98" s="371"/>
      <c r="P98" s="86">
        <f ca="1">ROUND($F$16*$F$28*$F$56/$F$76*$F$89,8)</f>
        <v>0.24170974000000001</v>
      </c>
      <c r="Q98" s="86">
        <f ca="1">ROUND($F$17*$F$42/$F$76*$F$89,8)</f>
        <v>1.0412859999999999E-2</v>
      </c>
      <c r="R98" s="259">
        <f t="shared" ca="1" si="3"/>
        <v>4.3386999999999999E-4</v>
      </c>
      <c r="S98" s="284"/>
      <c r="T98" s="370"/>
      <c r="U98" s="371"/>
      <c r="V98" s="285">
        <f t="shared" ca="1" si="4"/>
        <v>0.96683894000000004</v>
      </c>
      <c r="W98" s="285">
        <f t="shared" ca="1" si="5"/>
        <v>4.1651439999999998E-2</v>
      </c>
      <c r="X98" s="259">
        <f t="shared" ca="1" si="6"/>
        <v>1.73548E-3</v>
      </c>
      <c r="Z98" s="372"/>
      <c r="AA98" s="372"/>
      <c r="AB98" s="372"/>
    </row>
    <row r="99" spans="2:33">
      <c r="B99" s="3" t="s">
        <v>180</v>
      </c>
      <c r="H99" s="370"/>
      <c r="I99" s="371"/>
      <c r="J99" s="86">
        <f t="shared" ca="1" si="0"/>
        <v>0.83721080999999997</v>
      </c>
      <c r="K99" s="86">
        <f t="shared" ca="1" si="1"/>
        <v>3.2559070000000002E-2</v>
      </c>
      <c r="L99" s="259">
        <f t="shared" ca="1" si="2"/>
        <v>1.3566299999999999E-3</v>
      </c>
      <c r="M99" s="87"/>
      <c r="N99" s="370"/>
      <c r="O99" s="371"/>
      <c r="P99" s="86">
        <f ca="1">ROUND($F$16*$F$29*$F$57/$F$76*$F$89,8)</f>
        <v>0.20930270000000001</v>
      </c>
      <c r="Q99" s="86">
        <f ca="1">ROUND($F$17*$F$43/$F$76*$F$89,8)</f>
        <v>8.1397699999999993E-3</v>
      </c>
      <c r="R99" s="259">
        <f t="shared" ca="1" si="3"/>
        <v>3.3915999999999997E-4</v>
      </c>
      <c r="S99" s="284"/>
      <c r="T99" s="370"/>
      <c r="U99" s="371"/>
      <c r="V99" s="285">
        <f t="shared" ca="1" si="4"/>
        <v>0.83721080999999997</v>
      </c>
      <c r="W99" s="285">
        <f t="shared" ca="1" si="5"/>
        <v>3.2559070000000002E-2</v>
      </c>
      <c r="X99" s="259">
        <f t="shared" ca="1" si="6"/>
        <v>1.3566299999999999E-3</v>
      </c>
      <c r="Z99" s="372"/>
      <c r="AA99" s="372"/>
      <c r="AB99" s="372"/>
    </row>
    <row r="100" spans="2:33">
      <c r="B100" s="3" t="s">
        <v>181</v>
      </c>
      <c r="H100" s="370"/>
      <c r="I100" s="371">
        <f ca="1">ROUND($F$15*$F$22*$F$70/$F$76*$F$87,8)</f>
        <v>1.3391528699999999</v>
      </c>
      <c r="J100" s="86">
        <f t="shared" ca="1" si="0"/>
        <v>0.60410540999999995</v>
      </c>
      <c r="K100" s="86">
        <f t="shared" ca="1" si="1"/>
        <v>2.4281339999999998E-2</v>
      </c>
      <c r="L100" s="259">
        <f t="shared" ca="1" si="2"/>
        <v>1.01173E-3</v>
      </c>
      <c r="M100" s="87"/>
      <c r="N100" s="370"/>
      <c r="O100" s="371">
        <f ca="1">ROUND($F$15*$F$22*$F$70/$F$76*$F$89,8)</f>
        <v>0.33478822000000003</v>
      </c>
      <c r="P100" s="86">
        <f ca="1">ROUND($F$16*$F$30*$F$58/$F$76*$F$89,8)</f>
        <v>0.15102635</v>
      </c>
      <c r="Q100" s="86">
        <f ca="1">ROUND($F$17*$F$44/$F$76*$F$89,8)</f>
        <v>6.0703399999999996E-3</v>
      </c>
      <c r="R100" s="259">
        <f t="shared" ca="1" si="3"/>
        <v>2.5294E-4</v>
      </c>
      <c r="S100" s="284"/>
      <c r="T100" s="370"/>
      <c r="U100" s="371">
        <f ca="1">ROUND($F$15*$F$22*$F$70/$F$76*$F$91,8)</f>
        <v>1.3391528699999999</v>
      </c>
      <c r="V100" s="285">
        <f t="shared" ca="1" si="4"/>
        <v>0.60410540999999995</v>
      </c>
      <c r="W100" s="285">
        <f t="shared" ca="1" si="5"/>
        <v>2.4281339999999998E-2</v>
      </c>
      <c r="X100" s="259">
        <f t="shared" ca="1" si="6"/>
        <v>1.01173E-3</v>
      </c>
      <c r="Z100" s="372"/>
      <c r="AA100" s="372"/>
      <c r="AB100" s="372"/>
    </row>
    <row r="101" spans="2:33">
      <c r="B101" s="3" t="s">
        <v>182</v>
      </c>
      <c r="H101" s="370"/>
      <c r="I101" s="371"/>
      <c r="J101" s="86">
        <f t="shared" ca="1" si="0"/>
        <v>0.55301997999999997</v>
      </c>
      <c r="K101" s="86">
        <f t="shared" ca="1" si="1"/>
        <v>2.1522099999999999E-2</v>
      </c>
      <c r="L101" s="259">
        <f t="shared" ca="1" si="2"/>
        <v>8.9676000000000003E-4</v>
      </c>
      <c r="M101" s="87"/>
      <c r="N101" s="370"/>
      <c r="O101" s="371"/>
      <c r="P101" s="86">
        <f ca="1">ROUND($F$16*$F$31*$F$59/$F$76*$F$89,8)</f>
        <v>0.13825499999999999</v>
      </c>
      <c r="Q101" s="86">
        <f ca="1">ROUND($F$17*$F$45/$F$76*$F$89,8)</f>
        <v>5.3805199999999997E-3</v>
      </c>
      <c r="R101" s="259">
        <f t="shared" ca="1" si="3"/>
        <v>2.2419000000000001E-4</v>
      </c>
      <c r="S101" s="284"/>
      <c r="T101" s="370"/>
      <c r="U101" s="371"/>
      <c r="V101" s="285">
        <f t="shared" ca="1" si="4"/>
        <v>0.55301997999999997</v>
      </c>
      <c r="W101" s="285">
        <f t="shared" ca="1" si="5"/>
        <v>2.1522099999999999E-2</v>
      </c>
      <c r="X101" s="259">
        <f t="shared" ca="1" si="6"/>
        <v>8.9676000000000003E-4</v>
      </c>
      <c r="Z101" s="372"/>
      <c r="AA101" s="372"/>
      <c r="AB101" s="372"/>
    </row>
    <row r="102" spans="2:33">
      <c r="B102" s="3" t="s">
        <v>183</v>
      </c>
      <c r="H102" s="370"/>
      <c r="I102" s="371"/>
      <c r="J102" s="86">
        <f t="shared" ca="1" si="0"/>
        <v>0.44936251999999999</v>
      </c>
      <c r="K102" s="86">
        <f t="shared" ca="1" si="1"/>
        <v>1.8079609999999999E-2</v>
      </c>
      <c r="L102" s="259">
        <f t="shared" ca="1" si="2"/>
        <v>7.5332000000000003E-4</v>
      </c>
      <c r="M102" s="87"/>
      <c r="N102" s="370"/>
      <c r="O102" s="371"/>
      <c r="P102" s="86">
        <f ca="1">ROUND($F$16*$F$32*$F$60/$F$76*$F$89,8)</f>
        <v>0.11234063</v>
      </c>
      <c r="Q102" s="86">
        <f ca="1">ROUND($F$17*$F$46/$F$76*$F$89,8)</f>
        <v>4.5199000000000003E-3</v>
      </c>
      <c r="R102" s="259">
        <f t="shared" ca="1" si="3"/>
        <v>1.8833000000000001E-4</v>
      </c>
      <c r="S102" s="284"/>
      <c r="T102" s="370"/>
      <c r="U102" s="371"/>
      <c r="V102" s="285">
        <f t="shared" ca="1" si="4"/>
        <v>0.44936251999999999</v>
      </c>
      <c r="W102" s="285">
        <f t="shared" ca="1" si="5"/>
        <v>1.8079609999999999E-2</v>
      </c>
      <c r="X102" s="259">
        <f t="shared" ca="1" si="6"/>
        <v>7.5332000000000003E-4</v>
      </c>
      <c r="Z102" s="372"/>
      <c r="AA102" s="372"/>
      <c r="AB102" s="372"/>
    </row>
    <row r="103" spans="2:33">
      <c r="B103" s="3" t="s">
        <v>184</v>
      </c>
      <c r="H103" s="370"/>
      <c r="I103" s="371">
        <f ca="1">ROUND($F$15*$F$23*$F$71/$F$76*$F$87,8)</f>
        <v>1.08620344</v>
      </c>
      <c r="J103" s="86">
        <f t="shared" ca="1" si="0"/>
        <v>0.43850573999999998</v>
      </c>
      <c r="K103" s="86">
        <f t="shared" ca="1" si="1"/>
        <v>1.705475E-2</v>
      </c>
      <c r="L103" s="259">
        <f t="shared" ca="1" si="2"/>
        <v>7.1062000000000002E-4</v>
      </c>
      <c r="M103" s="87"/>
      <c r="N103" s="370"/>
      <c r="O103" s="371">
        <f ca="1">ROUND($F$15*$F$23*$F$71/$F$76*$F$89,8)</f>
        <v>0.27155086000000001</v>
      </c>
      <c r="P103" s="86">
        <f ca="1">ROUND($F$16*$F$33*$F$61/$F$76*$F$89,8)</f>
        <v>0.10962644000000001</v>
      </c>
      <c r="Q103" s="86">
        <f ca="1">ROUND($F$17*$F$47/$F$76*$F$89,8)</f>
        <v>4.2636899999999997E-3</v>
      </c>
      <c r="R103" s="259">
        <f t="shared" ca="1" si="3"/>
        <v>1.7766E-4</v>
      </c>
      <c r="S103" s="284"/>
      <c r="T103" s="370"/>
      <c r="U103" s="371">
        <f ca="1">ROUND($F$15*$F$23*$F$71/$F$76*$F$91,8)</f>
        <v>1.08620344</v>
      </c>
      <c r="V103" s="285">
        <f t="shared" ca="1" si="4"/>
        <v>0.43850573999999998</v>
      </c>
      <c r="W103" s="285">
        <f t="shared" ca="1" si="5"/>
        <v>1.705475E-2</v>
      </c>
      <c r="X103" s="259">
        <f t="shared" ca="1" si="6"/>
        <v>7.1062000000000002E-4</v>
      </c>
      <c r="Z103" s="372"/>
      <c r="AA103" s="372"/>
      <c r="AB103" s="372"/>
    </row>
    <row r="104" spans="2:33">
      <c r="B104" s="3" t="s">
        <v>185</v>
      </c>
      <c r="H104" s="370"/>
      <c r="I104" s="371"/>
      <c r="J104" s="86">
        <f t="shared" ca="1" si="0"/>
        <v>0.41685976000000002</v>
      </c>
      <c r="K104" s="86">
        <f t="shared" ca="1" si="1"/>
        <v>1.624012E-2</v>
      </c>
      <c r="L104" s="259">
        <f t="shared" ca="1" si="2"/>
        <v>6.7668000000000003E-4</v>
      </c>
      <c r="M104" s="87"/>
      <c r="N104" s="370"/>
      <c r="O104" s="371"/>
      <c r="P104" s="86">
        <f ca="1">ROUND($F$16*$F$34*$F$62/$F$76*$F$89,8)</f>
        <v>0.10421494000000001</v>
      </c>
      <c r="Q104" s="86">
        <f ca="1">ROUND($F$17*$F$48/$F$76*$F$89,8)</f>
        <v>4.0600300000000001E-3</v>
      </c>
      <c r="R104" s="259">
        <f t="shared" ca="1" si="3"/>
        <v>1.6917000000000001E-4</v>
      </c>
      <c r="S104" s="284"/>
      <c r="T104" s="370"/>
      <c r="U104" s="371"/>
      <c r="V104" s="285">
        <f t="shared" ca="1" si="4"/>
        <v>0.41685976000000002</v>
      </c>
      <c r="W104" s="285">
        <f t="shared" ca="1" si="5"/>
        <v>1.624012E-2</v>
      </c>
      <c r="X104" s="259">
        <f t="shared" ca="1" si="6"/>
        <v>6.7668000000000003E-4</v>
      </c>
      <c r="Z104" s="372"/>
      <c r="AA104" s="372"/>
      <c r="AB104" s="372"/>
    </row>
    <row r="105" spans="2:33">
      <c r="B105" s="3" t="s">
        <v>186</v>
      </c>
      <c r="H105" s="370"/>
      <c r="I105" s="371"/>
      <c r="J105" s="86">
        <f t="shared" ca="1" si="0"/>
        <v>0.44801106000000002</v>
      </c>
      <c r="K105" s="86">
        <f t="shared" ca="1" si="1"/>
        <v>1.8027060000000001E-2</v>
      </c>
      <c r="L105" s="259">
        <f t="shared" ca="1" si="2"/>
        <v>7.5113000000000003E-4</v>
      </c>
      <c r="M105" s="87"/>
      <c r="N105" s="370"/>
      <c r="O105" s="371"/>
      <c r="P105" s="86">
        <f ca="1">ROUND($F$16*$F$35*$F$63/$F$76*$F$89,8)</f>
        <v>0.11200276000000001</v>
      </c>
      <c r="Q105" s="86">
        <f ca="1">ROUND($F$17*$F$49/$F$76*$F$89,8)</f>
        <v>4.5067600000000003E-3</v>
      </c>
      <c r="R105" s="259">
        <f t="shared" ca="1" si="3"/>
        <v>1.8778999999999999E-4</v>
      </c>
      <c r="S105" s="284"/>
      <c r="T105" s="370"/>
      <c r="U105" s="371"/>
      <c r="V105" s="285">
        <f t="shared" ca="1" si="4"/>
        <v>0.44801106000000002</v>
      </c>
      <c r="W105" s="285">
        <f t="shared" ca="1" si="5"/>
        <v>1.8027060000000001E-2</v>
      </c>
      <c r="X105" s="259">
        <f t="shared" ca="1" si="6"/>
        <v>7.5113000000000003E-4</v>
      </c>
      <c r="Z105" s="372"/>
      <c r="AA105" s="372"/>
      <c r="AB105" s="372"/>
    </row>
    <row r="106" spans="2:33">
      <c r="B106" s="3" t="s">
        <v>187</v>
      </c>
      <c r="H106" s="370"/>
      <c r="I106" s="371">
        <f ca="1">ROUND($F$15*$F$24*$F$72/$F$76*$F$87,8)</f>
        <v>1.90819524</v>
      </c>
      <c r="J106" s="86">
        <f t="shared" ca="1" si="0"/>
        <v>0.53137400000000001</v>
      </c>
      <c r="K106" s="86">
        <f t="shared" ca="1" si="1"/>
        <v>2.0681189999999999E-2</v>
      </c>
      <c r="L106" s="259">
        <f t="shared" ca="1" si="2"/>
        <v>8.6172000000000006E-4</v>
      </c>
      <c r="M106" s="87"/>
      <c r="N106" s="370"/>
      <c r="O106" s="371">
        <f ca="1">ROUND($F$15*$F$24*$F$72/$F$76*$F$89,8)</f>
        <v>0.47704880999999999</v>
      </c>
      <c r="P106" s="86">
        <f ca="1">ROUND($F$16*$F$36*$F$64/$F$76*$F$89,8)</f>
        <v>0.1328435</v>
      </c>
      <c r="Q106" s="86">
        <f ca="1">ROUND($F$17*$F$50/$F$76*$F$89,8)</f>
        <v>5.1703000000000001E-3</v>
      </c>
      <c r="R106" s="259">
        <f t="shared" ca="1" si="3"/>
        <v>2.1542999999999999E-4</v>
      </c>
      <c r="S106" s="284"/>
      <c r="T106" s="370"/>
      <c r="U106" s="371">
        <f ca="1">ROUND($F$15*$F$24*$F$72/$F$76*$F$91,8)</f>
        <v>1.90819524</v>
      </c>
      <c r="V106" s="285">
        <f t="shared" ca="1" si="4"/>
        <v>0.53137400000000001</v>
      </c>
      <c r="W106" s="285">
        <f t="shared" ca="1" si="5"/>
        <v>2.0681189999999999E-2</v>
      </c>
      <c r="X106" s="259">
        <f t="shared" ca="1" si="6"/>
        <v>8.6172000000000006E-4</v>
      </c>
      <c r="Z106" s="372"/>
      <c r="AA106" s="372"/>
      <c r="AB106" s="372"/>
    </row>
    <row r="107" spans="2:33">
      <c r="B107" s="3" t="s">
        <v>188</v>
      </c>
      <c r="H107" s="370"/>
      <c r="I107" s="371"/>
      <c r="J107" s="86">
        <f t="shared" ca="1" si="0"/>
        <v>0.76357841999999998</v>
      </c>
      <c r="K107" s="86">
        <f t="shared" ca="1" si="1"/>
        <v>3.06933E-2</v>
      </c>
      <c r="L107" s="259">
        <f t="shared" ca="1" si="2"/>
        <v>1.27889E-3</v>
      </c>
      <c r="M107" s="87"/>
      <c r="N107" s="370"/>
      <c r="O107" s="371"/>
      <c r="P107" s="86">
        <f ca="1">ROUND($F$16*$F$37*$F$65/$F$76*$F$89,8)</f>
        <v>0.19089460999999999</v>
      </c>
      <c r="Q107" s="86">
        <f ca="1">ROUND($F$17*$F$51/$F$76*$F$89,8)</f>
        <v>7.67332E-3</v>
      </c>
      <c r="R107" s="259">
        <f t="shared" ca="1" si="3"/>
        <v>3.1973E-4</v>
      </c>
      <c r="S107" s="284"/>
      <c r="T107" s="370"/>
      <c r="U107" s="371"/>
      <c r="V107" s="285">
        <f t="shared" ca="1" si="4"/>
        <v>0.76357841999999998</v>
      </c>
      <c r="W107" s="285">
        <f t="shared" ca="1" si="5"/>
        <v>3.06933E-2</v>
      </c>
      <c r="X107" s="259">
        <f t="shared" ca="1" si="6"/>
        <v>1.27889E-3</v>
      </c>
      <c r="Z107" s="372"/>
      <c r="AA107" s="372"/>
      <c r="AB107" s="372"/>
    </row>
    <row r="108" spans="2:33">
      <c r="B108" s="3" t="s">
        <v>189</v>
      </c>
      <c r="H108" s="370"/>
      <c r="I108" s="371"/>
      <c r="J108" s="86">
        <f t="shared" ca="1" si="0"/>
        <v>0.99431875999999997</v>
      </c>
      <c r="K108" s="86">
        <f t="shared" ca="1" si="1"/>
        <v>3.8681970000000003E-2</v>
      </c>
      <c r="L108" s="259">
        <f t="shared" ca="1" si="2"/>
        <v>1.6117499999999999E-3</v>
      </c>
      <c r="M108" s="87"/>
      <c r="N108" s="370"/>
      <c r="O108" s="371"/>
      <c r="P108" s="86">
        <f ca="1">ROUND($F$16*$F$38*$F$66/$F$76*$F$89,8)</f>
        <v>0.24857968999999999</v>
      </c>
      <c r="Q108" s="86">
        <f ca="1">ROUND($F$17*$F$52/$F$76*$F$89,8)</f>
        <v>9.6704900000000003E-3</v>
      </c>
      <c r="R108" s="259">
        <f t="shared" ca="1" si="3"/>
        <v>4.0294000000000001E-4</v>
      </c>
      <c r="S108" s="284"/>
      <c r="T108" s="370"/>
      <c r="U108" s="371"/>
      <c r="V108" s="285">
        <f t="shared" ca="1" si="4"/>
        <v>0.99431875999999997</v>
      </c>
      <c r="W108" s="285">
        <f t="shared" ca="1" si="5"/>
        <v>3.8681970000000003E-2</v>
      </c>
      <c r="X108" s="259">
        <f t="shared" ca="1" si="6"/>
        <v>1.6117499999999999E-3</v>
      </c>
      <c r="Z108" s="372"/>
      <c r="AA108" s="372"/>
      <c r="AB108" s="372"/>
    </row>
    <row r="109" spans="2:33">
      <c r="H109" s="87"/>
      <c r="I109" s="87"/>
      <c r="J109" s="87"/>
      <c r="K109" s="87"/>
      <c r="L109" s="87"/>
      <c r="N109" s="87"/>
      <c r="O109" s="87"/>
      <c r="P109" s="87"/>
      <c r="Q109" s="87"/>
      <c r="R109" s="87"/>
      <c r="S109" s="251"/>
      <c r="T109" s="251"/>
      <c r="U109" s="251"/>
      <c r="V109" s="251"/>
      <c r="W109" s="251"/>
      <c r="X109" s="251"/>
    </row>
    <row r="110" spans="2:33">
      <c r="H110" s="87"/>
      <c r="I110" s="87"/>
      <c r="J110" s="87"/>
      <c r="K110" s="87"/>
      <c r="L110" s="87"/>
      <c r="N110" s="87"/>
      <c r="O110" s="87"/>
      <c r="P110" s="87"/>
      <c r="Q110" s="87"/>
      <c r="R110" s="87"/>
      <c r="S110" s="251"/>
      <c r="T110" s="251"/>
      <c r="U110" s="251"/>
      <c r="V110" s="251"/>
      <c r="W110" s="251"/>
      <c r="X110" s="251"/>
    </row>
    <row r="111" spans="2:33" s="33" customFormat="1">
      <c r="B111" s="33" t="s">
        <v>190</v>
      </c>
      <c r="H111" s="355" t="s">
        <v>164</v>
      </c>
      <c r="I111" s="355"/>
      <c r="J111" s="355"/>
      <c r="K111" s="355"/>
      <c r="L111" s="355"/>
      <c r="N111" s="355" t="s">
        <v>165</v>
      </c>
      <c r="O111" s="355"/>
      <c r="P111" s="355"/>
      <c r="Q111" s="355"/>
      <c r="R111" s="355"/>
      <c r="S111" s="260"/>
      <c r="T111" s="260"/>
      <c r="U111" s="260"/>
      <c r="V111" s="260"/>
      <c r="W111" s="260"/>
      <c r="X111" s="260"/>
    </row>
    <row r="112" spans="2:33" s="36" customFormat="1">
      <c r="B112" s="36" t="s">
        <v>1166</v>
      </c>
      <c r="H112" s="356" t="s">
        <v>168</v>
      </c>
      <c r="I112" s="356" t="s">
        <v>169</v>
      </c>
      <c r="J112" s="356" t="s">
        <v>170</v>
      </c>
      <c r="K112" s="356" t="s">
        <v>171</v>
      </c>
      <c r="L112" s="356" t="s">
        <v>172</v>
      </c>
      <c r="N112" s="356" t="s">
        <v>168</v>
      </c>
      <c r="O112" s="356" t="s">
        <v>169</v>
      </c>
      <c r="P112" s="356" t="s">
        <v>170</v>
      </c>
      <c r="Q112" s="356" t="s">
        <v>171</v>
      </c>
      <c r="R112" s="356" t="s">
        <v>172</v>
      </c>
      <c r="S112" s="261"/>
      <c r="T112" s="261"/>
      <c r="U112" s="261"/>
      <c r="V112" s="261"/>
      <c r="W112" s="261"/>
      <c r="X112" s="261"/>
    </row>
    <row r="113" spans="2:24" s="34" customFormat="1">
      <c r="H113" s="357" t="s">
        <v>173</v>
      </c>
      <c r="I113" s="357" t="s">
        <v>174</v>
      </c>
      <c r="J113" s="357" t="s">
        <v>175</v>
      </c>
      <c r="K113" s="357" t="s">
        <v>176</v>
      </c>
      <c r="L113" s="357" t="s">
        <v>177</v>
      </c>
      <c r="N113" s="357" t="s">
        <v>173</v>
      </c>
      <c r="O113" s="357" t="s">
        <v>174</v>
      </c>
      <c r="P113" s="357" t="s">
        <v>175</v>
      </c>
      <c r="Q113" s="357" t="s">
        <v>176</v>
      </c>
      <c r="R113" s="357" t="s">
        <v>177</v>
      </c>
      <c r="S113" s="262"/>
      <c r="T113" s="262"/>
      <c r="U113" s="262"/>
      <c r="V113" s="262"/>
      <c r="W113" s="262"/>
      <c r="X113" s="262"/>
    </row>
    <row r="114" spans="2:24">
      <c r="H114" s="87"/>
      <c r="I114" s="87"/>
      <c r="J114" s="87"/>
      <c r="K114" s="87"/>
      <c r="L114" s="87"/>
      <c r="N114" s="87"/>
      <c r="O114" s="87"/>
      <c r="P114" s="87"/>
      <c r="Q114" s="87"/>
      <c r="R114" s="87"/>
      <c r="S114" s="251"/>
      <c r="T114" s="251"/>
      <c r="U114" s="251"/>
      <c r="V114" s="251"/>
      <c r="W114" s="251"/>
      <c r="X114" s="251"/>
    </row>
    <row r="115" spans="2:24" ht="12.75" customHeight="1">
      <c r="B115" s="3" t="s">
        <v>178</v>
      </c>
      <c r="H115" s="370">
        <f ca="1">ROUND(F88,8)</f>
        <v>5.1008629799999996</v>
      </c>
      <c r="I115" s="371">
        <f ca="1">ROUND($F$15*$F$21*$F$69/$F$76*$F$88,8)</f>
        <v>2.3299763900000001</v>
      </c>
      <c r="J115" s="86">
        <f t="shared" ref="J115:J126" ca="1" si="7">ROUND($F$16*$F27*$F55/$F$76*$F$88,8)</f>
        <v>1.11446869</v>
      </c>
      <c r="K115" s="86">
        <f t="shared" ref="K115:K126" ca="1" si="8">ROUND($F$17*$F41/$F$76*$F$88,8)</f>
        <v>4.3360830000000003E-2</v>
      </c>
      <c r="L115" s="259">
        <f t="shared" ref="L115:L126" ca="1" si="9">ROUNDUP($F$18*$F41/$F$77*$F$88,8)</f>
        <v>1.80671E-3</v>
      </c>
      <c r="N115" s="370">
        <f ca="1">ROUND(F90,8)</f>
        <v>1.2752157500000001</v>
      </c>
      <c r="O115" s="371">
        <f ca="1">ROUND($F$15*$F$21*$F$69/$F$76*$F$90,8)</f>
        <v>0.58249410000000001</v>
      </c>
      <c r="P115" s="86">
        <f t="shared" ref="P115:P126" ca="1" si="10">ROUND($F$16*$F27*$F55/$F$76*$F$90,8)</f>
        <v>0.27861717000000003</v>
      </c>
      <c r="Q115" s="86">
        <f t="shared" ref="Q115:Q126" ca="1" si="11">ROUND($F$17*$F41/$F$76*$F$90,8)</f>
        <v>1.0840209999999999E-2</v>
      </c>
      <c r="R115" s="259">
        <f t="shared" ref="R115:R126" ca="1" si="12">ROUNDUP($F$18*$F41/$F$77*$F$90,8)</f>
        <v>4.5167999999999999E-4</v>
      </c>
      <c r="S115" s="284"/>
      <c r="T115" s="372" t="s">
        <v>1165</v>
      </c>
      <c r="U115" s="372"/>
      <c r="V115" s="372"/>
      <c r="W115" s="284"/>
      <c r="X115" s="284"/>
    </row>
    <row r="116" spans="2:24">
      <c r="B116" s="3" t="s">
        <v>179</v>
      </c>
      <c r="H116" s="370"/>
      <c r="I116" s="371"/>
      <c r="J116" s="86">
        <f t="shared" ca="1" si="7"/>
        <v>0.89979222999999997</v>
      </c>
      <c r="K116" s="86">
        <f t="shared" ca="1" si="8"/>
        <v>3.8763060000000002E-2</v>
      </c>
      <c r="L116" s="259">
        <f t="shared" ca="1" si="9"/>
        <v>1.61513E-3</v>
      </c>
      <c r="N116" s="370"/>
      <c r="O116" s="371"/>
      <c r="P116" s="86">
        <f t="shared" ca="1" si="10"/>
        <v>0.22494806000000001</v>
      </c>
      <c r="Q116" s="86">
        <f t="shared" ca="1" si="11"/>
        <v>9.6907699999999996E-3</v>
      </c>
      <c r="R116" s="259">
        <f t="shared" ca="1" si="12"/>
        <v>4.0379000000000001E-4</v>
      </c>
      <c r="S116" s="284"/>
      <c r="T116" s="372"/>
      <c r="U116" s="372"/>
      <c r="V116" s="372"/>
      <c r="W116" s="284"/>
      <c r="X116" s="284"/>
    </row>
    <row r="117" spans="2:24">
      <c r="B117" s="3" t="s">
        <v>180</v>
      </c>
      <c r="H117" s="370"/>
      <c r="I117" s="371"/>
      <c r="J117" s="86">
        <f t="shared" ca="1" si="7"/>
        <v>0.77915332999999998</v>
      </c>
      <c r="K117" s="86">
        <f t="shared" ca="1" si="8"/>
        <v>3.030122E-2</v>
      </c>
      <c r="L117" s="259">
        <f t="shared" ca="1" si="9"/>
        <v>1.26256E-3</v>
      </c>
      <c r="N117" s="370"/>
      <c r="O117" s="371"/>
      <c r="P117" s="86">
        <f t="shared" ca="1" si="10"/>
        <v>0.19478833000000001</v>
      </c>
      <c r="Q117" s="86">
        <f t="shared" ca="1" si="11"/>
        <v>7.57531E-3</v>
      </c>
      <c r="R117" s="259">
        <f t="shared" ca="1" si="12"/>
        <v>3.1564000000000001E-4</v>
      </c>
      <c r="S117" s="284"/>
      <c r="T117" s="372"/>
      <c r="U117" s="372"/>
      <c r="V117" s="372"/>
      <c r="W117" s="284"/>
      <c r="X117" s="284"/>
    </row>
    <row r="118" spans="2:24">
      <c r="B118" s="3" t="s">
        <v>181</v>
      </c>
      <c r="H118" s="370"/>
      <c r="I118" s="371">
        <f ca="1">ROUND($F$15*$F$22*$F$70/$F$76*$F$88,8)</f>
        <v>1.2462875600000001</v>
      </c>
      <c r="J118" s="86">
        <f t="shared" ca="1" si="7"/>
        <v>0.56221293000000006</v>
      </c>
      <c r="K118" s="86">
        <f t="shared" ca="1" si="8"/>
        <v>2.2597519999999999E-2</v>
      </c>
      <c r="L118" s="259">
        <f t="shared" ca="1" si="9"/>
        <v>9.4157000000000008E-4</v>
      </c>
      <c r="N118" s="370"/>
      <c r="O118" s="371">
        <f ca="1">ROUND($F$15*$F$22*$F$70/$F$76*$F$90,8)</f>
        <v>0.31157189000000002</v>
      </c>
      <c r="P118" s="86">
        <f t="shared" ca="1" si="10"/>
        <v>0.14055323</v>
      </c>
      <c r="Q118" s="86">
        <f t="shared" ca="1" si="11"/>
        <v>5.6493799999999999E-3</v>
      </c>
      <c r="R118" s="259">
        <f t="shared" ca="1" si="12"/>
        <v>2.354E-4</v>
      </c>
      <c r="S118" s="284"/>
      <c r="T118" s="372"/>
      <c r="U118" s="372"/>
      <c r="V118" s="372"/>
      <c r="W118" s="284"/>
      <c r="X118" s="284"/>
    </row>
    <row r="119" spans="2:24">
      <c r="B119" s="3" t="s">
        <v>182</v>
      </c>
      <c r="H119" s="370"/>
      <c r="I119" s="371"/>
      <c r="J119" s="86">
        <f t="shared" ca="1" si="7"/>
        <v>0.51467008999999997</v>
      </c>
      <c r="K119" s="86">
        <f t="shared" ca="1" si="8"/>
        <v>2.0029620000000001E-2</v>
      </c>
      <c r="L119" s="259">
        <f t="shared" ca="1" si="9"/>
        <v>8.3457000000000008E-4</v>
      </c>
      <c r="N119" s="370"/>
      <c r="O119" s="371"/>
      <c r="P119" s="86">
        <f t="shared" ca="1" si="10"/>
        <v>0.12866752000000001</v>
      </c>
      <c r="Q119" s="86">
        <f t="shared" ca="1" si="11"/>
        <v>5.0074100000000003E-3</v>
      </c>
      <c r="R119" s="259">
        <f t="shared" ca="1" si="12"/>
        <v>2.0865E-4</v>
      </c>
      <c r="S119" s="284"/>
      <c r="T119" s="372"/>
      <c r="U119" s="372"/>
      <c r="V119" s="372"/>
      <c r="W119" s="284"/>
      <c r="X119" s="284"/>
    </row>
    <row r="120" spans="2:24">
      <c r="B120" s="3" t="s">
        <v>183</v>
      </c>
      <c r="H120" s="370"/>
      <c r="I120" s="371"/>
      <c r="J120" s="86">
        <f t="shared" ca="1" si="7"/>
        <v>0.41820088999999999</v>
      </c>
      <c r="K120" s="86">
        <f t="shared" ca="1" si="8"/>
        <v>1.6825860000000002E-2</v>
      </c>
      <c r="L120" s="259">
        <f t="shared" ca="1" si="9"/>
        <v>7.0108000000000008E-4</v>
      </c>
      <c r="N120" s="370"/>
      <c r="O120" s="371"/>
      <c r="P120" s="86">
        <f t="shared" ca="1" si="10"/>
        <v>0.10455022</v>
      </c>
      <c r="Q120" s="86">
        <f t="shared" ca="1" si="11"/>
        <v>4.2064700000000003E-3</v>
      </c>
      <c r="R120" s="259">
        <f t="shared" ca="1" si="12"/>
        <v>1.7526999999999999E-4</v>
      </c>
      <c r="S120" s="284"/>
      <c r="T120" s="372"/>
      <c r="U120" s="372"/>
      <c r="V120" s="372"/>
      <c r="W120" s="284"/>
      <c r="X120" s="284"/>
    </row>
    <row r="121" spans="2:24">
      <c r="B121" s="3" t="s">
        <v>184</v>
      </c>
      <c r="H121" s="370"/>
      <c r="I121" s="371">
        <f ca="1">ROUND($F$15*$F$23*$F$71/$F$76*$F$88,8)</f>
        <v>1.01087924</v>
      </c>
      <c r="J121" s="86">
        <f t="shared" ca="1" si="7"/>
        <v>0.40809698999999999</v>
      </c>
      <c r="K121" s="86">
        <f t="shared" ca="1" si="8"/>
        <v>1.5872069999999999E-2</v>
      </c>
      <c r="L121" s="259">
        <f t="shared" ca="1" si="9"/>
        <v>6.6134000000000006E-4</v>
      </c>
      <c r="N121" s="370"/>
      <c r="O121" s="371">
        <f ca="1">ROUND($F$15*$F$23*$F$71/$F$76*$F$90,8)</f>
        <v>0.25271980999999999</v>
      </c>
      <c r="P121" s="86">
        <f t="shared" ca="1" si="10"/>
        <v>0.10202425</v>
      </c>
      <c r="Q121" s="86">
        <f t="shared" ca="1" si="11"/>
        <v>3.9680200000000001E-3</v>
      </c>
      <c r="R121" s="259">
        <f t="shared" ca="1" si="12"/>
        <v>1.6533999999999999E-4</v>
      </c>
      <c r="S121" s="284"/>
      <c r="T121" s="372"/>
      <c r="U121" s="372"/>
      <c r="V121" s="372"/>
      <c r="W121" s="284"/>
      <c r="X121" s="284"/>
    </row>
    <row r="122" spans="2:24">
      <c r="B122" s="3" t="s">
        <v>185</v>
      </c>
      <c r="H122" s="370"/>
      <c r="I122" s="371"/>
      <c r="J122" s="86">
        <f t="shared" ca="1" si="7"/>
        <v>0.38795206999999998</v>
      </c>
      <c r="K122" s="86">
        <f t="shared" ca="1" si="8"/>
        <v>1.5113929999999999E-2</v>
      </c>
      <c r="L122" s="259">
        <f t="shared" ca="1" si="9"/>
        <v>6.297500000000001E-4</v>
      </c>
      <c r="N122" s="370"/>
      <c r="O122" s="371"/>
      <c r="P122" s="86">
        <f t="shared" ca="1" si="10"/>
        <v>9.6988019999999994E-2</v>
      </c>
      <c r="Q122" s="86">
        <f t="shared" ca="1" si="11"/>
        <v>3.7784799999999999E-3</v>
      </c>
      <c r="R122" s="259">
        <f t="shared" ca="1" si="12"/>
        <v>1.5743999999999998E-4</v>
      </c>
      <c r="S122" s="284"/>
      <c r="T122" s="372"/>
      <c r="U122" s="372"/>
      <c r="V122" s="372"/>
      <c r="W122" s="284"/>
      <c r="X122" s="284"/>
    </row>
    <row r="123" spans="2:24">
      <c r="B123" s="3" t="s">
        <v>186</v>
      </c>
      <c r="H123" s="370"/>
      <c r="I123" s="371"/>
      <c r="J123" s="86">
        <f t="shared" ca="1" si="7"/>
        <v>0.41694313999999999</v>
      </c>
      <c r="K123" s="86">
        <f t="shared" ca="1" si="8"/>
        <v>1.6776949999999999E-2</v>
      </c>
      <c r="L123" s="259">
        <f t="shared" ca="1" si="9"/>
        <v>6.9904000000000006E-4</v>
      </c>
      <c r="N123" s="370"/>
      <c r="O123" s="371"/>
      <c r="P123" s="86">
        <f t="shared" ca="1" si="10"/>
        <v>0.10423578999999999</v>
      </c>
      <c r="Q123" s="86">
        <f t="shared" ca="1" si="11"/>
        <v>4.1942400000000001E-3</v>
      </c>
      <c r="R123" s="259">
        <f t="shared" ca="1" si="12"/>
        <v>1.7475999999999999E-4</v>
      </c>
      <c r="S123" s="284"/>
      <c r="T123" s="372"/>
      <c r="U123" s="372"/>
      <c r="V123" s="372"/>
      <c r="W123" s="284"/>
      <c r="X123" s="284"/>
    </row>
    <row r="124" spans="2:24">
      <c r="B124" s="3" t="s">
        <v>187</v>
      </c>
      <c r="H124" s="370"/>
      <c r="I124" s="371">
        <f ca="1">ROUND($F$15*$F$24*$F$72/$F$76*$F$88,8)</f>
        <v>1.7758689400000001</v>
      </c>
      <c r="J124" s="86">
        <f t="shared" ca="1" si="7"/>
        <v>0.49452517000000001</v>
      </c>
      <c r="K124" s="86">
        <f t="shared" ca="1" si="8"/>
        <v>1.924702E-2</v>
      </c>
      <c r="L124" s="259">
        <f t="shared" ca="1" si="9"/>
        <v>8.0196E-4</v>
      </c>
      <c r="N124" s="370"/>
      <c r="O124" s="371">
        <f ca="1">ROUND($F$15*$F$24*$F$72/$F$76*$F$90,8)</f>
        <v>0.44396723999999999</v>
      </c>
      <c r="P124" s="86">
        <f t="shared" ca="1" si="10"/>
        <v>0.12363129</v>
      </c>
      <c r="Q124" s="86">
        <f t="shared" ca="1" si="11"/>
        <v>4.81176E-3</v>
      </c>
      <c r="R124" s="259">
        <f t="shared" ca="1" si="12"/>
        <v>2.0049E-4</v>
      </c>
      <c r="S124" s="284"/>
      <c r="T124" s="372"/>
      <c r="U124" s="372"/>
      <c r="V124" s="372"/>
      <c r="W124" s="284"/>
      <c r="X124" s="284"/>
    </row>
    <row r="125" spans="2:24">
      <c r="B125" s="3" t="s">
        <v>188</v>
      </c>
      <c r="H125" s="370"/>
      <c r="I125" s="371"/>
      <c r="J125" s="86">
        <f t="shared" ca="1" si="7"/>
        <v>0.71062707999999997</v>
      </c>
      <c r="K125" s="86">
        <f t="shared" ca="1" si="8"/>
        <v>2.8564829999999999E-2</v>
      </c>
      <c r="L125" s="259">
        <f t="shared" ca="1" si="9"/>
        <v>1.1902099999999999E-3</v>
      </c>
      <c r="N125" s="370"/>
      <c r="O125" s="371"/>
      <c r="P125" s="86">
        <f t="shared" ca="1" si="10"/>
        <v>0.17765676999999999</v>
      </c>
      <c r="Q125" s="86">
        <f t="shared" ca="1" si="11"/>
        <v>7.1412100000000003E-3</v>
      </c>
      <c r="R125" s="259">
        <f t="shared" ca="1" si="12"/>
        <v>2.9755999999999999E-4</v>
      </c>
      <c r="S125" s="284"/>
      <c r="T125" s="372"/>
      <c r="U125" s="372"/>
      <c r="V125" s="372"/>
      <c r="W125" s="284"/>
      <c r="X125" s="284"/>
    </row>
    <row r="126" spans="2:24">
      <c r="B126" s="3" t="s">
        <v>189</v>
      </c>
      <c r="H126" s="370"/>
      <c r="I126" s="371"/>
      <c r="J126" s="86">
        <f t="shared" ca="1" si="7"/>
        <v>0.92536642000000002</v>
      </c>
      <c r="K126" s="86">
        <f t="shared" ca="1" si="8"/>
        <v>3.599952E-2</v>
      </c>
      <c r="L126" s="259">
        <f t="shared" ca="1" si="9"/>
        <v>1.4999799999999999E-3</v>
      </c>
      <c r="N126" s="370"/>
      <c r="O126" s="371"/>
      <c r="P126" s="86">
        <f t="shared" ca="1" si="10"/>
        <v>0.23134161</v>
      </c>
      <c r="Q126" s="86">
        <f t="shared" ca="1" si="11"/>
        <v>8.99988E-3</v>
      </c>
      <c r="R126" s="259">
        <f t="shared" ca="1" si="12"/>
        <v>3.7500000000000001E-4</v>
      </c>
      <c r="S126" s="284"/>
      <c r="T126" s="372"/>
      <c r="U126" s="372"/>
      <c r="V126" s="372"/>
      <c r="W126" s="284"/>
      <c r="X126" s="284"/>
    </row>
    <row r="127" spans="2:24">
      <c r="L127" s="255"/>
      <c r="R127" s="251"/>
      <c r="S127" s="251"/>
      <c r="T127" s="251"/>
      <c r="U127" s="251"/>
      <c r="V127" s="251"/>
      <c r="W127" s="251"/>
      <c r="X127" s="251"/>
    </row>
    <row r="128" spans="2:24">
      <c r="L128" s="255"/>
      <c r="R128" s="251"/>
      <c r="S128" s="251"/>
      <c r="T128" s="251"/>
      <c r="U128" s="251"/>
      <c r="V128" s="251"/>
      <c r="W128" s="251"/>
      <c r="X128" s="251"/>
    </row>
    <row r="129" spans="2:33" s="33" customFormat="1" ht="25.5">
      <c r="B129" s="192" t="s">
        <v>192</v>
      </c>
      <c r="H129" s="33" t="s">
        <v>164</v>
      </c>
      <c r="L129" s="256"/>
      <c r="N129" s="33" t="s">
        <v>165</v>
      </c>
      <c r="R129" s="260"/>
      <c r="S129" s="260"/>
      <c r="T129" s="33" t="s">
        <v>166</v>
      </c>
    </row>
    <row r="130" spans="2:33" s="36" customFormat="1">
      <c r="B130" s="36" t="s">
        <v>1167</v>
      </c>
      <c r="H130" s="36" t="s">
        <v>168</v>
      </c>
      <c r="I130" s="36" t="s">
        <v>169</v>
      </c>
      <c r="J130" s="36" t="s">
        <v>170</v>
      </c>
      <c r="K130" s="36" t="s">
        <v>171</v>
      </c>
      <c r="L130" s="257" t="s">
        <v>172</v>
      </c>
      <c r="N130" s="36" t="s">
        <v>168</v>
      </c>
      <c r="O130" s="36" t="s">
        <v>169</v>
      </c>
      <c r="P130" s="36" t="s">
        <v>170</v>
      </c>
      <c r="Q130" s="36" t="s">
        <v>171</v>
      </c>
      <c r="R130" s="261" t="s">
        <v>172</v>
      </c>
      <c r="S130" s="261"/>
      <c r="T130" s="36" t="s">
        <v>168</v>
      </c>
      <c r="U130" s="36" t="s">
        <v>169</v>
      </c>
      <c r="V130" s="36" t="s">
        <v>170</v>
      </c>
      <c r="W130" s="36" t="s">
        <v>171</v>
      </c>
      <c r="X130" s="36" t="s">
        <v>172</v>
      </c>
    </row>
    <row r="131" spans="2:33" s="34" customFormat="1">
      <c r="H131" s="34" t="s">
        <v>173</v>
      </c>
      <c r="I131" s="34" t="s">
        <v>174</v>
      </c>
      <c r="J131" s="34" t="s">
        <v>175</v>
      </c>
      <c r="K131" s="34" t="s">
        <v>176</v>
      </c>
      <c r="L131" s="258" t="s">
        <v>177</v>
      </c>
      <c r="N131" s="34" t="s">
        <v>173</v>
      </c>
      <c r="O131" s="34" t="s">
        <v>174</v>
      </c>
      <c r="P131" s="34" t="s">
        <v>175</v>
      </c>
      <c r="Q131" s="34" t="s">
        <v>176</v>
      </c>
      <c r="R131" s="262" t="s">
        <v>177</v>
      </c>
      <c r="S131" s="262"/>
      <c r="T131" s="34" t="s">
        <v>173</v>
      </c>
      <c r="U131" s="34" t="s">
        <v>174</v>
      </c>
      <c r="V131" s="34" t="s">
        <v>175</v>
      </c>
      <c r="W131" s="34" t="s">
        <v>176</v>
      </c>
      <c r="X131" s="34" t="s">
        <v>177</v>
      </c>
    </row>
    <row r="132" spans="2:33">
      <c r="J132" s="87"/>
      <c r="L132" s="255"/>
      <c r="R132" s="251"/>
      <c r="S132" s="251"/>
      <c r="T132" s="251"/>
      <c r="U132" s="251"/>
      <c r="V132" s="251"/>
      <c r="W132" s="251"/>
      <c r="X132" s="251"/>
    </row>
    <row r="133" spans="2:33">
      <c r="B133" s="3" t="s">
        <v>178</v>
      </c>
      <c r="H133" s="370">
        <f ca="1">ROUND((1-$F$81)*F87,8)</f>
        <v>5.4803982900000001</v>
      </c>
      <c r="I133" s="371">
        <f ca="1">ROUND((1-$F$81)*$F$15*$F$21*$F$69/$F$76*$F$87,8)</f>
        <v>2.50334083</v>
      </c>
      <c r="J133" s="86">
        <f t="shared" ref="J133:J144" ca="1" si="13">ROUND((1-$F$81)*$F$16*$F27*$F55/$F$76*$F$87,8)</f>
        <v>1.1973919500000001</v>
      </c>
      <c r="K133" s="86">
        <f t="shared" ref="K133:K144" ca="1" si="14">ROUND((1-$F$81)*$F$17*$F41/$F$76*$F$87,8)</f>
        <v>4.6587139999999999E-2</v>
      </c>
      <c r="L133" s="254">
        <f t="shared" ref="L133:L144" ca="1" si="15">ROUNDUP((1-$F$81)*$F$18*$F41/$F$77*$F$87,8)</f>
        <v>1.9411399999999998E-3</v>
      </c>
      <c r="N133" s="370">
        <f ca="1">ROUND((1-F81)*F89,8)</f>
        <v>1.37009957</v>
      </c>
      <c r="O133" s="371">
        <f ca="1">ROUND((1-$F$81)*$F$15*$F$21*$F$69/$F$76*$F$89,8)</f>
        <v>0.62583520999999998</v>
      </c>
      <c r="P133" s="86">
        <f t="shared" ref="P133:P144" ca="1" si="16">ROUND((1-$F$81)*$F$16*$F27*$F55/$F$76*$F$89,8)</f>
        <v>0.29934799000000001</v>
      </c>
      <c r="Q133" s="86">
        <f t="shared" ref="Q133:Q144" ca="1" si="17">ROUND((1-$F$81)*$F$17*$F41/$F$76*$F$89,8)</f>
        <v>1.1646780000000001E-2</v>
      </c>
      <c r="R133" s="259">
        <f t="shared" ref="R133:R144" ca="1" si="18">ROUNDUP((1-$F$81)*$F$18*$F41/$F$77*$F$89,8)</f>
        <v>4.8528999999999998E-4</v>
      </c>
      <c r="S133" s="284"/>
      <c r="T133" s="370">
        <f ca="1">ROUND((1-F81)*F91,8)</f>
        <v>5.4803982900000001</v>
      </c>
      <c r="U133" s="371">
        <f ca="1">ROUND((1-$F$81)*$F$15*$F$21*$F$69/$F$76*$F$91,8)</f>
        <v>2.50334083</v>
      </c>
      <c r="V133" s="285">
        <f t="shared" ref="V133:V144" ca="1" si="19">ROUND((1-$F$81)*$F$16*$F27*$F55/$F$76*$F$91,8)</f>
        <v>1.1973919500000001</v>
      </c>
      <c r="W133" s="285">
        <f t="shared" ref="W133:W144" ca="1" si="20">ROUND((1-$F$81)*$F$17*$F41/$F$76*$F$91,8)</f>
        <v>4.6587139999999999E-2</v>
      </c>
      <c r="X133" s="259">
        <f t="shared" ref="X133:X144" ca="1" si="21">ROUNDUP((1-$F$81)*$F$18*$F41/$F$77*$F$91,8)</f>
        <v>1.9411399999999998E-3</v>
      </c>
      <c r="AG133" s="253"/>
    </row>
    <row r="134" spans="2:33">
      <c r="B134" s="3" t="s">
        <v>179</v>
      </c>
      <c r="H134" s="370"/>
      <c r="I134" s="371"/>
      <c r="J134" s="86">
        <f t="shared" ca="1" si="13"/>
        <v>0.96674225999999996</v>
      </c>
      <c r="K134" s="86">
        <f t="shared" ca="1" si="14"/>
        <v>4.164727E-2</v>
      </c>
      <c r="L134" s="254">
        <f t="shared" ca="1" si="15"/>
        <v>1.7353099999999999E-3</v>
      </c>
      <c r="N134" s="370"/>
      <c r="O134" s="371"/>
      <c r="P134" s="86">
        <f t="shared" ca="1" si="16"/>
        <v>0.24168555999999999</v>
      </c>
      <c r="Q134" s="86">
        <f t="shared" ca="1" si="17"/>
        <v>1.041182E-2</v>
      </c>
      <c r="R134" s="259">
        <f t="shared" ca="1" si="18"/>
        <v>4.3383000000000001E-4</v>
      </c>
      <c r="S134" s="284"/>
      <c r="T134" s="370"/>
      <c r="U134" s="371"/>
      <c r="V134" s="285">
        <f t="shared" ca="1" si="19"/>
        <v>0.96674225999999996</v>
      </c>
      <c r="W134" s="285">
        <f t="shared" ca="1" si="20"/>
        <v>4.164727E-2</v>
      </c>
      <c r="X134" s="259">
        <f t="shared" ca="1" si="21"/>
        <v>1.7353099999999999E-3</v>
      </c>
      <c r="AG134" s="253"/>
    </row>
    <row r="135" spans="2:33">
      <c r="B135" s="3" t="s">
        <v>180</v>
      </c>
      <c r="H135" s="370"/>
      <c r="I135" s="371"/>
      <c r="J135" s="86">
        <f t="shared" ca="1" si="13"/>
        <v>0.83712708000000002</v>
      </c>
      <c r="K135" s="86">
        <f t="shared" ca="1" si="14"/>
        <v>3.2555819999999999E-2</v>
      </c>
      <c r="L135" s="254">
        <f t="shared" ca="1" si="15"/>
        <v>1.3564999999999998E-3</v>
      </c>
      <c r="N135" s="370"/>
      <c r="O135" s="371"/>
      <c r="P135" s="86">
        <f t="shared" ca="1" si="16"/>
        <v>0.20928177000000001</v>
      </c>
      <c r="Q135" s="86">
        <f t="shared" ca="1" si="17"/>
        <v>8.1389500000000007E-3</v>
      </c>
      <c r="R135" s="259">
        <f t="shared" ca="1" si="18"/>
        <v>3.3912999999999999E-4</v>
      </c>
      <c r="S135" s="284"/>
      <c r="T135" s="370"/>
      <c r="U135" s="371"/>
      <c r="V135" s="285">
        <f t="shared" ca="1" si="19"/>
        <v>0.83712708000000002</v>
      </c>
      <c r="W135" s="285">
        <f t="shared" ca="1" si="20"/>
        <v>3.2555819999999999E-2</v>
      </c>
      <c r="X135" s="259">
        <f t="shared" ca="1" si="21"/>
        <v>1.3564999999999998E-3</v>
      </c>
    </row>
    <row r="136" spans="2:33">
      <c r="B136" s="3" t="s">
        <v>181</v>
      </c>
      <c r="H136" s="370"/>
      <c r="I136" s="371">
        <f ca="1">ROUND((1-$F$81)*$F$15*$F$22*$F$70/$F$76*$F$87,8)</f>
        <v>1.33901896</v>
      </c>
      <c r="J136" s="86">
        <f t="shared" ca="1" si="13"/>
        <v>0.60404499</v>
      </c>
      <c r="K136" s="86">
        <f t="shared" ca="1" si="14"/>
        <v>2.4278919999999999E-2</v>
      </c>
      <c r="L136" s="254">
        <f t="shared" ca="1" si="15"/>
        <v>1.0116299999999999E-3</v>
      </c>
      <c r="N136" s="370"/>
      <c r="O136" s="371">
        <f ca="1">ROUND((1-$F$81)*$F$15*$F$22*$F$70/$F$76*$F$89,8)</f>
        <v>0.33475474</v>
      </c>
      <c r="P136" s="86">
        <f t="shared" ca="1" si="16"/>
        <v>0.15101125000000001</v>
      </c>
      <c r="Q136" s="86">
        <f t="shared" ca="1" si="17"/>
        <v>6.0697299999999997E-3</v>
      </c>
      <c r="R136" s="259">
        <f t="shared" ca="1" si="18"/>
        <v>2.5291000000000002E-4</v>
      </c>
      <c r="S136" s="284"/>
      <c r="T136" s="370"/>
      <c r="U136" s="371">
        <f ca="1">ROUND((1-$F$81)*$F$15*$F$22*$F$70/$F$76*$F$91,8)</f>
        <v>1.33901896</v>
      </c>
      <c r="V136" s="285">
        <f t="shared" ca="1" si="19"/>
        <v>0.60404499</v>
      </c>
      <c r="W136" s="285">
        <f t="shared" ca="1" si="20"/>
        <v>2.4278919999999999E-2</v>
      </c>
      <c r="X136" s="259">
        <f t="shared" ca="1" si="21"/>
        <v>1.0116299999999999E-3</v>
      </c>
    </row>
    <row r="137" spans="2:33">
      <c r="B137" s="3" t="s">
        <v>182</v>
      </c>
      <c r="H137" s="370"/>
      <c r="I137" s="371"/>
      <c r="J137" s="86">
        <f t="shared" ca="1" si="13"/>
        <v>0.55296467999999999</v>
      </c>
      <c r="K137" s="86">
        <f t="shared" ca="1" si="14"/>
        <v>2.1519949999999999E-2</v>
      </c>
      <c r="L137" s="254">
        <f t="shared" ca="1" si="15"/>
        <v>8.9667000000000002E-4</v>
      </c>
      <c r="N137" s="370"/>
      <c r="O137" s="371"/>
      <c r="P137" s="86">
        <f t="shared" ca="1" si="16"/>
        <v>0.13824117</v>
      </c>
      <c r="Q137" s="86">
        <f t="shared" ca="1" si="17"/>
        <v>5.3799900000000003E-3</v>
      </c>
      <c r="R137" s="259">
        <f t="shared" ca="1" si="18"/>
        <v>2.2416999999999999E-4</v>
      </c>
      <c r="S137" s="284"/>
      <c r="T137" s="370"/>
      <c r="U137" s="371"/>
      <c r="V137" s="285">
        <f t="shared" ca="1" si="19"/>
        <v>0.55296467999999999</v>
      </c>
      <c r="W137" s="285">
        <f t="shared" ca="1" si="20"/>
        <v>2.1519949999999999E-2</v>
      </c>
      <c r="X137" s="259">
        <f t="shared" ca="1" si="21"/>
        <v>8.9667000000000002E-4</v>
      </c>
    </row>
    <row r="138" spans="2:33">
      <c r="B138" s="3" t="s">
        <v>183</v>
      </c>
      <c r="H138" s="370"/>
      <c r="I138" s="371"/>
      <c r="J138" s="86">
        <f t="shared" ca="1" si="13"/>
        <v>0.44931758999999999</v>
      </c>
      <c r="K138" s="86">
        <f t="shared" ca="1" si="14"/>
        <v>1.807781E-2</v>
      </c>
      <c r="L138" s="254">
        <f t="shared" ca="1" si="15"/>
        <v>7.5325000000000001E-4</v>
      </c>
      <c r="N138" s="370"/>
      <c r="O138" s="371"/>
      <c r="P138" s="86">
        <f t="shared" ca="1" si="16"/>
        <v>0.1123294</v>
      </c>
      <c r="Q138" s="86">
        <f t="shared" ca="1" si="17"/>
        <v>4.5194500000000004E-3</v>
      </c>
      <c r="R138" s="259">
        <f t="shared" ca="1" si="18"/>
        <v>1.8831999999999999E-4</v>
      </c>
      <c r="S138" s="284"/>
      <c r="T138" s="370"/>
      <c r="U138" s="371"/>
      <c r="V138" s="285">
        <f t="shared" ca="1" si="19"/>
        <v>0.44931758999999999</v>
      </c>
      <c r="W138" s="285">
        <f t="shared" ca="1" si="20"/>
        <v>1.807781E-2</v>
      </c>
      <c r="X138" s="259">
        <f t="shared" ca="1" si="21"/>
        <v>7.5325000000000001E-4</v>
      </c>
    </row>
    <row r="139" spans="2:33">
      <c r="B139" s="3" t="s">
        <v>184</v>
      </c>
      <c r="H139" s="370"/>
      <c r="I139" s="371">
        <f ca="1">ROUND((1-$F$81)*$F$15*$F$23*$F$71/$F$76*$F$87,8)</f>
        <v>1.08609482</v>
      </c>
      <c r="J139" s="86">
        <f t="shared" ca="1" si="13"/>
        <v>0.43846189000000002</v>
      </c>
      <c r="K139" s="86">
        <f t="shared" ca="1" si="14"/>
        <v>1.705305E-2</v>
      </c>
      <c r="L139" s="254">
        <f t="shared" ca="1" si="15"/>
        <v>7.1055000000000001E-4</v>
      </c>
      <c r="N139" s="370"/>
      <c r="O139" s="371">
        <f ca="1">ROUND((1-$F$81)*$F$15*$F$23*$F$71/$F$76*$F$89,8)</f>
        <v>0.27152370999999997</v>
      </c>
      <c r="P139" s="86">
        <f t="shared" ca="1" si="16"/>
        <v>0.10961547000000001</v>
      </c>
      <c r="Q139" s="86">
        <f t="shared" ca="1" si="17"/>
        <v>4.2632599999999996E-3</v>
      </c>
      <c r="R139" s="259">
        <f t="shared" ca="1" si="18"/>
        <v>1.7763999999999999E-4</v>
      </c>
      <c r="S139" s="284"/>
      <c r="T139" s="370"/>
      <c r="U139" s="371">
        <f ca="1">ROUND((1-$F$81)*$F$15*$F$23*$F$71/$F$76*$F$91,8)</f>
        <v>1.08609482</v>
      </c>
      <c r="V139" s="285">
        <f t="shared" ca="1" si="19"/>
        <v>0.43846189000000002</v>
      </c>
      <c r="W139" s="285">
        <f t="shared" ca="1" si="20"/>
        <v>1.705305E-2</v>
      </c>
      <c r="X139" s="259">
        <f t="shared" ca="1" si="21"/>
        <v>7.1055000000000001E-4</v>
      </c>
    </row>
    <row r="140" spans="2:33">
      <c r="B140" s="3" t="s">
        <v>185</v>
      </c>
      <c r="H140" s="370"/>
      <c r="I140" s="371"/>
      <c r="J140" s="86">
        <f t="shared" ca="1" si="13"/>
        <v>0.41681806999999998</v>
      </c>
      <c r="K140" s="86">
        <f t="shared" ca="1" si="14"/>
        <v>1.6238499999999999E-2</v>
      </c>
      <c r="L140" s="254">
        <f t="shared" ca="1" si="15"/>
        <v>6.7661000000000002E-4</v>
      </c>
      <c r="N140" s="370"/>
      <c r="O140" s="371"/>
      <c r="P140" s="86">
        <f t="shared" ca="1" si="16"/>
        <v>0.10420451999999999</v>
      </c>
      <c r="Q140" s="86">
        <f t="shared" ca="1" si="17"/>
        <v>4.0596199999999999E-3</v>
      </c>
      <c r="R140" s="259">
        <f t="shared" ca="1" si="18"/>
        <v>1.6915999999999999E-4</v>
      </c>
      <c r="S140" s="284"/>
      <c r="T140" s="370"/>
      <c r="U140" s="371"/>
      <c r="V140" s="285">
        <f t="shared" ca="1" si="19"/>
        <v>0.41681806999999998</v>
      </c>
      <c r="W140" s="285">
        <f t="shared" ca="1" si="20"/>
        <v>1.6238499999999999E-2</v>
      </c>
      <c r="X140" s="259">
        <f t="shared" ca="1" si="21"/>
        <v>6.7661000000000002E-4</v>
      </c>
    </row>
    <row r="141" spans="2:33">
      <c r="B141" s="3" t="s">
        <v>186</v>
      </c>
      <c r="H141" s="370"/>
      <c r="I141" s="371"/>
      <c r="J141" s="86">
        <f t="shared" ca="1" si="13"/>
        <v>0.44796625000000001</v>
      </c>
      <c r="K141" s="86">
        <f t="shared" ca="1" si="14"/>
        <v>1.8025260000000001E-2</v>
      </c>
      <c r="L141" s="254">
        <f t="shared" ca="1" si="15"/>
        <v>7.5106000000000001E-4</v>
      </c>
      <c r="N141" s="370"/>
      <c r="O141" s="371"/>
      <c r="P141" s="86">
        <f t="shared" ca="1" si="16"/>
        <v>0.11199156</v>
      </c>
      <c r="Q141" s="86">
        <f t="shared" ca="1" si="17"/>
        <v>4.5063100000000004E-3</v>
      </c>
      <c r="R141" s="259">
        <f t="shared" ca="1" si="18"/>
        <v>1.8777E-4</v>
      </c>
      <c r="S141" s="284"/>
      <c r="T141" s="370"/>
      <c r="U141" s="371"/>
      <c r="V141" s="285">
        <f t="shared" ca="1" si="19"/>
        <v>0.44796625000000001</v>
      </c>
      <c r="W141" s="285">
        <f t="shared" ca="1" si="20"/>
        <v>1.8025260000000001E-2</v>
      </c>
      <c r="X141" s="259">
        <f t="shared" ca="1" si="21"/>
        <v>7.5106000000000001E-4</v>
      </c>
    </row>
    <row r="142" spans="2:33">
      <c r="B142" s="3" t="s">
        <v>187</v>
      </c>
      <c r="H142" s="370"/>
      <c r="I142" s="371">
        <f ca="1">ROUND((1-$F$81)*$F$15*$F$24*$F$72/$F$76*$F$87,8)</f>
        <v>1.9080044199999999</v>
      </c>
      <c r="J142" s="86">
        <f t="shared" ca="1" si="13"/>
        <v>0.53132086000000001</v>
      </c>
      <c r="K142" s="86">
        <f t="shared" ca="1" si="14"/>
        <v>2.0679119999999999E-2</v>
      </c>
      <c r="L142" s="254">
        <f t="shared" ca="1" si="15"/>
        <v>8.6163000000000006E-4</v>
      </c>
      <c r="N142" s="370"/>
      <c r="O142" s="371">
        <f ca="1">ROUND((1-$F$81)*$F$15*$F$24*$F$72/$F$76*$F$89,8)</f>
        <v>0.47700110000000001</v>
      </c>
      <c r="P142" s="86">
        <f t="shared" ca="1" si="16"/>
        <v>0.13283022</v>
      </c>
      <c r="Q142" s="86">
        <f t="shared" ca="1" si="17"/>
        <v>5.1697799999999997E-3</v>
      </c>
      <c r="R142" s="259">
        <f t="shared" ca="1" si="18"/>
        <v>2.1541E-4</v>
      </c>
      <c r="S142" s="284"/>
      <c r="T142" s="370"/>
      <c r="U142" s="371">
        <f ca="1">ROUND((1-$F$81)*$F$15*$F$24*$F$72/$F$76*$F$91,8)</f>
        <v>1.9080044199999999</v>
      </c>
      <c r="V142" s="285">
        <f t="shared" ca="1" si="19"/>
        <v>0.53132086000000001</v>
      </c>
      <c r="W142" s="285">
        <f t="shared" ca="1" si="20"/>
        <v>2.0679119999999999E-2</v>
      </c>
      <c r="X142" s="259">
        <f t="shared" ca="1" si="21"/>
        <v>8.6163000000000006E-4</v>
      </c>
    </row>
    <row r="143" spans="2:33">
      <c r="B143" s="3" t="s">
        <v>188</v>
      </c>
      <c r="H143" s="370"/>
      <c r="I143" s="371"/>
      <c r="J143" s="86">
        <f t="shared" ca="1" si="13"/>
        <v>0.76350205999999998</v>
      </c>
      <c r="K143" s="86">
        <f t="shared" ca="1" si="14"/>
        <v>3.0690229999999999E-2</v>
      </c>
      <c r="L143" s="254">
        <f t="shared" ca="1" si="15"/>
        <v>1.2787599999999999E-3</v>
      </c>
      <c r="N143" s="370"/>
      <c r="O143" s="371"/>
      <c r="P143" s="86">
        <f t="shared" ca="1" si="16"/>
        <v>0.19087551999999999</v>
      </c>
      <c r="Q143" s="86">
        <f t="shared" ca="1" si="17"/>
        <v>7.6725600000000001E-3</v>
      </c>
      <c r="R143" s="259">
        <f t="shared" ca="1" si="18"/>
        <v>3.1968999999999997E-4</v>
      </c>
      <c r="S143" s="284"/>
      <c r="T143" s="370"/>
      <c r="U143" s="371"/>
      <c r="V143" s="285">
        <f t="shared" ca="1" si="19"/>
        <v>0.76350205999999998</v>
      </c>
      <c r="W143" s="285">
        <f t="shared" ca="1" si="20"/>
        <v>3.0690229999999999E-2</v>
      </c>
      <c r="X143" s="259">
        <f t="shared" ca="1" si="21"/>
        <v>1.2787599999999999E-3</v>
      </c>
    </row>
    <row r="144" spans="2:33">
      <c r="B144" s="3" t="s">
        <v>189</v>
      </c>
      <c r="H144" s="370"/>
      <c r="I144" s="371"/>
      <c r="J144" s="86">
        <f t="shared" ca="1" si="13"/>
        <v>0.99421932000000002</v>
      </c>
      <c r="K144" s="86">
        <f t="shared" ca="1" si="14"/>
        <v>3.86781E-2</v>
      </c>
      <c r="L144" s="254">
        <f t="shared" ca="1" si="15"/>
        <v>1.61159E-3</v>
      </c>
      <c r="N144" s="370"/>
      <c r="O144" s="371"/>
      <c r="P144" s="86">
        <f t="shared" ca="1" si="16"/>
        <v>0.24855483</v>
      </c>
      <c r="Q144" s="86">
        <f t="shared" ca="1" si="17"/>
        <v>9.6695199999999992E-3</v>
      </c>
      <c r="R144" s="259">
        <f t="shared" ca="1" si="18"/>
        <v>4.0289999999999998E-4</v>
      </c>
      <c r="S144" s="284"/>
      <c r="T144" s="370"/>
      <c r="U144" s="371"/>
      <c r="V144" s="285">
        <f t="shared" ca="1" si="19"/>
        <v>0.99421932000000002</v>
      </c>
      <c r="W144" s="285">
        <f t="shared" ca="1" si="20"/>
        <v>3.86781E-2</v>
      </c>
      <c r="X144" s="259">
        <f t="shared" ca="1" si="21"/>
        <v>1.61159E-3</v>
      </c>
    </row>
    <row r="145" spans="2:24">
      <c r="L145" s="255"/>
      <c r="R145" s="251"/>
      <c r="S145" s="251"/>
      <c r="T145" s="251"/>
      <c r="U145" s="251"/>
      <c r="V145" s="251"/>
      <c r="W145" s="251"/>
      <c r="X145" s="251"/>
    </row>
    <row r="146" spans="2:24" s="33" customFormat="1" ht="25.5">
      <c r="B146" s="192" t="s">
        <v>1168</v>
      </c>
      <c r="H146" s="33" t="s">
        <v>164</v>
      </c>
      <c r="L146" s="256"/>
      <c r="N146" s="33" t="s">
        <v>165</v>
      </c>
      <c r="R146" s="260"/>
      <c r="S146" s="260"/>
      <c r="T146" s="260"/>
      <c r="U146" s="260"/>
      <c r="V146" s="260"/>
      <c r="W146" s="260"/>
      <c r="X146" s="260"/>
    </row>
    <row r="147" spans="2:24" s="36" customFormat="1">
      <c r="B147" s="36" t="s">
        <v>195</v>
      </c>
      <c r="H147" s="36" t="s">
        <v>168</v>
      </c>
      <c r="I147" s="36" t="s">
        <v>169</v>
      </c>
      <c r="J147" s="36" t="s">
        <v>170</v>
      </c>
      <c r="K147" s="36" t="s">
        <v>171</v>
      </c>
      <c r="L147" s="257" t="s">
        <v>172</v>
      </c>
      <c r="N147" s="36" t="s">
        <v>168</v>
      </c>
      <c r="O147" s="36" t="s">
        <v>169</v>
      </c>
      <c r="P147" s="36" t="s">
        <v>170</v>
      </c>
      <c r="Q147" s="36" t="s">
        <v>171</v>
      </c>
      <c r="R147" s="261" t="s">
        <v>172</v>
      </c>
      <c r="S147" s="261"/>
      <c r="T147" s="261"/>
      <c r="U147" s="261"/>
      <c r="V147" s="261"/>
      <c r="W147" s="261"/>
      <c r="X147" s="261"/>
    </row>
    <row r="148" spans="2:24" s="34" customFormat="1">
      <c r="H148" s="34" t="s">
        <v>173</v>
      </c>
      <c r="I148" s="34" t="s">
        <v>174</v>
      </c>
      <c r="J148" s="34" t="s">
        <v>175</v>
      </c>
      <c r="K148" s="34" t="s">
        <v>176</v>
      </c>
      <c r="L148" s="258" t="s">
        <v>177</v>
      </c>
      <c r="N148" s="34" t="s">
        <v>173</v>
      </c>
      <c r="O148" s="34" t="s">
        <v>174</v>
      </c>
      <c r="P148" s="34" t="s">
        <v>175</v>
      </c>
      <c r="Q148" s="34" t="s">
        <v>176</v>
      </c>
      <c r="R148" s="262" t="s">
        <v>177</v>
      </c>
      <c r="S148" s="262"/>
      <c r="T148" s="262"/>
      <c r="U148" s="262"/>
      <c r="V148" s="262"/>
      <c r="W148" s="262"/>
      <c r="X148" s="262"/>
    </row>
    <row r="149" spans="2:24">
      <c r="L149" s="255"/>
      <c r="R149" s="251"/>
      <c r="S149" s="251"/>
      <c r="T149" s="251"/>
      <c r="U149" s="251"/>
      <c r="V149" s="251"/>
      <c r="W149" s="251"/>
      <c r="X149" s="251"/>
    </row>
    <row r="150" spans="2:24">
      <c r="B150" s="3" t="s">
        <v>178</v>
      </c>
      <c r="H150" s="370">
        <f ca="1">ROUND((1-$F$82)*F88,8)</f>
        <v>5.1003528999999999</v>
      </c>
      <c r="I150" s="371">
        <f ca="1">ROUND((1-$F$82)*$F$15*$F$21*$F$69/$F$76*$F$88,8)</f>
        <v>2.32974339</v>
      </c>
      <c r="J150" s="86">
        <f t="shared" ref="J150:J161" ca="1" si="22">ROUND((1-$F$82)*$F$16*$F27*$F55/$F$76*$F$88,8)</f>
        <v>1.1143572399999999</v>
      </c>
      <c r="K150" s="86">
        <f t="shared" ref="K150:K161" ca="1" si="23">ROUND((1-$F$82)*$F$17*$F41/$F$76*$F$88,8)</f>
        <v>4.3356489999999998E-2</v>
      </c>
      <c r="L150" s="254">
        <f t="shared" ref="L150:L161" ca="1" si="24">ROUNDUP((1-$F$82)*$F$18*$F41/$F$77*$F$88,8)</f>
        <v>1.80653E-3</v>
      </c>
      <c r="N150" s="370">
        <f ca="1">ROUND((1-$F$82)*F90,8)</f>
        <v>1.27508822</v>
      </c>
      <c r="O150" s="371">
        <f ca="1">ROUND((1-$F$82)*$F$15*$F$21*$F$69/$F$76*$F$90,8)</f>
        <v>0.58243584999999998</v>
      </c>
      <c r="P150" s="86">
        <f t="shared" ref="P150:P161" ca="1" si="25">ROUND((1-$F$82)*$F$16*$F27*$F55/$F$76*$F$90,8)</f>
        <v>0.27858930999999998</v>
      </c>
      <c r="Q150" s="86">
        <f t="shared" ref="Q150:Q161" ca="1" si="26">ROUND((1-$F$82)*$F$17*$F41/$F$76*$F$90,8)</f>
        <v>1.0839120000000001E-2</v>
      </c>
      <c r="R150" s="259">
        <f t="shared" ref="R150:R161" ca="1" si="27">ROUNDUP((1-$F$82)*$F$18*$F41/$F$77*$F$90,8)</f>
        <v>4.5164000000000001E-4</v>
      </c>
      <c r="S150" s="284"/>
      <c r="T150" s="284"/>
      <c r="U150" s="284"/>
      <c r="V150" s="284"/>
      <c r="W150" s="284"/>
      <c r="X150" s="284"/>
    </row>
    <row r="151" spans="2:24">
      <c r="B151" s="3" t="s">
        <v>179</v>
      </c>
      <c r="H151" s="370"/>
      <c r="I151" s="371"/>
      <c r="J151" s="86">
        <f t="shared" ca="1" si="22"/>
        <v>0.89970225000000004</v>
      </c>
      <c r="K151" s="86">
        <f t="shared" ca="1" si="23"/>
        <v>3.8759189999999999E-2</v>
      </c>
      <c r="L151" s="254">
        <f t="shared" ca="1" si="24"/>
        <v>1.6149699999999999E-3</v>
      </c>
      <c r="N151" s="370"/>
      <c r="O151" s="371"/>
      <c r="P151" s="86">
        <f t="shared" ca="1" si="25"/>
        <v>0.22492556</v>
      </c>
      <c r="Q151" s="86">
        <f t="shared" ca="1" si="26"/>
        <v>9.6898000000000001E-3</v>
      </c>
      <c r="R151" s="259">
        <f t="shared" ca="1" si="27"/>
        <v>4.0374999999999997E-4</v>
      </c>
      <c r="S151" s="284"/>
      <c r="T151" s="284"/>
      <c r="U151" s="284"/>
      <c r="V151" s="284"/>
      <c r="W151" s="284"/>
      <c r="X151" s="284"/>
    </row>
    <row r="152" spans="2:24">
      <c r="B152" s="3" t="s">
        <v>180</v>
      </c>
      <c r="H152" s="370"/>
      <c r="I152" s="371"/>
      <c r="J152" s="86">
        <f t="shared" ca="1" si="22"/>
        <v>0.77907541000000002</v>
      </c>
      <c r="K152" s="86">
        <f t="shared" ca="1" si="23"/>
        <v>3.0298189999999999E-2</v>
      </c>
      <c r="L152" s="254">
        <f t="shared" ca="1" si="24"/>
        <v>1.2624299999999999E-3</v>
      </c>
      <c r="N152" s="370"/>
      <c r="O152" s="371"/>
      <c r="P152" s="86">
        <f t="shared" ca="1" si="25"/>
        <v>0.19476884999999999</v>
      </c>
      <c r="Q152" s="86">
        <f t="shared" ca="1" si="26"/>
        <v>7.5745500000000002E-3</v>
      </c>
      <c r="R152" s="259">
        <f t="shared" ca="1" si="27"/>
        <v>3.1560999999999997E-4</v>
      </c>
      <c r="S152" s="284"/>
      <c r="T152" s="284"/>
      <c r="U152" s="284"/>
      <c r="V152" s="284"/>
      <c r="W152" s="284"/>
      <c r="X152" s="284"/>
    </row>
    <row r="153" spans="2:24">
      <c r="B153" s="3" t="s">
        <v>181</v>
      </c>
      <c r="H153" s="370"/>
      <c r="I153" s="371">
        <f ca="1">ROUND((1-$F$82)*$F$15*$F$22*$F$70/$F$76*$F$88,8)</f>
        <v>1.2461629400000001</v>
      </c>
      <c r="J153" s="86">
        <f t="shared" ca="1" si="22"/>
        <v>0.56215669999999995</v>
      </c>
      <c r="K153" s="86">
        <f t="shared" ca="1" si="23"/>
        <v>2.2595259999999999E-2</v>
      </c>
      <c r="L153" s="254">
        <f t="shared" ca="1" si="24"/>
        <v>9.4147000000000002E-4</v>
      </c>
      <c r="N153" s="370"/>
      <c r="O153" s="371">
        <f ca="1">ROUND((1-$F$82)*$F$15*$F$22*$F$70/$F$76*$F$90,8)</f>
        <v>0.31154072999999999</v>
      </c>
      <c r="P153" s="86">
        <f t="shared" ca="1" si="25"/>
        <v>0.14053918000000001</v>
      </c>
      <c r="Q153" s="86">
        <f t="shared" ca="1" si="26"/>
        <v>5.6488199999999997E-3</v>
      </c>
      <c r="R153" s="259">
        <f t="shared" ca="1" si="27"/>
        <v>2.3536999999999999E-4</v>
      </c>
      <c r="S153" s="284"/>
      <c r="T153" s="284"/>
      <c r="U153" s="284"/>
      <c r="V153" s="284"/>
      <c r="W153" s="284"/>
      <c r="X153" s="284"/>
    </row>
    <row r="154" spans="2:24">
      <c r="B154" s="3" t="s">
        <v>182</v>
      </c>
      <c r="H154" s="370"/>
      <c r="I154" s="371"/>
      <c r="J154" s="86">
        <f t="shared" ca="1" si="22"/>
        <v>0.51461862000000003</v>
      </c>
      <c r="K154" s="86">
        <f t="shared" ca="1" si="23"/>
        <v>2.0027619999999999E-2</v>
      </c>
      <c r="L154" s="254">
        <f t="shared" ca="1" si="24"/>
        <v>8.3449000000000001E-4</v>
      </c>
      <c r="N154" s="370"/>
      <c r="O154" s="371"/>
      <c r="P154" s="86">
        <f t="shared" ca="1" si="25"/>
        <v>0.12865466</v>
      </c>
      <c r="Q154" s="86">
        <f t="shared" ca="1" si="26"/>
        <v>5.0068999999999999E-3</v>
      </c>
      <c r="R154" s="259">
        <f t="shared" ca="1" si="27"/>
        <v>2.0862999999999999E-4</v>
      </c>
      <c r="S154" s="284"/>
      <c r="T154" s="284"/>
      <c r="U154" s="284"/>
      <c r="V154" s="284"/>
      <c r="W154" s="284"/>
      <c r="X154" s="284"/>
    </row>
    <row r="155" spans="2:24">
      <c r="B155" s="3" t="s">
        <v>183</v>
      </c>
      <c r="H155" s="370"/>
      <c r="I155" s="371"/>
      <c r="J155" s="86">
        <f t="shared" ca="1" si="22"/>
        <v>0.41815907000000002</v>
      </c>
      <c r="K155" s="86">
        <f t="shared" ca="1" si="23"/>
        <v>1.6824180000000001E-2</v>
      </c>
      <c r="L155" s="254">
        <f t="shared" ca="1" si="24"/>
        <v>7.0101000000000007E-4</v>
      </c>
      <c r="N155" s="370"/>
      <c r="O155" s="371"/>
      <c r="P155" s="86">
        <f t="shared" ca="1" si="25"/>
        <v>0.10453977</v>
      </c>
      <c r="Q155" s="86">
        <f t="shared" ca="1" si="26"/>
        <v>4.2060400000000003E-3</v>
      </c>
      <c r="R155" s="259">
        <f t="shared" ca="1" si="27"/>
        <v>1.7526E-4</v>
      </c>
      <c r="S155" s="284"/>
      <c r="T155" s="284"/>
      <c r="U155" s="284"/>
      <c r="V155" s="284"/>
      <c r="W155" s="284"/>
      <c r="X155" s="284"/>
    </row>
    <row r="156" spans="2:24">
      <c r="B156" s="3" t="s">
        <v>184</v>
      </c>
      <c r="H156" s="370"/>
      <c r="I156" s="371">
        <f ca="1">ROUND((1-$F$82)*$F$15*$F$23*$F$71/$F$76*$F$88,8)</f>
        <v>1.0107781600000001</v>
      </c>
      <c r="J156" s="86">
        <f t="shared" ca="1" si="22"/>
        <v>0.40805617999999999</v>
      </c>
      <c r="K156" s="86">
        <f t="shared" ca="1" si="23"/>
        <v>1.5870479999999999E-2</v>
      </c>
      <c r="L156" s="254">
        <f t="shared" ca="1" si="24"/>
        <v>6.6128000000000009E-4</v>
      </c>
      <c r="N156" s="370"/>
      <c r="O156" s="371">
        <f ca="1">ROUND((1-$F$82)*$F$15*$F$23*$F$71/$F$76*$F$90,8)</f>
        <v>0.25269454000000002</v>
      </c>
      <c r="P156" s="86">
        <f t="shared" ca="1" si="25"/>
        <v>0.10201404</v>
      </c>
      <c r="Q156" s="86">
        <f t="shared" ca="1" si="26"/>
        <v>3.9676199999999998E-3</v>
      </c>
      <c r="R156" s="259">
        <f t="shared" ca="1" si="27"/>
        <v>1.6532E-4</v>
      </c>
      <c r="S156" s="284"/>
      <c r="T156" s="284"/>
      <c r="U156" s="284"/>
      <c r="V156" s="284"/>
      <c r="W156" s="284"/>
      <c r="X156" s="284"/>
    </row>
    <row r="157" spans="2:24">
      <c r="B157" s="3" t="s">
        <v>185</v>
      </c>
      <c r="H157" s="370"/>
      <c r="I157" s="371"/>
      <c r="J157" s="86">
        <f t="shared" ca="1" si="22"/>
        <v>0.38791328000000003</v>
      </c>
      <c r="K157" s="86">
        <f t="shared" ca="1" si="23"/>
        <v>1.511242E-2</v>
      </c>
      <c r="L157" s="254">
        <f t="shared" ca="1" si="24"/>
        <v>6.2969000000000002E-4</v>
      </c>
      <c r="N157" s="370"/>
      <c r="O157" s="371"/>
      <c r="P157" s="86">
        <f t="shared" ca="1" si="25"/>
        <v>9.6978320000000007E-2</v>
      </c>
      <c r="Q157" s="86">
        <f t="shared" ca="1" si="26"/>
        <v>3.7780999999999999E-3</v>
      </c>
      <c r="R157" s="259">
        <f t="shared" ca="1" si="27"/>
        <v>1.5742999999999999E-4</v>
      </c>
      <c r="S157" s="284"/>
      <c r="T157" s="284"/>
      <c r="U157" s="284"/>
      <c r="V157" s="284"/>
      <c r="W157" s="284"/>
      <c r="X157" s="284"/>
    </row>
    <row r="158" spans="2:24">
      <c r="B158" s="3" t="s">
        <v>186</v>
      </c>
      <c r="H158" s="370"/>
      <c r="I158" s="371"/>
      <c r="J158" s="86">
        <f t="shared" ca="1" si="22"/>
        <v>0.41690145000000001</v>
      </c>
      <c r="K158" s="86">
        <f t="shared" ca="1" si="23"/>
        <v>1.6775269999999998E-2</v>
      </c>
      <c r="L158" s="254">
        <f t="shared" ca="1" si="24"/>
        <v>6.9897000000000004E-4</v>
      </c>
      <c r="N158" s="370"/>
      <c r="O158" s="371"/>
      <c r="P158" s="86">
        <f t="shared" ca="1" si="25"/>
        <v>0.10422536</v>
      </c>
      <c r="Q158" s="86">
        <f t="shared" ca="1" si="26"/>
        <v>4.19382E-3</v>
      </c>
      <c r="R158" s="259">
        <f t="shared" ca="1" si="27"/>
        <v>1.7474999999999999E-4</v>
      </c>
      <c r="S158" s="284"/>
      <c r="T158" s="284"/>
      <c r="U158" s="284"/>
      <c r="V158" s="284"/>
      <c r="W158" s="284"/>
      <c r="X158" s="284"/>
    </row>
    <row r="159" spans="2:24">
      <c r="B159" s="3" t="s">
        <v>187</v>
      </c>
      <c r="H159" s="370"/>
      <c r="I159" s="371">
        <f ca="1">ROUND((1-$F$82)*$F$15*$F$24*$F$72/$F$76*$F$88,8)</f>
        <v>1.77569135</v>
      </c>
      <c r="J159" s="86">
        <f t="shared" ca="1" si="22"/>
        <v>0.49447572000000001</v>
      </c>
      <c r="K159" s="86">
        <f t="shared" ca="1" si="23"/>
        <v>1.9245100000000001E-2</v>
      </c>
      <c r="L159" s="254">
        <f t="shared" ca="1" si="24"/>
        <v>8.0188000000000004E-4</v>
      </c>
      <c r="N159" s="370"/>
      <c r="O159" s="371">
        <f ca="1">ROUND((1-$F$82)*$F$15*$F$24*$F$72/$F$76*$F$90,8)</f>
        <v>0.44392283999999999</v>
      </c>
      <c r="P159" s="86">
        <f t="shared" ca="1" si="25"/>
        <v>0.12361893</v>
      </c>
      <c r="Q159" s="86">
        <f t="shared" ca="1" si="26"/>
        <v>4.8112700000000003E-3</v>
      </c>
      <c r="R159" s="259">
        <f t="shared" ca="1" si="27"/>
        <v>2.0046999999999998E-4</v>
      </c>
      <c r="S159" s="284"/>
      <c r="T159" s="284"/>
      <c r="U159" s="284"/>
      <c r="V159" s="284"/>
      <c r="W159" s="284"/>
      <c r="X159" s="284"/>
    </row>
    <row r="160" spans="2:24">
      <c r="B160" s="3" t="s">
        <v>188</v>
      </c>
      <c r="H160" s="370"/>
      <c r="I160" s="371"/>
      <c r="J160" s="86">
        <f t="shared" ca="1" si="22"/>
        <v>0.71055601000000002</v>
      </c>
      <c r="K160" s="86">
        <f t="shared" ca="1" si="23"/>
        <v>2.8561980000000001E-2</v>
      </c>
      <c r="L160" s="254">
        <f t="shared" ca="1" si="24"/>
        <v>1.19009E-3</v>
      </c>
      <c r="N160" s="370"/>
      <c r="O160" s="371"/>
      <c r="P160" s="86">
        <f t="shared" ca="1" si="25"/>
        <v>0.17763899999999999</v>
      </c>
      <c r="Q160" s="86">
        <f t="shared" ca="1" si="26"/>
        <v>7.1404900000000002E-3</v>
      </c>
      <c r="R160" s="259">
        <f t="shared" ca="1" si="27"/>
        <v>2.9753000000000001E-4</v>
      </c>
      <c r="S160" s="284"/>
      <c r="T160" s="284"/>
      <c r="U160" s="284"/>
      <c r="V160" s="284"/>
      <c r="W160" s="284"/>
      <c r="X160" s="284"/>
    </row>
    <row r="161" spans="2:24">
      <c r="B161" s="3" t="s">
        <v>189</v>
      </c>
      <c r="H161" s="370"/>
      <c r="I161" s="371"/>
      <c r="J161" s="86">
        <f t="shared" ca="1" si="22"/>
        <v>0.92527387999999999</v>
      </c>
      <c r="K161" s="86">
        <f t="shared" ca="1" si="23"/>
        <v>3.5995920000000001E-2</v>
      </c>
      <c r="L161" s="254">
        <f t="shared" ca="1" si="24"/>
        <v>1.49983E-3</v>
      </c>
      <c r="N161" s="370"/>
      <c r="O161" s="371"/>
      <c r="P161" s="86">
        <f t="shared" ca="1" si="25"/>
        <v>0.23131847</v>
      </c>
      <c r="Q161" s="86">
        <f t="shared" ca="1" si="26"/>
        <v>8.9989800000000002E-3</v>
      </c>
      <c r="R161" s="259">
        <f t="shared" ca="1" si="27"/>
        <v>3.7495999999999997E-4</v>
      </c>
      <c r="S161" s="284"/>
      <c r="T161" s="284"/>
      <c r="U161" s="284"/>
      <c r="V161" s="284"/>
      <c r="W161" s="284"/>
      <c r="X161" s="284"/>
    </row>
    <row r="162" spans="2:24">
      <c r="H162" s="193"/>
      <c r="I162" s="194"/>
      <c r="J162" s="195"/>
      <c r="K162" s="195"/>
      <c r="L162" s="196"/>
      <c r="N162" s="193"/>
      <c r="O162" s="194"/>
      <c r="P162" s="195"/>
      <c r="Q162" s="195"/>
      <c r="R162" s="196"/>
      <c r="S162" s="196"/>
      <c r="T162" s="196"/>
      <c r="U162" s="196"/>
      <c r="V162" s="196"/>
      <c r="W162" s="196"/>
      <c r="X162" s="196"/>
    </row>
    <row r="163" spans="2:24" s="33" customFormat="1">
      <c r="B163" s="33" t="s">
        <v>196</v>
      </c>
      <c r="H163" s="33" t="s">
        <v>197</v>
      </c>
      <c r="N163" s="33" t="s">
        <v>198</v>
      </c>
    </row>
    <row r="164" spans="2:24" s="36" customFormat="1">
      <c r="H164" s="36" t="s">
        <v>168</v>
      </c>
      <c r="I164" s="36" t="s">
        <v>169</v>
      </c>
      <c r="J164" s="36" t="s">
        <v>170</v>
      </c>
      <c r="K164" s="36" t="s">
        <v>171</v>
      </c>
      <c r="L164" s="36" t="s">
        <v>172</v>
      </c>
      <c r="N164" s="36" t="s">
        <v>168</v>
      </c>
      <c r="O164" s="36" t="s">
        <v>169</v>
      </c>
      <c r="P164" s="36" t="s">
        <v>170</v>
      </c>
      <c r="Q164" s="36" t="s">
        <v>171</v>
      </c>
      <c r="R164" s="36" t="s">
        <v>172</v>
      </c>
    </row>
    <row r="165" spans="2:24" s="34" customFormat="1">
      <c r="H165" s="34" t="s">
        <v>173</v>
      </c>
      <c r="I165" s="34" t="s">
        <v>174</v>
      </c>
      <c r="J165" s="34" t="s">
        <v>175</v>
      </c>
      <c r="K165" s="34" t="s">
        <v>176</v>
      </c>
      <c r="L165" s="34" t="s">
        <v>177</v>
      </c>
      <c r="N165" s="34" t="s">
        <v>173</v>
      </c>
      <c r="O165" s="34" t="s">
        <v>174</v>
      </c>
      <c r="P165" s="34" t="s">
        <v>175</v>
      </c>
      <c r="Q165" s="34" t="s">
        <v>176</v>
      </c>
      <c r="R165" s="34" t="s">
        <v>177</v>
      </c>
    </row>
    <row r="167" spans="2:24">
      <c r="B167" s="3" t="s">
        <v>178</v>
      </c>
      <c r="H167" s="370">
        <f ca="1">ROUND((1-F83)*(F87+F88),8)</f>
        <v>0.63490855999999996</v>
      </c>
      <c r="I167" s="371">
        <f ca="1">ROUND($F$15*$F$21*$F$69/$F$76*(1-$F$83)*($F$87+$F$88),8)</f>
        <v>0.29001405000000002</v>
      </c>
      <c r="J167" s="86">
        <f t="shared" ref="J167:J178" ca="1" si="28">ROUND($F$16*$F27*$F55/$F$76*(1-$F$83)*($F$87+$F$88),8)</f>
        <v>0.13871881999999999</v>
      </c>
      <c r="K167" s="44"/>
      <c r="L167" s="44"/>
      <c r="N167" s="370">
        <f ca="1">ROUND((1-F83)*(F87+F90),8)</f>
        <v>0.40536972999999998</v>
      </c>
      <c r="O167" s="371">
        <f ca="1">ROUND($F$15*$F$21*$F$69/$F$76*(1-$F$83)*($F$87+$F$90),8)</f>
        <v>0.18516511999999999</v>
      </c>
      <c r="P167" s="86">
        <f t="shared" ref="P167:P178" ca="1" si="29">ROUND($F$16*$F27*$F55/$F$76*(1-$F$83)*($F$87+$F$90),8)</f>
        <v>8.8567729999999997E-2</v>
      </c>
      <c r="Q167" s="44"/>
      <c r="R167" s="44"/>
      <c r="S167" s="286"/>
      <c r="T167" s="286"/>
      <c r="U167" s="286"/>
      <c r="V167" s="286"/>
      <c r="W167" s="286"/>
      <c r="X167" s="286"/>
    </row>
    <row r="168" spans="2:24">
      <c r="B168" s="3" t="s">
        <v>179</v>
      </c>
      <c r="H168" s="370"/>
      <c r="I168" s="371"/>
      <c r="J168" s="86">
        <f t="shared" ca="1" si="28"/>
        <v>0.11199787</v>
      </c>
      <c r="K168" s="44"/>
      <c r="L168" s="44"/>
      <c r="N168" s="370"/>
      <c r="O168" s="371"/>
      <c r="P168" s="86">
        <f t="shared" ca="1" si="29"/>
        <v>7.1507219999999996E-2</v>
      </c>
      <c r="Q168" s="44"/>
      <c r="R168" s="44"/>
      <c r="S168" s="286"/>
      <c r="T168" s="286"/>
      <c r="U168" s="286"/>
      <c r="V168" s="286"/>
      <c r="W168" s="286"/>
      <c r="X168" s="286"/>
    </row>
    <row r="169" spans="2:24">
      <c r="B169" s="3" t="s">
        <v>180</v>
      </c>
      <c r="H169" s="370"/>
      <c r="I169" s="371"/>
      <c r="J169" s="86">
        <f t="shared" ca="1" si="28"/>
        <v>9.6981849999999994E-2</v>
      </c>
      <c r="K169" s="44"/>
      <c r="L169" s="44"/>
      <c r="N169" s="370"/>
      <c r="O169" s="371"/>
      <c r="P169" s="86">
        <f t="shared" ca="1" si="29"/>
        <v>6.1919950000000001E-2</v>
      </c>
      <c r="Q169" s="44"/>
      <c r="R169" s="44"/>
      <c r="S169" s="286"/>
      <c r="T169" s="286"/>
      <c r="U169" s="286"/>
      <c r="V169" s="286"/>
      <c r="W169" s="286"/>
      <c r="X169" s="286"/>
    </row>
    <row r="170" spans="2:24">
      <c r="B170" s="3" t="s">
        <v>181</v>
      </c>
      <c r="H170" s="370"/>
      <c r="I170" s="371">
        <f ca="1">ROUND($F$15*$F$22*$F$70/$F$76*(1-$F$83)*($F$87+$F$88),8)</f>
        <v>0.15512643000000001</v>
      </c>
      <c r="J170" s="86">
        <f t="shared" ca="1" si="28"/>
        <v>6.9979100000000002E-2</v>
      </c>
      <c r="K170" s="44"/>
      <c r="L170" s="44"/>
      <c r="N170" s="370"/>
      <c r="O170" s="371">
        <f ca="1">ROUND($F$15*$F$22*$F$70/$F$76*(1-$F$83)*($F$87+$F$90),8)</f>
        <v>9.9043489999999998E-2</v>
      </c>
      <c r="P170" s="86">
        <f t="shared" ca="1" si="29"/>
        <v>4.467952E-2</v>
      </c>
      <c r="Q170" s="44"/>
      <c r="R170" s="44"/>
      <c r="S170" s="286"/>
      <c r="T170" s="286"/>
      <c r="U170" s="286"/>
      <c r="V170" s="286"/>
      <c r="W170" s="286"/>
      <c r="X170" s="286"/>
    </row>
    <row r="171" spans="2:24">
      <c r="B171" s="3" t="s">
        <v>182</v>
      </c>
      <c r="H171" s="370"/>
      <c r="I171" s="371"/>
      <c r="J171" s="86">
        <f t="shared" ca="1" si="28"/>
        <v>6.4061400000000004E-2</v>
      </c>
      <c r="K171" s="44"/>
      <c r="L171" s="44"/>
      <c r="N171" s="370"/>
      <c r="O171" s="371"/>
      <c r="P171" s="86">
        <f t="shared" ca="1" si="29"/>
        <v>4.090125E-2</v>
      </c>
      <c r="Q171" s="44"/>
      <c r="R171" s="44"/>
      <c r="S171" s="286"/>
      <c r="T171" s="286"/>
      <c r="U171" s="286"/>
      <c r="V171" s="286"/>
      <c r="W171" s="286"/>
      <c r="X171" s="286"/>
    </row>
    <row r="172" spans="2:24">
      <c r="B172" s="3" t="s">
        <v>183</v>
      </c>
      <c r="H172" s="370"/>
      <c r="I172" s="371"/>
      <c r="J172" s="86">
        <f t="shared" ca="1" si="28"/>
        <v>5.2053799999999997E-2</v>
      </c>
      <c r="K172" s="44"/>
      <c r="L172" s="44"/>
      <c r="N172" s="370"/>
      <c r="O172" s="371"/>
      <c r="P172" s="86">
        <f t="shared" ca="1" si="29"/>
        <v>3.3234760000000002E-2</v>
      </c>
      <c r="Q172" s="44"/>
      <c r="R172" s="44"/>
      <c r="S172" s="286"/>
      <c r="T172" s="286"/>
      <c r="U172" s="286"/>
      <c r="V172" s="286"/>
      <c r="W172" s="286"/>
      <c r="X172" s="286"/>
    </row>
    <row r="173" spans="2:24">
      <c r="B173" s="3" t="s">
        <v>184</v>
      </c>
      <c r="H173" s="370"/>
      <c r="I173" s="371">
        <f ca="1">ROUND($F$15*$F$23*$F$71/$F$76*(1-$F$83)*($F$87+$F$88),8)</f>
        <v>0.12582496000000001</v>
      </c>
      <c r="J173" s="86">
        <f t="shared" ca="1" si="28"/>
        <v>5.079616E-2</v>
      </c>
      <c r="K173" s="44"/>
      <c r="L173" s="44"/>
      <c r="N173" s="370"/>
      <c r="O173" s="371">
        <f ca="1">ROUND($F$15*$F$23*$F$71/$F$76*(1-$F$83)*($F$87+$F$90),8)</f>
        <v>8.0335400000000001E-2</v>
      </c>
      <c r="P173" s="86">
        <f t="shared" ca="1" si="29"/>
        <v>3.2431799999999997E-2</v>
      </c>
      <c r="Q173" s="44"/>
      <c r="R173" s="44"/>
      <c r="S173" s="286"/>
      <c r="T173" s="286"/>
      <c r="U173" s="286"/>
      <c r="V173" s="286"/>
      <c r="W173" s="286"/>
      <c r="X173" s="286"/>
    </row>
    <row r="174" spans="2:24">
      <c r="B174" s="3" t="s">
        <v>185</v>
      </c>
      <c r="H174" s="370"/>
      <c r="I174" s="371"/>
      <c r="J174" s="86">
        <f t="shared" ca="1" si="28"/>
        <v>4.8288709999999999E-2</v>
      </c>
      <c r="K174" s="44"/>
      <c r="L174" s="44"/>
      <c r="N174" s="370"/>
      <c r="O174" s="371"/>
      <c r="P174" s="86">
        <f t="shared" ca="1" si="29"/>
        <v>3.083087E-2</v>
      </c>
      <c r="Q174" s="44"/>
      <c r="R174" s="44"/>
      <c r="S174" s="286"/>
      <c r="T174" s="286"/>
      <c r="U174" s="286"/>
      <c r="V174" s="286"/>
      <c r="W174" s="286"/>
      <c r="X174" s="286"/>
    </row>
    <row r="175" spans="2:24">
      <c r="B175" s="3" t="s">
        <v>186</v>
      </c>
      <c r="H175" s="370"/>
      <c r="I175" s="371"/>
      <c r="J175" s="86">
        <f t="shared" ca="1" si="28"/>
        <v>5.1897249999999999E-2</v>
      </c>
      <c r="K175" s="44"/>
      <c r="L175" s="44"/>
      <c r="N175" s="370"/>
      <c r="O175" s="371"/>
      <c r="P175" s="86">
        <f t="shared" ca="1" si="29"/>
        <v>3.3134810000000001E-2</v>
      </c>
      <c r="Q175" s="44"/>
      <c r="R175" s="44"/>
      <c r="S175" s="286"/>
      <c r="T175" s="286"/>
      <c r="U175" s="286"/>
      <c r="V175" s="286"/>
      <c r="W175" s="286"/>
      <c r="X175" s="286"/>
    </row>
    <row r="176" spans="2:24">
      <c r="B176" s="3" t="s">
        <v>187</v>
      </c>
      <c r="H176" s="370"/>
      <c r="I176" s="371">
        <f ca="1">ROUND($F$15*$F$24*$F$72/$F$76*(1-$F$83)*($F$87+$F$88),8)</f>
        <v>0.22104384999999999</v>
      </c>
      <c r="J176" s="86">
        <f t="shared" ca="1" si="28"/>
        <v>6.1553950000000003E-2</v>
      </c>
      <c r="K176" s="44"/>
      <c r="L176" s="44"/>
      <c r="N176" s="370"/>
      <c r="O176" s="371">
        <f ca="1">ROUND($F$15*$F$24*$F$72/$F$76*(1-$F$83)*($F$87+$F$90),8)</f>
        <v>0.14112975</v>
      </c>
      <c r="P176" s="86">
        <f t="shared" ca="1" si="29"/>
        <v>3.930032E-2</v>
      </c>
      <c r="Q176" s="44"/>
      <c r="R176" s="44"/>
      <c r="S176" s="286"/>
      <c r="T176" s="286"/>
      <c r="U176" s="286"/>
      <c r="V176" s="286"/>
      <c r="W176" s="286"/>
      <c r="X176" s="286"/>
    </row>
    <row r="177" spans="2:24">
      <c r="B177" s="3" t="s">
        <v>188</v>
      </c>
      <c r="H177" s="370"/>
      <c r="I177" s="371"/>
      <c r="J177" s="86">
        <f t="shared" ca="1" si="28"/>
        <v>8.8452329999999996E-2</v>
      </c>
      <c r="K177" s="44"/>
      <c r="L177" s="44"/>
      <c r="N177" s="370"/>
      <c r="O177" s="371"/>
      <c r="P177" s="86">
        <f t="shared" ca="1" si="29"/>
        <v>5.6474110000000001E-2</v>
      </c>
      <c r="Q177" s="44"/>
      <c r="R177" s="44"/>
      <c r="S177" s="286"/>
      <c r="T177" s="286"/>
      <c r="U177" s="286"/>
      <c r="V177" s="286"/>
      <c r="W177" s="286"/>
      <c r="X177" s="286"/>
    </row>
    <row r="178" spans="2:24">
      <c r="B178" s="3" t="s">
        <v>189</v>
      </c>
      <c r="H178" s="370"/>
      <c r="I178" s="371"/>
      <c r="J178" s="86">
        <f t="shared" ca="1" si="28"/>
        <v>0.11518111</v>
      </c>
      <c r="K178" s="44"/>
      <c r="L178" s="44"/>
      <c r="N178" s="370"/>
      <c r="O178" s="371"/>
      <c r="P178" s="86">
        <f t="shared" ca="1" si="29"/>
        <v>7.353962E-2</v>
      </c>
      <c r="Q178" s="44"/>
      <c r="R178" s="44"/>
      <c r="S178" s="286"/>
      <c r="T178" s="286"/>
      <c r="U178" s="286"/>
      <c r="V178" s="286"/>
      <c r="W178" s="286"/>
      <c r="X178" s="286"/>
    </row>
    <row r="180" spans="2:24" s="33" customFormat="1">
      <c r="B180" s="33" t="s">
        <v>196</v>
      </c>
      <c r="H180" s="33" t="s">
        <v>199</v>
      </c>
      <c r="N180" s="33" t="s">
        <v>200</v>
      </c>
    </row>
    <row r="181" spans="2:24" s="36" customFormat="1">
      <c r="H181" s="36" t="s">
        <v>168</v>
      </c>
      <c r="I181" s="36" t="s">
        <v>169</v>
      </c>
      <c r="J181" s="36" t="s">
        <v>170</v>
      </c>
      <c r="K181" s="36" t="s">
        <v>171</v>
      </c>
      <c r="L181" s="36" t="s">
        <v>172</v>
      </c>
      <c r="N181" s="36" t="s">
        <v>168</v>
      </c>
      <c r="O181" s="36" t="s">
        <v>169</v>
      </c>
      <c r="P181" s="36" t="s">
        <v>170</v>
      </c>
      <c r="Q181" s="36" t="s">
        <v>171</v>
      </c>
      <c r="R181" s="36" t="s">
        <v>172</v>
      </c>
    </row>
    <row r="182" spans="2:24" s="34" customFormat="1">
      <c r="H182" s="34" t="s">
        <v>173</v>
      </c>
      <c r="I182" s="34" t="s">
        <v>174</v>
      </c>
      <c r="J182" s="34" t="s">
        <v>175</v>
      </c>
      <c r="K182" s="34" t="s">
        <v>176</v>
      </c>
      <c r="L182" s="34" t="s">
        <v>177</v>
      </c>
      <c r="N182" s="34" t="s">
        <v>173</v>
      </c>
      <c r="O182" s="34" t="s">
        <v>174</v>
      </c>
      <c r="P182" s="34" t="s">
        <v>175</v>
      </c>
      <c r="Q182" s="34" t="s">
        <v>176</v>
      </c>
      <c r="R182" s="34" t="s">
        <v>177</v>
      </c>
    </row>
    <row r="184" spans="2:24">
      <c r="B184" s="3" t="s">
        <v>178</v>
      </c>
      <c r="H184" s="370">
        <f ca="1">ROUND((1-F83)*(F88+F89),8)</f>
        <v>0.38826597000000002</v>
      </c>
      <c r="I184" s="371">
        <f ca="1">ROUND($F$15*$F$21*$F$69/$F$76*(1-$F$83)*($F$88+$F$89),8)</f>
        <v>0.17735244999999999</v>
      </c>
      <c r="J184" s="86">
        <f t="shared" ref="J184:J195" ca="1" si="30">ROUND($F$16*$F27*$F55/$F$76*(1-$F$83)*($F$88+$F$89),8)</f>
        <v>8.4830799999999998E-2</v>
      </c>
      <c r="K184" s="44"/>
      <c r="L184" s="44"/>
      <c r="N184" s="371">
        <f ca="1">ROUND((1-F83)*(F89+F90),8)</f>
        <v>0.15872713999999999</v>
      </c>
      <c r="O184" s="371">
        <f ca="1">ROUND($F$15*$F$21*$F$69/$F$76*(1-$F$83)*($F$89+$F$90),8)</f>
        <v>7.2503509999999993E-2</v>
      </c>
      <c r="P184" s="56">
        <f t="shared" ref="P184:P195" ca="1" si="31">ROUND($F$16*$F27*$F55/$F$76*(1-$F$83)*($F$89+$F$90),8)</f>
        <v>3.4679710000000002E-2</v>
      </c>
      <c r="Q184" s="44"/>
      <c r="R184" s="44"/>
      <c r="S184" s="286"/>
      <c r="T184" s="286"/>
      <c r="U184" s="286"/>
      <c r="V184" s="286"/>
      <c r="W184" s="286"/>
      <c r="X184" s="286"/>
    </row>
    <row r="185" spans="2:24">
      <c r="B185" s="3" t="s">
        <v>179</v>
      </c>
      <c r="H185" s="370"/>
      <c r="I185" s="371"/>
      <c r="J185" s="86">
        <f t="shared" ca="1" si="30"/>
        <v>6.8490120000000002E-2</v>
      </c>
      <c r="K185" s="44"/>
      <c r="L185" s="44"/>
      <c r="N185" s="371"/>
      <c r="O185" s="371"/>
      <c r="P185" s="56">
        <f t="shared" ca="1" si="31"/>
        <v>2.7999469999999999E-2</v>
      </c>
      <c r="Q185" s="44"/>
      <c r="R185" s="44"/>
      <c r="S185" s="286"/>
      <c r="T185" s="286"/>
      <c r="U185" s="286"/>
      <c r="V185" s="286"/>
      <c r="W185" s="286"/>
      <c r="X185" s="286"/>
    </row>
    <row r="186" spans="2:24">
      <c r="B186" s="3" t="s">
        <v>180</v>
      </c>
      <c r="H186" s="370"/>
      <c r="I186" s="371"/>
      <c r="J186" s="86">
        <f t="shared" ca="1" si="30"/>
        <v>5.9307360000000003E-2</v>
      </c>
      <c r="K186" s="44"/>
      <c r="L186" s="44"/>
      <c r="N186" s="371"/>
      <c r="O186" s="371"/>
      <c r="P186" s="56">
        <f t="shared" ca="1" si="31"/>
        <v>2.424546E-2</v>
      </c>
      <c r="Q186" s="44"/>
      <c r="R186" s="44"/>
      <c r="S186" s="286"/>
      <c r="T186" s="286"/>
      <c r="U186" s="286"/>
      <c r="V186" s="286"/>
      <c r="W186" s="286"/>
      <c r="X186" s="286"/>
    </row>
    <row r="187" spans="2:24">
      <c r="B187" s="3" t="s">
        <v>181</v>
      </c>
      <c r="H187" s="370"/>
      <c r="I187" s="371">
        <f ca="1">ROUND($F$15*$F$22*$F$70/$F$76*(1-$F$83)*($F$88+$F$89),8)</f>
        <v>9.4864550000000006E-2</v>
      </c>
      <c r="J187" s="86">
        <f t="shared" ca="1" si="30"/>
        <v>4.2794359999999997E-2</v>
      </c>
      <c r="K187" s="44"/>
      <c r="L187" s="44"/>
      <c r="N187" s="371"/>
      <c r="O187" s="371">
        <f ca="1">ROUND($F$15*$F$22*$F$70/$F$76*(1-$F$83)*($F$89+$F$90),8)</f>
        <v>3.8781610000000001E-2</v>
      </c>
      <c r="P187" s="56">
        <f t="shared" ca="1" si="31"/>
        <v>1.749477E-2</v>
      </c>
      <c r="Q187" s="44"/>
      <c r="R187" s="44"/>
      <c r="S187" s="286"/>
      <c r="T187" s="286"/>
      <c r="U187" s="286"/>
      <c r="V187" s="286"/>
      <c r="W187" s="286"/>
      <c r="X187" s="286"/>
    </row>
    <row r="188" spans="2:24">
      <c r="B188" s="3" t="s">
        <v>182</v>
      </c>
      <c r="H188" s="370"/>
      <c r="I188" s="371"/>
      <c r="J188" s="86">
        <f t="shared" ca="1" si="30"/>
        <v>3.9175500000000002E-2</v>
      </c>
      <c r="K188" s="44"/>
      <c r="L188" s="44"/>
      <c r="N188" s="371"/>
      <c r="O188" s="371"/>
      <c r="P188" s="56">
        <f t="shared" ca="1" si="31"/>
        <v>1.6015350000000001E-2</v>
      </c>
      <c r="Q188" s="44"/>
      <c r="R188" s="44"/>
      <c r="S188" s="286"/>
      <c r="T188" s="286"/>
      <c r="U188" s="286"/>
      <c r="V188" s="286"/>
      <c r="W188" s="286"/>
      <c r="X188" s="286"/>
    </row>
    <row r="189" spans="2:24">
      <c r="B189" s="3" t="s">
        <v>183</v>
      </c>
      <c r="H189" s="370"/>
      <c r="I189" s="371"/>
      <c r="J189" s="86">
        <f t="shared" ca="1" si="30"/>
        <v>3.1832489999999998E-2</v>
      </c>
      <c r="K189" s="44"/>
      <c r="L189" s="44"/>
      <c r="N189" s="371"/>
      <c r="O189" s="371"/>
      <c r="P189" s="56">
        <f t="shared" ca="1" si="31"/>
        <v>1.3013449999999999E-2</v>
      </c>
      <c r="Q189" s="44"/>
      <c r="R189" s="44"/>
      <c r="S189" s="286"/>
      <c r="T189" s="286"/>
      <c r="U189" s="286"/>
      <c r="V189" s="286"/>
      <c r="W189" s="286"/>
      <c r="X189" s="286"/>
    </row>
    <row r="190" spans="2:24">
      <c r="B190" s="3" t="s">
        <v>184</v>
      </c>
      <c r="H190" s="370"/>
      <c r="I190" s="371">
        <f ca="1">ROUND($F$15*$F$23*$F$71/$F$76*(1-$F$83)*($F$88+$F$89),8)</f>
        <v>7.6945810000000003E-2</v>
      </c>
      <c r="J190" s="86">
        <f t="shared" ca="1" si="30"/>
        <v>3.106341E-2</v>
      </c>
      <c r="K190" s="44"/>
      <c r="L190" s="44"/>
      <c r="N190" s="371"/>
      <c r="O190" s="371">
        <f ca="1">ROUND($F$15*$F$23*$F$71/$F$76*(1-$F$83)*($F$89+$F$90),8)</f>
        <v>3.1456240000000003E-2</v>
      </c>
      <c r="P190" s="56">
        <f t="shared" ca="1" si="31"/>
        <v>1.269904E-2</v>
      </c>
      <c r="Q190" s="44"/>
      <c r="R190" s="44"/>
      <c r="S190" s="286"/>
      <c r="T190" s="286"/>
      <c r="U190" s="286"/>
      <c r="V190" s="286"/>
      <c r="W190" s="286"/>
      <c r="X190" s="286"/>
    </row>
    <row r="191" spans="2:24">
      <c r="B191" s="3" t="s">
        <v>185</v>
      </c>
      <c r="H191" s="370"/>
      <c r="I191" s="371"/>
      <c r="J191" s="86">
        <f t="shared" ca="1" si="30"/>
        <v>2.9530020000000001E-2</v>
      </c>
      <c r="K191" s="44"/>
      <c r="L191" s="44"/>
      <c r="N191" s="371"/>
      <c r="O191" s="371"/>
      <c r="P191" s="56">
        <f t="shared" ca="1" si="31"/>
        <v>1.207218E-2</v>
      </c>
      <c r="Q191" s="44"/>
      <c r="R191" s="44"/>
      <c r="S191" s="286"/>
      <c r="T191" s="286"/>
      <c r="U191" s="286"/>
      <c r="V191" s="286"/>
      <c r="W191" s="286"/>
      <c r="X191" s="286"/>
    </row>
    <row r="192" spans="2:24">
      <c r="B192" s="3" t="s">
        <v>186</v>
      </c>
      <c r="H192" s="370"/>
      <c r="I192" s="371"/>
      <c r="J192" s="86">
        <f t="shared" ca="1" si="30"/>
        <v>3.1736750000000001E-2</v>
      </c>
      <c r="K192" s="44"/>
      <c r="L192" s="44"/>
      <c r="N192" s="371"/>
      <c r="O192" s="371"/>
      <c r="P192" s="56">
        <f t="shared" ca="1" si="31"/>
        <v>1.2974309999999999E-2</v>
      </c>
      <c r="Q192" s="44"/>
      <c r="R192" s="44"/>
      <c r="S192" s="286"/>
      <c r="T192" s="286"/>
      <c r="U192" s="286"/>
      <c r="V192" s="286"/>
      <c r="W192" s="286"/>
      <c r="X192" s="286"/>
    </row>
    <row r="193" spans="2:24">
      <c r="B193" s="3" t="s">
        <v>187</v>
      </c>
      <c r="H193" s="370"/>
      <c r="I193" s="371">
        <f ca="1">ROUND($F$15*$F$24*$F$72/$F$76*(1-$F$83)*($F$88+$F$89),8)</f>
        <v>0.13517507000000001</v>
      </c>
      <c r="J193" s="86">
        <f t="shared" ca="1" si="30"/>
        <v>3.7642120000000001E-2</v>
      </c>
      <c r="K193" s="44"/>
      <c r="L193" s="44"/>
      <c r="N193" s="371"/>
      <c r="O193" s="371">
        <f ca="1">ROUND($F$15*$F$24*$F$72/$F$76*(1-$F$83)*($F$89+$F$90),8)</f>
        <v>5.5260959999999998E-2</v>
      </c>
      <c r="P193" s="56">
        <f t="shared" ca="1" si="31"/>
        <v>1.5388489999999999E-2</v>
      </c>
      <c r="Q193" s="44"/>
      <c r="R193" s="44"/>
      <c r="S193" s="286"/>
      <c r="T193" s="286"/>
      <c r="U193" s="286"/>
      <c r="V193" s="286"/>
      <c r="W193" s="286"/>
      <c r="X193" s="286"/>
    </row>
    <row r="194" spans="2:24">
      <c r="B194" s="3" t="s">
        <v>188</v>
      </c>
      <c r="H194" s="370"/>
      <c r="I194" s="371"/>
      <c r="J194" s="86">
        <f t="shared" ca="1" si="30"/>
        <v>5.4091300000000002E-2</v>
      </c>
      <c r="K194" s="44"/>
      <c r="L194" s="44"/>
      <c r="N194" s="371"/>
      <c r="O194" s="371"/>
      <c r="P194" s="56">
        <f t="shared" ca="1" si="31"/>
        <v>2.211308E-2</v>
      </c>
      <c r="Q194" s="44"/>
      <c r="R194" s="44"/>
      <c r="S194" s="286"/>
      <c r="T194" s="286"/>
      <c r="U194" s="286"/>
      <c r="V194" s="286"/>
      <c r="W194" s="286"/>
      <c r="X194" s="286"/>
    </row>
    <row r="195" spans="2:24">
      <c r="B195" s="3" t="s">
        <v>189</v>
      </c>
      <c r="H195" s="370"/>
      <c r="I195" s="371"/>
      <c r="J195" s="86">
        <f t="shared" ca="1" si="30"/>
        <v>7.0436769999999996E-2</v>
      </c>
      <c r="K195" s="44"/>
      <c r="L195" s="44"/>
      <c r="N195" s="371"/>
      <c r="O195" s="371"/>
      <c r="P195" s="56">
        <f t="shared" ca="1" si="31"/>
        <v>2.8795279999999999E-2</v>
      </c>
      <c r="Q195" s="44"/>
      <c r="R195" s="44"/>
      <c r="S195" s="286"/>
      <c r="T195" s="286"/>
      <c r="U195" s="286"/>
      <c r="V195" s="286"/>
      <c r="W195" s="286"/>
      <c r="X195" s="286"/>
    </row>
  </sheetData>
  <mergeCells count="74">
    <mergeCell ref="H150:H161"/>
    <mergeCell ref="I150:I152"/>
    <mergeCell ref="N150:N161"/>
    <mergeCell ref="O150:O152"/>
    <mergeCell ref="I153:I155"/>
    <mergeCell ref="O153:O155"/>
    <mergeCell ref="I156:I158"/>
    <mergeCell ref="O156:O158"/>
    <mergeCell ref="I159:I161"/>
    <mergeCell ref="O159:O161"/>
    <mergeCell ref="I136:I138"/>
    <mergeCell ref="O136:O138"/>
    <mergeCell ref="I139:I141"/>
    <mergeCell ref="O139:O141"/>
    <mergeCell ref="I142:I144"/>
    <mergeCell ref="O142:O144"/>
    <mergeCell ref="H184:H195"/>
    <mergeCell ref="I184:I186"/>
    <mergeCell ref="N184:N195"/>
    <mergeCell ref="O184:O186"/>
    <mergeCell ref="I187:I189"/>
    <mergeCell ref="O187:O189"/>
    <mergeCell ref="I190:I192"/>
    <mergeCell ref="O190:O192"/>
    <mergeCell ref="I193:I195"/>
    <mergeCell ref="O193:O195"/>
    <mergeCell ref="I106:I108"/>
    <mergeCell ref="O106:O108"/>
    <mergeCell ref="H167:H178"/>
    <mergeCell ref="I167:I169"/>
    <mergeCell ref="N167:N178"/>
    <mergeCell ref="O167:O169"/>
    <mergeCell ref="I170:I172"/>
    <mergeCell ref="O170:O172"/>
    <mergeCell ref="I173:I175"/>
    <mergeCell ref="O173:O175"/>
    <mergeCell ref="I176:I178"/>
    <mergeCell ref="O176:O178"/>
    <mergeCell ref="H133:H144"/>
    <mergeCell ref="I133:I135"/>
    <mergeCell ref="N133:N144"/>
    <mergeCell ref="O133:O135"/>
    <mergeCell ref="Z97:AB108"/>
    <mergeCell ref="T115:V126"/>
    <mergeCell ref="B5:D5"/>
    <mergeCell ref="H115:H126"/>
    <mergeCell ref="I115:I117"/>
    <mergeCell ref="N115:N126"/>
    <mergeCell ref="O115:O117"/>
    <mergeCell ref="I118:I120"/>
    <mergeCell ref="O118:O120"/>
    <mergeCell ref="I121:I123"/>
    <mergeCell ref="O121:O123"/>
    <mergeCell ref="I124:I126"/>
    <mergeCell ref="O124:O126"/>
    <mergeCell ref="H97:H108"/>
    <mergeCell ref="I97:I99"/>
    <mergeCell ref="N97:N108"/>
    <mergeCell ref="B8:D8"/>
    <mergeCell ref="T133:T144"/>
    <mergeCell ref="U133:U135"/>
    <mergeCell ref="U136:U138"/>
    <mergeCell ref="U139:U141"/>
    <mergeCell ref="U142:U144"/>
    <mergeCell ref="T97:T108"/>
    <mergeCell ref="U97:U99"/>
    <mergeCell ref="U100:U102"/>
    <mergeCell ref="U103:U105"/>
    <mergeCell ref="U106:U108"/>
    <mergeCell ref="O97:O99"/>
    <mergeCell ref="I100:I102"/>
    <mergeCell ref="O100:O102"/>
    <mergeCell ref="I103:I105"/>
    <mergeCell ref="O103:O105"/>
  </mergeCells>
  <phoneticPr fontId="41"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Parameters'!$B$182:$B$199</xm:f>
          </x14:formula1>
          <xm:sqref>H5:J5</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BE803-9C6A-4EA0-8578-95A0640D4B70}">
  <sheetPr>
    <tabColor rgb="FFFFFFCC"/>
  </sheetPr>
  <dimension ref="B2:H152"/>
  <sheetViews>
    <sheetView showGridLines="0" zoomScale="85" zoomScaleNormal="85" workbookViewId="0">
      <pane ySplit="8" topLeftCell="A97" activePane="bottomLeft" state="frozen"/>
      <selection pane="bottomLeft" activeCell="F100" sqref="F100"/>
    </sheetView>
  </sheetViews>
  <sheetFormatPr defaultColWidth="9" defaultRowHeight="12.75"/>
  <cols>
    <col min="1" max="1" width="2.5703125" style="3" customWidth="1"/>
    <col min="2" max="2" width="52" style="3" bestFit="1" customWidth="1"/>
    <col min="3" max="3" width="2.5703125" style="3" customWidth="1"/>
    <col min="4" max="4" width="25.5703125" style="3" customWidth="1"/>
    <col min="5" max="5" width="2.5703125" style="3" customWidth="1"/>
    <col min="6" max="6" width="60"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28515625" style="3" customWidth="1"/>
    <col min="26" max="29" width="15.5703125" style="3" customWidth="1"/>
    <col min="30" max="32" width="2.5703125" style="3" customWidth="1"/>
    <col min="33" max="47" width="13.5703125" style="3" customWidth="1"/>
    <col min="48" max="16384" width="9" style="3"/>
  </cols>
  <sheetData>
    <row r="2" spans="2:8" s="12" customFormat="1" ht="18">
      <c r="B2" s="12" t="s">
        <v>1169</v>
      </c>
    </row>
    <row r="4" spans="2:8">
      <c r="B4" s="16" t="s">
        <v>202</v>
      </c>
    </row>
    <row r="5" spans="2:8">
      <c r="B5" s="366" t="s">
        <v>1170</v>
      </c>
      <c r="C5" s="366"/>
      <c r="D5" s="366"/>
      <c r="E5" s="366"/>
      <c r="F5" s="366"/>
      <c r="G5" s="366"/>
      <c r="H5" s="366"/>
    </row>
    <row r="8" spans="2:8" s="135" customFormat="1">
      <c r="B8" s="135" t="s">
        <v>1171</v>
      </c>
      <c r="D8" s="135" t="s">
        <v>1172</v>
      </c>
      <c r="F8" s="135" t="s">
        <v>1173</v>
      </c>
      <c r="H8" s="344"/>
    </row>
    <row r="9" spans="2:8" s="48" customFormat="1">
      <c r="H9" s="49"/>
    </row>
    <row r="10" spans="2:8">
      <c r="B10" s="2" t="s">
        <v>48</v>
      </c>
    </row>
    <row r="11" spans="2:8">
      <c r="D11" s="92"/>
      <c r="F11" s="343"/>
    </row>
    <row r="12" spans="2:8">
      <c r="D12" s="92"/>
      <c r="F12" s="343"/>
    </row>
    <row r="13" spans="2:8">
      <c r="D13" s="92"/>
      <c r="F13" s="343"/>
    </row>
    <row r="14" spans="2:8">
      <c r="F14" s="119"/>
    </row>
    <row r="15" spans="2:8">
      <c r="B15" s="2" t="s">
        <v>36</v>
      </c>
    </row>
    <row r="16" spans="2:8">
      <c r="D16" s="92"/>
      <c r="F16" s="343"/>
    </row>
    <row r="17" spans="2:6">
      <c r="D17" s="92"/>
      <c r="F17" s="343"/>
    </row>
    <row r="18" spans="2:6">
      <c r="D18" s="92"/>
      <c r="F18" s="343"/>
    </row>
    <row r="19" spans="2:6">
      <c r="F19" s="119"/>
    </row>
    <row r="20" spans="2:6">
      <c r="B20" s="2" t="s">
        <v>38</v>
      </c>
    </row>
    <row r="21" spans="2:6">
      <c r="D21" s="92"/>
      <c r="F21" s="343"/>
    </row>
    <row r="22" spans="2:6">
      <c r="D22" s="92"/>
      <c r="F22" s="343"/>
    </row>
    <row r="23" spans="2:6">
      <c r="D23" s="92"/>
      <c r="F23" s="343"/>
    </row>
    <row r="24" spans="2:6">
      <c r="F24" s="119"/>
    </row>
    <row r="25" spans="2:6">
      <c r="B25" s="2" t="s">
        <v>39</v>
      </c>
    </row>
    <row r="26" spans="2:6" ht="38.25">
      <c r="D26" s="92" t="s">
        <v>1174</v>
      </c>
      <c r="F26" s="343" t="s">
        <v>1175</v>
      </c>
    </row>
    <row r="27" spans="2:6">
      <c r="D27" s="92"/>
      <c r="F27" s="343"/>
    </row>
    <row r="28" spans="2:6">
      <c r="D28" s="92"/>
      <c r="F28" s="343"/>
    </row>
    <row r="29" spans="2:6">
      <c r="F29" s="119"/>
    </row>
    <row r="30" spans="2:6">
      <c r="B30" s="2" t="s">
        <v>41</v>
      </c>
    </row>
    <row r="31" spans="2:6">
      <c r="D31" s="92"/>
      <c r="F31" s="343"/>
    </row>
    <row r="32" spans="2:6">
      <c r="D32" s="92"/>
      <c r="F32" s="343"/>
    </row>
    <row r="33" spans="2:6">
      <c r="D33" s="92"/>
      <c r="F33" s="343"/>
    </row>
    <row r="34" spans="2:6">
      <c r="F34" s="119"/>
    </row>
    <row r="35" spans="2:6">
      <c r="B35" s="2" t="s">
        <v>43</v>
      </c>
    </row>
    <row r="36" spans="2:6">
      <c r="D36" s="92"/>
      <c r="F36" s="343"/>
    </row>
    <row r="37" spans="2:6">
      <c r="D37" s="92"/>
      <c r="F37" s="343"/>
    </row>
    <row r="38" spans="2:6">
      <c r="D38" s="92"/>
      <c r="F38" s="343"/>
    </row>
    <row r="39" spans="2:6">
      <c r="F39" s="119"/>
    </row>
    <row r="40" spans="2:6">
      <c r="B40" s="2" t="s">
        <v>1176</v>
      </c>
      <c r="F40" s="119"/>
    </row>
    <row r="41" spans="2:6">
      <c r="D41" s="92"/>
      <c r="F41" s="343"/>
    </row>
    <row r="42" spans="2:6">
      <c r="D42" s="92"/>
      <c r="F42" s="343"/>
    </row>
    <row r="43" spans="2:6">
      <c r="D43" s="92"/>
      <c r="F43" s="343"/>
    </row>
    <row r="44" spans="2:6">
      <c r="F44" s="119"/>
    </row>
    <row r="45" spans="2:6">
      <c r="B45" s="2" t="s">
        <v>1177</v>
      </c>
      <c r="F45" s="119"/>
    </row>
    <row r="46" spans="2:6">
      <c r="D46" s="92"/>
      <c r="F46" s="343"/>
    </row>
    <row r="47" spans="2:6">
      <c r="D47" s="92"/>
      <c r="F47" s="343"/>
    </row>
    <row r="48" spans="2:6">
      <c r="D48" s="92"/>
      <c r="F48" s="343"/>
    </row>
    <row r="50" spans="2:6">
      <c r="B50" s="2" t="s">
        <v>53</v>
      </c>
      <c r="F50" s="119"/>
    </row>
    <row r="51" spans="2:6">
      <c r="D51" s="92"/>
      <c r="F51" s="343"/>
    </row>
    <row r="52" spans="2:6">
      <c r="D52" s="92"/>
      <c r="F52" s="343"/>
    </row>
    <row r="53" spans="2:6">
      <c r="D53" s="92"/>
      <c r="F53" s="343"/>
    </row>
    <row r="54" spans="2:6">
      <c r="F54" s="119"/>
    </row>
    <row r="55" spans="2:6">
      <c r="B55" s="2" t="s">
        <v>55</v>
      </c>
    </row>
    <row r="56" spans="2:6">
      <c r="D56" s="92"/>
      <c r="F56" s="343"/>
    </row>
    <row r="57" spans="2:6">
      <c r="D57" s="92"/>
      <c r="F57" s="343"/>
    </row>
    <row r="58" spans="2:6">
      <c r="D58" s="92"/>
      <c r="F58" s="343"/>
    </row>
    <row r="59" spans="2:6">
      <c r="F59" s="119"/>
    </row>
    <row r="60" spans="2:6">
      <c r="B60" s="2" t="s">
        <v>57</v>
      </c>
    </row>
    <row r="61" spans="2:6">
      <c r="D61" s="92"/>
      <c r="F61" s="343"/>
    </row>
    <row r="62" spans="2:6">
      <c r="D62" s="92"/>
      <c r="F62" s="343"/>
    </row>
    <row r="63" spans="2:6">
      <c r="D63" s="92"/>
      <c r="F63" s="343"/>
    </row>
    <row r="64" spans="2:6">
      <c r="F64" s="119"/>
    </row>
    <row r="65" spans="2:6">
      <c r="B65" s="2" t="s">
        <v>59</v>
      </c>
    </row>
    <row r="66" spans="2:6">
      <c r="D66" s="92"/>
      <c r="F66" s="343"/>
    </row>
    <row r="67" spans="2:6">
      <c r="D67" s="92"/>
      <c r="F67" s="343"/>
    </row>
    <row r="68" spans="2:6">
      <c r="D68" s="92"/>
      <c r="F68" s="343"/>
    </row>
    <row r="69" spans="2:6">
      <c r="F69" s="119"/>
    </row>
    <row r="70" spans="2:6">
      <c r="B70" s="2" t="s">
        <v>61</v>
      </c>
    </row>
    <row r="71" spans="2:6">
      <c r="D71" s="92"/>
      <c r="F71" s="343"/>
    </row>
    <row r="72" spans="2:6">
      <c r="B72" s="2"/>
      <c r="D72" s="92"/>
      <c r="F72" s="343"/>
    </row>
    <row r="73" spans="2:6">
      <c r="D73" s="92"/>
      <c r="F73" s="343"/>
    </row>
    <row r="74" spans="2:6">
      <c r="F74" s="119"/>
    </row>
    <row r="75" spans="2:6">
      <c r="B75" s="2" t="s">
        <v>62</v>
      </c>
    </row>
    <row r="76" spans="2:6">
      <c r="D76" s="92"/>
      <c r="F76" s="343"/>
    </row>
    <row r="77" spans="2:6">
      <c r="D77" s="92"/>
      <c r="F77" s="343"/>
    </row>
    <row r="78" spans="2:6">
      <c r="D78" s="92"/>
      <c r="F78" s="343"/>
    </row>
    <row r="79" spans="2:6">
      <c r="F79" s="119"/>
    </row>
    <row r="80" spans="2:6">
      <c r="B80" s="2" t="s">
        <v>63</v>
      </c>
    </row>
    <row r="81" spans="2:6">
      <c r="D81" s="92"/>
      <c r="F81" s="343"/>
    </row>
    <row r="82" spans="2:6">
      <c r="D82" s="92"/>
      <c r="F82" s="343"/>
    </row>
    <row r="83" spans="2:6">
      <c r="D83" s="92"/>
      <c r="F83" s="343"/>
    </row>
    <row r="85" spans="2:6">
      <c r="B85" s="2" t="s">
        <v>40</v>
      </c>
    </row>
    <row r="86" spans="2:6">
      <c r="B86" s="2"/>
      <c r="D86" s="92"/>
      <c r="F86" s="343"/>
    </row>
    <row r="87" spans="2:6">
      <c r="B87" s="2"/>
      <c r="D87" s="92"/>
      <c r="F87" s="343"/>
    </row>
    <row r="88" spans="2:6">
      <c r="B88" s="2"/>
      <c r="D88" s="92"/>
      <c r="F88" s="343"/>
    </row>
    <row r="90" spans="2:6">
      <c r="B90" s="2" t="s">
        <v>42</v>
      </c>
    </row>
    <row r="91" spans="2:6">
      <c r="B91" s="2"/>
      <c r="D91" s="92"/>
      <c r="F91" s="343"/>
    </row>
    <row r="92" spans="2:6">
      <c r="B92" s="2"/>
      <c r="D92" s="92"/>
      <c r="F92" s="343"/>
    </row>
    <row r="93" spans="2:6">
      <c r="B93" s="2"/>
      <c r="D93" s="92"/>
      <c r="F93" s="343"/>
    </row>
    <row r="94" spans="2:6">
      <c r="F94" s="119"/>
    </row>
    <row r="95" spans="2:6">
      <c r="B95" s="2" t="s">
        <v>1178</v>
      </c>
    </row>
    <row r="96" spans="2:6" ht="76.5">
      <c r="B96" s="2"/>
      <c r="D96" s="343" t="s">
        <v>1179</v>
      </c>
      <c r="F96" s="343" t="s">
        <v>1180</v>
      </c>
    </row>
    <row r="97" spans="2:6">
      <c r="B97" s="2"/>
      <c r="D97" s="343"/>
      <c r="F97" s="343"/>
    </row>
    <row r="98" spans="2:6" ht="76.5">
      <c r="D98" s="343" t="s">
        <v>1181</v>
      </c>
      <c r="F98" s="343" t="s">
        <v>1182</v>
      </c>
    </row>
    <row r="99" spans="2:6">
      <c r="B99" s="2"/>
      <c r="D99" s="343"/>
      <c r="F99" s="343"/>
    </row>
    <row r="100" spans="2:6" ht="76.5">
      <c r="B100" s="2"/>
      <c r="D100" s="343" t="s">
        <v>1183</v>
      </c>
      <c r="F100" s="343" t="s">
        <v>1180</v>
      </c>
    </row>
    <row r="101" spans="2:6" s="2" customFormat="1"/>
    <row r="102" spans="2:6" s="2" customFormat="1">
      <c r="B102" s="2" t="s">
        <v>50</v>
      </c>
    </row>
    <row r="103" spans="2:6" s="2" customFormat="1">
      <c r="D103" s="92"/>
      <c r="E103" s="3"/>
      <c r="F103" s="343"/>
    </row>
    <row r="104" spans="2:6" s="2" customFormat="1">
      <c r="D104" s="92"/>
      <c r="E104" s="3"/>
      <c r="F104" s="343"/>
    </row>
    <row r="105" spans="2:6" s="2" customFormat="1">
      <c r="D105" s="92"/>
      <c r="E105" s="3"/>
      <c r="F105" s="343"/>
    </row>
    <row r="106" spans="2:6" s="2" customFormat="1"/>
    <row r="107" spans="2:6" s="2" customFormat="1">
      <c r="B107" s="2" t="s">
        <v>52</v>
      </c>
    </row>
    <row r="108" spans="2:6" s="2" customFormat="1" ht="89.25">
      <c r="D108" s="92" t="s">
        <v>1184</v>
      </c>
      <c r="E108" s="3"/>
      <c r="F108" s="343" t="s">
        <v>1185</v>
      </c>
    </row>
    <row r="109" spans="2:6" s="2" customFormat="1">
      <c r="D109" s="92"/>
      <c r="E109" s="3"/>
      <c r="F109" s="343"/>
    </row>
    <row r="110" spans="2:6" s="2" customFormat="1">
      <c r="D110" s="92"/>
      <c r="E110" s="3"/>
      <c r="F110" s="343"/>
    </row>
    <row r="111" spans="2:6" s="2" customFormat="1"/>
    <row r="112" spans="2:6" s="2" customFormat="1">
      <c r="B112" s="2" t="s">
        <v>54</v>
      </c>
    </row>
    <row r="113" spans="2:6" s="2" customFormat="1">
      <c r="D113" s="92"/>
      <c r="E113" s="3"/>
      <c r="F113" s="343"/>
    </row>
    <row r="114" spans="2:6" s="2" customFormat="1">
      <c r="D114" s="92"/>
      <c r="E114" s="3"/>
      <c r="F114" s="343"/>
    </row>
    <row r="115" spans="2:6" s="2" customFormat="1">
      <c r="D115" s="92"/>
      <c r="E115" s="3"/>
      <c r="F115" s="343"/>
    </row>
    <row r="116" spans="2:6" s="2" customFormat="1"/>
    <row r="117" spans="2:6" s="2" customFormat="1">
      <c r="B117" s="2" t="s">
        <v>56</v>
      </c>
    </row>
    <row r="118" spans="2:6" s="2" customFormat="1">
      <c r="D118" s="92"/>
      <c r="E118" s="3"/>
      <c r="F118" s="343"/>
    </row>
    <row r="119" spans="2:6" s="2" customFormat="1">
      <c r="D119" s="92"/>
      <c r="E119" s="3"/>
      <c r="F119" s="343"/>
    </row>
    <row r="120" spans="2:6" s="2" customFormat="1">
      <c r="D120" s="92"/>
      <c r="E120" s="3"/>
      <c r="F120" s="343"/>
    </row>
    <row r="121" spans="2:6" s="2" customFormat="1"/>
    <row r="122" spans="2:6" s="2" customFormat="1">
      <c r="B122" s="2" t="s">
        <v>58</v>
      </c>
    </row>
    <row r="123" spans="2:6" s="2" customFormat="1">
      <c r="D123" s="92"/>
      <c r="E123" s="3"/>
      <c r="F123" s="343"/>
    </row>
    <row r="124" spans="2:6" s="2" customFormat="1">
      <c r="D124" s="92"/>
      <c r="E124" s="3"/>
      <c r="F124" s="343"/>
    </row>
    <row r="125" spans="2:6" s="2" customFormat="1">
      <c r="D125" s="92"/>
      <c r="E125" s="3"/>
      <c r="F125" s="343"/>
    </row>
    <row r="126" spans="2:6" s="2" customFormat="1"/>
    <row r="127" spans="2:6" s="2" customFormat="1">
      <c r="B127" s="2" t="s">
        <v>60</v>
      </c>
    </row>
    <row r="128" spans="2:6" s="2" customFormat="1">
      <c r="D128" s="92"/>
      <c r="E128" s="3"/>
      <c r="F128" s="343"/>
    </row>
    <row r="129" spans="2:6" s="2" customFormat="1">
      <c r="D129" s="92"/>
      <c r="E129" s="3"/>
      <c r="F129" s="343"/>
    </row>
    <row r="130" spans="2:6" s="2" customFormat="1">
      <c r="D130" s="92"/>
      <c r="E130" s="3"/>
      <c r="F130" s="343"/>
    </row>
    <row r="131" spans="2:6" s="2" customFormat="1"/>
    <row r="132" spans="2:6" s="2" customFormat="1">
      <c r="B132" s="2" t="s">
        <v>1186</v>
      </c>
    </row>
    <row r="133" spans="2:6" s="2" customFormat="1">
      <c r="D133" s="92"/>
      <c r="E133" s="3"/>
      <c r="F133" s="343"/>
    </row>
    <row r="134" spans="2:6" s="2" customFormat="1">
      <c r="D134" s="92"/>
      <c r="E134" s="3"/>
      <c r="F134" s="343"/>
    </row>
    <row r="135" spans="2:6" s="2" customFormat="1">
      <c r="D135" s="92"/>
      <c r="E135" s="3"/>
      <c r="F135" s="343"/>
    </row>
    <row r="136" spans="2:6" s="2" customFormat="1"/>
    <row r="137" spans="2:6" s="2" customFormat="1">
      <c r="B137" s="2" t="s">
        <v>45</v>
      </c>
    </row>
    <row r="138" spans="2:6" s="2" customFormat="1" ht="25.5">
      <c r="D138" s="92" t="s">
        <v>1187</v>
      </c>
      <c r="E138" s="3"/>
      <c r="F138" s="343" t="s">
        <v>1188</v>
      </c>
    </row>
    <row r="139" spans="2:6" s="2" customFormat="1">
      <c r="D139" s="92"/>
      <c r="E139" s="3"/>
      <c r="F139" s="343"/>
    </row>
    <row r="140" spans="2:6" s="2" customFormat="1">
      <c r="D140" s="92"/>
      <c r="E140" s="3"/>
      <c r="F140" s="343"/>
    </row>
    <row r="141" spans="2:6" s="2" customFormat="1"/>
    <row r="142" spans="2:6" s="2" customFormat="1">
      <c r="B142" s="2" t="s">
        <v>46</v>
      </c>
    </row>
    <row r="143" spans="2:6" s="2" customFormat="1">
      <c r="D143" s="92"/>
      <c r="E143" s="3"/>
      <c r="F143" s="343"/>
    </row>
    <row r="144" spans="2:6" s="2" customFormat="1">
      <c r="D144" s="92"/>
      <c r="E144" s="3"/>
      <c r="F144" s="343"/>
    </row>
    <row r="145" spans="2:6" s="2" customFormat="1">
      <c r="D145" s="92"/>
      <c r="E145" s="3"/>
      <c r="F145" s="343"/>
    </row>
    <row r="146" spans="2:6" s="2" customFormat="1"/>
    <row r="147" spans="2:6" s="2" customFormat="1">
      <c r="B147" s="2" t="s">
        <v>47</v>
      </c>
    </row>
    <row r="148" spans="2:6" s="2" customFormat="1">
      <c r="D148" s="92"/>
      <c r="E148" s="3"/>
      <c r="F148" s="343"/>
    </row>
    <row r="149" spans="2:6" s="2" customFormat="1">
      <c r="D149" s="92"/>
      <c r="E149" s="3"/>
      <c r="F149" s="343"/>
    </row>
    <row r="150" spans="2:6" s="2" customFormat="1">
      <c r="D150" s="92"/>
      <c r="E150" s="3"/>
      <c r="F150" s="343"/>
    </row>
    <row r="151" spans="2:6" s="2" customFormat="1"/>
    <row r="152" spans="2:6" s="2" customFormat="1"/>
  </sheetData>
  <mergeCells count="1">
    <mergeCell ref="B5:H5"/>
  </mergeCells>
  <pageMargins left="0.7" right="0.7" top="0.75" bottom="0.75" header="0.3" footer="0.3"/>
  <pageSetup paperSize="9" orientation="portrait" r:id="rId1"/>
  <headerFooter>
    <oddFooter>&amp;C_x000D_&amp;1#&amp;"Calibri"&amp;10&amp;K000000 Vertrouwelijk/Confidential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112"/>
  <sheetViews>
    <sheetView showGridLines="0" tabSelected="1" zoomScale="85" zoomScaleNormal="85" workbookViewId="0">
      <pane xSplit="6" ySplit="10" topLeftCell="G11" activePane="bottomRight" state="frozen"/>
      <selection pane="bottomRight"/>
      <selection pane="bottomLeft" activeCell="C40" sqref="C40"/>
      <selection pane="topRight" activeCell="C40" sqref="C40"/>
    </sheetView>
  </sheetViews>
  <sheetFormatPr defaultColWidth="9"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285156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285156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 style="3"/>
  </cols>
  <sheetData>
    <row r="2" spans="2:24" s="12" customFormat="1" ht="18">
      <c r="B2" s="12" t="s">
        <v>155</v>
      </c>
    </row>
    <row r="4" spans="2:24">
      <c r="B4" s="16" t="s">
        <v>156</v>
      </c>
      <c r="C4" s="2"/>
      <c r="D4" s="2"/>
      <c r="E4" s="2"/>
    </row>
    <row r="5" spans="2:24" ht="91.5" customHeight="1">
      <c r="B5" s="359" t="s">
        <v>157</v>
      </c>
      <c r="C5" s="366"/>
      <c r="D5" s="366"/>
      <c r="E5" s="366"/>
      <c r="F5" s="366"/>
    </row>
    <row r="6" spans="2:24">
      <c r="B6" s="1"/>
      <c r="C6" s="118"/>
      <c r="D6" s="118"/>
      <c r="E6" s="118"/>
      <c r="F6" s="118"/>
    </row>
    <row r="7" spans="2:24">
      <c r="B7" s="17" t="s">
        <v>158</v>
      </c>
      <c r="E7" s="118"/>
      <c r="F7" s="118"/>
    </row>
    <row r="8" spans="2:24" ht="131.25" customHeight="1">
      <c r="B8" s="359" t="s">
        <v>159</v>
      </c>
      <c r="C8" s="359"/>
      <c r="D8" s="359"/>
      <c r="E8" s="359"/>
      <c r="F8" s="359"/>
      <c r="H8" s="327" t="s">
        <v>160</v>
      </c>
      <c r="J8" s="308" t="s">
        <v>161</v>
      </c>
      <c r="K8" s="290"/>
    </row>
    <row r="9" spans="2:24">
      <c r="B9" s="4"/>
    </row>
    <row r="10" spans="2:24" s="8" customFormat="1" ht="12.75" customHeight="1">
      <c r="B10" s="8" t="s">
        <v>162</v>
      </c>
    </row>
    <row r="12" spans="2:24" s="33" customFormat="1" ht="12.75" customHeight="1">
      <c r="B12" s="33" t="s">
        <v>163</v>
      </c>
      <c r="H12" s="33" t="s">
        <v>164</v>
      </c>
      <c r="N12" s="33" t="s">
        <v>165</v>
      </c>
      <c r="T12" s="33" t="s">
        <v>166</v>
      </c>
    </row>
    <row r="13" spans="2:24" s="36" customFormat="1">
      <c r="B13" s="36" t="s">
        <v>167</v>
      </c>
      <c r="H13" s="36" t="s">
        <v>168</v>
      </c>
      <c r="I13" s="36" t="s">
        <v>169</v>
      </c>
      <c r="J13" s="36" t="s">
        <v>170</v>
      </c>
      <c r="K13" s="36" t="s">
        <v>171</v>
      </c>
      <c r="L13" s="36" t="s">
        <v>172</v>
      </c>
      <c r="N13" s="36" t="s">
        <v>168</v>
      </c>
      <c r="O13" s="36" t="s">
        <v>169</v>
      </c>
      <c r="P13" s="36" t="s">
        <v>170</v>
      </c>
      <c r="Q13" s="36" t="s">
        <v>171</v>
      </c>
      <c r="R13" s="36" t="s">
        <v>172</v>
      </c>
      <c r="T13" s="36" t="s">
        <v>168</v>
      </c>
      <c r="U13" s="36" t="s">
        <v>169</v>
      </c>
      <c r="V13" s="36" t="s">
        <v>170</v>
      </c>
      <c r="W13" s="36" t="s">
        <v>171</v>
      </c>
      <c r="X13" s="36" t="s">
        <v>172</v>
      </c>
    </row>
    <row r="14" spans="2:24" s="34" customFormat="1">
      <c r="H14" s="34" t="s">
        <v>173</v>
      </c>
      <c r="I14" s="34" t="s">
        <v>174</v>
      </c>
      <c r="J14" s="34" t="s">
        <v>175</v>
      </c>
      <c r="K14" s="34" t="s">
        <v>176</v>
      </c>
      <c r="L14" s="34" t="s">
        <v>177</v>
      </c>
      <c r="N14" s="34" t="s">
        <v>173</v>
      </c>
      <c r="O14" s="34" t="s">
        <v>174</v>
      </c>
      <c r="P14" s="34" t="s">
        <v>175</v>
      </c>
      <c r="Q14" s="34" t="s">
        <v>176</v>
      </c>
      <c r="R14" s="34" t="s">
        <v>177</v>
      </c>
      <c r="T14" s="34" t="s">
        <v>173</v>
      </c>
      <c r="U14" s="34" t="s">
        <v>174</v>
      </c>
      <c r="V14" s="34" t="s">
        <v>175</v>
      </c>
      <c r="W14" s="34" t="s">
        <v>176</v>
      </c>
      <c r="X14" s="34" t="s">
        <v>177</v>
      </c>
    </row>
    <row r="16" spans="2:24">
      <c r="B16" s="80" t="s">
        <v>178</v>
      </c>
      <c r="C16" s="80"/>
      <c r="D16" s="80"/>
      <c r="E16" s="80"/>
      <c r="F16" s="80"/>
      <c r="G16" s="80"/>
      <c r="H16" s="360">
        <f ca="1">'28. Entry- en exittarieven '!H97</f>
        <v>5.4809463799999998</v>
      </c>
      <c r="I16" s="364">
        <f ca="1">'28. Entry- en exittarieven '!I97</f>
        <v>2.5035911899999999</v>
      </c>
      <c r="J16" s="231">
        <f ca="1">'28. Entry- en exittarieven '!J97</f>
        <v>1.1975117</v>
      </c>
      <c r="K16" s="231">
        <f ca="1">'28. Entry- en exittarieven '!K97</f>
        <v>4.6591800000000003E-2</v>
      </c>
      <c r="L16" s="263">
        <f ca="1">'28. Entry- en exittarieven '!L97</f>
        <v>1.94133E-3</v>
      </c>
      <c r="M16" s="235"/>
      <c r="N16" s="360">
        <f ca="1">'28. Entry- en exittarieven '!N97</f>
        <v>1.3702365999999999</v>
      </c>
      <c r="O16" s="364">
        <f ca="1">'28. Entry- en exittarieven '!O97</f>
        <v>0.62589779999999995</v>
      </c>
      <c r="P16" s="231">
        <f ca="1">'28. Entry- en exittarieven '!P97</f>
        <v>0.29937793000000001</v>
      </c>
      <c r="Q16" s="231">
        <f ca="1">'28. Entry- en exittarieven '!Q97</f>
        <v>1.1647950000000001E-2</v>
      </c>
      <c r="R16" s="263">
        <f ca="1">'28. Entry- en exittarieven '!R97</f>
        <v>4.8534000000000001E-4</v>
      </c>
      <c r="T16" s="364">
        <f ca="1">'28. Entry- en exittarieven '!T97</f>
        <v>5.4809463799999998</v>
      </c>
      <c r="U16" s="364">
        <f ca="1">'28. Entry- en exittarieven '!U97</f>
        <v>2.5035911899999999</v>
      </c>
      <c r="V16" s="56">
        <f ca="1">'28. Entry- en exittarieven '!V97</f>
        <v>1.1975117</v>
      </c>
      <c r="W16" s="56">
        <f ca="1">'28. Entry- en exittarieven '!W97</f>
        <v>4.6591800000000003E-2</v>
      </c>
      <c r="X16" s="269">
        <f ca="1">'28. Entry- en exittarieven '!X97</f>
        <v>1.94133E-3</v>
      </c>
    </row>
    <row r="17" spans="2:24">
      <c r="B17" s="80" t="s">
        <v>179</v>
      </c>
      <c r="C17" s="80"/>
      <c r="D17" s="80"/>
      <c r="E17" s="80"/>
      <c r="F17" s="80"/>
      <c r="G17" s="80"/>
      <c r="H17" s="360"/>
      <c r="I17" s="364"/>
      <c r="J17" s="231">
        <f ca="1">'28. Entry- en exittarieven '!J98</f>
        <v>0.96683894000000004</v>
      </c>
      <c r="K17" s="231">
        <f ca="1">'28. Entry- en exittarieven '!K98</f>
        <v>4.1651439999999998E-2</v>
      </c>
      <c r="L17" s="263">
        <f ca="1">'28. Entry- en exittarieven '!L98</f>
        <v>1.73548E-3</v>
      </c>
      <c r="M17" s="235"/>
      <c r="N17" s="360"/>
      <c r="O17" s="364"/>
      <c r="P17" s="231">
        <f ca="1">'28. Entry- en exittarieven '!P98</f>
        <v>0.24170974000000001</v>
      </c>
      <c r="Q17" s="231">
        <f ca="1">'28. Entry- en exittarieven '!Q98</f>
        <v>1.0412859999999999E-2</v>
      </c>
      <c r="R17" s="263">
        <f ca="1">'28. Entry- en exittarieven '!R98</f>
        <v>4.3386999999999999E-4</v>
      </c>
      <c r="T17" s="364"/>
      <c r="U17" s="364"/>
      <c r="V17" s="56">
        <f ca="1">'28. Entry- en exittarieven '!V98</f>
        <v>0.96683894000000004</v>
      </c>
      <c r="W17" s="56">
        <f ca="1">'28. Entry- en exittarieven '!W98</f>
        <v>4.1651439999999998E-2</v>
      </c>
      <c r="X17" s="269">
        <f ca="1">'28. Entry- en exittarieven '!X98</f>
        <v>1.73548E-3</v>
      </c>
    </row>
    <row r="18" spans="2:24">
      <c r="B18" s="80" t="s">
        <v>180</v>
      </c>
      <c r="C18" s="80"/>
      <c r="D18" s="80"/>
      <c r="E18" s="80"/>
      <c r="F18" s="80"/>
      <c r="G18" s="80"/>
      <c r="H18" s="360"/>
      <c r="I18" s="364"/>
      <c r="J18" s="231">
        <f ca="1">'28. Entry- en exittarieven '!J99</f>
        <v>0.83721080999999997</v>
      </c>
      <c r="K18" s="231">
        <f ca="1">'28. Entry- en exittarieven '!K99</f>
        <v>3.2559070000000002E-2</v>
      </c>
      <c r="L18" s="263">
        <f ca="1">'28. Entry- en exittarieven '!L99</f>
        <v>1.3566299999999999E-3</v>
      </c>
      <c r="M18" s="235"/>
      <c r="N18" s="360"/>
      <c r="O18" s="364"/>
      <c r="P18" s="231">
        <f ca="1">'28. Entry- en exittarieven '!P99</f>
        <v>0.20930270000000001</v>
      </c>
      <c r="Q18" s="231">
        <f ca="1">'28. Entry- en exittarieven '!Q99</f>
        <v>8.1397699999999993E-3</v>
      </c>
      <c r="R18" s="263">
        <f ca="1">'28. Entry- en exittarieven '!R99</f>
        <v>3.3915999999999997E-4</v>
      </c>
      <c r="T18" s="364"/>
      <c r="U18" s="364"/>
      <c r="V18" s="56">
        <f ca="1">'28. Entry- en exittarieven '!V99</f>
        <v>0.83721080999999997</v>
      </c>
      <c r="W18" s="56">
        <f ca="1">'28. Entry- en exittarieven '!W99</f>
        <v>3.2559070000000002E-2</v>
      </c>
      <c r="X18" s="269">
        <f ca="1">'28. Entry- en exittarieven '!X99</f>
        <v>1.3566299999999999E-3</v>
      </c>
    </row>
    <row r="19" spans="2:24">
      <c r="B19" s="80" t="s">
        <v>181</v>
      </c>
      <c r="C19" s="80"/>
      <c r="D19" s="80"/>
      <c r="E19" s="80"/>
      <c r="F19" s="80"/>
      <c r="G19" s="80"/>
      <c r="H19" s="360"/>
      <c r="I19" s="364">
        <f ca="1">'28. Entry- en exittarieven '!I100</f>
        <v>1.3391528699999999</v>
      </c>
      <c r="J19" s="231">
        <f ca="1">'28. Entry- en exittarieven '!J100</f>
        <v>0.60410540999999995</v>
      </c>
      <c r="K19" s="231">
        <f ca="1">'28. Entry- en exittarieven '!K100</f>
        <v>2.4281339999999998E-2</v>
      </c>
      <c r="L19" s="263">
        <f ca="1">'28. Entry- en exittarieven '!L100</f>
        <v>1.01173E-3</v>
      </c>
      <c r="M19" s="235"/>
      <c r="N19" s="360"/>
      <c r="O19" s="364">
        <f ca="1">'28. Entry- en exittarieven '!O100</f>
        <v>0.33478822000000003</v>
      </c>
      <c r="P19" s="231">
        <f ca="1">'28. Entry- en exittarieven '!P100</f>
        <v>0.15102635</v>
      </c>
      <c r="Q19" s="231">
        <f ca="1">'28. Entry- en exittarieven '!Q100</f>
        <v>6.0703399999999996E-3</v>
      </c>
      <c r="R19" s="263">
        <f ca="1">'28. Entry- en exittarieven '!R100</f>
        <v>2.5294E-4</v>
      </c>
      <c r="T19" s="364"/>
      <c r="U19" s="364">
        <f ca="1">'28. Entry- en exittarieven '!U100</f>
        <v>1.3391528699999999</v>
      </c>
      <c r="V19" s="56">
        <f ca="1">'28. Entry- en exittarieven '!V100</f>
        <v>0.60410540999999995</v>
      </c>
      <c r="W19" s="56">
        <f ca="1">'28. Entry- en exittarieven '!W100</f>
        <v>2.4281339999999998E-2</v>
      </c>
      <c r="X19" s="269">
        <f ca="1">'28. Entry- en exittarieven '!X100</f>
        <v>1.01173E-3</v>
      </c>
    </row>
    <row r="20" spans="2:24">
      <c r="B20" s="80" t="s">
        <v>182</v>
      </c>
      <c r="C20" s="80"/>
      <c r="D20" s="80"/>
      <c r="E20" s="80"/>
      <c r="F20" s="80"/>
      <c r="G20" s="80"/>
      <c r="H20" s="360"/>
      <c r="I20" s="364"/>
      <c r="J20" s="231">
        <f ca="1">'28. Entry- en exittarieven '!J101</f>
        <v>0.55301997999999997</v>
      </c>
      <c r="K20" s="231">
        <f ca="1">'28. Entry- en exittarieven '!K101</f>
        <v>2.1522099999999999E-2</v>
      </c>
      <c r="L20" s="263">
        <f ca="1">'28. Entry- en exittarieven '!L101</f>
        <v>8.9676000000000003E-4</v>
      </c>
      <c r="M20" s="235"/>
      <c r="N20" s="360"/>
      <c r="O20" s="364"/>
      <c r="P20" s="231">
        <f ca="1">'28. Entry- en exittarieven '!P101</f>
        <v>0.13825499999999999</v>
      </c>
      <c r="Q20" s="231">
        <f ca="1">'28. Entry- en exittarieven '!Q101</f>
        <v>5.3805199999999997E-3</v>
      </c>
      <c r="R20" s="263">
        <f ca="1">'28. Entry- en exittarieven '!R101</f>
        <v>2.2419000000000001E-4</v>
      </c>
      <c r="T20" s="364"/>
      <c r="U20" s="364"/>
      <c r="V20" s="56">
        <f ca="1">'28. Entry- en exittarieven '!V101</f>
        <v>0.55301997999999997</v>
      </c>
      <c r="W20" s="56">
        <f ca="1">'28. Entry- en exittarieven '!W101</f>
        <v>2.1522099999999999E-2</v>
      </c>
      <c r="X20" s="269">
        <f ca="1">'28. Entry- en exittarieven '!X101</f>
        <v>8.9676000000000003E-4</v>
      </c>
    </row>
    <row r="21" spans="2:24">
      <c r="B21" s="80" t="s">
        <v>183</v>
      </c>
      <c r="C21" s="80"/>
      <c r="D21" s="80"/>
      <c r="E21" s="80"/>
      <c r="F21" s="80"/>
      <c r="G21" s="80"/>
      <c r="H21" s="360"/>
      <c r="I21" s="364"/>
      <c r="J21" s="231">
        <f ca="1">'28. Entry- en exittarieven '!J102</f>
        <v>0.44936251999999999</v>
      </c>
      <c r="K21" s="231">
        <f ca="1">'28. Entry- en exittarieven '!K102</f>
        <v>1.8079609999999999E-2</v>
      </c>
      <c r="L21" s="263">
        <f ca="1">'28. Entry- en exittarieven '!L102</f>
        <v>7.5332000000000003E-4</v>
      </c>
      <c r="M21" s="235"/>
      <c r="N21" s="360"/>
      <c r="O21" s="364"/>
      <c r="P21" s="231">
        <f ca="1">'28. Entry- en exittarieven '!P102</f>
        <v>0.11234063</v>
      </c>
      <c r="Q21" s="231">
        <f ca="1">'28. Entry- en exittarieven '!Q102</f>
        <v>4.5199000000000003E-3</v>
      </c>
      <c r="R21" s="263">
        <f ca="1">'28. Entry- en exittarieven '!R102</f>
        <v>1.8833000000000001E-4</v>
      </c>
      <c r="T21" s="364"/>
      <c r="U21" s="364"/>
      <c r="V21" s="56">
        <f ca="1">'28. Entry- en exittarieven '!V102</f>
        <v>0.44936251999999999</v>
      </c>
      <c r="W21" s="56">
        <f ca="1">'28. Entry- en exittarieven '!W102</f>
        <v>1.8079609999999999E-2</v>
      </c>
      <c r="X21" s="269">
        <f ca="1">'28. Entry- en exittarieven '!X102</f>
        <v>7.5332000000000003E-4</v>
      </c>
    </row>
    <row r="22" spans="2:24">
      <c r="B22" s="80" t="s">
        <v>184</v>
      </c>
      <c r="C22" s="80"/>
      <c r="D22" s="80"/>
      <c r="E22" s="80"/>
      <c r="F22" s="80"/>
      <c r="G22" s="80"/>
      <c r="H22" s="360"/>
      <c r="I22" s="364">
        <f ca="1">'28. Entry- en exittarieven '!I103</f>
        <v>1.08620344</v>
      </c>
      <c r="J22" s="231">
        <f ca="1">'28. Entry- en exittarieven '!J103</f>
        <v>0.43850573999999998</v>
      </c>
      <c r="K22" s="231">
        <f ca="1">'28. Entry- en exittarieven '!K103</f>
        <v>1.705475E-2</v>
      </c>
      <c r="L22" s="263">
        <f ca="1">'28. Entry- en exittarieven '!L103</f>
        <v>7.1062000000000002E-4</v>
      </c>
      <c r="M22" s="235"/>
      <c r="N22" s="360"/>
      <c r="O22" s="364">
        <f ca="1">'28. Entry- en exittarieven '!O103</f>
        <v>0.27155086000000001</v>
      </c>
      <c r="P22" s="231">
        <f ca="1">'28. Entry- en exittarieven '!P103</f>
        <v>0.10962644000000001</v>
      </c>
      <c r="Q22" s="231">
        <f ca="1">'28. Entry- en exittarieven '!Q103</f>
        <v>4.2636899999999997E-3</v>
      </c>
      <c r="R22" s="263">
        <f ca="1">'28. Entry- en exittarieven '!R103</f>
        <v>1.7766E-4</v>
      </c>
      <c r="T22" s="364"/>
      <c r="U22" s="364">
        <f ca="1">'28. Entry- en exittarieven '!U103</f>
        <v>1.08620344</v>
      </c>
      <c r="V22" s="56">
        <f ca="1">'28. Entry- en exittarieven '!V103</f>
        <v>0.43850573999999998</v>
      </c>
      <c r="W22" s="56">
        <f ca="1">'28. Entry- en exittarieven '!W103</f>
        <v>1.705475E-2</v>
      </c>
      <c r="X22" s="269">
        <f ca="1">'28. Entry- en exittarieven '!X103</f>
        <v>7.1062000000000002E-4</v>
      </c>
    </row>
    <row r="23" spans="2:24">
      <c r="B23" s="80" t="s">
        <v>185</v>
      </c>
      <c r="C23" s="80"/>
      <c r="D23" s="80"/>
      <c r="E23" s="80"/>
      <c r="F23" s="80"/>
      <c r="G23" s="80"/>
      <c r="H23" s="360"/>
      <c r="I23" s="364"/>
      <c r="J23" s="231">
        <f ca="1">'28. Entry- en exittarieven '!J104</f>
        <v>0.41685976000000002</v>
      </c>
      <c r="K23" s="231">
        <f ca="1">'28. Entry- en exittarieven '!K104</f>
        <v>1.624012E-2</v>
      </c>
      <c r="L23" s="263">
        <f ca="1">'28. Entry- en exittarieven '!L104</f>
        <v>6.7668000000000003E-4</v>
      </c>
      <c r="M23" s="235"/>
      <c r="N23" s="360"/>
      <c r="O23" s="364"/>
      <c r="P23" s="231">
        <f ca="1">'28. Entry- en exittarieven '!P104</f>
        <v>0.10421494000000001</v>
      </c>
      <c r="Q23" s="231">
        <f ca="1">'28. Entry- en exittarieven '!Q104</f>
        <v>4.0600300000000001E-3</v>
      </c>
      <c r="R23" s="263">
        <f ca="1">'28. Entry- en exittarieven '!R104</f>
        <v>1.6917000000000001E-4</v>
      </c>
      <c r="T23" s="364"/>
      <c r="U23" s="364"/>
      <c r="V23" s="56">
        <f ca="1">'28. Entry- en exittarieven '!V104</f>
        <v>0.41685976000000002</v>
      </c>
      <c r="W23" s="56">
        <f ca="1">'28. Entry- en exittarieven '!W104</f>
        <v>1.624012E-2</v>
      </c>
      <c r="X23" s="269">
        <f ca="1">'28. Entry- en exittarieven '!X104</f>
        <v>6.7668000000000003E-4</v>
      </c>
    </row>
    <row r="24" spans="2:24">
      <c r="B24" s="80" t="s">
        <v>186</v>
      </c>
      <c r="C24" s="80"/>
      <c r="D24" s="80"/>
      <c r="E24" s="80"/>
      <c r="F24" s="80"/>
      <c r="G24" s="80"/>
      <c r="H24" s="360"/>
      <c r="I24" s="364"/>
      <c r="J24" s="231">
        <f ca="1">'28. Entry- en exittarieven '!J105</f>
        <v>0.44801106000000002</v>
      </c>
      <c r="K24" s="231">
        <f ca="1">'28. Entry- en exittarieven '!K105</f>
        <v>1.8027060000000001E-2</v>
      </c>
      <c r="L24" s="263">
        <f ca="1">'28. Entry- en exittarieven '!L105</f>
        <v>7.5113000000000003E-4</v>
      </c>
      <c r="M24" s="235"/>
      <c r="N24" s="360"/>
      <c r="O24" s="364"/>
      <c r="P24" s="231">
        <f ca="1">'28. Entry- en exittarieven '!P105</f>
        <v>0.11200276000000001</v>
      </c>
      <c r="Q24" s="231">
        <f ca="1">'28. Entry- en exittarieven '!Q105</f>
        <v>4.5067600000000003E-3</v>
      </c>
      <c r="R24" s="263">
        <f ca="1">'28. Entry- en exittarieven '!R105</f>
        <v>1.8778999999999999E-4</v>
      </c>
      <c r="T24" s="364"/>
      <c r="U24" s="364"/>
      <c r="V24" s="56">
        <f ca="1">'28. Entry- en exittarieven '!V105</f>
        <v>0.44801106000000002</v>
      </c>
      <c r="W24" s="56">
        <f ca="1">'28. Entry- en exittarieven '!W105</f>
        <v>1.8027060000000001E-2</v>
      </c>
      <c r="X24" s="269">
        <f ca="1">'28. Entry- en exittarieven '!X105</f>
        <v>7.5113000000000003E-4</v>
      </c>
    </row>
    <row r="25" spans="2:24">
      <c r="B25" s="80" t="s">
        <v>187</v>
      </c>
      <c r="C25" s="80"/>
      <c r="D25" s="80"/>
      <c r="E25" s="80"/>
      <c r="F25" s="80"/>
      <c r="G25" s="80"/>
      <c r="H25" s="360"/>
      <c r="I25" s="364">
        <f ca="1">'28. Entry- en exittarieven '!I106</f>
        <v>1.90819524</v>
      </c>
      <c r="J25" s="231">
        <f ca="1">'28. Entry- en exittarieven '!J106</f>
        <v>0.53137400000000001</v>
      </c>
      <c r="K25" s="231">
        <f ca="1">'28. Entry- en exittarieven '!K106</f>
        <v>2.0681189999999999E-2</v>
      </c>
      <c r="L25" s="263">
        <f ca="1">'28. Entry- en exittarieven '!L106</f>
        <v>8.6172000000000006E-4</v>
      </c>
      <c r="M25" s="235"/>
      <c r="N25" s="360"/>
      <c r="O25" s="364">
        <f ca="1">'28. Entry- en exittarieven '!O106</f>
        <v>0.47704880999999999</v>
      </c>
      <c r="P25" s="231">
        <f ca="1">'28. Entry- en exittarieven '!P106</f>
        <v>0.1328435</v>
      </c>
      <c r="Q25" s="231">
        <f ca="1">'28. Entry- en exittarieven '!Q106</f>
        <v>5.1703000000000001E-3</v>
      </c>
      <c r="R25" s="263">
        <f ca="1">'28. Entry- en exittarieven '!R106</f>
        <v>2.1542999999999999E-4</v>
      </c>
      <c r="T25" s="364"/>
      <c r="U25" s="364">
        <f ca="1">'28. Entry- en exittarieven '!U106</f>
        <v>1.90819524</v>
      </c>
      <c r="V25" s="56">
        <f ca="1">'28. Entry- en exittarieven '!V106</f>
        <v>0.53137400000000001</v>
      </c>
      <c r="W25" s="56">
        <f ca="1">'28. Entry- en exittarieven '!W106</f>
        <v>2.0681189999999999E-2</v>
      </c>
      <c r="X25" s="269">
        <f ca="1">'28. Entry- en exittarieven '!X106</f>
        <v>8.6172000000000006E-4</v>
      </c>
    </row>
    <row r="26" spans="2:24">
      <c r="B26" s="80" t="s">
        <v>188</v>
      </c>
      <c r="C26" s="80"/>
      <c r="D26" s="80"/>
      <c r="E26" s="80"/>
      <c r="F26" s="80"/>
      <c r="G26" s="80"/>
      <c r="H26" s="360"/>
      <c r="I26" s="364"/>
      <c r="J26" s="231">
        <f ca="1">'28. Entry- en exittarieven '!J107</f>
        <v>0.76357841999999998</v>
      </c>
      <c r="K26" s="231">
        <f ca="1">'28. Entry- en exittarieven '!K107</f>
        <v>3.06933E-2</v>
      </c>
      <c r="L26" s="263">
        <f ca="1">'28. Entry- en exittarieven '!L107</f>
        <v>1.27889E-3</v>
      </c>
      <c r="M26" s="235"/>
      <c r="N26" s="360"/>
      <c r="O26" s="364"/>
      <c r="P26" s="231">
        <f ca="1">'28. Entry- en exittarieven '!P107</f>
        <v>0.19089460999999999</v>
      </c>
      <c r="Q26" s="231">
        <f ca="1">'28. Entry- en exittarieven '!Q107</f>
        <v>7.67332E-3</v>
      </c>
      <c r="R26" s="263">
        <f ca="1">'28. Entry- en exittarieven '!R107</f>
        <v>3.1973E-4</v>
      </c>
      <c r="T26" s="364"/>
      <c r="U26" s="364"/>
      <c r="V26" s="56">
        <f ca="1">'28. Entry- en exittarieven '!V107</f>
        <v>0.76357841999999998</v>
      </c>
      <c r="W26" s="56">
        <f ca="1">'28. Entry- en exittarieven '!W107</f>
        <v>3.06933E-2</v>
      </c>
      <c r="X26" s="269">
        <f ca="1">'28. Entry- en exittarieven '!X107</f>
        <v>1.27889E-3</v>
      </c>
    </row>
    <row r="27" spans="2:24">
      <c r="B27" s="80" t="s">
        <v>189</v>
      </c>
      <c r="C27" s="80"/>
      <c r="D27" s="80"/>
      <c r="E27" s="80"/>
      <c r="F27" s="80"/>
      <c r="G27" s="80"/>
      <c r="H27" s="360"/>
      <c r="I27" s="364"/>
      <c r="J27" s="231">
        <f ca="1">'28. Entry- en exittarieven '!J108</f>
        <v>0.99431875999999997</v>
      </c>
      <c r="K27" s="231">
        <f ca="1">'28. Entry- en exittarieven '!K108</f>
        <v>3.8681970000000003E-2</v>
      </c>
      <c r="L27" s="263">
        <f ca="1">'28. Entry- en exittarieven '!L108</f>
        <v>1.6117499999999999E-3</v>
      </c>
      <c r="M27" s="235"/>
      <c r="N27" s="360"/>
      <c r="O27" s="364"/>
      <c r="P27" s="231">
        <f ca="1">'28. Entry- en exittarieven '!P108</f>
        <v>0.24857968999999999</v>
      </c>
      <c r="Q27" s="231">
        <f ca="1">'28. Entry- en exittarieven '!Q108</f>
        <v>9.6704900000000003E-3</v>
      </c>
      <c r="R27" s="263">
        <f ca="1">'28. Entry- en exittarieven '!R108</f>
        <v>4.0294000000000001E-4</v>
      </c>
      <c r="T27" s="364"/>
      <c r="U27" s="364"/>
      <c r="V27" s="56">
        <f ca="1">'28. Entry- en exittarieven '!V108</f>
        <v>0.99431875999999997</v>
      </c>
      <c r="W27" s="56">
        <f ca="1">'28. Entry- en exittarieven '!W108</f>
        <v>3.8681970000000003E-2</v>
      </c>
      <c r="X27" s="269">
        <f ca="1">'28. Entry- en exittarieven '!X108</f>
        <v>1.6117499999999999E-3</v>
      </c>
    </row>
    <row r="28" spans="2:24">
      <c r="B28" s="80"/>
      <c r="C28" s="80"/>
      <c r="D28" s="80"/>
      <c r="E28" s="80"/>
      <c r="F28" s="80"/>
      <c r="G28" s="80"/>
      <c r="H28" s="80"/>
      <c r="I28" s="80"/>
      <c r="J28" s="80"/>
      <c r="K28" s="80"/>
      <c r="L28" s="264"/>
      <c r="M28" s="80"/>
      <c r="N28" s="80"/>
      <c r="O28" s="80"/>
      <c r="P28" s="80"/>
      <c r="Q28" s="80"/>
      <c r="R28" s="271"/>
    </row>
    <row r="29" spans="2:24" s="33" customFormat="1">
      <c r="B29" s="81" t="s">
        <v>190</v>
      </c>
      <c r="C29" s="81"/>
      <c r="D29" s="81"/>
      <c r="E29" s="81"/>
      <c r="F29" s="81"/>
      <c r="G29" s="81"/>
      <c r="H29" s="81" t="s">
        <v>164</v>
      </c>
      <c r="I29" s="81"/>
      <c r="J29" s="81"/>
      <c r="K29" s="81"/>
      <c r="L29" s="265"/>
      <c r="M29" s="81"/>
      <c r="N29" s="81" t="s">
        <v>165</v>
      </c>
      <c r="O29" s="81"/>
      <c r="P29" s="81"/>
      <c r="Q29" s="81"/>
      <c r="R29" s="272"/>
    </row>
    <row r="30" spans="2:24" s="36" customFormat="1">
      <c r="B30" s="82" t="s">
        <v>191</v>
      </c>
      <c r="C30" s="82"/>
      <c r="D30" s="82"/>
      <c r="E30" s="82"/>
      <c r="F30" s="82"/>
      <c r="G30" s="82"/>
      <c r="H30" s="82" t="s">
        <v>168</v>
      </c>
      <c r="I30" s="82" t="s">
        <v>169</v>
      </c>
      <c r="J30" s="82" t="s">
        <v>170</v>
      </c>
      <c r="K30" s="82" t="s">
        <v>171</v>
      </c>
      <c r="L30" s="266" t="s">
        <v>172</v>
      </c>
      <c r="M30" s="82"/>
      <c r="N30" s="82" t="s">
        <v>168</v>
      </c>
      <c r="O30" s="82" t="s">
        <v>169</v>
      </c>
      <c r="P30" s="82" t="s">
        <v>170</v>
      </c>
      <c r="Q30" s="82" t="s">
        <v>171</v>
      </c>
      <c r="R30" s="273" t="s">
        <v>172</v>
      </c>
    </row>
    <row r="31" spans="2:24" s="34" customFormat="1">
      <c r="B31" s="83"/>
      <c r="C31" s="83"/>
      <c r="D31" s="83"/>
      <c r="E31" s="83"/>
      <c r="F31" s="83"/>
      <c r="G31" s="83"/>
      <c r="H31" s="83" t="s">
        <v>173</v>
      </c>
      <c r="I31" s="83" t="s">
        <v>174</v>
      </c>
      <c r="J31" s="83" t="s">
        <v>175</v>
      </c>
      <c r="K31" s="83" t="s">
        <v>176</v>
      </c>
      <c r="L31" s="267" t="s">
        <v>177</v>
      </c>
      <c r="M31" s="83"/>
      <c r="N31" s="83" t="s">
        <v>173</v>
      </c>
      <c r="O31" s="83" t="s">
        <v>174</v>
      </c>
      <c r="P31" s="83" t="s">
        <v>175</v>
      </c>
      <c r="Q31" s="83" t="s">
        <v>176</v>
      </c>
      <c r="R31" s="274" t="s">
        <v>177</v>
      </c>
    </row>
    <row r="32" spans="2:24">
      <c r="B32" s="80"/>
      <c r="C32" s="80"/>
      <c r="D32" s="80"/>
      <c r="E32" s="80"/>
      <c r="F32" s="80"/>
      <c r="G32" s="80"/>
      <c r="H32" s="80"/>
      <c r="I32" s="80"/>
      <c r="J32" s="80"/>
      <c r="K32" s="80"/>
      <c r="L32" s="264"/>
      <c r="M32" s="80"/>
      <c r="N32" s="80"/>
      <c r="O32" s="80"/>
      <c r="P32" s="80"/>
      <c r="Q32" s="80"/>
      <c r="R32" s="271"/>
    </row>
    <row r="33" spans="2:24">
      <c r="B33" s="80" t="s">
        <v>178</v>
      </c>
      <c r="C33" s="80"/>
      <c r="D33" s="80"/>
      <c r="E33" s="80"/>
      <c r="F33" s="80"/>
      <c r="G33" s="80"/>
      <c r="H33" s="360">
        <f ca="1">'28. Entry- en exittarieven '!H115</f>
        <v>5.1008629799999996</v>
      </c>
      <c r="I33" s="364">
        <f ca="1">'28. Entry- en exittarieven '!I115</f>
        <v>2.3299763900000001</v>
      </c>
      <c r="J33" s="231">
        <f ca="1">'28. Entry- en exittarieven '!J115</f>
        <v>1.11446869</v>
      </c>
      <c r="K33" s="231">
        <f ca="1">'28. Entry- en exittarieven '!K115</f>
        <v>4.3360830000000003E-2</v>
      </c>
      <c r="L33" s="263">
        <f ca="1">'28. Entry- en exittarieven '!L115</f>
        <v>1.80671E-3</v>
      </c>
      <c r="M33" s="80"/>
      <c r="N33" s="360">
        <f ca="1">'28. Entry- en exittarieven '!N115</f>
        <v>1.2752157500000001</v>
      </c>
      <c r="O33" s="364">
        <f ca="1">'28. Entry- en exittarieven '!O115</f>
        <v>0.58249410000000001</v>
      </c>
      <c r="P33" s="231">
        <f ca="1">'28. Entry- en exittarieven '!P115</f>
        <v>0.27861717000000003</v>
      </c>
      <c r="Q33" s="231">
        <f ca="1">'28. Entry- en exittarieven '!Q115</f>
        <v>1.0840209999999999E-2</v>
      </c>
      <c r="R33" s="263">
        <f ca="1">'28. Entry- en exittarieven '!R115</f>
        <v>4.5167999999999999E-4</v>
      </c>
    </row>
    <row r="34" spans="2:24">
      <c r="B34" s="80" t="s">
        <v>179</v>
      </c>
      <c r="C34" s="80"/>
      <c r="D34" s="80"/>
      <c r="E34" s="80"/>
      <c r="F34" s="80"/>
      <c r="G34" s="80"/>
      <c r="H34" s="360"/>
      <c r="I34" s="364"/>
      <c r="J34" s="231">
        <f ca="1">'28. Entry- en exittarieven '!J116</f>
        <v>0.89979222999999997</v>
      </c>
      <c r="K34" s="231">
        <f ca="1">'28. Entry- en exittarieven '!K116</f>
        <v>3.8763060000000002E-2</v>
      </c>
      <c r="L34" s="263">
        <f ca="1">'28. Entry- en exittarieven '!L116</f>
        <v>1.61513E-3</v>
      </c>
      <c r="M34" s="80"/>
      <c r="N34" s="360"/>
      <c r="O34" s="364"/>
      <c r="P34" s="231">
        <f ca="1">'28. Entry- en exittarieven '!P116</f>
        <v>0.22494806000000001</v>
      </c>
      <c r="Q34" s="231">
        <f ca="1">'28. Entry- en exittarieven '!Q116</f>
        <v>9.6907699999999996E-3</v>
      </c>
      <c r="R34" s="263">
        <f ca="1">'28. Entry- en exittarieven '!R116</f>
        <v>4.0379000000000001E-4</v>
      </c>
    </row>
    <row r="35" spans="2:24">
      <c r="B35" s="80" t="s">
        <v>180</v>
      </c>
      <c r="C35" s="80"/>
      <c r="D35" s="80"/>
      <c r="E35" s="80"/>
      <c r="F35" s="80"/>
      <c r="G35" s="80"/>
      <c r="H35" s="360"/>
      <c r="I35" s="364"/>
      <c r="J35" s="231">
        <f ca="1">'28. Entry- en exittarieven '!J117</f>
        <v>0.77915332999999998</v>
      </c>
      <c r="K35" s="231">
        <f ca="1">'28. Entry- en exittarieven '!K117</f>
        <v>3.030122E-2</v>
      </c>
      <c r="L35" s="263">
        <f ca="1">'28. Entry- en exittarieven '!L117</f>
        <v>1.26256E-3</v>
      </c>
      <c r="M35" s="80"/>
      <c r="N35" s="360"/>
      <c r="O35" s="364"/>
      <c r="P35" s="231">
        <f ca="1">'28. Entry- en exittarieven '!P117</f>
        <v>0.19478833000000001</v>
      </c>
      <c r="Q35" s="231">
        <f ca="1">'28. Entry- en exittarieven '!Q117</f>
        <v>7.57531E-3</v>
      </c>
      <c r="R35" s="263">
        <f ca="1">'28. Entry- en exittarieven '!R117</f>
        <v>3.1564000000000001E-4</v>
      </c>
    </row>
    <row r="36" spans="2:24">
      <c r="B36" s="80" t="s">
        <v>181</v>
      </c>
      <c r="C36" s="80"/>
      <c r="D36" s="80"/>
      <c r="E36" s="80"/>
      <c r="F36" s="80"/>
      <c r="G36" s="80"/>
      <c r="H36" s="360"/>
      <c r="I36" s="364">
        <f ca="1">'28. Entry- en exittarieven '!I118</f>
        <v>1.2462875600000001</v>
      </c>
      <c r="J36" s="231">
        <f ca="1">'28. Entry- en exittarieven '!J118</f>
        <v>0.56221293000000006</v>
      </c>
      <c r="K36" s="231">
        <f ca="1">'28. Entry- en exittarieven '!K118</f>
        <v>2.2597519999999999E-2</v>
      </c>
      <c r="L36" s="263">
        <f ca="1">'28. Entry- en exittarieven '!L118</f>
        <v>9.4157000000000008E-4</v>
      </c>
      <c r="M36" s="80"/>
      <c r="N36" s="360"/>
      <c r="O36" s="364">
        <f ca="1">'28. Entry- en exittarieven '!O118</f>
        <v>0.31157189000000002</v>
      </c>
      <c r="P36" s="231">
        <f ca="1">'28. Entry- en exittarieven '!P118</f>
        <v>0.14055323</v>
      </c>
      <c r="Q36" s="231">
        <f ca="1">'28. Entry- en exittarieven '!Q118</f>
        <v>5.6493799999999999E-3</v>
      </c>
      <c r="R36" s="263">
        <f ca="1">'28. Entry- en exittarieven '!R118</f>
        <v>2.354E-4</v>
      </c>
    </row>
    <row r="37" spans="2:24">
      <c r="B37" s="80" t="s">
        <v>182</v>
      </c>
      <c r="C37" s="80"/>
      <c r="D37" s="80"/>
      <c r="E37" s="80"/>
      <c r="F37" s="80"/>
      <c r="G37" s="80"/>
      <c r="H37" s="360"/>
      <c r="I37" s="364"/>
      <c r="J37" s="231">
        <f ca="1">'28. Entry- en exittarieven '!J119</f>
        <v>0.51467008999999997</v>
      </c>
      <c r="K37" s="231">
        <f ca="1">'28. Entry- en exittarieven '!K119</f>
        <v>2.0029620000000001E-2</v>
      </c>
      <c r="L37" s="263">
        <f ca="1">'28. Entry- en exittarieven '!L119</f>
        <v>8.3457000000000008E-4</v>
      </c>
      <c r="M37" s="80"/>
      <c r="N37" s="360"/>
      <c r="O37" s="364"/>
      <c r="P37" s="231">
        <f ca="1">'28. Entry- en exittarieven '!P119</f>
        <v>0.12866752000000001</v>
      </c>
      <c r="Q37" s="231">
        <f ca="1">'28. Entry- en exittarieven '!Q119</f>
        <v>5.0074100000000003E-3</v>
      </c>
      <c r="R37" s="263">
        <f ca="1">'28. Entry- en exittarieven '!R119</f>
        <v>2.0865E-4</v>
      </c>
    </row>
    <row r="38" spans="2:24">
      <c r="B38" s="80" t="s">
        <v>183</v>
      </c>
      <c r="C38" s="80"/>
      <c r="D38" s="80"/>
      <c r="E38" s="80"/>
      <c r="F38" s="80"/>
      <c r="G38" s="80"/>
      <c r="H38" s="360"/>
      <c r="I38" s="364"/>
      <c r="J38" s="231">
        <f ca="1">'28. Entry- en exittarieven '!J120</f>
        <v>0.41820088999999999</v>
      </c>
      <c r="K38" s="231">
        <f ca="1">'28. Entry- en exittarieven '!K120</f>
        <v>1.6825860000000002E-2</v>
      </c>
      <c r="L38" s="263">
        <f ca="1">'28. Entry- en exittarieven '!L120</f>
        <v>7.0108000000000008E-4</v>
      </c>
      <c r="M38" s="80"/>
      <c r="N38" s="360"/>
      <c r="O38" s="364"/>
      <c r="P38" s="231">
        <f ca="1">'28. Entry- en exittarieven '!P120</f>
        <v>0.10455022</v>
      </c>
      <c r="Q38" s="231">
        <f ca="1">'28. Entry- en exittarieven '!Q120</f>
        <v>4.2064700000000003E-3</v>
      </c>
      <c r="R38" s="263">
        <f ca="1">'28. Entry- en exittarieven '!R120</f>
        <v>1.7526999999999999E-4</v>
      </c>
    </row>
    <row r="39" spans="2:24">
      <c r="B39" s="80" t="s">
        <v>184</v>
      </c>
      <c r="C39" s="80"/>
      <c r="D39" s="80"/>
      <c r="E39" s="80"/>
      <c r="F39" s="80"/>
      <c r="G39" s="80"/>
      <c r="H39" s="360"/>
      <c r="I39" s="364">
        <f ca="1">'28. Entry- en exittarieven '!I121</f>
        <v>1.01087924</v>
      </c>
      <c r="J39" s="231">
        <f ca="1">'28. Entry- en exittarieven '!J121</f>
        <v>0.40809698999999999</v>
      </c>
      <c r="K39" s="231">
        <f ca="1">'28. Entry- en exittarieven '!K121</f>
        <v>1.5872069999999999E-2</v>
      </c>
      <c r="L39" s="263">
        <f ca="1">'28. Entry- en exittarieven '!L121</f>
        <v>6.6134000000000006E-4</v>
      </c>
      <c r="M39" s="80"/>
      <c r="N39" s="360"/>
      <c r="O39" s="364">
        <f ca="1">'28. Entry- en exittarieven '!O121</f>
        <v>0.25271980999999999</v>
      </c>
      <c r="P39" s="231">
        <f ca="1">'28. Entry- en exittarieven '!P121</f>
        <v>0.10202425</v>
      </c>
      <c r="Q39" s="231">
        <f ca="1">'28. Entry- en exittarieven '!Q121</f>
        <v>3.9680200000000001E-3</v>
      </c>
      <c r="R39" s="263">
        <f ca="1">'28. Entry- en exittarieven '!R121</f>
        <v>1.6533999999999999E-4</v>
      </c>
    </row>
    <row r="40" spans="2:24">
      <c r="B40" s="80" t="s">
        <v>185</v>
      </c>
      <c r="C40" s="80"/>
      <c r="D40" s="80"/>
      <c r="E40" s="80"/>
      <c r="F40" s="80"/>
      <c r="G40" s="80"/>
      <c r="H40" s="360"/>
      <c r="I40" s="364"/>
      <c r="J40" s="231">
        <f ca="1">'28. Entry- en exittarieven '!J122</f>
        <v>0.38795206999999998</v>
      </c>
      <c r="K40" s="231">
        <f ca="1">'28. Entry- en exittarieven '!K122</f>
        <v>1.5113929999999999E-2</v>
      </c>
      <c r="L40" s="263">
        <f ca="1">'28. Entry- en exittarieven '!L122</f>
        <v>6.297500000000001E-4</v>
      </c>
      <c r="M40" s="80"/>
      <c r="N40" s="360"/>
      <c r="O40" s="364"/>
      <c r="P40" s="231">
        <f ca="1">'28. Entry- en exittarieven '!P122</f>
        <v>9.6988019999999994E-2</v>
      </c>
      <c r="Q40" s="231">
        <f ca="1">'28. Entry- en exittarieven '!Q122</f>
        <v>3.7784799999999999E-3</v>
      </c>
      <c r="R40" s="263">
        <f ca="1">'28. Entry- en exittarieven '!R122</f>
        <v>1.5743999999999998E-4</v>
      </c>
    </row>
    <row r="41" spans="2:24">
      <c r="B41" s="80" t="s">
        <v>186</v>
      </c>
      <c r="C41" s="80"/>
      <c r="D41" s="80"/>
      <c r="E41" s="80"/>
      <c r="F41" s="80"/>
      <c r="G41" s="80"/>
      <c r="H41" s="360"/>
      <c r="I41" s="364"/>
      <c r="J41" s="231">
        <f ca="1">'28. Entry- en exittarieven '!J123</f>
        <v>0.41694313999999999</v>
      </c>
      <c r="K41" s="231">
        <f ca="1">'28. Entry- en exittarieven '!K123</f>
        <v>1.6776949999999999E-2</v>
      </c>
      <c r="L41" s="263">
        <f ca="1">'28. Entry- en exittarieven '!L123</f>
        <v>6.9904000000000006E-4</v>
      </c>
      <c r="M41" s="80"/>
      <c r="N41" s="360"/>
      <c r="O41" s="364"/>
      <c r="P41" s="231">
        <f ca="1">'28. Entry- en exittarieven '!P123</f>
        <v>0.10423578999999999</v>
      </c>
      <c r="Q41" s="231">
        <f ca="1">'28. Entry- en exittarieven '!Q123</f>
        <v>4.1942400000000001E-3</v>
      </c>
      <c r="R41" s="263">
        <f ca="1">'28. Entry- en exittarieven '!R123</f>
        <v>1.7475999999999999E-4</v>
      </c>
    </row>
    <row r="42" spans="2:24">
      <c r="B42" s="80" t="s">
        <v>187</v>
      </c>
      <c r="C42" s="80"/>
      <c r="D42" s="80"/>
      <c r="E42" s="80"/>
      <c r="F42" s="80"/>
      <c r="G42" s="80"/>
      <c r="H42" s="360"/>
      <c r="I42" s="364">
        <f ca="1">'28. Entry- en exittarieven '!I124</f>
        <v>1.7758689400000001</v>
      </c>
      <c r="J42" s="231">
        <f ca="1">'28. Entry- en exittarieven '!J124</f>
        <v>0.49452517000000001</v>
      </c>
      <c r="K42" s="231">
        <f ca="1">'28. Entry- en exittarieven '!K124</f>
        <v>1.924702E-2</v>
      </c>
      <c r="L42" s="263">
        <f ca="1">'28. Entry- en exittarieven '!L124</f>
        <v>8.0196E-4</v>
      </c>
      <c r="M42" s="80"/>
      <c r="N42" s="360"/>
      <c r="O42" s="364">
        <f ca="1">'28. Entry- en exittarieven '!O124</f>
        <v>0.44396723999999999</v>
      </c>
      <c r="P42" s="231">
        <f ca="1">'28. Entry- en exittarieven '!P124</f>
        <v>0.12363129</v>
      </c>
      <c r="Q42" s="231">
        <f ca="1">'28. Entry- en exittarieven '!Q124</f>
        <v>4.81176E-3</v>
      </c>
      <c r="R42" s="263">
        <f ca="1">'28. Entry- en exittarieven '!R124</f>
        <v>2.0049E-4</v>
      </c>
    </row>
    <row r="43" spans="2:24">
      <c r="B43" s="80" t="s">
        <v>188</v>
      </c>
      <c r="C43" s="80"/>
      <c r="D43" s="80"/>
      <c r="E43" s="80"/>
      <c r="F43" s="80"/>
      <c r="G43" s="80"/>
      <c r="H43" s="360"/>
      <c r="I43" s="364"/>
      <c r="J43" s="231">
        <f ca="1">'28. Entry- en exittarieven '!J125</f>
        <v>0.71062707999999997</v>
      </c>
      <c r="K43" s="231">
        <f ca="1">'28. Entry- en exittarieven '!K125</f>
        <v>2.8564829999999999E-2</v>
      </c>
      <c r="L43" s="263">
        <f ca="1">'28. Entry- en exittarieven '!L125</f>
        <v>1.1902099999999999E-3</v>
      </c>
      <c r="M43" s="80"/>
      <c r="N43" s="360"/>
      <c r="O43" s="364"/>
      <c r="P43" s="231">
        <f ca="1">'28. Entry- en exittarieven '!P125</f>
        <v>0.17765676999999999</v>
      </c>
      <c r="Q43" s="231">
        <f ca="1">'28. Entry- en exittarieven '!Q125</f>
        <v>7.1412100000000003E-3</v>
      </c>
      <c r="R43" s="263">
        <f ca="1">'28. Entry- en exittarieven '!R125</f>
        <v>2.9755999999999999E-4</v>
      </c>
    </row>
    <row r="44" spans="2:24">
      <c r="B44" s="80" t="s">
        <v>189</v>
      </c>
      <c r="C44" s="80"/>
      <c r="D44" s="80"/>
      <c r="E44" s="80"/>
      <c r="F44" s="80"/>
      <c r="G44" s="80"/>
      <c r="H44" s="360"/>
      <c r="I44" s="364"/>
      <c r="J44" s="231">
        <f ca="1">'28. Entry- en exittarieven '!J126</f>
        <v>0.92536642000000002</v>
      </c>
      <c r="K44" s="231">
        <f ca="1">'28. Entry- en exittarieven '!K126</f>
        <v>3.599952E-2</v>
      </c>
      <c r="L44" s="263">
        <f ca="1">'28. Entry- en exittarieven '!L126</f>
        <v>1.4999799999999999E-3</v>
      </c>
      <c r="M44" s="80"/>
      <c r="N44" s="360"/>
      <c r="O44" s="364"/>
      <c r="P44" s="231">
        <f ca="1">'28. Entry- en exittarieven '!P126</f>
        <v>0.23134161</v>
      </c>
      <c r="Q44" s="231">
        <f ca="1">'28. Entry- en exittarieven '!Q126</f>
        <v>8.99988E-3</v>
      </c>
      <c r="R44" s="263">
        <f ca="1">'28. Entry- en exittarieven '!R126</f>
        <v>3.7500000000000001E-4</v>
      </c>
    </row>
    <row r="45" spans="2:24">
      <c r="H45" s="193"/>
      <c r="I45" s="197"/>
      <c r="J45" s="198"/>
      <c r="K45" s="198"/>
      <c r="L45" s="268"/>
      <c r="N45" s="193"/>
      <c r="O45" s="197"/>
      <c r="P45" s="198"/>
      <c r="Q45" s="198"/>
      <c r="R45" s="275"/>
    </row>
    <row r="46" spans="2:24" s="33" customFormat="1" ht="25.5">
      <c r="B46" s="192" t="s">
        <v>192</v>
      </c>
      <c r="H46" s="33" t="s">
        <v>164</v>
      </c>
      <c r="L46" s="256"/>
      <c r="N46" s="33" t="s">
        <v>165</v>
      </c>
      <c r="R46" s="276"/>
      <c r="T46" s="33" t="s">
        <v>166</v>
      </c>
    </row>
    <row r="47" spans="2:24" s="36" customFormat="1">
      <c r="B47" s="36" t="s">
        <v>193</v>
      </c>
      <c r="H47" s="36" t="s">
        <v>168</v>
      </c>
      <c r="I47" s="36" t="s">
        <v>169</v>
      </c>
      <c r="J47" s="36" t="s">
        <v>170</v>
      </c>
      <c r="K47" s="36" t="s">
        <v>171</v>
      </c>
      <c r="L47" s="257" t="s">
        <v>172</v>
      </c>
      <c r="N47" s="36" t="s">
        <v>168</v>
      </c>
      <c r="O47" s="36" t="s">
        <v>169</v>
      </c>
      <c r="P47" s="36" t="s">
        <v>170</v>
      </c>
      <c r="Q47" s="36" t="s">
        <v>171</v>
      </c>
      <c r="R47" s="277" t="s">
        <v>172</v>
      </c>
      <c r="T47" s="36" t="s">
        <v>168</v>
      </c>
      <c r="U47" s="36" t="s">
        <v>169</v>
      </c>
      <c r="V47" s="36" t="s">
        <v>170</v>
      </c>
      <c r="W47" s="36" t="s">
        <v>171</v>
      </c>
      <c r="X47" s="36" t="s">
        <v>172</v>
      </c>
    </row>
    <row r="48" spans="2:24" s="34" customFormat="1">
      <c r="H48" s="34" t="s">
        <v>173</v>
      </c>
      <c r="I48" s="34" t="s">
        <v>174</v>
      </c>
      <c r="J48" s="34" t="s">
        <v>175</v>
      </c>
      <c r="K48" s="34" t="s">
        <v>176</v>
      </c>
      <c r="L48" s="258" t="s">
        <v>177</v>
      </c>
      <c r="N48" s="34" t="s">
        <v>173</v>
      </c>
      <c r="O48" s="34" t="s">
        <v>174</v>
      </c>
      <c r="P48" s="34" t="s">
        <v>175</v>
      </c>
      <c r="Q48" s="34" t="s">
        <v>176</v>
      </c>
      <c r="R48" s="278" t="s">
        <v>177</v>
      </c>
      <c r="T48" s="34" t="s">
        <v>173</v>
      </c>
      <c r="U48" s="34" t="s">
        <v>174</v>
      </c>
      <c r="V48" s="34" t="s">
        <v>175</v>
      </c>
      <c r="W48" s="34" t="s">
        <v>176</v>
      </c>
      <c r="X48" s="34" t="s">
        <v>177</v>
      </c>
    </row>
    <row r="49" spans="2:24">
      <c r="J49" s="87"/>
      <c r="L49" s="255"/>
      <c r="R49" s="279"/>
    </row>
    <row r="50" spans="2:24">
      <c r="B50" s="3" t="s">
        <v>178</v>
      </c>
      <c r="H50" s="360">
        <f ca="1">'28. Entry- en exittarieven '!H133</f>
        <v>5.4803982900000001</v>
      </c>
      <c r="I50" s="361">
        <f ca="1">'28. Entry- en exittarieven '!I133</f>
        <v>2.50334083</v>
      </c>
      <c r="J50" s="86">
        <f ca="1">'28. Entry- en exittarieven '!J133</f>
        <v>1.1973919500000001</v>
      </c>
      <c r="K50" s="86">
        <f ca="1">'28. Entry- en exittarieven '!K133</f>
        <v>4.6587139999999999E-2</v>
      </c>
      <c r="L50" s="269">
        <f ca="1">'28. Entry- en exittarieven '!L133</f>
        <v>1.9411399999999998E-3</v>
      </c>
      <c r="N50" s="362">
        <f ca="1">'28. Entry- en exittarieven '!N133</f>
        <v>1.37009957</v>
      </c>
      <c r="O50" s="363">
        <f ca="1">'28. Entry- en exittarieven '!O133</f>
        <v>0.62583520999999998</v>
      </c>
      <c r="P50" s="232">
        <f ca="1">'28. Entry- en exittarieven '!P133</f>
        <v>0.29934799000000001</v>
      </c>
      <c r="Q50" s="232">
        <f ca="1">'28. Entry- en exittarieven '!Q133</f>
        <v>1.1646780000000001E-2</v>
      </c>
      <c r="R50" s="330">
        <f ca="1">'28. Entry- en exittarieven '!R133</f>
        <v>4.8528999999999998E-4</v>
      </c>
      <c r="T50" s="365">
        <f ca="1">'28. Entry- en exittarieven '!T133</f>
        <v>5.4803982900000001</v>
      </c>
      <c r="U50" s="365">
        <f ca="1">'28. Entry- en exittarieven '!U133</f>
        <v>2.50334083</v>
      </c>
      <c r="V50" s="56">
        <f ca="1">'28. Entry- en exittarieven '!V133</f>
        <v>1.1973919500000001</v>
      </c>
      <c r="W50" s="56">
        <f ca="1">'28. Entry- en exittarieven '!W133</f>
        <v>4.6587139999999999E-2</v>
      </c>
      <c r="X50" s="269">
        <f ca="1">'28. Entry- en exittarieven '!X133</f>
        <v>1.9411399999999998E-3</v>
      </c>
    </row>
    <row r="51" spans="2:24">
      <c r="B51" s="3" t="s">
        <v>179</v>
      </c>
      <c r="H51" s="360"/>
      <c r="I51" s="361"/>
      <c r="J51" s="86">
        <f ca="1">'28. Entry- en exittarieven '!J134</f>
        <v>0.96674225999999996</v>
      </c>
      <c r="K51" s="86">
        <f ca="1">'28. Entry- en exittarieven '!K134</f>
        <v>4.164727E-2</v>
      </c>
      <c r="L51" s="269">
        <f ca="1">'28. Entry- en exittarieven '!L134</f>
        <v>1.7353099999999999E-3</v>
      </c>
      <c r="N51" s="362"/>
      <c r="O51" s="363"/>
      <c r="P51" s="232">
        <f ca="1">'28. Entry- en exittarieven '!P134</f>
        <v>0.24168555999999999</v>
      </c>
      <c r="Q51" s="232">
        <f ca="1">'28. Entry- en exittarieven '!Q134</f>
        <v>1.041182E-2</v>
      </c>
      <c r="R51" s="330">
        <f ca="1">'28. Entry- en exittarieven '!R134</f>
        <v>4.3383000000000001E-4</v>
      </c>
      <c r="T51" s="365"/>
      <c r="U51" s="365"/>
      <c r="V51" s="56">
        <f ca="1">'28. Entry- en exittarieven '!V134</f>
        <v>0.96674225999999996</v>
      </c>
      <c r="W51" s="56">
        <f ca="1">'28. Entry- en exittarieven '!W134</f>
        <v>4.164727E-2</v>
      </c>
      <c r="X51" s="269">
        <f ca="1">'28. Entry- en exittarieven '!X134</f>
        <v>1.7353099999999999E-3</v>
      </c>
    </row>
    <row r="52" spans="2:24">
      <c r="B52" s="3" t="s">
        <v>180</v>
      </c>
      <c r="H52" s="360"/>
      <c r="I52" s="361"/>
      <c r="J52" s="86">
        <f ca="1">'28. Entry- en exittarieven '!J135</f>
        <v>0.83712708000000002</v>
      </c>
      <c r="K52" s="86">
        <f ca="1">'28. Entry- en exittarieven '!K135</f>
        <v>3.2555819999999999E-2</v>
      </c>
      <c r="L52" s="269">
        <f ca="1">'28. Entry- en exittarieven '!L135</f>
        <v>1.3564999999999998E-3</v>
      </c>
      <c r="N52" s="362"/>
      <c r="O52" s="363"/>
      <c r="P52" s="232">
        <f ca="1">'28. Entry- en exittarieven '!P135</f>
        <v>0.20928177000000001</v>
      </c>
      <c r="Q52" s="232">
        <f ca="1">'28. Entry- en exittarieven '!Q135</f>
        <v>8.1389500000000007E-3</v>
      </c>
      <c r="R52" s="330">
        <f ca="1">'28. Entry- en exittarieven '!R135</f>
        <v>3.3912999999999999E-4</v>
      </c>
      <c r="T52" s="365"/>
      <c r="U52" s="365"/>
      <c r="V52" s="56">
        <f ca="1">'28. Entry- en exittarieven '!V135</f>
        <v>0.83712708000000002</v>
      </c>
      <c r="W52" s="56">
        <f ca="1">'28. Entry- en exittarieven '!W135</f>
        <v>3.2555819999999999E-2</v>
      </c>
      <c r="X52" s="269">
        <f ca="1">'28. Entry- en exittarieven '!X135</f>
        <v>1.3564999999999998E-3</v>
      </c>
    </row>
    <row r="53" spans="2:24">
      <c r="B53" s="3" t="s">
        <v>181</v>
      </c>
      <c r="H53" s="360"/>
      <c r="I53" s="361">
        <f ca="1">'28. Entry- en exittarieven '!I136</f>
        <v>1.33901896</v>
      </c>
      <c r="J53" s="86">
        <f ca="1">'28. Entry- en exittarieven '!J136</f>
        <v>0.60404499</v>
      </c>
      <c r="K53" s="86">
        <f ca="1">'28. Entry- en exittarieven '!K136</f>
        <v>2.4278919999999999E-2</v>
      </c>
      <c r="L53" s="269">
        <f ca="1">'28. Entry- en exittarieven '!L136</f>
        <v>1.0116299999999999E-3</v>
      </c>
      <c r="N53" s="362"/>
      <c r="O53" s="363">
        <f ca="1">'28. Entry- en exittarieven '!O136</f>
        <v>0.33475474</v>
      </c>
      <c r="P53" s="232">
        <f ca="1">'28. Entry- en exittarieven '!P136</f>
        <v>0.15101125000000001</v>
      </c>
      <c r="Q53" s="232">
        <f ca="1">'28. Entry- en exittarieven '!Q136</f>
        <v>6.0697299999999997E-3</v>
      </c>
      <c r="R53" s="330">
        <f ca="1">'28. Entry- en exittarieven '!R136</f>
        <v>2.5291000000000002E-4</v>
      </c>
      <c r="T53" s="365"/>
      <c r="U53" s="365">
        <f ca="1">'28. Entry- en exittarieven '!U136</f>
        <v>1.33901896</v>
      </c>
      <c r="V53" s="56">
        <f ca="1">'28. Entry- en exittarieven '!V136</f>
        <v>0.60404499</v>
      </c>
      <c r="W53" s="56">
        <f ca="1">'28. Entry- en exittarieven '!W136</f>
        <v>2.4278919999999999E-2</v>
      </c>
      <c r="X53" s="269">
        <f ca="1">'28. Entry- en exittarieven '!X136</f>
        <v>1.0116299999999999E-3</v>
      </c>
    </row>
    <row r="54" spans="2:24">
      <c r="B54" s="3" t="s">
        <v>182</v>
      </c>
      <c r="H54" s="360"/>
      <c r="I54" s="361"/>
      <c r="J54" s="86">
        <f ca="1">'28. Entry- en exittarieven '!J137</f>
        <v>0.55296467999999999</v>
      </c>
      <c r="K54" s="86">
        <f ca="1">'28. Entry- en exittarieven '!K137</f>
        <v>2.1519949999999999E-2</v>
      </c>
      <c r="L54" s="269">
        <f ca="1">'28. Entry- en exittarieven '!L137</f>
        <v>8.9667000000000002E-4</v>
      </c>
      <c r="N54" s="362"/>
      <c r="O54" s="363"/>
      <c r="P54" s="232">
        <f ca="1">'28. Entry- en exittarieven '!P137</f>
        <v>0.13824117</v>
      </c>
      <c r="Q54" s="232">
        <f ca="1">'28. Entry- en exittarieven '!Q137</f>
        <v>5.3799900000000003E-3</v>
      </c>
      <c r="R54" s="330">
        <f ca="1">'28. Entry- en exittarieven '!R137</f>
        <v>2.2416999999999999E-4</v>
      </c>
      <c r="T54" s="365"/>
      <c r="U54" s="365"/>
      <c r="V54" s="56">
        <f ca="1">'28. Entry- en exittarieven '!V137</f>
        <v>0.55296467999999999</v>
      </c>
      <c r="W54" s="56">
        <f ca="1">'28. Entry- en exittarieven '!W137</f>
        <v>2.1519949999999999E-2</v>
      </c>
      <c r="X54" s="269">
        <f ca="1">'28. Entry- en exittarieven '!X137</f>
        <v>8.9667000000000002E-4</v>
      </c>
    </row>
    <row r="55" spans="2:24">
      <c r="B55" s="3" t="s">
        <v>183</v>
      </c>
      <c r="H55" s="360"/>
      <c r="I55" s="361"/>
      <c r="J55" s="86">
        <f ca="1">'28. Entry- en exittarieven '!J138</f>
        <v>0.44931758999999999</v>
      </c>
      <c r="K55" s="86">
        <f ca="1">'28. Entry- en exittarieven '!K138</f>
        <v>1.807781E-2</v>
      </c>
      <c r="L55" s="269">
        <f ca="1">'28. Entry- en exittarieven '!L138</f>
        <v>7.5325000000000001E-4</v>
      </c>
      <c r="N55" s="362"/>
      <c r="O55" s="363"/>
      <c r="P55" s="232">
        <f ca="1">'28. Entry- en exittarieven '!P138</f>
        <v>0.1123294</v>
      </c>
      <c r="Q55" s="232">
        <f ca="1">'28. Entry- en exittarieven '!Q138</f>
        <v>4.5194500000000004E-3</v>
      </c>
      <c r="R55" s="330">
        <f ca="1">'28. Entry- en exittarieven '!R138</f>
        <v>1.8831999999999999E-4</v>
      </c>
      <c r="T55" s="365"/>
      <c r="U55" s="365"/>
      <c r="V55" s="56">
        <f ca="1">'28. Entry- en exittarieven '!V138</f>
        <v>0.44931758999999999</v>
      </c>
      <c r="W55" s="56">
        <f ca="1">'28. Entry- en exittarieven '!W138</f>
        <v>1.807781E-2</v>
      </c>
      <c r="X55" s="269">
        <f ca="1">'28. Entry- en exittarieven '!X138</f>
        <v>7.5325000000000001E-4</v>
      </c>
    </row>
    <row r="56" spans="2:24">
      <c r="B56" s="3" t="s">
        <v>184</v>
      </c>
      <c r="H56" s="360"/>
      <c r="I56" s="361">
        <f ca="1">'28. Entry- en exittarieven '!I139</f>
        <v>1.08609482</v>
      </c>
      <c r="J56" s="86">
        <f ca="1">'28. Entry- en exittarieven '!J139</f>
        <v>0.43846189000000002</v>
      </c>
      <c r="K56" s="86">
        <f ca="1">'28. Entry- en exittarieven '!K139</f>
        <v>1.705305E-2</v>
      </c>
      <c r="L56" s="269">
        <f ca="1">'28. Entry- en exittarieven '!L139</f>
        <v>7.1055000000000001E-4</v>
      </c>
      <c r="N56" s="362"/>
      <c r="O56" s="363">
        <f ca="1">'28. Entry- en exittarieven '!O139</f>
        <v>0.27152370999999997</v>
      </c>
      <c r="P56" s="232">
        <f ca="1">'28. Entry- en exittarieven '!P139</f>
        <v>0.10961547000000001</v>
      </c>
      <c r="Q56" s="232">
        <f ca="1">'28. Entry- en exittarieven '!Q139</f>
        <v>4.2632599999999996E-3</v>
      </c>
      <c r="R56" s="330">
        <f ca="1">'28. Entry- en exittarieven '!R139</f>
        <v>1.7763999999999999E-4</v>
      </c>
      <c r="T56" s="365"/>
      <c r="U56" s="365">
        <f ca="1">'28. Entry- en exittarieven '!U139</f>
        <v>1.08609482</v>
      </c>
      <c r="V56" s="56">
        <f ca="1">'28. Entry- en exittarieven '!V139</f>
        <v>0.43846189000000002</v>
      </c>
      <c r="W56" s="56">
        <f ca="1">'28. Entry- en exittarieven '!W139</f>
        <v>1.705305E-2</v>
      </c>
      <c r="X56" s="269">
        <f ca="1">'28. Entry- en exittarieven '!X139</f>
        <v>7.1055000000000001E-4</v>
      </c>
    </row>
    <row r="57" spans="2:24">
      <c r="B57" s="3" t="s">
        <v>185</v>
      </c>
      <c r="H57" s="360"/>
      <c r="I57" s="361"/>
      <c r="J57" s="86">
        <f ca="1">'28. Entry- en exittarieven '!J140</f>
        <v>0.41681806999999998</v>
      </c>
      <c r="K57" s="86">
        <f ca="1">'28. Entry- en exittarieven '!K140</f>
        <v>1.6238499999999999E-2</v>
      </c>
      <c r="L57" s="269">
        <f ca="1">'28. Entry- en exittarieven '!L140</f>
        <v>6.7661000000000002E-4</v>
      </c>
      <c r="N57" s="362"/>
      <c r="O57" s="363"/>
      <c r="P57" s="232">
        <f ca="1">'28. Entry- en exittarieven '!P140</f>
        <v>0.10420451999999999</v>
      </c>
      <c r="Q57" s="232">
        <f ca="1">'28. Entry- en exittarieven '!Q140</f>
        <v>4.0596199999999999E-3</v>
      </c>
      <c r="R57" s="330">
        <f ca="1">'28. Entry- en exittarieven '!R140</f>
        <v>1.6915999999999999E-4</v>
      </c>
      <c r="T57" s="365"/>
      <c r="U57" s="365"/>
      <c r="V57" s="56">
        <f ca="1">'28. Entry- en exittarieven '!V140</f>
        <v>0.41681806999999998</v>
      </c>
      <c r="W57" s="56">
        <f ca="1">'28. Entry- en exittarieven '!W140</f>
        <v>1.6238499999999999E-2</v>
      </c>
      <c r="X57" s="269">
        <f ca="1">'28. Entry- en exittarieven '!X140</f>
        <v>6.7661000000000002E-4</v>
      </c>
    </row>
    <row r="58" spans="2:24">
      <c r="B58" s="3" t="s">
        <v>186</v>
      </c>
      <c r="H58" s="360"/>
      <c r="I58" s="361"/>
      <c r="J58" s="86">
        <f ca="1">'28. Entry- en exittarieven '!J141</f>
        <v>0.44796625000000001</v>
      </c>
      <c r="K58" s="86">
        <f ca="1">'28. Entry- en exittarieven '!K141</f>
        <v>1.8025260000000001E-2</v>
      </c>
      <c r="L58" s="269">
        <f ca="1">'28. Entry- en exittarieven '!L141</f>
        <v>7.5106000000000001E-4</v>
      </c>
      <c r="N58" s="362"/>
      <c r="O58" s="363"/>
      <c r="P58" s="232">
        <f ca="1">'28. Entry- en exittarieven '!P141</f>
        <v>0.11199156</v>
      </c>
      <c r="Q58" s="232">
        <f ca="1">'28. Entry- en exittarieven '!Q141</f>
        <v>4.5063100000000004E-3</v>
      </c>
      <c r="R58" s="330">
        <f ca="1">'28. Entry- en exittarieven '!R141</f>
        <v>1.8777E-4</v>
      </c>
      <c r="T58" s="365"/>
      <c r="U58" s="365"/>
      <c r="V58" s="56">
        <f ca="1">'28. Entry- en exittarieven '!V141</f>
        <v>0.44796625000000001</v>
      </c>
      <c r="W58" s="56">
        <f ca="1">'28. Entry- en exittarieven '!W141</f>
        <v>1.8025260000000001E-2</v>
      </c>
      <c r="X58" s="269">
        <f ca="1">'28. Entry- en exittarieven '!X141</f>
        <v>7.5106000000000001E-4</v>
      </c>
    </row>
    <row r="59" spans="2:24">
      <c r="B59" s="3" t="s">
        <v>187</v>
      </c>
      <c r="H59" s="360"/>
      <c r="I59" s="361">
        <f ca="1">'28. Entry- en exittarieven '!I142</f>
        <v>1.9080044199999999</v>
      </c>
      <c r="J59" s="86">
        <f ca="1">'28. Entry- en exittarieven '!J142</f>
        <v>0.53132086000000001</v>
      </c>
      <c r="K59" s="86">
        <f ca="1">'28. Entry- en exittarieven '!K142</f>
        <v>2.0679119999999999E-2</v>
      </c>
      <c r="L59" s="269">
        <f ca="1">'28. Entry- en exittarieven '!L142</f>
        <v>8.6163000000000006E-4</v>
      </c>
      <c r="N59" s="362"/>
      <c r="O59" s="363">
        <f ca="1">'28. Entry- en exittarieven '!O142</f>
        <v>0.47700110000000001</v>
      </c>
      <c r="P59" s="232">
        <f ca="1">'28. Entry- en exittarieven '!P142</f>
        <v>0.13283022</v>
      </c>
      <c r="Q59" s="232">
        <f ca="1">'28. Entry- en exittarieven '!Q142</f>
        <v>5.1697799999999997E-3</v>
      </c>
      <c r="R59" s="330">
        <f ca="1">'28. Entry- en exittarieven '!R142</f>
        <v>2.1541E-4</v>
      </c>
      <c r="T59" s="365"/>
      <c r="U59" s="365">
        <f ca="1">'28. Entry- en exittarieven '!U142</f>
        <v>1.9080044199999999</v>
      </c>
      <c r="V59" s="56">
        <f ca="1">'28. Entry- en exittarieven '!V142</f>
        <v>0.53132086000000001</v>
      </c>
      <c r="W59" s="56">
        <f ca="1">'28. Entry- en exittarieven '!W142</f>
        <v>2.0679119999999999E-2</v>
      </c>
      <c r="X59" s="269">
        <f ca="1">'28. Entry- en exittarieven '!X142</f>
        <v>8.6163000000000006E-4</v>
      </c>
    </row>
    <row r="60" spans="2:24">
      <c r="B60" s="3" t="s">
        <v>188</v>
      </c>
      <c r="H60" s="360"/>
      <c r="I60" s="361"/>
      <c r="J60" s="86">
        <f ca="1">'28. Entry- en exittarieven '!J143</f>
        <v>0.76350205999999998</v>
      </c>
      <c r="K60" s="86">
        <f ca="1">'28. Entry- en exittarieven '!K143</f>
        <v>3.0690229999999999E-2</v>
      </c>
      <c r="L60" s="269">
        <f ca="1">'28. Entry- en exittarieven '!L143</f>
        <v>1.2787599999999999E-3</v>
      </c>
      <c r="N60" s="362"/>
      <c r="O60" s="363"/>
      <c r="P60" s="232">
        <f ca="1">'28. Entry- en exittarieven '!P143</f>
        <v>0.19087551999999999</v>
      </c>
      <c r="Q60" s="232">
        <f ca="1">'28. Entry- en exittarieven '!Q143</f>
        <v>7.6725600000000001E-3</v>
      </c>
      <c r="R60" s="330">
        <f ca="1">'28. Entry- en exittarieven '!R143</f>
        <v>3.1968999999999997E-4</v>
      </c>
      <c r="T60" s="365"/>
      <c r="U60" s="365"/>
      <c r="V60" s="56">
        <f ca="1">'28. Entry- en exittarieven '!V143</f>
        <v>0.76350205999999998</v>
      </c>
      <c r="W60" s="56">
        <f ca="1">'28. Entry- en exittarieven '!W143</f>
        <v>3.0690229999999999E-2</v>
      </c>
      <c r="X60" s="269">
        <f ca="1">'28. Entry- en exittarieven '!X143</f>
        <v>1.2787599999999999E-3</v>
      </c>
    </row>
    <row r="61" spans="2:24">
      <c r="B61" s="3" t="s">
        <v>189</v>
      </c>
      <c r="H61" s="360"/>
      <c r="I61" s="361"/>
      <c r="J61" s="86">
        <f ca="1">'28. Entry- en exittarieven '!J144</f>
        <v>0.99421932000000002</v>
      </c>
      <c r="K61" s="86">
        <f ca="1">'28. Entry- en exittarieven '!K144</f>
        <v>3.86781E-2</v>
      </c>
      <c r="L61" s="269">
        <f ca="1">'28. Entry- en exittarieven '!L144</f>
        <v>1.61159E-3</v>
      </c>
      <c r="N61" s="362"/>
      <c r="O61" s="363"/>
      <c r="P61" s="232">
        <f ca="1">'28. Entry- en exittarieven '!P144</f>
        <v>0.24855483</v>
      </c>
      <c r="Q61" s="232">
        <f ca="1">'28. Entry- en exittarieven '!Q144</f>
        <v>9.6695199999999992E-3</v>
      </c>
      <c r="R61" s="330">
        <f ca="1">'28. Entry- en exittarieven '!R144</f>
        <v>4.0289999999999998E-4</v>
      </c>
      <c r="T61" s="365"/>
      <c r="U61" s="365"/>
      <c r="V61" s="56">
        <f ca="1">'28. Entry- en exittarieven '!V144</f>
        <v>0.99421932000000002</v>
      </c>
      <c r="W61" s="56">
        <f ca="1">'28. Entry- en exittarieven '!W144</f>
        <v>3.86781E-2</v>
      </c>
      <c r="X61" s="269">
        <f ca="1">'28. Entry- en exittarieven '!X144</f>
        <v>1.61159E-3</v>
      </c>
    </row>
    <row r="62" spans="2:24">
      <c r="L62" s="255"/>
      <c r="R62" s="279"/>
    </row>
    <row r="63" spans="2:24" s="33" customFormat="1" ht="25.5">
      <c r="B63" s="192" t="s">
        <v>194</v>
      </c>
      <c r="H63" s="33" t="s">
        <v>164</v>
      </c>
      <c r="L63" s="256"/>
      <c r="N63" s="33" t="s">
        <v>165</v>
      </c>
      <c r="R63" s="276"/>
    </row>
    <row r="64" spans="2:24" s="36" customFormat="1">
      <c r="B64" s="36" t="s">
        <v>195</v>
      </c>
      <c r="H64" s="36" t="s">
        <v>168</v>
      </c>
      <c r="I64" s="36" t="s">
        <v>169</v>
      </c>
      <c r="J64" s="36" t="s">
        <v>170</v>
      </c>
      <c r="K64" s="36" t="s">
        <v>171</v>
      </c>
      <c r="L64" s="257" t="s">
        <v>172</v>
      </c>
      <c r="N64" s="36" t="s">
        <v>168</v>
      </c>
      <c r="O64" s="36" t="s">
        <v>169</v>
      </c>
      <c r="P64" s="36" t="s">
        <v>170</v>
      </c>
      <c r="Q64" s="36" t="s">
        <v>171</v>
      </c>
      <c r="R64" s="277" t="s">
        <v>172</v>
      </c>
    </row>
    <row r="65" spans="2:18" s="34" customFormat="1">
      <c r="H65" s="34" t="s">
        <v>173</v>
      </c>
      <c r="I65" s="34" t="s">
        <v>174</v>
      </c>
      <c r="J65" s="34" t="s">
        <v>175</v>
      </c>
      <c r="K65" s="34" t="s">
        <v>176</v>
      </c>
      <c r="L65" s="258" t="s">
        <v>177</v>
      </c>
      <c r="N65" s="34" t="s">
        <v>173</v>
      </c>
      <c r="O65" s="34" t="s">
        <v>174</v>
      </c>
      <c r="P65" s="34" t="s">
        <v>175</v>
      </c>
      <c r="Q65" s="34" t="s">
        <v>176</v>
      </c>
      <c r="R65" s="278" t="s">
        <v>177</v>
      </c>
    </row>
    <row r="66" spans="2:18">
      <c r="L66" s="255"/>
      <c r="R66" s="279"/>
    </row>
    <row r="67" spans="2:18">
      <c r="B67" s="3" t="s">
        <v>178</v>
      </c>
      <c r="H67" s="360">
        <f ca="1">'28. Entry- en exittarieven '!H150</f>
        <v>5.1003528999999999</v>
      </c>
      <c r="I67" s="361">
        <f ca="1">'28. Entry- en exittarieven '!I150</f>
        <v>2.32974339</v>
      </c>
      <c r="J67" s="86">
        <f ca="1">'28. Entry- en exittarieven '!J150</f>
        <v>1.1143572399999999</v>
      </c>
      <c r="K67" s="86">
        <f ca="1">'28. Entry- en exittarieven '!K150</f>
        <v>4.3356489999999998E-2</v>
      </c>
      <c r="L67" s="269">
        <f ca="1">'28. Entry- en exittarieven '!L150</f>
        <v>1.80653E-3</v>
      </c>
      <c r="N67" s="360">
        <f ca="1">'28. Entry- en exittarieven '!N150</f>
        <v>1.27508822</v>
      </c>
      <c r="O67" s="361">
        <f ca="1">'28. Entry- en exittarieven '!O150</f>
        <v>0.58243584999999998</v>
      </c>
      <c r="P67" s="86">
        <f ca="1">'28. Entry- en exittarieven '!P150</f>
        <v>0.27858930999999998</v>
      </c>
      <c r="Q67" s="86">
        <f ca="1">'28. Entry- en exittarieven '!Q150</f>
        <v>1.0839120000000001E-2</v>
      </c>
      <c r="R67" s="269">
        <f ca="1">'28. Entry- en exittarieven '!R150</f>
        <v>4.5164000000000001E-4</v>
      </c>
    </row>
    <row r="68" spans="2:18">
      <c r="B68" s="3" t="s">
        <v>179</v>
      </c>
      <c r="H68" s="360"/>
      <c r="I68" s="361"/>
      <c r="J68" s="86">
        <f ca="1">'28. Entry- en exittarieven '!J151</f>
        <v>0.89970225000000004</v>
      </c>
      <c r="K68" s="86">
        <f ca="1">'28. Entry- en exittarieven '!K151</f>
        <v>3.8759189999999999E-2</v>
      </c>
      <c r="L68" s="269">
        <f ca="1">'28. Entry- en exittarieven '!L151</f>
        <v>1.6149699999999999E-3</v>
      </c>
      <c r="N68" s="360"/>
      <c r="O68" s="361"/>
      <c r="P68" s="86">
        <f ca="1">'28. Entry- en exittarieven '!P151</f>
        <v>0.22492556</v>
      </c>
      <c r="Q68" s="86">
        <f ca="1">'28. Entry- en exittarieven '!Q151</f>
        <v>9.6898000000000001E-3</v>
      </c>
      <c r="R68" s="269">
        <f ca="1">'28. Entry- en exittarieven '!R151</f>
        <v>4.0374999999999997E-4</v>
      </c>
    </row>
    <row r="69" spans="2:18">
      <c r="B69" s="3" t="s">
        <v>180</v>
      </c>
      <c r="H69" s="360"/>
      <c r="I69" s="361"/>
      <c r="J69" s="86">
        <f ca="1">'28. Entry- en exittarieven '!J152</f>
        <v>0.77907541000000002</v>
      </c>
      <c r="K69" s="86">
        <f ca="1">'28. Entry- en exittarieven '!K152</f>
        <v>3.0298189999999999E-2</v>
      </c>
      <c r="L69" s="269">
        <f ca="1">'28. Entry- en exittarieven '!L152</f>
        <v>1.2624299999999999E-3</v>
      </c>
      <c r="N69" s="360"/>
      <c r="O69" s="361"/>
      <c r="P69" s="86">
        <f ca="1">'28. Entry- en exittarieven '!P152</f>
        <v>0.19476884999999999</v>
      </c>
      <c r="Q69" s="86">
        <f ca="1">'28. Entry- en exittarieven '!Q152</f>
        <v>7.5745500000000002E-3</v>
      </c>
      <c r="R69" s="269">
        <f ca="1">'28. Entry- en exittarieven '!R152</f>
        <v>3.1560999999999997E-4</v>
      </c>
    </row>
    <row r="70" spans="2:18">
      <c r="B70" s="3" t="s">
        <v>181</v>
      </c>
      <c r="H70" s="360"/>
      <c r="I70" s="361">
        <f ca="1">'28. Entry- en exittarieven '!I153</f>
        <v>1.2461629400000001</v>
      </c>
      <c r="J70" s="86">
        <f ca="1">'28. Entry- en exittarieven '!J153</f>
        <v>0.56215669999999995</v>
      </c>
      <c r="K70" s="86">
        <f ca="1">'28. Entry- en exittarieven '!K153</f>
        <v>2.2595259999999999E-2</v>
      </c>
      <c r="L70" s="269">
        <f ca="1">'28. Entry- en exittarieven '!L153</f>
        <v>9.4147000000000002E-4</v>
      </c>
      <c r="N70" s="360"/>
      <c r="O70" s="361">
        <f ca="1">'28. Entry- en exittarieven '!O153</f>
        <v>0.31154072999999999</v>
      </c>
      <c r="P70" s="86">
        <f ca="1">'28. Entry- en exittarieven '!P153</f>
        <v>0.14053918000000001</v>
      </c>
      <c r="Q70" s="86">
        <f ca="1">'28. Entry- en exittarieven '!Q153</f>
        <v>5.6488199999999997E-3</v>
      </c>
      <c r="R70" s="269">
        <f ca="1">'28. Entry- en exittarieven '!R153</f>
        <v>2.3536999999999999E-4</v>
      </c>
    </row>
    <row r="71" spans="2:18">
      <c r="B71" s="3" t="s">
        <v>182</v>
      </c>
      <c r="H71" s="360"/>
      <c r="I71" s="361"/>
      <c r="J71" s="86">
        <f ca="1">'28. Entry- en exittarieven '!J154</f>
        <v>0.51461862000000003</v>
      </c>
      <c r="K71" s="86">
        <f ca="1">'28. Entry- en exittarieven '!K154</f>
        <v>2.0027619999999999E-2</v>
      </c>
      <c r="L71" s="269">
        <f ca="1">'28. Entry- en exittarieven '!L154</f>
        <v>8.3449000000000001E-4</v>
      </c>
      <c r="N71" s="360"/>
      <c r="O71" s="361"/>
      <c r="P71" s="86">
        <f ca="1">'28. Entry- en exittarieven '!P154</f>
        <v>0.12865466</v>
      </c>
      <c r="Q71" s="86">
        <f ca="1">'28. Entry- en exittarieven '!Q154</f>
        <v>5.0068999999999999E-3</v>
      </c>
      <c r="R71" s="269">
        <f ca="1">'28. Entry- en exittarieven '!R154</f>
        <v>2.0862999999999999E-4</v>
      </c>
    </row>
    <row r="72" spans="2:18">
      <c r="B72" s="3" t="s">
        <v>183</v>
      </c>
      <c r="H72" s="360"/>
      <c r="I72" s="361"/>
      <c r="J72" s="86">
        <f ca="1">'28. Entry- en exittarieven '!J155</f>
        <v>0.41815907000000002</v>
      </c>
      <c r="K72" s="86">
        <f ca="1">'28. Entry- en exittarieven '!K155</f>
        <v>1.6824180000000001E-2</v>
      </c>
      <c r="L72" s="269">
        <f ca="1">'28. Entry- en exittarieven '!L155</f>
        <v>7.0101000000000007E-4</v>
      </c>
      <c r="N72" s="360"/>
      <c r="O72" s="361"/>
      <c r="P72" s="86">
        <f ca="1">'28. Entry- en exittarieven '!P155</f>
        <v>0.10453977</v>
      </c>
      <c r="Q72" s="86">
        <f ca="1">'28. Entry- en exittarieven '!Q155</f>
        <v>4.2060400000000003E-3</v>
      </c>
      <c r="R72" s="269">
        <f ca="1">'28. Entry- en exittarieven '!R155</f>
        <v>1.7526E-4</v>
      </c>
    </row>
    <row r="73" spans="2:18">
      <c r="B73" s="3" t="s">
        <v>184</v>
      </c>
      <c r="H73" s="360"/>
      <c r="I73" s="361">
        <f ca="1">'28. Entry- en exittarieven '!I156</f>
        <v>1.0107781600000001</v>
      </c>
      <c r="J73" s="86">
        <f ca="1">'28. Entry- en exittarieven '!J156</f>
        <v>0.40805617999999999</v>
      </c>
      <c r="K73" s="86">
        <f ca="1">'28. Entry- en exittarieven '!K156</f>
        <v>1.5870479999999999E-2</v>
      </c>
      <c r="L73" s="269">
        <f ca="1">'28. Entry- en exittarieven '!L156</f>
        <v>6.6128000000000009E-4</v>
      </c>
      <c r="N73" s="360"/>
      <c r="O73" s="361">
        <f ca="1">'28. Entry- en exittarieven '!O156</f>
        <v>0.25269454000000002</v>
      </c>
      <c r="P73" s="86">
        <f ca="1">'28. Entry- en exittarieven '!P156</f>
        <v>0.10201404</v>
      </c>
      <c r="Q73" s="86">
        <f ca="1">'28. Entry- en exittarieven '!Q156</f>
        <v>3.9676199999999998E-3</v>
      </c>
      <c r="R73" s="269">
        <f ca="1">'28. Entry- en exittarieven '!R156</f>
        <v>1.6532E-4</v>
      </c>
    </row>
    <row r="74" spans="2:18">
      <c r="B74" s="3" t="s">
        <v>185</v>
      </c>
      <c r="H74" s="360"/>
      <c r="I74" s="361"/>
      <c r="J74" s="86">
        <f ca="1">'28. Entry- en exittarieven '!J157</f>
        <v>0.38791328000000003</v>
      </c>
      <c r="K74" s="86">
        <f ca="1">'28. Entry- en exittarieven '!K157</f>
        <v>1.511242E-2</v>
      </c>
      <c r="L74" s="269">
        <f ca="1">'28. Entry- en exittarieven '!L157</f>
        <v>6.2969000000000002E-4</v>
      </c>
      <c r="N74" s="360"/>
      <c r="O74" s="361"/>
      <c r="P74" s="86">
        <f ca="1">'28. Entry- en exittarieven '!P157</f>
        <v>9.6978320000000007E-2</v>
      </c>
      <c r="Q74" s="86">
        <f ca="1">'28. Entry- en exittarieven '!Q157</f>
        <v>3.7780999999999999E-3</v>
      </c>
      <c r="R74" s="269">
        <f ca="1">'28. Entry- en exittarieven '!R157</f>
        <v>1.5742999999999999E-4</v>
      </c>
    </row>
    <row r="75" spans="2:18">
      <c r="B75" s="3" t="s">
        <v>186</v>
      </c>
      <c r="H75" s="360"/>
      <c r="I75" s="361"/>
      <c r="J75" s="86">
        <f ca="1">'28. Entry- en exittarieven '!J158</f>
        <v>0.41690145000000001</v>
      </c>
      <c r="K75" s="86">
        <f ca="1">'28. Entry- en exittarieven '!K158</f>
        <v>1.6775269999999998E-2</v>
      </c>
      <c r="L75" s="269">
        <f ca="1">'28. Entry- en exittarieven '!L158</f>
        <v>6.9897000000000004E-4</v>
      </c>
      <c r="N75" s="360"/>
      <c r="O75" s="361"/>
      <c r="P75" s="86">
        <f ca="1">'28. Entry- en exittarieven '!P158</f>
        <v>0.10422536</v>
      </c>
      <c r="Q75" s="86">
        <f ca="1">'28. Entry- en exittarieven '!Q158</f>
        <v>4.19382E-3</v>
      </c>
      <c r="R75" s="269">
        <f ca="1">'28. Entry- en exittarieven '!R158</f>
        <v>1.7474999999999999E-4</v>
      </c>
    </row>
    <row r="76" spans="2:18">
      <c r="B76" s="3" t="s">
        <v>187</v>
      </c>
      <c r="H76" s="360"/>
      <c r="I76" s="361">
        <f ca="1">'28. Entry- en exittarieven '!I159</f>
        <v>1.77569135</v>
      </c>
      <c r="J76" s="86">
        <f ca="1">'28. Entry- en exittarieven '!J159</f>
        <v>0.49447572000000001</v>
      </c>
      <c r="K76" s="86">
        <f ca="1">'28. Entry- en exittarieven '!K159</f>
        <v>1.9245100000000001E-2</v>
      </c>
      <c r="L76" s="269">
        <f ca="1">'28. Entry- en exittarieven '!L159</f>
        <v>8.0188000000000004E-4</v>
      </c>
      <c r="N76" s="360"/>
      <c r="O76" s="361">
        <f ca="1">'28. Entry- en exittarieven '!O159</f>
        <v>0.44392283999999999</v>
      </c>
      <c r="P76" s="86">
        <f ca="1">'28. Entry- en exittarieven '!P159</f>
        <v>0.12361893</v>
      </c>
      <c r="Q76" s="86">
        <f ca="1">'28. Entry- en exittarieven '!Q159</f>
        <v>4.8112700000000003E-3</v>
      </c>
      <c r="R76" s="269">
        <f ca="1">'28. Entry- en exittarieven '!R159</f>
        <v>2.0046999999999998E-4</v>
      </c>
    </row>
    <row r="77" spans="2:18">
      <c r="B77" s="3" t="s">
        <v>188</v>
      </c>
      <c r="H77" s="360"/>
      <c r="I77" s="361"/>
      <c r="J77" s="86">
        <f ca="1">'28. Entry- en exittarieven '!J160</f>
        <v>0.71055601000000002</v>
      </c>
      <c r="K77" s="86">
        <f ca="1">'28. Entry- en exittarieven '!K160</f>
        <v>2.8561980000000001E-2</v>
      </c>
      <c r="L77" s="269">
        <f ca="1">'28. Entry- en exittarieven '!L160</f>
        <v>1.19009E-3</v>
      </c>
      <c r="N77" s="360"/>
      <c r="O77" s="361"/>
      <c r="P77" s="86">
        <f ca="1">'28. Entry- en exittarieven '!P160</f>
        <v>0.17763899999999999</v>
      </c>
      <c r="Q77" s="86">
        <f ca="1">'28. Entry- en exittarieven '!Q160</f>
        <v>7.1404900000000002E-3</v>
      </c>
      <c r="R77" s="269">
        <f ca="1">'28. Entry- en exittarieven '!R160</f>
        <v>2.9753000000000001E-4</v>
      </c>
    </row>
    <row r="78" spans="2:18">
      <c r="B78" s="3" t="s">
        <v>189</v>
      </c>
      <c r="H78" s="360"/>
      <c r="I78" s="361"/>
      <c r="J78" s="86">
        <f ca="1">'28. Entry- en exittarieven '!J161</f>
        <v>0.92527387999999999</v>
      </c>
      <c r="K78" s="86">
        <f ca="1">'28. Entry- en exittarieven '!K161</f>
        <v>3.5995920000000001E-2</v>
      </c>
      <c r="L78" s="269">
        <f ca="1">'28. Entry- en exittarieven '!L161</f>
        <v>1.49983E-3</v>
      </c>
      <c r="N78" s="360"/>
      <c r="O78" s="361"/>
      <c r="P78" s="86">
        <f ca="1">'28. Entry- en exittarieven '!P161</f>
        <v>0.23131847</v>
      </c>
      <c r="Q78" s="86">
        <f ca="1">'28. Entry- en exittarieven '!Q161</f>
        <v>8.9989800000000002E-3</v>
      </c>
      <c r="R78" s="269">
        <f ca="1">'28. Entry- en exittarieven '!R161</f>
        <v>3.7495999999999997E-4</v>
      </c>
    </row>
    <row r="79" spans="2:18">
      <c r="L79" s="255"/>
      <c r="R79" s="279"/>
    </row>
    <row r="80" spans="2:18" s="33" customFormat="1">
      <c r="B80" s="33" t="s">
        <v>196</v>
      </c>
      <c r="H80" s="33" t="s">
        <v>197</v>
      </c>
      <c r="L80" s="256"/>
      <c r="N80" s="33" t="s">
        <v>198</v>
      </c>
      <c r="R80" s="276"/>
    </row>
    <row r="81" spans="2:18" s="36" customFormat="1">
      <c r="H81" s="36" t="s">
        <v>168</v>
      </c>
      <c r="I81" s="36" t="s">
        <v>169</v>
      </c>
      <c r="J81" s="36" t="s">
        <v>170</v>
      </c>
      <c r="K81" s="36" t="s">
        <v>171</v>
      </c>
      <c r="L81" s="257" t="s">
        <v>172</v>
      </c>
      <c r="N81" s="36" t="s">
        <v>168</v>
      </c>
      <c r="O81" s="36" t="s">
        <v>169</v>
      </c>
      <c r="P81" s="36" t="s">
        <v>170</v>
      </c>
      <c r="Q81" s="36" t="s">
        <v>171</v>
      </c>
      <c r="R81" s="277" t="s">
        <v>172</v>
      </c>
    </row>
    <row r="82" spans="2:18" s="34" customFormat="1">
      <c r="H82" s="34" t="s">
        <v>173</v>
      </c>
      <c r="I82" s="34" t="s">
        <v>174</v>
      </c>
      <c r="J82" s="34" t="s">
        <v>175</v>
      </c>
      <c r="K82" s="34" t="s">
        <v>176</v>
      </c>
      <c r="L82" s="258" t="s">
        <v>177</v>
      </c>
      <c r="N82" s="34" t="s">
        <v>173</v>
      </c>
      <c r="O82" s="34" t="s">
        <v>174</v>
      </c>
      <c r="P82" s="34" t="s">
        <v>175</v>
      </c>
      <c r="Q82" s="34" t="s">
        <v>176</v>
      </c>
      <c r="R82" s="278" t="s">
        <v>177</v>
      </c>
    </row>
    <row r="83" spans="2:18">
      <c r="L83" s="255"/>
      <c r="R83" s="279"/>
    </row>
    <row r="84" spans="2:18">
      <c r="B84" s="3" t="s">
        <v>178</v>
      </c>
      <c r="H84" s="360">
        <f ca="1">'28. Entry- en exittarieven '!H167</f>
        <v>0.63490855999999996</v>
      </c>
      <c r="I84" s="364">
        <f ca="1">'28. Entry- en exittarieven '!I167</f>
        <v>0.29001405000000002</v>
      </c>
      <c r="J84" s="231">
        <f ca="1">'28. Entry- en exittarieven '!J167</f>
        <v>0.13871881999999999</v>
      </c>
      <c r="K84" s="233"/>
      <c r="L84" s="270"/>
      <c r="M84" s="234"/>
      <c r="N84" s="360">
        <f ca="1">'28. Entry- en exittarieven '!N167</f>
        <v>0.40536972999999998</v>
      </c>
      <c r="O84" s="364">
        <f ca="1">'28. Entry- en exittarieven '!O167</f>
        <v>0.18516511999999999</v>
      </c>
      <c r="P84" s="231">
        <f ca="1">'28. Entry- en exittarieven '!P167</f>
        <v>8.8567729999999997E-2</v>
      </c>
      <c r="Q84" s="233"/>
      <c r="R84" s="280"/>
    </row>
    <row r="85" spans="2:18">
      <c r="B85" s="3" t="s">
        <v>179</v>
      </c>
      <c r="H85" s="360"/>
      <c r="I85" s="364"/>
      <c r="J85" s="231">
        <f ca="1">'28. Entry- en exittarieven '!J168</f>
        <v>0.11199787</v>
      </c>
      <c r="K85" s="233"/>
      <c r="L85" s="270"/>
      <c r="M85" s="234"/>
      <c r="N85" s="360"/>
      <c r="O85" s="364"/>
      <c r="P85" s="231">
        <f ca="1">'28. Entry- en exittarieven '!P168</f>
        <v>7.1507219999999996E-2</v>
      </c>
      <c r="Q85" s="233"/>
      <c r="R85" s="280"/>
    </row>
    <row r="86" spans="2:18">
      <c r="B86" s="3" t="s">
        <v>180</v>
      </c>
      <c r="H86" s="360"/>
      <c r="I86" s="364"/>
      <c r="J86" s="231">
        <f ca="1">'28. Entry- en exittarieven '!J169</f>
        <v>9.6981849999999994E-2</v>
      </c>
      <c r="K86" s="233"/>
      <c r="L86" s="270"/>
      <c r="M86" s="234"/>
      <c r="N86" s="360"/>
      <c r="O86" s="364"/>
      <c r="P86" s="231">
        <f ca="1">'28. Entry- en exittarieven '!P169</f>
        <v>6.1919950000000001E-2</v>
      </c>
      <c r="Q86" s="233"/>
      <c r="R86" s="280"/>
    </row>
    <row r="87" spans="2:18">
      <c r="B87" s="3" t="s">
        <v>181</v>
      </c>
      <c r="H87" s="360"/>
      <c r="I87" s="364">
        <f ca="1">'28. Entry- en exittarieven '!I170</f>
        <v>0.15512643000000001</v>
      </c>
      <c r="J87" s="231">
        <f ca="1">'28. Entry- en exittarieven '!J170</f>
        <v>6.9979100000000002E-2</v>
      </c>
      <c r="K87" s="233"/>
      <c r="L87" s="270"/>
      <c r="M87" s="234"/>
      <c r="N87" s="360"/>
      <c r="O87" s="364">
        <f ca="1">'28. Entry- en exittarieven '!O170</f>
        <v>9.9043489999999998E-2</v>
      </c>
      <c r="P87" s="231">
        <f ca="1">'28. Entry- en exittarieven '!P170</f>
        <v>4.467952E-2</v>
      </c>
      <c r="Q87" s="233"/>
      <c r="R87" s="280"/>
    </row>
    <row r="88" spans="2:18">
      <c r="B88" s="3" t="s">
        <v>182</v>
      </c>
      <c r="H88" s="360"/>
      <c r="I88" s="364"/>
      <c r="J88" s="231">
        <f ca="1">'28. Entry- en exittarieven '!J171</f>
        <v>6.4061400000000004E-2</v>
      </c>
      <c r="K88" s="233"/>
      <c r="L88" s="270"/>
      <c r="M88" s="234"/>
      <c r="N88" s="360"/>
      <c r="O88" s="364"/>
      <c r="P88" s="231">
        <f ca="1">'28. Entry- en exittarieven '!P171</f>
        <v>4.090125E-2</v>
      </c>
      <c r="Q88" s="233"/>
      <c r="R88" s="280"/>
    </row>
    <row r="89" spans="2:18">
      <c r="B89" s="3" t="s">
        <v>183</v>
      </c>
      <c r="H89" s="360"/>
      <c r="I89" s="364"/>
      <c r="J89" s="231">
        <f ca="1">'28. Entry- en exittarieven '!J172</f>
        <v>5.2053799999999997E-2</v>
      </c>
      <c r="K89" s="233"/>
      <c r="L89" s="270"/>
      <c r="M89" s="234"/>
      <c r="N89" s="360"/>
      <c r="O89" s="364"/>
      <c r="P89" s="231">
        <f ca="1">'28. Entry- en exittarieven '!P172</f>
        <v>3.3234760000000002E-2</v>
      </c>
      <c r="Q89" s="233"/>
      <c r="R89" s="280"/>
    </row>
    <row r="90" spans="2:18">
      <c r="B90" s="3" t="s">
        <v>184</v>
      </c>
      <c r="H90" s="360"/>
      <c r="I90" s="364">
        <f ca="1">'28. Entry- en exittarieven '!I173</f>
        <v>0.12582496000000001</v>
      </c>
      <c r="J90" s="231">
        <f ca="1">'28. Entry- en exittarieven '!J173</f>
        <v>5.079616E-2</v>
      </c>
      <c r="K90" s="233"/>
      <c r="L90" s="270"/>
      <c r="M90" s="234"/>
      <c r="N90" s="360"/>
      <c r="O90" s="364">
        <f ca="1">'28. Entry- en exittarieven '!O173</f>
        <v>8.0335400000000001E-2</v>
      </c>
      <c r="P90" s="231">
        <f ca="1">'28. Entry- en exittarieven '!P173</f>
        <v>3.2431799999999997E-2</v>
      </c>
      <c r="Q90" s="233"/>
      <c r="R90" s="280"/>
    </row>
    <row r="91" spans="2:18">
      <c r="B91" s="3" t="s">
        <v>185</v>
      </c>
      <c r="H91" s="360"/>
      <c r="I91" s="364"/>
      <c r="J91" s="231">
        <f ca="1">'28. Entry- en exittarieven '!J174</f>
        <v>4.8288709999999999E-2</v>
      </c>
      <c r="K91" s="233"/>
      <c r="L91" s="270"/>
      <c r="M91" s="234"/>
      <c r="N91" s="360"/>
      <c r="O91" s="364"/>
      <c r="P91" s="231">
        <f ca="1">'28. Entry- en exittarieven '!P174</f>
        <v>3.083087E-2</v>
      </c>
      <c r="Q91" s="233"/>
      <c r="R91" s="280"/>
    </row>
    <row r="92" spans="2:18">
      <c r="B92" s="3" t="s">
        <v>186</v>
      </c>
      <c r="H92" s="360"/>
      <c r="I92" s="364"/>
      <c r="J92" s="231">
        <f ca="1">'28. Entry- en exittarieven '!J175</f>
        <v>5.1897249999999999E-2</v>
      </c>
      <c r="K92" s="233"/>
      <c r="L92" s="270"/>
      <c r="M92" s="234"/>
      <c r="N92" s="360"/>
      <c r="O92" s="364"/>
      <c r="P92" s="231">
        <f ca="1">'28. Entry- en exittarieven '!P175</f>
        <v>3.3134810000000001E-2</v>
      </c>
      <c r="Q92" s="233"/>
      <c r="R92" s="280"/>
    </row>
    <row r="93" spans="2:18">
      <c r="B93" s="3" t="s">
        <v>187</v>
      </c>
      <c r="H93" s="360"/>
      <c r="I93" s="364">
        <f ca="1">'28. Entry- en exittarieven '!I176</f>
        <v>0.22104384999999999</v>
      </c>
      <c r="J93" s="231">
        <f ca="1">'28. Entry- en exittarieven '!J176</f>
        <v>6.1553950000000003E-2</v>
      </c>
      <c r="K93" s="233"/>
      <c r="L93" s="270"/>
      <c r="M93" s="234"/>
      <c r="N93" s="360"/>
      <c r="O93" s="364">
        <f ca="1">'28. Entry- en exittarieven '!O176</f>
        <v>0.14112975</v>
      </c>
      <c r="P93" s="231">
        <f ca="1">'28. Entry- en exittarieven '!P176</f>
        <v>3.930032E-2</v>
      </c>
      <c r="Q93" s="233"/>
      <c r="R93" s="280"/>
    </row>
    <row r="94" spans="2:18">
      <c r="B94" s="3" t="s">
        <v>188</v>
      </c>
      <c r="H94" s="360"/>
      <c r="I94" s="364"/>
      <c r="J94" s="231">
        <f ca="1">'28. Entry- en exittarieven '!J177</f>
        <v>8.8452329999999996E-2</v>
      </c>
      <c r="K94" s="233"/>
      <c r="L94" s="270"/>
      <c r="M94" s="234"/>
      <c r="N94" s="360"/>
      <c r="O94" s="364"/>
      <c r="P94" s="231">
        <f ca="1">'28. Entry- en exittarieven '!P177</f>
        <v>5.6474110000000001E-2</v>
      </c>
      <c r="Q94" s="233"/>
      <c r="R94" s="280"/>
    </row>
    <row r="95" spans="2:18">
      <c r="B95" s="3" t="s">
        <v>189</v>
      </c>
      <c r="H95" s="360"/>
      <c r="I95" s="364"/>
      <c r="J95" s="231">
        <f ca="1">'28. Entry- en exittarieven '!J178</f>
        <v>0.11518111</v>
      </c>
      <c r="K95" s="233"/>
      <c r="L95" s="270"/>
      <c r="M95" s="234"/>
      <c r="N95" s="360"/>
      <c r="O95" s="364"/>
      <c r="P95" s="231">
        <f ca="1">'28. Entry- en exittarieven '!P178</f>
        <v>7.353962E-2</v>
      </c>
      <c r="Q95" s="233"/>
      <c r="R95" s="280"/>
    </row>
    <row r="96" spans="2:18">
      <c r="L96" s="255"/>
      <c r="R96" s="279"/>
    </row>
    <row r="97" spans="2:18" s="33" customFormat="1">
      <c r="B97" s="33" t="s">
        <v>196</v>
      </c>
      <c r="H97" s="33" t="s">
        <v>199</v>
      </c>
      <c r="L97" s="256"/>
      <c r="N97" s="33" t="s">
        <v>200</v>
      </c>
      <c r="R97" s="276"/>
    </row>
    <row r="98" spans="2:18" s="36" customFormat="1">
      <c r="H98" s="36" t="s">
        <v>168</v>
      </c>
      <c r="I98" s="36" t="s">
        <v>169</v>
      </c>
      <c r="J98" s="36" t="s">
        <v>170</v>
      </c>
      <c r="K98" s="36" t="s">
        <v>171</v>
      </c>
      <c r="L98" s="257" t="s">
        <v>172</v>
      </c>
      <c r="N98" s="36" t="s">
        <v>168</v>
      </c>
      <c r="O98" s="36" t="s">
        <v>169</v>
      </c>
      <c r="P98" s="36" t="s">
        <v>170</v>
      </c>
      <c r="Q98" s="36" t="s">
        <v>171</v>
      </c>
      <c r="R98" s="277" t="s">
        <v>172</v>
      </c>
    </row>
    <row r="99" spans="2:18" s="34" customFormat="1">
      <c r="H99" s="34" t="s">
        <v>173</v>
      </c>
      <c r="I99" s="34" t="s">
        <v>174</v>
      </c>
      <c r="J99" s="34" t="s">
        <v>175</v>
      </c>
      <c r="K99" s="34" t="s">
        <v>176</v>
      </c>
      <c r="L99" s="258" t="s">
        <v>177</v>
      </c>
      <c r="N99" s="34" t="s">
        <v>173</v>
      </c>
      <c r="O99" s="34" t="s">
        <v>174</v>
      </c>
      <c r="P99" s="34" t="s">
        <v>175</v>
      </c>
      <c r="Q99" s="34" t="s">
        <v>176</v>
      </c>
      <c r="R99" s="278" t="s">
        <v>177</v>
      </c>
    </row>
    <row r="100" spans="2:18">
      <c r="L100" s="255"/>
      <c r="R100" s="279"/>
    </row>
    <row r="101" spans="2:18">
      <c r="B101" s="3" t="s">
        <v>178</v>
      </c>
      <c r="H101" s="360">
        <f ca="1">'28. Entry- en exittarieven '!H184</f>
        <v>0.38826597000000002</v>
      </c>
      <c r="I101" s="364">
        <f ca="1">'28. Entry- en exittarieven '!I184</f>
        <v>0.17735244999999999</v>
      </c>
      <c r="J101" s="231">
        <f ca="1">'28. Entry- en exittarieven '!J184</f>
        <v>8.4830799999999998E-2</v>
      </c>
      <c r="K101" s="233"/>
      <c r="L101" s="270"/>
      <c r="M101" s="234"/>
      <c r="N101" s="360">
        <f ca="1">'28. Entry- en exittarieven '!N184</f>
        <v>0.15872713999999999</v>
      </c>
      <c r="O101" s="364">
        <f ca="1">'28. Entry- en exittarieven '!O184</f>
        <v>7.2503509999999993E-2</v>
      </c>
      <c r="P101" s="231">
        <f ca="1">'28. Entry- en exittarieven '!P184</f>
        <v>3.4679710000000002E-2</v>
      </c>
      <c r="Q101" s="233"/>
      <c r="R101" s="280"/>
    </row>
    <row r="102" spans="2:18">
      <c r="B102" s="3" t="s">
        <v>179</v>
      </c>
      <c r="H102" s="360"/>
      <c r="I102" s="364"/>
      <c r="J102" s="231">
        <f ca="1">'28. Entry- en exittarieven '!J185</f>
        <v>6.8490120000000002E-2</v>
      </c>
      <c r="K102" s="233"/>
      <c r="L102" s="270"/>
      <c r="M102" s="234"/>
      <c r="N102" s="360"/>
      <c r="O102" s="364"/>
      <c r="P102" s="231">
        <f ca="1">'28. Entry- en exittarieven '!P185</f>
        <v>2.7999469999999999E-2</v>
      </c>
      <c r="Q102" s="233"/>
      <c r="R102" s="280"/>
    </row>
    <row r="103" spans="2:18">
      <c r="B103" s="3" t="s">
        <v>180</v>
      </c>
      <c r="H103" s="360"/>
      <c r="I103" s="364"/>
      <c r="J103" s="231">
        <f ca="1">'28. Entry- en exittarieven '!J186</f>
        <v>5.9307360000000003E-2</v>
      </c>
      <c r="K103" s="233"/>
      <c r="L103" s="270"/>
      <c r="M103" s="234"/>
      <c r="N103" s="360"/>
      <c r="O103" s="364"/>
      <c r="P103" s="231">
        <f ca="1">'28. Entry- en exittarieven '!P186</f>
        <v>2.424546E-2</v>
      </c>
      <c r="Q103" s="233"/>
      <c r="R103" s="280"/>
    </row>
    <row r="104" spans="2:18">
      <c r="B104" s="3" t="s">
        <v>181</v>
      </c>
      <c r="H104" s="360"/>
      <c r="I104" s="364">
        <f ca="1">'28. Entry- en exittarieven '!I187</f>
        <v>9.4864550000000006E-2</v>
      </c>
      <c r="J104" s="231">
        <f ca="1">'28. Entry- en exittarieven '!J187</f>
        <v>4.2794359999999997E-2</v>
      </c>
      <c r="K104" s="233"/>
      <c r="L104" s="270"/>
      <c r="M104" s="234"/>
      <c r="N104" s="360"/>
      <c r="O104" s="364">
        <f ca="1">'28. Entry- en exittarieven '!O187</f>
        <v>3.8781610000000001E-2</v>
      </c>
      <c r="P104" s="231">
        <f ca="1">'28. Entry- en exittarieven '!P187</f>
        <v>1.749477E-2</v>
      </c>
      <c r="Q104" s="233"/>
      <c r="R104" s="280"/>
    </row>
    <row r="105" spans="2:18">
      <c r="B105" s="3" t="s">
        <v>182</v>
      </c>
      <c r="H105" s="360"/>
      <c r="I105" s="364"/>
      <c r="J105" s="231">
        <f ca="1">'28. Entry- en exittarieven '!J188</f>
        <v>3.9175500000000002E-2</v>
      </c>
      <c r="K105" s="233"/>
      <c r="L105" s="270"/>
      <c r="M105" s="234"/>
      <c r="N105" s="360"/>
      <c r="O105" s="364"/>
      <c r="P105" s="231">
        <f ca="1">'28. Entry- en exittarieven '!P188</f>
        <v>1.6015350000000001E-2</v>
      </c>
      <c r="Q105" s="233"/>
      <c r="R105" s="280"/>
    </row>
    <row r="106" spans="2:18">
      <c r="B106" s="3" t="s">
        <v>183</v>
      </c>
      <c r="H106" s="360"/>
      <c r="I106" s="364"/>
      <c r="J106" s="231">
        <f ca="1">'28. Entry- en exittarieven '!J189</f>
        <v>3.1832489999999998E-2</v>
      </c>
      <c r="K106" s="233"/>
      <c r="L106" s="270"/>
      <c r="M106" s="234"/>
      <c r="N106" s="360"/>
      <c r="O106" s="364"/>
      <c r="P106" s="231">
        <f ca="1">'28. Entry- en exittarieven '!P189</f>
        <v>1.3013449999999999E-2</v>
      </c>
      <c r="Q106" s="233"/>
      <c r="R106" s="280"/>
    </row>
    <row r="107" spans="2:18">
      <c r="B107" s="3" t="s">
        <v>184</v>
      </c>
      <c r="H107" s="360"/>
      <c r="I107" s="364">
        <f ca="1">'28. Entry- en exittarieven '!I190</f>
        <v>7.6945810000000003E-2</v>
      </c>
      <c r="J107" s="231">
        <f ca="1">'28. Entry- en exittarieven '!J190</f>
        <v>3.106341E-2</v>
      </c>
      <c r="K107" s="233"/>
      <c r="L107" s="270"/>
      <c r="M107" s="234"/>
      <c r="N107" s="360"/>
      <c r="O107" s="364">
        <f ca="1">'28. Entry- en exittarieven '!O190</f>
        <v>3.1456240000000003E-2</v>
      </c>
      <c r="P107" s="231">
        <f ca="1">'28. Entry- en exittarieven '!P190</f>
        <v>1.269904E-2</v>
      </c>
      <c r="Q107" s="233"/>
      <c r="R107" s="280"/>
    </row>
    <row r="108" spans="2:18">
      <c r="B108" s="3" t="s">
        <v>185</v>
      </c>
      <c r="H108" s="360"/>
      <c r="I108" s="364"/>
      <c r="J108" s="231">
        <f ca="1">'28. Entry- en exittarieven '!J191</f>
        <v>2.9530020000000001E-2</v>
      </c>
      <c r="K108" s="233"/>
      <c r="L108" s="270"/>
      <c r="M108" s="234"/>
      <c r="N108" s="360"/>
      <c r="O108" s="364"/>
      <c r="P108" s="231">
        <f ca="1">'28. Entry- en exittarieven '!P191</f>
        <v>1.207218E-2</v>
      </c>
      <c r="Q108" s="233"/>
      <c r="R108" s="280"/>
    </row>
    <row r="109" spans="2:18">
      <c r="B109" s="3" t="s">
        <v>186</v>
      </c>
      <c r="H109" s="360"/>
      <c r="I109" s="364"/>
      <c r="J109" s="231">
        <f ca="1">'28. Entry- en exittarieven '!J192</f>
        <v>3.1736750000000001E-2</v>
      </c>
      <c r="K109" s="233"/>
      <c r="L109" s="270"/>
      <c r="M109" s="234"/>
      <c r="N109" s="360"/>
      <c r="O109" s="364"/>
      <c r="P109" s="231">
        <f ca="1">'28. Entry- en exittarieven '!P192</f>
        <v>1.2974309999999999E-2</v>
      </c>
      <c r="Q109" s="233"/>
      <c r="R109" s="280"/>
    </row>
    <row r="110" spans="2:18">
      <c r="B110" s="3" t="s">
        <v>187</v>
      </c>
      <c r="H110" s="360"/>
      <c r="I110" s="364">
        <f ca="1">'28. Entry- en exittarieven '!I193</f>
        <v>0.13517507000000001</v>
      </c>
      <c r="J110" s="231">
        <f ca="1">'28. Entry- en exittarieven '!J193</f>
        <v>3.7642120000000001E-2</v>
      </c>
      <c r="K110" s="233"/>
      <c r="L110" s="270"/>
      <c r="M110" s="234"/>
      <c r="N110" s="360"/>
      <c r="O110" s="364">
        <f ca="1">'28. Entry- en exittarieven '!O193</f>
        <v>5.5260959999999998E-2</v>
      </c>
      <c r="P110" s="231">
        <f ca="1">'28. Entry- en exittarieven '!P193</f>
        <v>1.5388489999999999E-2</v>
      </c>
      <c r="Q110" s="233"/>
      <c r="R110" s="280"/>
    </row>
    <row r="111" spans="2:18">
      <c r="B111" s="3" t="s">
        <v>188</v>
      </c>
      <c r="H111" s="360"/>
      <c r="I111" s="364"/>
      <c r="J111" s="231">
        <f ca="1">'28. Entry- en exittarieven '!J194</f>
        <v>5.4091300000000002E-2</v>
      </c>
      <c r="K111" s="233"/>
      <c r="L111" s="270"/>
      <c r="M111" s="234"/>
      <c r="N111" s="360"/>
      <c r="O111" s="364"/>
      <c r="P111" s="231">
        <f ca="1">'28. Entry- en exittarieven '!P194</f>
        <v>2.211308E-2</v>
      </c>
      <c r="Q111" s="233"/>
      <c r="R111" s="280"/>
    </row>
    <row r="112" spans="2:18">
      <c r="B112" s="3" t="s">
        <v>189</v>
      </c>
      <c r="H112" s="360"/>
      <c r="I112" s="364"/>
      <c r="J112" s="231">
        <f ca="1">'28. Entry- en exittarieven '!J195</f>
        <v>7.0436769999999996E-2</v>
      </c>
      <c r="K112" s="233"/>
      <c r="L112" s="270"/>
      <c r="M112" s="234"/>
      <c r="N112" s="360"/>
      <c r="O112" s="364"/>
      <c r="P112" s="231">
        <f ca="1">'28. Entry- en exittarieven '!P195</f>
        <v>2.8795279999999999E-2</v>
      </c>
      <c r="Q112" s="233"/>
      <c r="R112" s="280"/>
    </row>
  </sheetData>
  <mergeCells count="72">
    <mergeCell ref="B8:F8"/>
    <mergeCell ref="H101:H112"/>
    <mergeCell ref="I101:I103"/>
    <mergeCell ref="N101:N112"/>
    <mergeCell ref="O101:O103"/>
    <mergeCell ref="I104:I106"/>
    <mergeCell ref="O104:O106"/>
    <mergeCell ref="I107:I109"/>
    <mergeCell ref="O107:O109"/>
    <mergeCell ref="I110:I112"/>
    <mergeCell ref="O110:O112"/>
    <mergeCell ref="H84:H95"/>
    <mergeCell ref="I84:I86"/>
    <mergeCell ref="N84:N95"/>
    <mergeCell ref="O84:O86"/>
    <mergeCell ref="I87:I89"/>
    <mergeCell ref="O87:O89"/>
    <mergeCell ref="I90:I92"/>
    <mergeCell ref="O90:O92"/>
    <mergeCell ref="I93:I95"/>
    <mergeCell ref="O93:O95"/>
    <mergeCell ref="N16:N27"/>
    <mergeCell ref="I16:I18"/>
    <mergeCell ref="I19:I21"/>
    <mergeCell ref="I22:I24"/>
    <mergeCell ref="I25:I27"/>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H67:H78"/>
    <mergeCell ref="I67:I69"/>
    <mergeCell ref="N67:N78"/>
    <mergeCell ref="O67:O69"/>
    <mergeCell ref="I70:I72"/>
    <mergeCell ref="O70:O72"/>
    <mergeCell ref="I73:I75"/>
    <mergeCell ref="O73:O75"/>
    <mergeCell ref="I76:I78"/>
    <mergeCell ref="O76:O78"/>
    <mergeCell ref="T50:T61"/>
    <mergeCell ref="U50:U52"/>
    <mergeCell ref="U53:U55"/>
    <mergeCell ref="U56:U58"/>
    <mergeCell ref="U59:U61"/>
    <mergeCell ref="T16:T27"/>
    <mergeCell ref="U16:U18"/>
    <mergeCell ref="U19:U21"/>
    <mergeCell ref="U22:U24"/>
    <mergeCell ref="U25:U27"/>
    <mergeCell ref="H50:H61"/>
    <mergeCell ref="I50:I52"/>
    <mergeCell ref="N50:N61"/>
    <mergeCell ref="O50:O52"/>
    <mergeCell ref="I53:I55"/>
    <mergeCell ref="O53:O55"/>
    <mergeCell ref="I56:I58"/>
    <mergeCell ref="O56:O58"/>
    <mergeCell ref="I59:I61"/>
    <mergeCell ref="O59:O61"/>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Parameters'!$B$182:$B$196</xm:f>
          </x14:formula1>
          <xm:sqref>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 defaultRowHeight="12.75"/>
  <cols>
    <col min="1" max="16384" width="9"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CI213"/>
  <sheetViews>
    <sheetView showGridLines="0" zoomScale="80" zoomScaleNormal="80" workbookViewId="0">
      <pane xSplit="4" ySplit="8" topLeftCell="E9" activePane="bottomRight" state="frozen"/>
      <selection pane="bottomRight"/>
      <selection pane="bottomLeft" activeCell="A9" sqref="A9"/>
      <selection pane="topRight" activeCell="E1" sqref="E1"/>
    </sheetView>
  </sheetViews>
  <sheetFormatPr defaultColWidth="9" defaultRowHeight="12.75"/>
  <cols>
    <col min="1" max="1" width="2.5703125" style="3" customWidth="1"/>
    <col min="2" max="2" width="53.28515625" style="3" customWidth="1"/>
    <col min="3" max="3" width="2.5703125" style="3" customWidth="1"/>
    <col min="4" max="4" width="1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28515625" style="3" bestFit="1" customWidth="1"/>
    <col min="13" max="15" width="12.5703125" style="3" customWidth="1"/>
    <col min="16" max="17" width="13.5703125" style="3" bestFit="1" customWidth="1"/>
    <col min="18" max="18" width="17.28515625" style="3" bestFit="1" customWidth="1"/>
    <col min="19" max="19" width="2.5703125" style="3" customWidth="1"/>
    <col min="20" max="20" width="40" style="3" bestFit="1" customWidth="1"/>
    <col min="21" max="21" width="2.5703125" style="3" customWidth="1"/>
    <col min="22" max="35" width="13.5703125" style="3" customWidth="1"/>
    <col min="36" max="16384" width="9" style="3"/>
  </cols>
  <sheetData>
    <row r="2" spans="2:22" s="12" customFormat="1" ht="18">
      <c r="B2" s="12" t="s">
        <v>201</v>
      </c>
    </row>
    <row r="4" spans="2:22">
      <c r="B4" s="16" t="s">
        <v>202</v>
      </c>
      <c r="C4" s="2"/>
      <c r="I4"/>
      <c r="K4"/>
    </row>
    <row r="5" spans="2:22" ht="28.5" customHeight="1">
      <c r="B5" s="359" t="s">
        <v>203</v>
      </c>
      <c r="C5" s="359"/>
      <c r="D5" s="359"/>
      <c r="F5" s="13"/>
    </row>
    <row r="7" spans="2:22" s="8" customFormat="1">
      <c r="B7" s="8" t="s">
        <v>162</v>
      </c>
      <c r="D7" s="8" t="s">
        <v>204</v>
      </c>
      <c r="F7" s="8" t="s">
        <v>205</v>
      </c>
      <c r="H7" s="46">
        <v>2017</v>
      </c>
      <c r="I7" s="53">
        <v>2018</v>
      </c>
      <c r="J7" s="46">
        <v>2019</v>
      </c>
      <c r="K7" s="53">
        <v>2020</v>
      </c>
      <c r="L7" s="46">
        <v>2021</v>
      </c>
      <c r="M7" s="46">
        <v>2022</v>
      </c>
      <c r="N7" s="46">
        <v>2023</v>
      </c>
      <c r="O7" s="46">
        <v>2024</v>
      </c>
      <c r="P7" s="46">
        <v>2025</v>
      </c>
      <c r="Q7" s="46">
        <v>2026</v>
      </c>
      <c r="R7" s="46">
        <v>2027</v>
      </c>
      <c r="T7" s="8" t="s">
        <v>206</v>
      </c>
      <c r="V7" s="8" t="s">
        <v>207</v>
      </c>
    </row>
    <row r="10" spans="2:22" s="8" customFormat="1">
      <c r="B10" s="8" t="s">
        <v>208</v>
      </c>
    </row>
    <row r="12" spans="2:22">
      <c r="B12" s="3" t="s">
        <v>209</v>
      </c>
      <c r="H12" s="104"/>
      <c r="I12" s="104"/>
      <c r="J12" s="104"/>
      <c r="K12" s="104"/>
      <c r="L12" s="104"/>
      <c r="M12" s="282">
        <v>929870695.57498884</v>
      </c>
      <c r="N12" s="282">
        <v>952373566.40790355</v>
      </c>
      <c r="O12" s="282">
        <v>992563730.91031706</v>
      </c>
      <c r="P12" s="282">
        <v>1069326535.024132</v>
      </c>
      <c r="Q12" s="282">
        <v>1075956359.5412817</v>
      </c>
      <c r="R12" s="281">
        <v>1253355084.0501223</v>
      </c>
      <c r="T12" s="3" t="s">
        <v>210</v>
      </c>
    </row>
    <row r="14" spans="2:22" s="8" customFormat="1">
      <c r="B14" s="8" t="s">
        <v>211</v>
      </c>
    </row>
    <row r="16" spans="2:22">
      <c r="B16" s="16" t="s">
        <v>212</v>
      </c>
    </row>
    <row r="17" spans="2:28">
      <c r="B17" s="28" t="s">
        <v>213</v>
      </c>
      <c r="D17" s="3" t="s">
        <v>214</v>
      </c>
      <c r="H17" s="246">
        <v>4.2000000000000003E-2</v>
      </c>
      <c r="I17" s="246">
        <v>3.9E-2</v>
      </c>
      <c r="J17" s="246">
        <v>3.5999999999999997E-2</v>
      </c>
      <c r="K17" s="246">
        <v>3.3000000000000002E-2</v>
      </c>
      <c r="L17" s="246">
        <v>0.03</v>
      </c>
      <c r="M17" s="104"/>
      <c r="N17" s="104"/>
      <c r="O17" s="104"/>
      <c r="P17" s="104"/>
      <c r="Q17" s="104"/>
      <c r="R17" s="104"/>
      <c r="T17" s="3" t="s">
        <v>215</v>
      </c>
    </row>
    <row r="18" spans="2:28">
      <c r="B18" s="28" t="s">
        <v>216</v>
      </c>
      <c r="D18" s="3" t="s">
        <v>214</v>
      </c>
      <c r="H18" s="133">
        <v>3.7999999999999999E-2</v>
      </c>
      <c r="I18" s="133">
        <v>3.5999999999999997E-2</v>
      </c>
      <c r="J18" s="133">
        <v>3.4000000000000002E-2</v>
      </c>
      <c r="K18" s="133">
        <v>3.2000000000000001E-2</v>
      </c>
      <c r="L18" s="133">
        <v>0.03</v>
      </c>
      <c r="M18" s="104"/>
      <c r="N18" s="104"/>
      <c r="O18" s="104"/>
      <c r="P18" s="104"/>
      <c r="Q18" s="104"/>
      <c r="R18" s="104"/>
      <c r="T18" s="3" t="s">
        <v>215</v>
      </c>
    </row>
    <row r="19" spans="2:28">
      <c r="B19" s="145" t="s">
        <v>217</v>
      </c>
      <c r="D19" s="3" t="s">
        <v>214</v>
      </c>
      <c r="F19" s="85"/>
      <c r="H19" s="104"/>
      <c r="I19" s="104"/>
      <c r="J19" s="104"/>
      <c r="K19" s="104"/>
      <c r="L19" s="104"/>
      <c r="M19" s="133">
        <v>3.4000000000000002E-2</v>
      </c>
      <c r="N19" s="133">
        <v>3.3000000000000002E-2</v>
      </c>
      <c r="O19" s="133">
        <v>3.7999999999999999E-2</v>
      </c>
      <c r="P19" s="133">
        <v>3.7999999999999999E-2</v>
      </c>
      <c r="Q19" s="133">
        <v>3.7999999999999999E-2</v>
      </c>
      <c r="R19" s="104"/>
      <c r="T19" s="80" t="s">
        <v>218</v>
      </c>
      <c r="V19" s="359"/>
      <c r="W19" s="359"/>
      <c r="X19" s="359"/>
      <c r="Y19" s="359"/>
      <c r="Z19" s="359"/>
      <c r="AA19" s="359"/>
      <c r="AB19" s="359"/>
    </row>
    <row r="20" spans="2:28">
      <c r="B20" s="145" t="s">
        <v>219</v>
      </c>
      <c r="D20" s="3" t="s">
        <v>214</v>
      </c>
      <c r="F20" s="85"/>
      <c r="H20" s="104"/>
      <c r="I20" s="104"/>
      <c r="J20" s="104"/>
      <c r="K20" s="104"/>
      <c r="L20" s="104"/>
      <c r="M20" s="133">
        <v>3.2000000000000001E-2</v>
      </c>
      <c r="N20" s="133">
        <v>3.2000000000000001E-2</v>
      </c>
      <c r="O20" s="133">
        <v>3.7999999999999999E-2</v>
      </c>
      <c r="P20" s="133">
        <v>3.7999999999999999E-2</v>
      </c>
      <c r="Q20" s="133">
        <v>3.7999999999999999E-2</v>
      </c>
      <c r="R20" s="104"/>
      <c r="T20" s="80" t="s">
        <v>218</v>
      </c>
      <c r="V20" s="359"/>
      <c r="W20" s="359"/>
      <c r="X20" s="359"/>
      <c r="Y20" s="359"/>
      <c r="Z20" s="359"/>
      <c r="AA20" s="359"/>
      <c r="AB20" s="359"/>
    </row>
    <row r="21" spans="2:28">
      <c r="H21" s="23"/>
      <c r="I21" s="23"/>
      <c r="J21" s="23"/>
      <c r="K21" s="23"/>
      <c r="L21" s="23"/>
      <c r="M21" s="23"/>
      <c r="N21" s="23"/>
      <c r="O21" s="23"/>
      <c r="P21" s="23"/>
      <c r="Q21" s="23"/>
      <c r="R21" s="23"/>
    </row>
    <row r="22" spans="2:28">
      <c r="B22" s="2" t="s">
        <v>220</v>
      </c>
      <c r="H22" s="23"/>
      <c r="I22" s="23"/>
      <c r="J22" s="23"/>
      <c r="K22" s="23"/>
      <c r="L22" s="23"/>
      <c r="M22" s="23"/>
      <c r="N22" s="23"/>
      <c r="O22" s="23"/>
      <c r="P22" s="23"/>
      <c r="Q22" s="23"/>
      <c r="R22" s="23"/>
    </row>
    <row r="23" spans="2:28">
      <c r="B23" s="145" t="s">
        <v>217</v>
      </c>
      <c r="D23" s="3" t="s">
        <v>214</v>
      </c>
      <c r="F23" s="85"/>
      <c r="H23" s="104"/>
      <c r="I23" s="104"/>
      <c r="J23" s="104"/>
      <c r="K23" s="104"/>
      <c r="L23" s="104"/>
      <c r="M23" s="133">
        <v>4.1000000000000002E-2</v>
      </c>
      <c r="N23" s="133">
        <v>5.0999999999999997E-2</v>
      </c>
      <c r="O23" s="133">
        <v>5.0999999999999997E-2</v>
      </c>
      <c r="P23" s="133">
        <v>5.5E-2</v>
      </c>
      <c r="Q23" s="104"/>
      <c r="R23" s="104"/>
      <c r="T23" s="3" t="s">
        <v>221</v>
      </c>
    </row>
    <row r="25" spans="2:28" s="8" customFormat="1">
      <c r="B25" s="8" t="s">
        <v>222</v>
      </c>
    </row>
    <row r="27" spans="2:28">
      <c r="B27" s="3" t="s">
        <v>223</v>
      </c>
      <c r="D27" s="3" t="s">
        <v>214</v>
      </c>
      <c r="F27" s="134">
        <v>0.01</v>
      </c>
      <c r="T27" s="80" t="s">
        <v>218</v>
      </c>
    </row>
    <row r="29" spans="2:28" s="8" customFormat="1">
      <c r="B29" s="8" t="s">
        <v>224</v>
      </c>
    </row>
    <row r="31" spans="2:28">
      <c r="B31" s="16" t="s">
        <v>224</v>
      </c>
    </row>
    <row r="32" spans="2:28" ht="12.75" customHeight="1">
      <c r="B32" s="3" t="s">
        <v>224</v>
      </c>
      <c r="D32" s="3" t="s">
        <v>214</v>
      </c>
      <c r="F32" s="23"/>
      <c r="H32" s="132">
        <v>2E-3</v>
      </c>
      <c r="I32" s="132">
        <v>1.4E-2</v>
      </c>
      <c r="J32" s="132">
        <v>1.2E-2</v>
      </c>
      <c r="K32" s="133">
        <v>2.5999999999999999E-2</v>
      </c>
      <c r="L32" s="133">
        <v>1.6E-2</v>
      </c>
      <c r="M32" s="133">
        <v>1.7999999999999999E-2</v>
      </c>
      <c r="N32" s="133">
        <v>6.2E-2</v>
      </c>
      <c r="O32" s="246">
        <v>0.08</v>
      </c>
      <c r="P32" s="133">
        <v>2.8000000000000001E-2</v>
      </c>
      <c r="Q32" s="133">
        <v>3.7999999999999999E-2</v>
      </c>
      <c r="R32" s="10"/>
      <c r="T32" s="3" t="s">
        <v>113</v>
      </c>
      <c r="V32" s="359" t="s">
        <v>225</v>
      </c>
      <c r="W32" s="359"/>
      <c r="X32" s="359"/>
      <c r="Y32" s="359"/>
      <c r="Z32" s="359"/>
      <c r="AA32" s="359"/>
      <c r="AB32" s="359"/>
    </row>
    <row r="34" spans="2:18">
      <c r="B34" s="16" t="s">
        <v>226</v>
      </c>
    </row>
    <row r="35" spans="2:18">
      <c r="B35" s="3" t="s">
        <v>227</v>
      </c>
      <c r="D35" s="3" t="s">
        <v>228</v>
      </c>
      <c r="H35" s="3">
        <v>1</v>
      </c>
      <c r="I35" s="27">
        <f t="shared" ref="I35:Q35" si="0">H35*(1+I$32)</f>
        <v>1.014</v>
      </c>
      <c r="J35" s="27">
        <f t="shared" si="0"/>
        <v>1.026168</v>
      </c>
      <c r="K35" s="27">
        <f t="shared" si="0"/>
        <v>1.052848368</v>
      </c>
      <c r="L35" s="27">
        <f t="shared" si="0"/>
        <v>1.069693941888</v>
      </c>
      <c r="M35" s="27">
        <f t="shared" si="0"/>
        <v>1.0889484328419841</v>
      </c>
      <c r="N35" s="27">
        <f t="shared" si="0"/>
        <v>1.1564632356781872</v>
      </c>
      <c r="O35" s="27">
        <f t="shared" si="0"/>
        <v>1.2489802945324422</v>
      </c>
      <c r="P35" s="27">
        <f t="shared" si="0"/>
        <v>1.2839517427793505</v>
      </c>
      <c r="Q35" s="27">
        <f t="shared" si="0"/>
        <v>1.3327419090049659</v>
      </c>
      <c r="R35" s="10"/>
    </row>
    <row r="36" spans="2:18">
      <c r="B36" s="28" t="s">
        <v>229</v>
      </c>
      <c r="D36" s="3" t="s">
        <v>228</v>
      </c>
      <c r="H36" s="10"/>
      <c r="I36" s="3">
        <v>1</v>
      </c>
      <c r="J36" s="27">
        <f>I36*(1+J$32)</f>
        <v>1.012</v>
      </c>
      <c r="K36" s="27">
        <f t="shared" ref="K36:Q36" si="1">J36*(1+K$32)</f>
        <v>1.0383120000000001</v>
      </c>
      <c r="L36" s="27">
        <f t="shared" si="1"/>
        <v>1.0549249920000001</v>
      </c>
      <c r="M36" s="27">
        <f t="shared" si="1"/>
        <v>1.0739136418560002</v>
      </c>
      <c r="N36" s="27">
        <f t="shared" si="1"/>
        <v>1.1404962876510722</v>
      </c>
      <c r="O36" s="27">
        <f t="shared" si="1"/>
        <v>1.2317359906631582</v>
      </c>
      <c r="P36" s="27">
        <f t="shared" si="1"/>
        <v>1.2662245984017266</v>
      </c>
      <c r="Q36" s="27">
        <f t="shared" si="1"/>
        <v>1.3143411331409922</v>
      </c>
      <c r="R36" s="10"/>
    </row>
    <row r="37" spans="2:18">
      <c r="B37" s="28" t="s">
        <v>230</v>
      </c>
      <c r="D37" s="3" t="s">
        <v>228</v>
      </c>
      <c r="H37" s="10"/>
      <c r="I37" s="10"/>
      <c r="J37" s="3">
        <v>1</v>
      </c>
      <c r="K37" s="27">
        <f>J37*(1+K$32)</f>
        <v>1.026</v>
      </c>
      <c r="L37" s="27">
        <f>K37*(1+L$32)</f>
        <v>1.042416</v>
      </c>
      <c r="M37" s="27">
        <f t="shared" ref="M37:Q37" si="2">L37*(1+M$32)</f>
        <v>1.0611794880000001</v>
      </c>
      <c r="N37" s="27">
        <f t="shared" si="2"/>
        <v>1.1269726162560001</v>
      </c>
      <c r="O37" s="27">
        <f t="shared" si="2"/>
        <v>1.2171304255564801</v>
      </c>
      <c r="P37" s="27">
        <f t="shared" si="2"/>
        <v>1.2512100774720616</v>
      </c>
      <c r="Q37" s="27">
        <f t="shared" si="2"/>
        <v>1.298756060416</v>
      </c>
      <c r="R37" s="10"/>
    </row>
    <row r="38" spans="2:18">
      <c r="B38" s="28" t="s">
        <v>231</v>
      </c>
      <c r="D38" s="3" t="s">
        <v>228</v>
      </c>
      <c r="H38" s="10"/>
      <c r="I38" s="10"/>
      <c r="J38" s="10"/>
      <c r="K38" s="3">
        <v>1</v>
      </c>
      <c r="L38" s="27">
        <f>K38*(1+L$32)</f>
        <v>1.016</v>
      </c>
      <c r="M38" s="27">
        <f t="shared" ref="M38:Q38" si="3">L38*(1+M$32)</f>
        <v>1.0342880000000001</v>
      </c>
      <c r="N38" s="27">
        <f t="shared" si="3"/>
        <v>1.0984138560000001</v>
      </c>
      <c r="O38" s="27">
        <f t="shared" si="3"/>
        <v>1.1862869644800003</v>
      </c>
      <c r="P38" s="27">
        <f t="shared" si="3"/>
        <v>1.2195029994854403</v>
      </c>
      <c r="Q38" s="27">
        <f t="shared" si="3"/>
        <v>1.2658441134658871</v>
      </c>
      <c r="R38" s="10"/>
    </row>
    <row r="39" spans="2:18">
      <c r="B39" s="28" t="s">
        <v>232</v>
      </c>
      <c r="D39" s="3" t="s">
        <v>228</v>
      </c>
      <c r="H39" s="10"/>
      <c r="I39" s="10"/>
      <c r="J39" s="10"/>
      <c r="K39" s="10"/>
      <c r="L39" s="3">
        <v>1</v>
      </c>
      <c r="M39" s="27">
        <f>L39*(1+M$32)</f>
        <v>1.018</v>
      </c>
      <c r="N39" s="27">
        <f t="shared" ref="N39:O39" si="4">M39*(1+N$32)</f>
        <v>1.081116</v>
      </c>
      <c r="O39" s="27">
        <f t="shared" si="4"/>
        <v>1.1676052800000001</v>
      </c>
      <c r="P39" s="27">
        <f t="shared" ref="P39:Q42" si="5">O39*(1+P$32)</f>
        <v>1.2002982278400001</v>
      </c>
      <c r="Q39" s="27">
        <f t="shared" si="5"/>
        <v>1.24590956049792</v>
      </c>
      <c r="R39" s="10"/>
    </row>
    <row r="40" spans="2:18">
      <c r="B40" s="28" t="s">
        <v>233</v>
      </c>
      <c r="D40" s="3" t="s">
        <v>228</v>
      </c>
      <c r="H40" s="10"/>
      <c r="I40" s="10"/>
      <c r="J40" s="10"/>
      <c r="K40" s="10"/>
      <c r="L40" s="10"/>
      <c r="M40" s="3">
        <v>1</v>
      </c>
      <c r="N40" s="27">
        <f t="shared" ref="N40:O40" si="6">M40*(1+N$32)</f>
        <v>1.0620000000000001</v>
      </c>
      <c r="O40" s="27">
        <f t="shared" si="6"/>
        <v>1.1469600000000002</v>
      </c>
      <c r="P40" s="27">
        <f t="shared" si="5"/>
        <v>1.1790748800000002</v>
      </c>
      <c r="Q40" s="27">
        <f t="shared" si="5"/>
        <v>1.2238797254400002</v>
      </c>
      <c r="R40" s="10"/>
    </row>
    <row r="41" spans="2:18">
      <c r="B41" s="28" t="s">
        <v>234</v>
      </c>
      <c r="D41" s="3" t="s">
        <v>228</v>
      </c>
      <c r="H41" s="10"/>
      <c r="I41" s="10"/>
      <c r="J41" s="10"/>
      <c r="K41" s="10"/>
      <c r="L41" s="10"/>
      <c r="M41" s="10"/>
      <c r="N41" s="3">
        <v>1</v>
      </c>
      <c r="O41" s="27">
        <f>N41*(1+O$32)</f>
        <v>1.08</v>
      </c>
      <c r="P41" s="27">
        <f>O41*(1+P$32)</f>
        <v>1.1102400000000001</v>
      </c>
      <c r="Q41" s="27">
        <f t="shared" si="5"/>
        <v>1.1524291200000001</v>
      </c>
      <c r="R41" s="10"/>
    </row>
    <row r="42" spans="2:18">
      <c r="B42" s="28" t="s">
        <v>235</v>
      </c>
      <c r="D42" s="3" t="s">
        <v>228</v>
      </c>
      <c r="H42" s="10"/>
      <c r="I42" s="10"/>
      <c r="J42" s="10"/>
      <c r="K42" s="10"/>
      <c r="L42" s="10"/>
      <c r="M42" s="10"/>
      <c r="N42" s="10"/>
      <c r="O42" s="3">
        <v>1</v>
      </c>
      <c r="P42" s="27">
        <f t="shared" si="5"/>
        <v>1.028</v>
      </c>
      <c r="Q42" s="27">
        <f t="shared" si="5"/>
        <v>1.067064</v>
      </c>
      <c r="R42" s="10"/>
    </row>
    <row r="43" spans="2:18">
      <c r="B43" s="28" t="s">
        <v>236</v>
      </c>
      <c r="D43" s="3" t="s">
        <v>228</v>
      </c>
      <c r="H43" s="10"/>
      <c r="I43" s="10"/>
      <c r="J43" s="10"/>
      <c r="K43" s="10"/>
      <c r="L43" s="10"/>
      <c r="M43" s="10"/>
      <c r="N43" s="10"/>
      <c r="O43" s="10"/>
      <c r="P43" s="3">
        <v>1</v>
      </c>
      <c r="Q43" s="27">
        <f>P43*(1+Q$32)</f>
        <v>1.038</v>
      </c>
      <c r="R43" s="10"/>
    </row>
    <row r="44" spans="2:18">
      <c r="B44" s="28" t="s">
        <v>237</v>
      </c>
      <c r="D44" s="3" t="s">
        <v>228</v>
      </c>
      <c r="H44" s="10"/>
      <c r="I44" s="10"/>
      <c r="J44" s="10"/>
      <c r="K44" s="10"/>
      <c r="L44" s="10"/>
      <c r="M44" s="10"/>
      <c r="N44" s="10"/>
      <c r="O44" s="10"/>
      <c r="P44" s="10"/>
      <c r="Q44" s="3">
        <v>1</v>
      </c>
      <c r="R44" s="10"/>
    </row>
    <row r="46" spans="2:18" s="8" customFormat="1">
      <c r="B46" s="8" t="s">
        <v>238</v>
      </c>
    </row>
    <row r="48" spans="2:18">
      <c r="B48" s="16" t="s">
        <v>238</v>
      </c>
    </row>
    <row r="49" spans="2:20">
      <c r="B49" s="3" t="s">
        <v>239</v>
      </c>
      <c r="D49" s="3" t="s">
        <v>214</v>
      </c>
      <c r="F49" s="85"/>
      <c r="H49" s="134">
        <v>1E-3</v>
      </c>
      <c r="I49" s="134">
        <v>1E-3</v>
      </c>
      <c r="J49" s="134">
        <v>1E-3</v>
      </c>
      <c r="K49" s="134">
        <v>1E-3</v>
      </c>
      <c r="L49" s="134">
        <v>1E-3</v>
      </c>
      <c r="M49" s="134">
        <v>4.0000000000000001E-3</v>
      </c>
      <c r="N49" s="134">
        <v>4.0000000000000001E-3</v>
      </c>
      <c r="O49" s="134">
        <v>4.0000000000000001E-3</v>
      </c>
      <c r="P49" s="134">
        <v>4.0000000000000001E-3</v>
      </c>
      <c r="Q49" s="134">
        <v>4.0000000000000001E-3</v>
      </c>
      <c r="R49" s="10"/>
      <c r="T49" s="3" t="s">
        <v>240</v>
      </c>
    </row>
    <row r="51" spans="2:20">
      <c r="B51" s="16" t="s">
        <v>241</v>
      </c>
    </row>
    <row r="52" spans="2:20">
      <c r="B52" s="3" t="s">
        <v>227</v>
      </c>
      <c r="D52" s="3" t="s">
        <v>242</v>
      </c>
      <c r="H52" s="3">
        <v>1</v>
      </c>
      <c r="I52" s="27">
        <f>H52*(1-I$49)</f>
        <v>0.999</v>
      </c>
      <c r="J52" s="27">
        <f t="shared" ref="J52" si="7">I52*(1-J$49)</f>
        <v>0.99800100000000003</v>
      </c>
      <c r="K52" s="27">
        <f>J52*(1-K$49)</f>
        <v>0.997002999</v>
      </c>
      <c r="L52" s="27">
        <f t="shared" ref="L52:M52" si="8">K52*(1-L$49)</f>
        <v>0.99600599600100004</v>
      </c>
      <c r="M52" s="27">
        <f t="shared" si="8"/>
        <v>0.99202197201699605</v>
      </c>
      <c r="N52" s="27">
        <f t="shared" ref="N52:O52" si="9">M52*(1-N$49)</f>
        <v>0.98805388412892803</v>
      </c>
      <c r="O52" s="27">
        <f t="shared" si="9"/>
        <v>0.98410166859241233</v>
      </c>
      <c r="P52" s="27">
        <f t="shared" ref="P52:Q59" si="10">O52*(1-P$49)</f>
        <v>0.98016526191804265</v>
      </c>
      <c r="Q52" s="27">
        <f t="shared" si="10"/>
        <v>0.97624460087037046</v>
      </c>
      <c r="R52" s="10"/>
    </row>
    <row r="53" spans="2:20">
      <c r="B53" s="28" t="s">
        <v>229</v>
      </c>
      <c r="D53" s="3" t="s">
        <v>242</v>
      </c>
      <c r="H53" s="10"/>
      <c r="I53" s="3">
        <v>1</v>
      </c>
      <c r="J53" s="27">
        <f t="shared" ref="J53:K53" si="11">I53*(1-J$49)</f>
        <v>0.999</v>
      </c>
      <c r="K53" s="27">
        <f t="shared" si="11"/>
        <v>0.99800100000000003</v>
      </c>
      <c r="L53" s="27">
        <f t="shared" ref="L53:M53" si="12">K53*(1-L$49)</f>
        <v>0.997002999</v>
      </c>
      <c r="M53" s="27">
        <f t="shared" si="12"/>
        <v>0.99301498700400004</v>
      </c>
      <c r="N53" s="27">
        <f t="shared" ref="N53:O53" si="13">M53*(1-N$49)</f>
        <v>0.98904292705598407</v>
      </c>
      <c r="O53" s="27">
        <f t="shared" si="13"/>
        <v>0.98508675534776013</v>
      </c>
      <c r="P53" s="27">
        <f t="shared" si="10"/>
        <v>0.98114640832636912</v>
      </c>
      <c r="Q53" s="27">
        <f t="shared" si="10"/>
        <v>0.97722182269306368</v>
      </c>
      <c r="R53" s="10"/>
    </row>
    <row r="54" spans="2:20">
      <c r="B54" s="28" t="s">
        <v>230</v>
      </c>
      <c r="D54" s="3" t="s">
        <v>242</v>
      </c>
      <c r="H54" s="10"/>
      <c r="I54" s="10"/>
      <c r="J54" s="3">
        <v>1</v>
      </c>
      <c r="K54" s="27">
        <f>J54*(1-K$49)</f>
        <v>0.999</v>
      </c>
      <c r="L54" s="27">
        <f t="shared" ref="L54:M54" si="14">K54*(1-L$49)</f>
        <v>0.99800100000000003</v>
      </c>
      <c r="M54" s="27">
        <f t="shared" si="14"/>
        <v>0.99400899600000003</v>
      </c>
      <c r="N54" s="27">
        <f t="shared" ref="N54:O54" si="15">M54*(1-N$49)</f>
        <v>0.99003296001600005</v>
      </c>
      <c r="O54" s="27">
        <f t="shared" si="15"/>
        <v>0.986072828175936</v>
      </c>
      <c r="P54" s="27">
        <f t="shared" si="10"/>
        <v>0.9821285368632322</v>
      </c>
      <c r="Q54" s="27">
        <f t="shared" si="10"/>
        <v>0.97820002271577933</v>
      </c>
      <c r="R54" s="10"/>
    </row>
    <row r="55" spans="2:20">
      <c r="B55" s="28" t="s">
        <v>231</v>
      </c>
      <c r="D55" s="3" t="s">
        <v>242</v>
      </c>
      <c r="H55" s="10"/>
      <c r="I55" s="10"/>
      <c r="J55" s="10"/>
      <c r="K55" s="3">
        <v>1</v>
      </c>
      <c r="L55" s="27">
        <f t="shared" ref="L55:M55" si="16">K55*(1-L$49)</f>
        <v>0.999</v>
      </c>
      <c r="M55" s="27">
        <f t="shared" si="16"/>
        <v>0.995004</v>
      </c>
      <c r="N55" s="27">
        <f t="shared" ref="N55:O55" si="17">M55*(1-N$49)</f>
        <v>0.99102398400000002</v>
      </c>
      <c r="O55" s="27">
        <f t="shared" si="17"/>
        <v>0.98705988806400002</v>
      </c>
      <c r="P55" s="27">
        <f t="shared" si="10"/>
        <v>0.98311164851174404</v>
      </c>
      <c r="Q55" s="27">
        <f t="shared" si="10"/>
        <v>0.97917920191769703</v>
      </c>
      <c r="R55" s="10"/>
    </row>
    <row r="56" spans="2:20">
      <c r="B56" s="28" t="s">
        <v>232</v>
      </c>
      <c r="D56" s="3" t="s">
        <v>242</v>
      </c>
      <c r="H56" s="10"/>
      <c r="I56" s="10"/>
      <c r="J56" s="10"/>
      <c r="K56" s="10"/>
      <c r="L56" s="3">
        <v>1</v>
      </c>
      <c r="M56" s="27">
        <f t="shared" ref="M56" si="18">L56*(1-M$49)</f>
        <v>0.996</v>
      </c>
      <c r="N56" s="27">
        <f t="shared" ref="N56:O56" si="19">M56*(1-N$49)</f>
        <v>0.99201600000000001</v>
      </c>
      <c r="O56" s="27">
        <f t="shared" si="19"/>
        <v>0.98804793599999996</v>
      </c>
      <c r="P56" s="27">
        <f t="shared" si="10"/>
        <v>0.98409574425599999</v>
      </c>
      <c r="Q56" s="27">
        <f t="shared" si="10"/>
        <v>0.98015936127897596</v>
      </c>
      <c r="R56" s="10"/>
    </row>
    <row r="57" spans="2:20">
      <c r="B57" s="28" t="s">
        <v>233</v>
      </c>
      <c r="D57" s="3" t="s">
        <v>242</v>
      </c>
      <c r="H57" s="10"/>
      <c r="I57" s="10"/>
      <c r="J57" s="10"/>
      <c r="K57" s="10"/>
      <c r="L57" s="10"/>
      <c r="M57" s="3">
        <v>1</v>
      </c>
      <c r="N57" s="27">
        <f t="shared" ref="N57:O57" si="20">M57*(1-N$49)</f>
        <v>0.996</v>
      </c>
      <c r="O57" s="27">
        <f t="shared" si="20"/>
        <v>0.99201600000000001</v>
      </c>
      <c r="P57" s="27">
        <f t="shared" si="10"/>
        <v>0.98804793599999996</v>
      </c>
      <c r="Q57" s="27">
        <f t="shared" si="10"/>
        <v>0.98409574425599999</v>
      </c>
      <c r="R57" s="10"/>
    </row>
    <row r="58" spans="2:20">
      <c r="B58" s="28" t="s">
        <v>234</v>
      </c>
      <c r="D58" s="3" t="s">
        <v>242</v>
      </c>
      <c r="H58" s="10"/>
      <c r="I58" s="10"/>
      <c r="J58" s="10"/>
      <c r="K58" s="10"/>
      <c r="L58" s="10"/>
      <c r="M58" s="10"/>
      <c r="N58" s="3">
        <v>1</v>
      </c>
      <c r="O58" s="27">
        <f t="shared" ref="O58" si="21">N58*(1-O$49)</f>
        <v>0.996</v>
      </c>
      <c r="P58" s="27">
        <f t="shared" si="10"/>
        <v>0.99201600000000001</v>
      </c>
      <c r="Q58" s="27">
        <f t="shared" si="10"/>
        <v>0.98804793599999996</v>
      </c>
      <c r="R58" s="10"/>
    </row>
    <row r="59" spans="2:20">
      <c r="B59" s="28" t="s">
        <v>235</v>
      </c>
      <c r="D59" s="3" t="s">
        <v>242</v>
      </c>
      <c r="H59" s="10"/>
      <c r="I59" s="10"/>
      <c r="J59" s="10"/>
      <c r="K59" s="10"/>
      <c r="L59" s="10"/>
      <c r="M59" s="10"/>
      <c r="N59" s="10"/>
      <c r="O59" s="3">
        <v>1</v>
      </c>
      <c r="P59" s="27">
        <f t="shared" si="10"/>
        <v>0.996</v>
      </c>
      <c r="Q59" s="27">
        <f t="shared" si="10"/>
        <v>0.99201600000000001</v>
      </c>
      <c r="R59" s="10"/>
    </row>
    <row r="60" spans="2:20">
      <c r="B60" s="28" t="s">
        <v>236</v>
      </c>
      <c r="D60" s="3" t="s">
        <v>242</v>
      </c>
      <c r="H60" s="10"/>
      <c r="I60" s="10"/>
      <c r="J60" s="10"/>
      <c r="K60" s="10"/>
      <c r="L60" s="10"/>
      <c r="M60" s="10"/>
      <c r="N60" s="10"/>
      <c r="O60" s="10"/>
      <c r="P60" s="3">
        <v>1</v>
      </c>
      <c r="Q60" s="27">
        <f>P60*(1-Q$49)</f>
        <v>0.996</v>
      </c>
      <c r="R60" s="10"/>
    </row>
    <row r="61" spans="2:20">
      <c r="B61" s="28" t="s">
        <v>237</v>
      </c>
      <c r="D61" s="3" t="s">
        <v>242</v>
      </c>
      <c r="H61" s="10"/>
      <c r="I61" s="10"/>
      <c r="J61" s="10"/>
      <c r="K61" s="10"/>
      <c r="L61" s="10"/>
      <c r="M61" s="10"/>
      <c r="N61" s="10"/>
      <c r="O61" s="10"/>
      <c r="P61" s="10"/>
      <c r="Q61" s="3">
        <v>1</v>
      </c>
      <c r="R61" s="10"/>
    </row>
    <row r="62" spans="2:20" ht="13.5" customHeight="1"/>
    <row r="63" spans="2:20" s="8" customFormat="1">
      <c r="B63" s="8" t="s">
        <v>243</v>
      </c>
    </row>
    <row r="65" spans="2:22">
      <c r="B65" s="141" t="s">
        <v>243</v>
      </c>
    </row>
    <row r="66" spans="2:22" ht="13.5" customHeight="1">
      <c r="B66" s="3" t="s">
        <v>122</v>
      </c>
      <c r="L66" s="132">
        <v>0.02</v>
      </c>
      <c r="M66" s="132">
        <v>0.02</v>
      </c>
      <c r="N66" s="132">
        <v>0.02</v>
      </c>
      <c r="O66" s="132">
        <v>0.04</v>
      </c>
      <c r="P66" s="319">
        <v>7.0000000000000007E-2</v>
      </c>
      <c r="Q66" s="319">
        <v>0.05</v>
      </c>
      <c r="R66" s="319">
        <v>0.04</v>
      </c>
      <c r="T66" s="3" t="s">
        <v>244</v>
      </c>
      <c r="V66" s="3" t="s">
        <v>245</v>
      </c>
    </row>
    <row r="68" spans="2:22">
      <c r="B68" s="2" t="s">
        <v>246</v>
      </c>
    </row>
    <row r="69" spans="2:22">
      <c r="B69" s="28" t="s">
        <v>231</v>
      </c>
      <c r="D69" s="3" t="s">
        <v>247</v>
      </c>
      <c r="H69" s="10"/>
      <c r="I69" s="10"/>
      <c r="J69" s="10"/>
      <c r="K69" s="3">
        <v>1</v>
      </c>
      <c r="L69" s="27">
        <f t="shared" ref="L69:Q69" si="22">K69*(1+L$66)</f>
        <v>1.02</v>
      </c>
      <c r="M69" s="27">
        <f t="shared" si="22"/>
        <v>1.0404</v>
      </c>
      <c r="N69" s="27">
        <f t="shared" si="22"/>
        <v>1.0612079999999999</v>
      </c>
      <c r="O69" s="27">
        <f t="shared" si="22"/>
        <v>1.10365632</v>
      </c>
      <c r="P69" s="27">
        <f t="shared" si="22"/>
        <v>1.1809122624000001</v>
      </c>
      <c r="Q69" s="27">
        <f t="shared" si="22"/>
        <v>1.2399578755200003</v>
      </c>
      <c r="R69" s="27">
        <f t="shared" ref="R69:R74" si="23">Q69*(1+R$66)</f>
        <v>1.2895561905408004</v>
      </c>
    </row>
    <row r="70" spans="2:22">
      <c r="B70" s="28" t="s">
        <v>232</v>
      </c>
      <c r="D70" s="3" t="s">
        <v>247</v>
      </c>
      <c r="H70" s="10"/>
      <c r="I70" s="10"/>
      <c r="J70" s="10"/>
      <c r="K70" s="10"/>
      <c r="L70" s="3">
        <v>1</v>
      </c>
      <c r="M70" s="27">
        <f>L70*(1+M$66)</f>
        <v>1.02</v>
      </c>
      <c r="N70" s="27">
        <f>M70*(1+N$66)</f>
        <v>1.0404</v>
      </c>
      <c r="O70" s="27">
        <f>N70*(1+O$66)</f>
        <v>1.0820160000000001</v>
      </c>
      <c r="P70" s="27">
        <f>O70*(1+P$66)</f>
        <v>1.1577571200000001</v>
      </c>
      <c r="Q70" s="27">
        <f>P70*(1+Q$66)</f>
        <v>1.2156449760000001</v>
      </c>
      <c r="R70" s="27">
        <f t="shared" si="23"/>
        <v>1.2642707750400002</v>
      </c>
    </row>
    <row r="71" spans="2:22">
      <c r="B71" s="28" t="s">
        <v>233</v>
      </c>
      <c r="D71" s="3" t="s">
        <v>247</v>
      </c>
      <c r="H71" s="10"/>
      <c r="I71" s="10"/>
      <c r="J71" s="10"/>
      <c r="K71" s="10"/>
      <c r="L71" s="10"/>
      <c r="M71" s="3">
        <v>1</v>
      </c>
      <c r="N71" s="27">
        <f>M71*(1+N$66)</f>
        <v>1.02</v>
      </c>
      <c r="O71" s="27">
        <f>N71*(1+O$66)</f>
        <v>1.0608</v>
      </c>
      <c r="P71" s="27">
        <f>O71*(1+P$66)</f>
        <v>1.1350560000000001</v>
      </c>
      <c r="Q71" s="27">
        <f>P71*(1+Q$66)</f>
        <v>1.1918088000000002</v>
      </c>
      <c r="R71" s="27">
        <f t="shared" si="23"/>
        <v>1.2394811520000002</v>
      </c>
    </row>
    <row r="72" spans="2:22">
      <c r="B72" s="28" t="s">
        <v>234</v>
      </c>
      <c r="D72" s="3" t="s">
        <v>247</v>
      </c>
      <c r="H72" s="10"/>
      <c r="I72" s="10"/>
      <c r="J72" s="10"/>
      <c r="K72" s="10"/>
      <c r="L72" s="10"/>
      <c r="M72" s="10"/>
      <c r="N72" s="3">
        <v>1</v>
      </c>
      <c r="O72" s="27">
        <f>N72*(1+O$66)</f>
        <v>1.04</v>
      </c>
      <c r="P72" s="27">
        <f>O72*(1+P$66)</f>
        <v>1.1128</v>
      </c>
      <c r="Q72" s="27">
        <f>P72*(1+Q$66)</f>
        <v>1.1684400000000001</v>
      </c>
      <c r="R72" s="27">
        <f t="shared" si="23"/>
        <v>1.2151776000000003</v>
      </c>
    </row>
    <row r="73" spans="2:22">
      <c r="B73" s="28" t="s">
        <v>235</v>
      </c>
      <c r="D73" s="3" t="s">
        <v>247</v>
      </c>
      <c r="H73" s="10"/>
      <c r="I73" s="10"/>
      <c r="J73" s="10"/>
      <c r="K73" s="10"/>
      <c r="L73" s="10"/>
      <c r="M73" s="10"/>
      <c r="N73" s="10"/>
      <c r="O73" s="3">
        <v>1</v>
      </c>
      <c r="P73" s="27">
        <f>O73*(1+P$66)</f>
        <v>1.07</v>
      </c>
      <c r="Q73" s="27">
        <f>P73*(1+Q$66)</f>
        <v>1.1235000000000002</v>
      </c>
      <c r="R73" s="27">
        <f t="shared" si="23"/>
        <v>1.1684400000000001</v>
      </c>
    </row>
    <row r="74" spans="2:22">
      <c r="B74" s="28" t="s">
        <v>236</v>
      </c>
      <c r="D74" s="3" t="s">
        <v>247</v>
      </c>
      <c r="H74" s="10"/>
      <c r="I74" s="10"/>
      <c r="J74" s="10"/>
      <c r="K74" s="10"/>
      <c r="L74" s="10"/>
      <c r="M74" s="10"/>
      <c r="N74" s="10"/>
      <c r="O74" s="10"/>
      <c r="P74" s="3">
        <v>1</v>
      </c>
      <c r="Q74" s="27">
        <f>P74*(1+Q$66)</f>
        <v>1.05</v>
      </c>
      <c r="R74" s="27">
        <f t="shared" si="23"/>
        <v>1.0920000000000001</v>
      </c>
    </row>
    <row r="75" spans="2:22">
      <c r="B75" s="28" t="s">
        <v>237</v>
      </c>
      <c r="D75" s="3" t="s">
        <v>247</v>
      </c>
      <c r="H75" s="10"/>
      <c r="I75" s="10"/>
      <c r="J75" s="10"/>
      <c r="K75" s="10"/>
      <c r="L75" s="10"/>
      <c r="M75" s="10"/>
      <c r="N75" s="10"/>
      <c r="O75" s="10"/>
      <c r="P75" s="10"/>
      <c r="Q75" s="3">
        <v>1</v>
      </c>
      <c r="R75" s="27">
        <f>Q75*(1+R$66)</f>
        <v>1.04</v>
      </c>
    </row>
    <row r="77" spans="2:22" s="8" customFormat="1">
      <c r="B77" s="8" t="s">
        <v>248</v>
      </c>
    </row>
    <row r="79" spans="2:22">
      <c r="B79" s="3" t="s">
        <v>248</v>
      </c>
      <c r="D79" s="3" t="s">
        <v>214</v>
      </c>
      <c r="F79" s="134">
        <v>1</v>
      </c>
      <c r="T79" s="3" t="s">
        <v>218</v>
      </c>
    </row>
    <row r="81" spans="2:87" s="8" customFormat="1">
      <c r="B81" s="8" t="s">
        <v>249</v>
      </c>
    </row>
    <row r="83" spans="2:87">
      <c r="B83" s="3" t="s">
        <v>249</v>
      </c>
      <c r="D83" s="3" t="s">
        <v>214</v>
      </c>
      <c r="F83" s="138">
        <v>1.3</v>
      </c>
      <c r="T83" s="3" t="s">
        <v>218</v>
      </c>
    </row>
    <row r="84" spans="2:87">
      <c r="F84" s="93"/>
    </row>
    <row r="85" spans="2:87" s="8" customFormat="1">
      <c r="B85" s="8" t="s">
        <v>250</v>
      </c>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c r="AX85" s="111"/>
      <c r="AY85" s="111"/>
      <c r="AZ85" s="111"/>
      <c r="BA85" s="111"/>
      <c r="BB85" s="111"/>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row>
    <row r="87" spans="2:87">
      <c r="B87" s="3" t="s">
        <v>250</v>
      </c>
      <c r="D87" s="3" t="s">
        <v>214</v>
      </c>
      <c r="F87" s="142">
        <v>0.1</v>
      </c>
      <c r="T87" s="3" t="s">
        <v>218</v>
      </c>
    </row>
    <row r="88" spans="2:87" s="143" customFormat="1">
      <c r="D88" s="144"/>
    </row>
    <row r="89" spans="2:87" s="8" customFormat="1">
      <c r="B89" s="8" t="s">
        <v>251</v>
      </c>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1"/>
      <c r="AI89" s="111"/>
      <c r="AJ89" s="111"/>
      <c r="AK89" s="111"/>
      <c r="AL89" s="111"/>
      <c r="AM89" s="111"/>
      <c r="AN89" s="111"/>
      <c r="AO89" s="111"/>
      <c r="AP89" s="111"/>
      <c r="AQ89" s="111"/>
      <c r="AR89" s="111"/>
      <c r="AS89" s="111"/>
      <c r="AT89" s="111"/>
      <c r="AU89" s="111"/>
      <c r="AV89" s="111"/>
      <c r="AW89" s="111"/>
      <c r="AX89" s="111"/>
      <c r="AY89" s="111"/>
      <c r="AZ89" s="111"/>
      <c r="BA89" s="111"/>
      <c r="BB89" s="111"/>
      <c r="BC89" s="111"/>
      <c r="BD89" s="111"/>
      <c r="BE89" s="111"/>
      <c r="BF89" s="111"/>
      <c r="BG89" s="111"/>
      <c r="BH89" s="111"/>
      <c r="BI89" s="111"/>
      <c r="BJ89" s="111"/>
      <c r="BK89" s="111"/>
      <c r="BL89" s="111"/>
      <c r="BM89" s="111"/>
      <c r="BN89" s="111"/>
      <c r="BO89" s="111"/>
      <c r="BP89" s="111"/>
      <c r="BQ89" s="111"/>
      <c r="BR89" s="111"/>
      <c r="BS89" s="111"/>
      <c r="BT89" s="111"/>
      <c r="BU89" s="111"/>
      <c r="BV89" s="111"/>
      <c r="BW89" s="111"/>
      <c r="BX89" s="111"/>
      <c r="BY89" s="111"/>
      <c r="BZ89" s="111"/>
      <c r="CA89" s="111"/>
      <c r="CB89" s="111"/>
      <c r="CC89" s="111"/>
      <c r="CD89" s="111"/>
      <c r="CE89" s="111"/>
      <c r="CF89" s="111"/>
      <c r="CG89" s="111"/>
      <c r="CH89" s="111"/>
      <c r="CI89" s="111"/>
    </row>
    <row r="91" spans="2:87">
      <c r="B91" s="3" t="s">
        <v>251</v>
      </c>
      <c r="D91" s="3" t="s">
        <v>214</v>
      </c>
      <c r="F91" s="142">
        <v>0.9</v>
      </c>
      <c r="T91" s="3" t="s">
        <v>218</v>
      </c>
      <c r="AR91"/>
      <c r="AS91"/>
      <c r="AT91"/>
      <c r="AU91"/>
      <c r="AV91"/>
      <c r="AW91"/>
      <c r="AX91"/>
    </row>
    <row r="92" spans="2:87">
      <c r="AR92"/>
      <c r="AS92"/>
      <c r="AT92"/>
      <c r="AU92"/>
      <c r="AV92"/>
      <c r="AW92"/>
      <c r="AX92"/>
    </row>
    <row r="93" spans="2:87" s="8" customFormat="1">
      <c r="B93" s="8" t="s">
        <v>252</v>
      </c>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c r="AB93" s="111"/>
      <c r="AC93" s="111"/>
      <c r="AD93" s="111"/>
      <c r="AE93" s="111"/>
      <c r="AF93" s="111"/>
      <c r="AG93" s="111"/>
      <c r="AH93" s="111"/>
      <c r="AI93" s="111"/>
      <c r="AJ93" s="111"/>
      <c r="AK93" s="111"/>
      <c r="AL93" s="111"/>
      <c r="AM93" s="111"/>
      <c r="AN93" s="111"/>
      <c r="AO93" s="111"/>
      <c r="AP93" s="111"/>
      <c r="AQ93" s="111"/>
      <c r="AR93" s="111"/>
      <c r="AS93" s="111"/>
      <c r="AT93" s="111"/>
      <c r="AU93" s="111"/>
      <c r="AV93" s="111"/>
      <c r="AW93" s="111"/>
      <c r="AX93" s="111"/>
      <c r="AY93" s="111"/>
      <c r="AZ93" s="111"/>
      <c r="BA93" s="111"/>
      <c r="BB93" s="111"/>
      <c r="BC93" s="111"/>
      <c r="BD93" s="111"/>
      <c r="BE93" s="111"/>
      <c r="BF93" s="111"/>
      <c r="BG93" s="111"/>
      <c r="BH93" s="111"/>
      <c r="BI93" s="111"/>
      <c r="BJ93" s="111"/>
      <c r="BK93" s="111"/>
      <c r="BL93" s="111"/>
      <c r="BM93" s="111"/>
      <c r="BN93" s="111"/>
      <c r="BO93" s="111"/>
      <c r="BP93" s="111"/>
      <c r="BQ93" s="111"/>
      <c r="BR93" s="111"/>
      <c r="BS93" s="111"/>
      <c r="BT93" s="111"/>
      <c r="BU93" s="111"/>
      <c r="BV93" s="111"/>
      <c r="BW93" s="111"/>
      <c r="BX93" s="111"/>
      <c r="BY93" s="111"/>
      <c r="BZ93" s="111"/>
      <c r="CA93" s="111"/>
      <c r="CB93" s="111"/>
      <c r="CC93" s="111"/>
      <c r="CD93" s="111"/>
      <c r="CE93" s="111"/>
      <c r="CF93" s="111"/>
      <c r="CG93" s="111"/>
      <c r="CH93" s="111"/>
      <c r="CI93" s="111"/>
    </row>
    <row r="94" spans="2:87" s="89" customFormat="1">
      <c r="B94" s="106"/>
    </row>
    <row r="95" spans="2:87" s="89" customFormat="1">
      <c r="B95" s="89" t="s">
        <v>253</v>
      </c>
      <c r="D95" s="89" t="s">
        <v>214</v>
      </c>
      <c r="F95" s="142">
        <v>0.25</v>
      </c>
      <c r="T95" s="3" t="s">
        <v>218</v>
      </c>
    </row>
    <row r="96" spans="2:87">
      <c r="B96" s="3" t="s">
        <v>254</v>
      </c>
      <c r="D96" s="3" t="s">
        <v>214</v>
      </c>
      <c r="F96" s="142">
        <v>0.2</v>
      </c>
      <c r="T96" s="3" t="s">
        <v>218</v>
      </c>
    </row>
    <row r="98" spans="2:22" s="8" customFormat="1">
      <c r="B98" s="8" t="s">
        <v>255</v>
      </c>
    </row>
    <row r="100" spans="2:22">
      <c r="B100" s="3" t="s">
        <v>256</v>
      </c>
      <c r="D100" s="3" t="s">
        <v>214</v>
      </c>
      <c r="F100" s="132">
        <v>0.4</v>
      </c>
      <c r="T100" s="3" t="s">
        <v>129</v>
      </c>
    </row>
    <row r="101" spans="2:22">
      <c r="B101" s="3" t="s">
        <v>257</v>
      </c>
      <c r="D101" s="3" t="s">
        <v>214</v>
      </c>
      <c r="F101" s="30">
        <f>1-F100</f>
        <v>0.6</v>
      </c>
      <c r="T101" s="3" t="s">
        <v>129</v>
      </c>
    </row>
    <row r="103" spans="2:22" s="8" customFormat="1">
      <c r="B103" s="8" t="s">
        <v>258</v>
      </c>
    </row>
    <row r="105" spans="2:22">
      <c r="B105" s="3" t="s">
        <v>259</v>
      </c>
      <c r="D105" s="3" t="s">
        <v>214</v>
      </c>
      <c r="F105" s="132">
        <v>0.75</v>
      </c>
      <c r="T105" s="3" t="s">
        <v>129</v>
      </c>
    </row>
    <row r="106" spans="2:22">
      <c r="B106" s="3" t="s">
        <v>260</v>
      </c>
      <c r="D106" s="3" t="s">
        <v>214</v>
      </c>
      <c r="F106" s="132">
        <v>0.94</v>
      </c>
      <c r="T106" s="3" t="s">
        <v>129</v>
      </c>
    </row>
    <row r="107" spans="2:22">
      <c r="B107" s="3" t="s">
        <v>261</v>
      </c>
      <c r="D107" s="3" t="s">
        <v>214</v>
      </c>
      <c r="F107" s="132">
        <v>0</v>
      </c>
      <c r="T107" s="3" t="s">
        <v>129</v>
      </c>
      <c r="V107" s="5"/>
    </row>
    <row r="109" spans="2:22" s="8" customFormat="1">
      <c r="B109" s="8" t="s">
        <v>262</v>
      </c>
    </row>
    <row r="111" spans="2:22">
      <c r="B111" s="3" t="s">
        <v>263</v>
      </c>
      <c r="F111" s="92">
        <v>1.25</v>
      </c>
      <c r="T111" s="3" t="s">
        <v>129</v>
      </c>
    </row>
    <row r="112" spans="2:22">
      <c r="B112" s="3" t="s">
        <v>264</v>
      </c>
      <c r="F112" s="92">
        <v>1.5</v>
      </c>
      <c r="T112" s="3" t="s">
        <v>129</v>
      </c>
    </row>
    <row r="113" spans="2:20">
      <c r="B113" s="3" t="s">
        <v>265</v>
      </c>
      <c r="F113" s="92">
        <v>1.75</v>
      </c>
      <c r="T113" s="3" t="s">
        <v>129</v>
      </c>
    </row>
    <row r="114" spans="2:20">
      <c r="B114" s="3" t="s">
        <v>266</v>
      </c>
      <c r="F114" s="92">
        <v>1.75</v>
      </c>
      <c r="T114" s="3" t="s">
        <v>129</v>
      </c>
    </row>
    <row r="116" spans="2:20" s="8" customFormat="1">
      <c r="B116" s="8" t="s">
        <v>267</v>
      </c>
    </row>
    <row r="118" spans="2:20">
      <c r="B118" s="2" t="s">
        <v>268</v>
      </c>
      <c r="F118" s="25"/>
    </row>
    <row r="119" spans="2:20">
      <c r="B119" s="3" t="s">
        <v>269</v>
      </c>
      <c r="F119" s="92">
        <v>1.482</v>
      </c>
      <c r="T119" s="3" t="s">
        <v>129</v>
      </c>
    </row>
    <row r="120" spans="2:20">
      <c r="B120" s="3" t="s">
        <v>270</v>
      </c>
      <c r="F120" s="92">
        <v>0.78400000000000003</v>
      </c>
      <c r="T120" s="3" t="s">
        <v>129</v>
      </c>
    </row>
    <row r="121" spans="2:20">
      <c r="B121" s="3" t="s">
        <v>271</v>
      </c>
      <c r="F121" s="92">
        <v>0.629</v>
      </c>
      <c r="T121" s="3" t="s">
        <v>129</v>
      </c>
    </row>
    <row r="122" spans="2:20">
      <c r="B122" s="3" t="s">
        <v>272</v>
      </c>
      <c r="F122" s="92">
        <v>1.105</v>
      </c>
      <c r="T122" s="3" t="s">
        <v>129</v>
      </c>
    </row>
    <row r="124" spans="2:20">
      <c r="B124" s="2" t="s">
        <v>273</v>
      </c>
    </row>
    <row r="125" spans="2:20">
      <c r="B125" s="3" t="s">
        <v>178</v>
      </c>
      <c r="F125" s="92">
        <v>1.7150000000000001</v>
      </c>
      <c r="T125" s="3" t="s">
        <v>129</v>
      </c>
    </row>
    <row r="126" spans="2:20">
      <c r="B126" s="3" t="s">
        <v>179</v>
      </c>
      <c r="F126" s="92">
        <v>1.5329999999999999</v>
      </c>
      <c r="T126" s="3" t="s">
        <v>129</v>
      </c>
    </row>
    <row r="127" spans="2:20">
      <c r="B127" s="3" t="s">
        <v>180</v>
      </c>
      <c r="F127" s="92">
        <v>1.1990000000000001</v>
      </c>
      <c r="T127" s="3" t="s">
        <v>129</v>
      </c>
    </row>
    <row r="128" spans="2:20">
      <c r="B128" s="3" t="s">
        <v>181</v>
      </c>
      <c r="F128" s="92">
        <v>0.89400000000000002</v>
      </c>
      <c r="T128" s="3" t="s">
        <v>129</v>
      </c>
    </row>
    <row r="129" spans="2:20">
      <c r="B129" s="3" t="s">
        <v>182</v>
      </c>
      <c r="F129" s="92">
        <v>0.79200000000000004</v>
      </c>
      <c r="T129" s="3" t="s">
        <v>129</v>
      </c>
    </row>
    <row r="130" spans="2:20">
      <c r="B130" s="3" t="s">
        <v>183</v>
      </c>
      <c r="F130" s="92">
        <v>0.66500000000000004</v>
      </c>
      <c r="T130" s="3" t="s">
        <v>129</v>
      </c>
    </row>
    <row r="131" spans="2:20">
      <c r="B131" s="3" t="s">
        <v>184</v>
      </c>
      <c r="F131" s="92">
        <v>0.628</v>
      </c>
      <c r="T131" s="3" t="s">
        <v>129</v>
      </c>
    </row>
    <row r="132" spans="2:20">
      <c r="B132" s="3" t="s">
        <v>185</v>
      </c>
      <c r="F132" s="92">
        <v>0.59699999999999998</v>
      </c>
      <c r="T132" s="3" t="s">
        <v>129</v>
      </c>
    </row>
    <row r="133" spans="2:20">
      <c r="B133" s="3" t="s">
        <v>186</v>
      </c>
      <c r="F133" s="92">
        <v>0.66300000000000003</v>
      </c>
      <c r="T133" s="3" t="s">
        <v>129</v>
      </c>
    </row>
    <row r="134" spans="2:20">
      <c r="B134" s="3" t="s">
        <v>187</v>
      </c>
      <c r="F134" s="92">
        <v>0.76100000000000001</v>
      </c>
      <c r="T134" s="3" t="s">
        <v>129</v>
      </c>
    </row>
    <row r="135" spans="2:20">
      <c r="B135" s="3" t="s">
        <v>188</v>
      </c>
      <c r="F135" s="306">
        <v>1.1299999999999999</v>
      </c>
      <c r="T135" s="3" t="s">
        <v>129</v>
      </c>
    </row>
    <row r="136" spans="2:20">
      <c r="B136" s="3" t="s">
        <v>189</v>
      </c>
      <c r="F136" s="92">
        <v>1.4239999999999999</v>
      </c>
      <c r="T136" s="3" t="s">
        <v>129</v>
      </c>
    </row>
    <row r="138" spans="2:20">
      <c r="B138" s="2" t="s">
        <v>274</v>
      </c>
    </row>
    <row r="139" spans="2:20">
      <c r="B139" s="3" t="s">
        <v>178</v>
      </c>
      <c r="F139" s="92">
        <v>1.7729999999999999</v>
      </c>
      <c r="T139" s="3" t="s">
        <v>129</v>
      </c>
    </row>
    <row r="140" spans="2:20">
      <c r="B140" s="3" t="s">
        <v>179</v>
      </c>
      <c r="F140" s="92">
        <v>1.585</v>
      </c>
      <c r="T140" s="3" t="s">
        <v>129</v>
      </c>
    </row>
    <row r="141" spans="2:20">
      <c r="B141" s="3" t="s">
        <v>180</v>
      </c>
      <c r="F141" s="92">
        <v>1.2390000000000001</v>
      </c>
      <c r="T141" s="3" t="s">
        <v>129</v>
      </c>
    </row>
    <row r="142" spans="2:20">
      <c r="B142" s="3" t="s">
        <v>181</v>
      </c>
      <c r="F142" s="92">
        <v>0.92400000000000004</v>
      </c>
      <c r="T142" s="3" t="s">
        <v>129</v>
      </c>
    </row>
    <row r="143" spans="2:20">
      <c r="B143" s="3" t="s">
        <v>182</v>
      </c>
      <c r="F143" s="92">
        <v>0.81899999999999995</v>
      </c>
      <c r="T143" s="3" t="s">
        <v>129</v>
      </c>
    </row>
    <row r="144" spans="2:20">
      <c r="B144" s="3" t="s">
        <v>183</v>
      </c>
      <c r="F144" s="92">
        <v>0.68799999999999994</v>
      </c>
      <c r="T144" s="3" t="s">
        <v>129</v>
      </c>
    </row>
    <row r="145" spans="2:20">
      <c r="B145" s="3" t="s">
        <v>184</v>
      </c>
      <c r="F145" s="92">
        <v>0.64900000000000002</v>
      </c>
      <c r="T145" s="3" t="s">
        <v>129</v>
      </c>
    </row>
    <row r="146" spans="2:20">
      <c r="B146" s="3" t="s">
        <v>185</v>
      </c>
      <c r="F146" s="92">
        <v>0.61799999999999999</v>
      </c>
      <c r="T146" s="3" t="s">
        <v>129</v>
      </c>
    </row>
    <row r="147" spans="2:20">
      <c r="B147" s="3" t="s">
        <v>186</v>
      </c>
      <c r="F147" s="92">
        <v>0.68600000000000005</v>
      </c>
      <c r="T147" s="3" t="s">
        <v>129</v>
      </c>
    </row>
    <row r="148" spans="2:20">
      <c r="B148" s="3" t="s">
        <v>187</v>
      </c>
      <c r="F148" s="92">
        <v>0.78700000000000003</v>
      </c>
      <c r="T148" s="3" t="s">
        <v>129</v>
      </c>
    </row>
    <row r="149" spans="2:20">
      <c r="B149" s="3" t="s">
        <v>188</v>
      </c>
      <c r="F149" s="92">
        <v>1.1679999999999999</v>
      </c>
      <c r="T149" s="3" t="s">
        <v>129</v>
      </c>
    </row>
    <row r="150" spans="2:20">
      <c r="B150" s="3" t="s">
        <v>189</v>
      </c>
      <c r="F150" s="92">
        <v>1.472</v>
      </c>
      <c r="T150" s="3" t="s">
        <v>129</v>
      </c>
    </row>
    <row r="152" spans="2:20" s="8" customFormat="1">
      <c r="B152" s="8" t="s">
        <v>275</v>
      </c>
    </row>
    <row r="154" spans="2:20">
      <c r="B154" s="2" t="s">
        <v>276</v>
      </c>
      <c r="F154" s="25"/>
    </row>
    <row r="155" spans="2:20">
      <c r="B155" s="3" t="s">
        <v>178</v>
      </c>
      <c r="F155" s="92">
        <v>31</v>
      </c>
    </row>
    <row r="156" spans="2:20">
      <c r="B156" s="3" t="s">
        <v>179</v>
      </c>
      <c r="F156" s="92">
        <v>28</v>
      </c>
    </row>
    <row r="157" spans="2:20">
      <c r="B157" s="3" t="s">
        <v>180</v>
      </c>
      <c r="F157" s="92">
        <v>31</v>
      </c>
    </row>
    <row r="158" spans="2:20">
      <c r="B158" s="3" t="s">
        <v>181</v>
      </c>
      <c r="F158" s="92">
        <v>30</v>
      </c>
    </row>
    <row r="159" spans="2:20">
      <c r="B159" s="3" t="s">
        <v>182</v>
      </c>
      <c r="F159" s="92">
        <v>31</v>
      </c>
    </row>
    <row r="160" spans="2:20">
      <c r="B160" s="3" t="s">
        <v>183</v>
      </c>
      <c r="F160" s="92">
        <v>30</v>
      </c>
    </row>
    <row r="161" spans="2:6">
      <c r="B161" s="3" t="s">
        <v>184</v>
      </c>
      <c r="F161" s="92">
        <v>31</v>
      </c>
    </row>
    <row r="162" spans="2:6">
      <c r="B162" s="3" t="s">
        <v>185</v>
      </c>
      <c r="F162" s="92">
        <v>31</v>
      </c>
    </row>
    <row r="163" spans="2:6">
      <c r="B163" s="3" t="s">
        <v>186</v>
      </c>
      <c r="F163" s="92">
        <v>30</v>
      </c>
    </row>
    <row r="164" spans="2:6">
      <c r="B164" s="3" t="s">
        <v>187</v>
      </c>
      <c r="F164" s="92">
        <v>31</v>
      </c>
    </row>
    <row r="165" spans="2:6">
      <c r="B165" s="3" t="s">
        <v>188</v>
      </c>
      <c r="F165" s="92">
        <v>30</v>
      </c>
    </row>
    <row r="166" spans="2:6">
      <c r="B166" s="3" t="s">
        <v>189</v>
      </c>
      <c r="F166" s="92">
        <v>31</v>
      </c>
    </row>
    <row r="168" spans="2:6">
      <c r="B168" s="2" t="s">
        <v>277</v>
      </c>
    </row>
    <row r="169" spans="2:6">
      <c r="B169" s="3" t="s">
        <v>269</v>
      </c>
      <c r="F169" s="31">
        <f>SUM(F155:F157)</f>
        <v>90</v>
      </c>
    </row>
    <row r="170" spans="2:6">
      <c r="B170" s="3" t="s">
        <v>270</v>
      </c>
      <c r="F170" s="31">
        <f>SUM(F158:F160)</f>
        <v>91</v>
      </c>
    </row>
    <row r="171" spans="2:6">
      <c r="B171" s="3" t="s">
        <v>271</v>
      </c>
      <c r="F171" s="31">
        <f>SUM(F161:F163)</f>
        <v>92</v>
      </c>
    </row>
    <row r="172" spans="2:6">
      <c r="B172" s="3" t="s">
        <v>272</v>
      </c>
      <c r="F172" s="31">
        <f>SUM(F164:F166)</f>
        <v>92</v>
      </c>
    </row>
    <row r="174" spans="2:6">
      <c r="B174" s="2" t="s">
        <v>278</v>
      </c>
    </row>
    <row r="175" spans="2:6">
      <c r="B175" s="3" t="s">
        <v>279</v>
      </c>
      <c r="F175" s="92">
        <v>24</v>
      </c>
    </row>
    <row r="176" spans="2:6">
      <c r="B176" s="3" t="s">
        <v>280</v>
      </c>
      <c r="F176" s="31">
        <f>SUM(F155:F166)</f>
        <v>365</v>
      </c>
    </row>
    <row r="177" spans="2:22">
      <c r="B177" s="3" t="s">
        <v>281</v>
      </c>
      <c r="F177" s="31">
        <f>F175*F176</f>
        <v>8760</v>
      </c>
    </row>
    <row r="179" spans="2:22" s="8" customFormat="1">
      <c r="B179" s="8" t="s">
        <v>282</v>
      </c>
    </row>
    <row r="181" spans="2:22">
      <c r="B181" s="2" t="s">
        <v>283</v>
      </c>
    </row>
    <row r="182" spans="2:22">
      <c r="B182" s="3" t="s">
        <v>284</v>
      </c>
      <c r="F182" s="134">
        <v>8.9999999999999998E-4</v>
      </c>
      <c r="H182" s="5"/>
      <c r="T182" s="3" t="s">
        <v>129</v>
      </c>
      <c r="V182" s="5"/>
    </row>
    <row r="183" spans="2:22">
      <c r="B183" s="3" t="s">
        <v>285</v>
      </c>
      <c r="F183" s="134">
        <v>7.0199999999999999E-2</v>
      </c>
      <c r="H183" s="5"/>
      <c r="T183" s="3" t="s">
        <v>129</v>
      </c>
    </row>
    <row r="184" spans="2:22">
      <c r="B184" s="3" t="s">
        <v>286</v>
      </c>
      <c r="F184" s="134">
        <v>0.98319999999999996</v>
      </c>
      <c r="T184" s="3" t="s">
        <v>129</v>
      </c>
    </row>
    <row r="185" spans="2:22">
      <c r="B185" s="3" t="s">
        <v>287</v>
      </c>
      <c r="F185" s="134">
        <v>1E-4</v>
      </c>
      <c r="T185" s="3" t="s">
        <v>129</v>
      </c>
    </row>
    <row r="186" spans="2:22">
      <c r="B186" s="3" t="s">
        <v>288</v>
      </c>
      <c r="F186" s="134">
        <v>1E-4</v>
      </c>
      <c r="T186" s="3" t="s">
        <v>129</v>
      </c>
    </row>
    <row r="187" spans="2:22">
      <c r="B187" s="3" t="s">
        <v>289</v>
      </c>
      <c r="F187" s="134">
        <v>1E-4</v>
      </c>
      <c r="T187" s="3" t="s">
        <v>129</v>
      </c>
    </row>
    <row r="188" spans="2:22">
      <c r="B188" s="3" t="s">
        <v>290</v>
      </c>
      <c r="F188" s="134">
        <v>1E-4</v>
      </c>
      <c r="T188" s="3" t="s">
        <v>129</v>
      </c>
    </row>
    <row r="189" spans="2:22">
      <c r="B189" s="3" t="s">
        <v>291</v>
      </c>
      <c r="F189" s="134">
        <v>1E-4</v>
      </c>
      <c r="T189" s="3" t="s">
        <v>129</v>
      </c>
    </row>
    <row r="190" spans="2:22">
      <c r="B190" s="3" t="s">
        <v>292</v>
      </c>
      <c r="F190" s="134">
        <v>0.51200000000000001</v>
      </c>
      <c r="T190" s="3" t="s">
        <v>129</v>
      </c>
    </row>
    <row r="191" spans="2:22">
      <c r="B191" s="3" t="s">
        <v>293</v>
      </c>
      <c r="F191" s="134">
        <v>0.2359</v>
      </c>
      <c r="T191" s="3" t="s">
        <v>129</v>
      </c>
    </row>
    <row r="192" spans="2:22">
      <c r="B192" s="3" t="s">
        <v>294</v>
      </c>
      <c r="F192" s="134">
        <v>0.625</v>
      </c>
      <c r="T192" s="3" t="s">
        <v>129</v>
      </c>
    </row>
    <row r="193" spans="2:20">
      <c r="B193" s="3" t="s">
        <v>295</v>
      </c>
      <c r="F193" s="134">
        <v>1E-4</v>
      </c>
      <c r="T193" s="3" t="s">
        <v>129</v>
      </c>
    </row>
    <row r="194" spans="2:20">
      <c r="B194" s="3" t="s">
        <v>296</v>
      </c>
      <c r="F194" s="134">
        <v>0.31780000000000003</v>
      </c>
      <c r="T194" s="3" t="s">
        <v>129</v>
      </c>
    </row>
    <row r="195" spans="2:20">
      <c r="B195" s="3" t="s">
        <v>297</v>
      </c>
      <c r="F195" s="134">
        <v>0.97389999999999999</v>
      </c>
      <c r="T195" s="3" t="s">
        <v>129</v>
      </c>
    </row>
    <row r="196" spans="2:20">
      <c r="B196" s="3" t="s">
        <v>161</v>
      </c>
      <c r="F196" s="134">
        <v>1E-4</v>
      </c>
      <c r="T196" s="3" t="s">
        <v>129</v>
      </c>
    </row>
    <row r="198" spans="2:20">
      <c r="B198" s="2" t="s">
        <v>298</v>
      </c>
    </row>
    <row r="199" spans="2:20">
      <c r="B199" s="3" t="s">
        <v>284</v>
      </c>
      <c r="F199" s="134">
        <v>1E-4</v>
      </c>
      <c r="T199" s="3" t="s">
        <v>129</v>
      </c>
    </row>
    <row r="200" spans="2:20">
      <c r="B200" s="3" t="s">
        <v>285</v>
      </c>
      <c r="F200" s="134">
        <v>1E-4</v>
      </c>
      <c r="T200" s="3" t="s">
        <v>129</v>
      </c>
    </row>
    <row r="201" spans="2:20">
      <c r="B201" s="3" t="s">
        <v>286</v>
      </c>
      <c r="F201" s="134">
        <v>1E-4</v>
      </c>
      <c r="T201" s="3" t="s">
        <v>129</v>
      </c>
    </row>
    <row r="202" spans="2:20">
      <c r="B202" s="3" t="s">
        <v>287</v>
      </c>
      <c r="F202" s="134">
        <v>0.71899999999999997</v>
      </c>
      <c r="T202" s="3" t="s">
        <v>129</v>
      </c>
    </row>
    <row r="203" spans="2:20">
      <c r="B203" s="3" t="s">
        <v>288</v>
      </c>
      <c r="F203" s="134">
        <v>0.49359999999999998</v>
      </c>
      <c r="T203" s="3" t="s">
        <v>129</v>
      </c>
    </row>
    <row r="204" spans="2:20">
      <c r="B204" s="3" t="s">
        <v>289</v>
      </c>
      <c r="F204" s="134">
        <v>0.33329999999999999</v>
      </c>
      <c r="T204" s="3" t="s">
        <v>129</v>
      </c>
    </row>
    <row r="205" spans="2:20">
      <c r="B205" s="3" t="s">
        <v>290</v>
      </c>
      <c r="F205" s="134">
        <v>0.95730000000000004</v>
      </c>
      <c r="T205" s="3" t="s">
        <v>129</v>
      </c>
    </row>
    <row r="206" spans="2:20">
      <c r="B206" s="3" t="s">
        <v>291</v>
      </c>
      <c r="F206" s="134">
        <v>0.1525</v>
      </c>
      <c r="T206" s="3" t="s">
        <v>129</v>
      </c>
    </row>
    <row r="207" spans="2:20">
      <c r="B207" s="3" t="s">
        <v>292</v>
      </c>
      <c r="F207" s="134">
        <v>0.50480000000000003</v>
      </c>
      <c r="T207" s="3" t="s">
        <v>129</v>
      </c>
    </row>
    <row r="208" spans="2:20">
      <c r="B208" s="3" t="s">
        <v>293</v>
      </c>
      <c r="F208" s="134">
        <v>1E-4</v>
      </c>
      <c r="T208" s="3" t="s">
        <v>129</v>
      </c>
    </row>
    <row r="209" spans="2:20">
      <c r="B209" s="3" t="s">
        <v>294</v>
      </c>
      <c r="F209" s="134">
        <v>0.374</v>
      </c>
      <c r="T209" s="3" t="s">
        <v>129</v>
      </c>
    </row>
    <row r="210" spans="2:20">
      <c r="B210" s="3" t="s">
        <v>295</v>
      </c>
      <c r="F210" s="134">
        <v>5.7700000000000001E-2</v>
      </c>
      <c r="T210" s="3" t="s">
        <v>129</v>
      </c>
    </row>
    <row r="211" spans="2:20">
      <c r="B211" s="3" t="s">
        <v>296</v>
      </c>
      <c r="F211" s="134">
        <v>1E-4</v>
      </c>
      <c r="T211" s="3" t="s">
        <v>129</v>
      </c>
    </row>
    <row r="212" spans="2:20">
      <c r="B212" s="3" t="s">
        <v>297</v>
      </c>
      <c r="F212" s="134">
        <v>0.64359999999999995</v>
      </c>
      <c r="T212" s="3" t="s">
        <v>129</v>
      </c>
    </row>
    <row r="213" spans="2:20">
      <c r="B213" s="3" t="s">
        <v>161</v>
      </c>
      <c r="F213" s="134">
        <v>1E-4</v>
      </c>
      <c r="T213" s="3" t="s">
        <v>129</v>
      </c>
    </row>
  </sheetData>
  <mergeCells count="4">
    <mergeCell ref="B5:D5"/>
    <mergeCell ref="V19:AB19"/>
    <mergeCell ref="V20:AB20"/>
    <mergeCell ref="V32:AB32"/>
  </mergeCells>
  <phoneticPr fontId="41" type="noConversion"/>
  <pageMargins left="0.7" right="0.7" top="0.75" bottom="0.75" header="0.3" footer="0.3"/>
  <pageSetup paperSize="9" orientation="portrait" r:id="rId1"/>
  <headerFooter>
    <oddFooter>&amp;C_x000D_&amp;1#&amp;"Calibri"&amp;10&amp;K000000 Vertrouwelijk/Confidential</oddFooter>
  </headerFooter>
  <ignoredErrors>
    <ignoredError sqref="F169:F17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0450-B3CE-412D-81EA-E09D98F7AE70}">
  <sheetPr>
    <tabColor rgb="FFCCFFCC"/>
  </sheetPr>
  <dimension ref="A2:CI238"/>
  <sheetViews>
    <sheetView showGridLines="0" zoomScale="70" zoomScaleNormal="70" workbookViewId="0"/>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6" width="20" style="3" bestFit="1" customWidth="1"/>
    <col min="7" max="7" width="68.5703125" style="3" bestFit="1" customWidth="1"/>
    <col min="8" max="8" width="25.28515625" style="3" customWidth="1"/>
    <col min="9" max="16384" width="13.5703125" style="3"/>
  </cols>
  <sheetData>
    <row r="2" spans="1:12" s="12" customFormat="1" ht="18">
      <c r="B2" s="12" t="s">
        <v>299</v>
      </c>
    </row>
    <row r="4" spans="1:12">
      <c r="B4" s="16" t="s">
        <v>300</v>
      </c>
    </row>
    <row r="5" spans="1:12" ht="58.5" customHeight="1">
      <c r="B5" s="359" t="s">
        <v>301</v>
      </c>
      <c r="C5" s="359"/>
      <c r="D5" s="359"/>
      <c r="E5" s="359"/>
    </row>
    <row r="7" spans="1:12" s="8" customFormat="1">
      <c r="A7" s="149"/>
      <c r="B7" s="8" t="s">
        <v>162</v>
      </c>
      <c r="G7" s="46"/>
      <c r="H7" s="46"/>
      <c r="I7" s="46"/>
      <c r="J7" s="46"/>
      <c r="K7" s="46"/>
      <c r="L7" s="46"/>
    </row>
    <row r="8" spans="1:12" ht="12" customHeight="1"/>
    <row r="9" spans="1:12" s="8" customFormat="1">
      <c r="A9" s="149"/>
      <c r="B9" s="8" t="s">
        <v>302</v>
      </c>
      <c r="D9" s="8" t="s">
        <v>303</v>
      </c>
      <c r="E9" s="8" t="s">
        <v>304</v>
      </c>
      <c r="G9" s="8" t="s">
        <v>206</v>
      </c>
      <c r="H9" s="180"/>
      <c r="I9" s="180"/>
    </row>
    <row r="11" spans="1:12">
      <c r="B11" s="92" t="s">
        <v>305</v>
      </c>
      <c r="D11" s="92">
        <v>55</v>
      </c>
      <c r="E11" s="92">
        <v>1</v>
      </c>
      <c r="G11" s="3" t="s">
        <v>306</v>
      </c>
    </row>
    <row r="12" spans="1:12">
      <c r="B12" s="92" t="s">
        <v>307</v>
      </c>
      <c r="D12" s="92">
        <v>55</v>
      </c>
      <c r="E12" s="92">
        <v>0</v>
      </c>
      <c r="G12" s="3" t="s">
        <v>306</v>
      </c>
    </row>
    <row r="13" spans="1:12">
      <c r="B13" s="92" t="s">
        <v>308</v>
      </c>
      <c r="D13" s="92">
        <v>55</v>
      </c>
      <c r="E13" s="92">
        <v>0</v>
      </c>
      <c r="G13" s="3" t="s">
        <v>306</v>
      </c>
    </row>
    <row r="14" spans="1:12">
      <c r="B14" s="92" t="s">
        <v>309</v>
      </c>
      <c r="D14" s="92">
        <v>30</v>
      </c>
      <c r="E14" s="92">
        <v>0</v>
      </c>
      <c r="G14" s="3" t="s">
        <v>306</v>
      </c>
    </row>
    <row r="15" spans="1:12">
      <c r="B15" s="92" t="s">
        <v>310</v>
      </c>
      <c r="D15" s="92">
        <v>30</v>
      </c>
      <c r="E15" s="92">
        <v>0</v>
      </c>
      <c r="G15" s="3" t="s">
        <v>306</v>
      </c>
    </row>
    <row r="16" spans="1:12">
      <c r="B16" s="92" t="s">
        <v>311</v>
      </c>
      <c r="D16" s="92">
        <v>5</v>
      </c>
      <c r="E16" s="92">
        <v>1</v>
      </c>
      <c r="G16" s="3" t="s">
        <v>306</v>
      </c>
    </row>
    <row r="17" spans="2:7">
      <c r="B17" s="92" t="s">
        <v>312</v>
      </c>
      <c r="D17" s="92">
        <v>0</v>
      </c>
      <c r="E17" s="92">
        <v>0</v>
      </c>
      <c r="G17" s="3" t="s">
        <v>306</v>
      </c>
    </row>
    <row r="18" spans="2:7">
      <c r="B18" s="92" t="s">
        <v>313</v>
      </c>
      <c r="D18" s="92">
        <v>0</v>
      </c>
      <c r="E18" s="92">
        <v>0</v>
      </c>
      <c r="G18" s="3" t="s">
        <v>306</v>
      </c>
    </row>
    <row r="19" spans="2:7">
      <c r="B19" s="92" t="s">
        <v>314</v>
      </c>
      <c r="D19" s="92">
        <v>10</v>
      </c>
      <c r="E19" s="92">
        <v>0</v>
      </c>
      <c r="G19" s="3" t="s">
        <v>306</v>
      </c>
    </row>
    <row r="20" spans="2:7">
      <c r="B20" s="290" t="s">
        <v>315</v>
      </c>
      <c r="D20" s="290">
        <v>10</v>
      </c>
      <c r="E20" s="290">
        <v>0</v>
      </c>
      <c r="G20" s="3" t="s">
        <v>316</v>
      </c>
    </row>
    <row r="21" spans="2:7">
      <c r="B21" s="92" t="s">
        <v>317</v>
      </c>
      <c r="D21" s="92">
        <v>10</v>
      </c>
      <c r="E21" s="92">
        <v>0</v>
      </c>
      <c r="G21" s="3" t="s">
        <v>306</v>
      </c>
    </row>
    <row r="22" spans="2:7">
      <c r="B22" s="290" t="s">
        <v>318</v>
      </c>
      <c r="D22" s="290">
        <v>10</v>
      </c>
      <c r="E22" s="290">
        <v>0</v>
      </c>
      <c r="G22" s="3" t="s">
        <v>319</v>
      </c>
    </row>
    <row r="23" spans="2:7">
      <c r="B23" s="290" t="s">
        <v>320</v>
      </c>
      <c r="D23" s="290">
        <v>10</v>
      </c>
      <c r="E23" s="290">
        <v>0</v>
      </c>
      <c r="G23" s="3" t="s">
        <v>319</v>
      </c>
    </row>
    <row r="24" spans="2:7">
      <c r="B24" s="92" t="s">
        <v>321</v>
      </c>
      <c r="D24" s="92">
        <v>30</v>
      </c>
      <c r="E24" s="92">
        <v>0</v>
      </c>
      <c r="G24" s="3" t="s">
        <v>306</v>
      </c>
    </row>
    <row r="25" spans="2:7">
      <c r="B25" s="92" t="s">
        <v>322</v>
      </c>
      <c r="D25" s="92">
        <v>30</v>
      </c>
      <c r="E25" s="92">
        <v>0</v>
      </c>
      <c r="G25" s="3" t="s">
        <v>306</v>
      </c>
    </row>
    <row r="26" spans="2:7">
      <c r="B26" s="92" t="s">
        <v>323</v>
      </c>
      <c r="D26" s="92">
        <v>30</v>
      </c>
      <c r="E26" s="92">
        <v>0</v>
      </c>
      <c r="G26" s="3" t="s">
        <v>306</v>
      </c>
    </row>
    <row r="27" spans="2:7">
      <c r="B27" s="290" t="s">
        <v>324</v>
      </c>
      <c r="D27" s="290">
        <v>30</v>
      </c>
      <c r="E27" s="290">
        <v>0</v>
      </c>
      <c r="G27" s="3" t="s">
        <v>319</v>
      </c>
    </row>
    <row r="28" spans="2:7">
      <c r="B28" s="290" t="s">
        <v>325</v>
      </c>
      <c r="D28" s="290">
        <v>30</v>
      </c>
      <c r="E28" s="290">
        <v>0</v>
      </c>
      <c r="G28" s="3" t="s">
        <v>319</v>
      </c>
    </row>
    <row r="29" spans="2:7">
      <c r="B29" s="92" t="s">
        <v>326</v>
      </c>
      <c r="D29" s="92">
        <v>55</v>
      </c>
      <c r="E29" s="92">
        <v>0</v>
      </c>
      <c r="G29" s="3" t="s">
        <v>306</v>
      </c>
    </row>
    <row r="30" spans="2:7">
      <c r="B30" s="92" t="s">
        <v>327</v>
      </c>
      <c r="D30" s="92">
        <v>10</v>
      </c>
      <c r="E30" s="92">
        <v>0</v>
      </c>
      <c r="G30" s="3" t="s">
        <v>306</v>
      </c>
    </row>
    <row r="31" spans="2:7">
      <c r="B31" s="290" t="s">
        <v>328</v>
      </c>
      <c r="D31" s="290">
        <v>10</v>
      </c>
      <c r="E31" s="290">
        <v>1</v>
      </c>
      <c r="G31" s="3" t="s">
        <v>319</v>
      </c>
    </row>
    <row r="32" spans="2:7">
      <c r="B32" s="290" t="s">
        <v>329</v>
      </c>
      <c r="D32" s="290">
        <v>10</v>
      </c>
      <c r="E32" s="290">
        <v>1</v>
      </c>
      <c r="G32" s="3" t="s">
        <v>319</v>
      </c>
    </row>
    <row r="33" spans="2:7">
      <c r="B33" s="92" t="s">
        <v>330</v>
      </c>
      <c r="D33" s="92">
        <v>10</v>
      </c>
      <c r="E33" s="92">
        <v>1</v>
      </c>
      <c r="G33" s="3" t="s">
        <v>306</v>
      </c>
    </row>
    <row r="34" spans="2:7">
      <c r="B34" s="92" t="s">
        <v>331</v>
      </c>
      <c r="D34" s="92">
        <v>10</v>
      </c>
      <c r="E34" s="92">
        <v>1</v>
      </c>
      <c r="G34" s="3" t="s">
        <v>306</v>
      </c>
    </row>
    <row r="35" spans="2:7">
      <c r="B35" s="92" t="s">
        <v>332</v>
      </c>
      <c r="D35" s="92">
        <v>10</v>
      </c>
      <c r="E35" s="92">
        <v>0</v>
      </c>
      <c r="G35" s="3" t="s">
        <v>306</v>
      </c>
    </row>
    <row r="36" spans="2:7">
      <c r="B36" s="92" t="s">
        <v>333</v>
      </c>
      <c r="D36" s="92">
        <v>10</v>
      </c>
      <c r="E36" s="92">
        <v>0</v>
      </c>
      <c r="G36" s="3" t="s">
        <v>306</v>
      </c>
    </row>
    <row r="37" spans="2:7">
      <c r="B37" s="92" t="s">
        <v>334</v>
      </c>
      <c r="D37" s="92">
        <v>10</v>
      </c>
      <c r="E37" s="92">
        <v>0</v>
      </c>
      <c r="G37" s="3" t="s">
        <v>306</v>
      </c>
    </row>
    <row r="38" spans="2:7">
      <c r="B38" s="92" t="s">
        <v>335</v>
      </c>
      <c r="D38" s="92">
        <v>10</v>
      </c>
      <c r="E38" s="92">
        <v>1</v>
      </c>
      <c r="G38" s="3" t="s">
        <v>306</v>
      </c>
    </row>
    <row r="39" spans="2:7">
      <c r="B39" s="92" t="s">
        <v>336</v>
      </c>
      <c r="D39" s="92">
        <v>10</v>
      </c>
      <c r="E39" s="92">
        <v>0</v>
      </c>
      <c r="G39" s="3" t="s">
        <v>306</v>
      </c>
    </row>
    <row r="40" spans="2:7">
      <c r="B40" s="92" t="s">
        <v>337</v>
      </c>
      <c r="D40" s="92">
        <v>10</v>
      </c>
      <c r="E40" s="92">
        <v>0</v>
      </c>
      <c r="G40" s="3" t="s">
        <v>306</v>
      </c>
    </row>
    <row r="41" spans="2:7">
      <c r="B41" s="92" t="s">
        <v>338</v>
      </c>
      <c r="D41" s="92">
        <v>10</v>
      </c>
      <c r="E41" s="92">
        <v>0</v>
      </c>
      <c r="G41" s="3" t="s">
        <v>306</v>
      </c>
    </row>
    <row r="42" spans="2:7">
      <c r="B42" s="92" t="s">
        <v>339</v>
      </c>
      <c r="D42" s="92">
        <v>10</v>
      </c>
      <c r="E42" s="92">
        <v>1</v>
      </c>
      <c r="G42" s="3" t="s">
        <v>306</v>
      </c>
    </row>
    <row r="43" spans="2:7">
      <c r="B43" s="92" t="s">
        <v>340</v>
      </c>
      <c r="D43" s="92">
        <v>10</v>
      </c>
      <c r="E43" s="92">
        <v>1</v>
      </c>
      <c r="G43" s="3" t="s">
        <v>306</v>
      </c>
    </row>
    <row r="44" spans="2:7">
      <c r="B44" s="92" t="s">
        <v>341</v>
      </c>
      <c r="D44" s="92">
        <v>10</v>
      </c>
      <c r="E44" s="92">
        <v>0</v>
      </c>
      <c r="G44" s="3" t="s">
        <v>306</v>
      </c>
    </row>
    <row r="45" spans="2:7">
      <c r="B45" s="92" t="s">
        <v>342</v>
      </c>
      <c r="D45" s="92">
        <v>10</v>
      </c>
      <c r="E45" s="92">
        <v>1</v>
      </c>
      <c r="G45" s="3" t="s">
        <v>306</v>
      </c>
    </row>
    <row r="46" spans="2:7">
      <c r="B46" s="92" t="s">
        <v>343</v>
      </c>
      <c r="D46" s="92">
        <v>10</v>
      </c>
      <c r="E46" s="92">
        <v>0</v>
      </c>
      <c r="G46" s="3" t="s">
        <v>306</v>
      </c>
    </row>
    <row r="47" spans="2:7">
      <c r="B47" s="92" t="s">
        <v>344</v>
      </c>
      <c r="D47" s="92">
        <v>10</v>
      </c>
      <c r="E47" s="92">
        <v>0</v>
      </c>
      <c r="G47" s="3" t="s">
        <v>306</v>
      </c>
    </row>
    <row r="48" spans="2:7">
      <c r="B48" s="92" t="s">
        <v>345</v>
      </c>
      <c r="D48" s="92">
        <v>30</v>
      </c>
      <c r="E48" s="92">
        <v>1</v>
      </c>
      <c r="G48" s="3" t="s">
        <v>306</v>
      </c>
    </row>
    <row r="49" spans="2:7">
      <c r="B49" s="92" t="s">
        <v>346</v>
      </c>
      <c r="D49" s="92">
        <v>30</v>
      </c>
      <c r="E49" s="92">
        <v>0</v>
      </c>
      <c r="G49" s="3" t="s">
        <v>306</v>
      </c>
    </row>
    <row r="50" spans="2:7">
      <c r="B50" s="92" t="s">
        <v>347</v>
      </c>
      <c r="D50" s="92">
        <v>30</v>
      </c>
      <c r="E50" s="92">
        <v>0</v>
      </c>
      <c r="G50" s="3" t="s">
        <v>306</v>
      </c>
    </row>
    <row r="51" spans="2:7">
      <c r="B51" s="92" t="s">
        <v>348</v>
      </c>
      <c r="D51" s="92">
        <v>30</v>
      </c>
      <c r="E51" s="92">
        <v>0</v>
      </c>
      <c r="G51" s="3" t="s">
        <v>306</v>
      </c>
    </row>
    <row r="52" spans="2:7">
      <c r="B52" s="92" t="s">
        <v>349</v>
      </c>
      <c r="D52" s="92">
        <v>30</v>
      </c>
      <c r="E52" s="92">
        <v>0</v>
      </c>
      <c r="G52" s="3" t="s">
        <v>306</v>
      </c>
    </row>
    <row r="53" spans="2:7">
      <c r="B53" s="92" t="s">
        <v>350</v>
      </c>
      <c r="D53" s="92">
        <v>30</v>
      </c>
      <c r="E53" s="92">
        <v>1</v>
      </c>
      <c r="G53" s="3" t="s">
        <v>306</v>
      </c>
    </row>
    <row r="54" spans="2:7">
      <c r="B54" s="92" t="s">
        <v>351</v>
      </c>
      <c r="D54" s="92">
        <v>30</v>
      </c>
      <c r="E54" s="92">
        <v>1</v>
      </c>
      <c r="G54" s="3" t="s">
        <v>306</v>
      </c>
    </row>
    <row r="55" spans="2:7">
      <c r="B55" s="92" t="s">
        <v>352</v>
      </c>
      <c r="D55" s="92">
        <v>30</v>
      </c>
      <c r="E55" s="92">
        <v>0</v>
      </c>
      <c r="G55" s="3" t="s">
        <v>306</v>
      </c>
    </row>
    <row r="56" spans="2:7">
      <c r="B56" s="92" t="s">
        <v>353</v>
      </c>
      <c r="D56" s="92">
        <v>55</v>
      </c>
      <c r="E56" s="92">
        <v>1</v>
      </c>
      <c r="G56" s="3" t="s">
        <v>306</v>
      </c>
    </row>
    <row r="57" spans="2:7">
      <c r="B57" s="92" t="s">
        <v>354</v>
      </c>
      <c r="D57" s="92">
        <v>55</v>
      </c>
      <c r="E57" s="92">
        <v>0</v>
      </c>
      <c r="G57" s="3" t="s">
        <v>306</v>
      </c>
    </row>
    <row r="58" spans="2:7">
      <c r="B58" s="92" t="s">
        <v>355</v>
      </c>
      <c r="D58" s="92">
        <v>55</v>
      </c>
      <c r="E58" s="92">
        <v>0</v>
      </c>
      <c r="G58" s="3" t="s">
        <v>306</v>
      </c>
    </row>
    <row r="59" spans="2:7">
      <c r="B59" s="92" t="s">
        <v>356</v>
      </c>
      <c r="D59" s="92">
        <v>55</v>
      </c>
      <c r="E59" s="92">
        <v>0</v>
      </c>
      <c r="G59" s="3" t="s">
        <v>306</v>
      </c>
    </row>
    <row r="60" spans="2:7">
      <c r="B60" s="290" t="s">
        <v>357</v>
      </c>
      <c r="D60" s="290">
        <v>55</v>
      </c>
      <c r="E60" s="290">
        <v>0</v>
      </c>
      <c r="G60" s="3" t="s">
        <v>319</v>
      </c>
    </row>
    <row r="61" spans="2:7">
      <c r="B61" s="290" t="s">
        <v>358</v>
      </c>
      <c r="D61" s="290">
        <v>55</v>
      </c>
      <c r="E61" s="290">
        <v>0</v>
      </c>
      <c r="G61" s="3" t="s">
        <v>319</v>
      </c>
    </row>
    <row r="62" spans="2:7">
      <c r="B62" s="92" t="s">
        <v>359</v>
      </c>
      <c r="D62" s="92">
        <v>55</v>
      </c>
      <c r="E62" s="92">
        <v>1</v>
      </c>
      <c r="G62" s="3" t="s">
        <v>306</v>
      </c>
    </row>
    <row r="63" spans="2:7">
      <c r="B63" s="92" t="s">
        <v>360</v>
      </c>
      <c r="D63" s="92">
        <v>55</v>
      </c>
      <c r="E63" s="92">
        <v>1</v>
      </c>
      <c r="G63" s="3" t="s">
        <v>306</v>
      </c>
    </row>
    <row r="64" spans="2:7">
      <c r="B64" s="92" t="s">
        <v>361</v>
      </c>
      <c r="D64" s="92">
        <v>30</v>
      </c>
      <c r="E64" s="92">
        <v>1</v>
      </c>
      <c r="G64" s="3" t="s">
        <v>306</v>
      </c>
    </row>
    <row r="65" spans="2:7">
      <c r="B65" s="92" t="s">
        <v>362</v>
      </c>
      <c r="D65" s="92">
        <v>30</v>
      </c>
      <c r="E65" s="92">
        <v>0</v>
      </c>
      <c r="G65" s="3" t="s">
        <v>306</v>
      </c>
    </row>
    <row r="66" spans="2:7">
      <c r="B66" s="92" t="s">
        <v>363</v>
      </c>
      <c r="D66" s="92">
        <v>30</v>
      </c>
      <c r="E66" s="92">
        <v>0</v>
      </c>
      <c r="G66" s="3" t="s">
        <v>306</v>
      </c>
    </row>
    <row r="67" spans="2:7">
      <c r="B67" s="92" t="s">
        <v>364</v>
      </c>
      <c r="D67" s="92">
        <v>30</v>
      </c>
      <c r="E67" s="92">
        <v>1</v>
      </c>
      <c r="G67" s="3" t="s">
        <v>306</v>
      </c>
    </row>
    <row r="68" spans="2:7">
      <c r="B68" s="92" t="s">
        <v>365</v>
      </c>
      <c r="D68" s="92">
        <v>30</v>
      </c>
      <c r="E68" s="92">
        <v>0</v>
      </c>
      <c r="G68" s="3" t="s">
        <v>306</v>
      </c>
    </row>
    <row r="69" spans="2:7">
      <c r="B69" s="92" t="s">
        <v>366</v>
      </c>
      <c r="D69" s="92">
        <v>30</v>
      </c>
      <c r="E69" s="92">
        <v>1</v>
      </c>
      <c r="G69" s="3" t="s">
        <v>306</v>
      </c>
    </row>
    <row r="70" spans="2:7">
      <c r="B70" s="92" t="s">
        <v>367</v>
      </c>
      <c r="D70" s="92">
        <v>30</v>
      </c>
      <c r="E70" s="92">
        <v>0</v>
      </c>
      <c r="G70" s="3" t="s">
        <v>306</v>
      </c>
    </row>
    <row r="71" spans="2:7">
      <c r="B71" s="92" t="s">
        <v>368</v>
      </c>
      <c r="D71" s="92">
        <v>30</v>
      </c>
      <c r="E71" s="92">
        <v>0</v>
      </c>
      <c r="G71" s="3" t="s">
        <v>306</v>
      </c>
    </row>
    <row r="72" spans="2:7">
      <c r="B72" s="92" t="s">
        <v>369</v>
      </c>
      <c r="D72" s="92">
        <v>30</v>
      </c>
      <c r="E72" s="92">
        <v>1</v>
      </c>
      <c r="G72" s="3" t="s">
        <v>306</v>
      </c>
    </row>
    <row r="73" spans="2:7">
      <c r="B73" s="92" t="s">
        <v>370</v>
      </c>
      <c r="D73" s="92">
        <v>30</v>
      </c>
      <c r="E73" s="92">
        <v>0</v>
      </c>
      <c r="G73" s="3" t="s">
        <v>306</v>
      </c>
    </row>
    <row r="74" spans="2:7">
      <c r="B74" s="92" t="s">
        <v>371</v>
      </c>
      <c r="D74" s="92">
        <v>5</v>
      </c>
      <c r="E74" s="92">
        <v>1</v>
      </c>
      <c r="G74" s="3" t="s">
        <v>306</v>
      </c>
    </row>
    <row r="75" spans="2:7">
      <c r="B75" s="92" t="s">
        <v>372</v>
      </c>
      <c r="D75" s="92">
        <v>5</v>
      </c>
      <c r="E75" s="92">
        <v>0</v>
      </c>
      <c r="G75" s="3" t="s">
        <v>306</v>
      </c>
    </row>
    <row r="76" spans="2:7">
      <c r="B76" s="92" t="s">
        <v>373</v>
      </c>
      <c r="D76" s="92">
        <v>5</v>
      </c>
      <c r="E76" s="92">
        <v>0</v>
      </c>
      <c r="G76" s="3" t="s">
        <v>306</v>
      </c>
    </row>
    <row r="77" spans="2:7">
      <c r="B77" s="92" t="s">
        <v>374</v>
      </c>
      <c r="D77" s="92">
        <v>5</v>
      </c>
      <c r="E77" s="92">
        <v>0</v>
      </c>
      <c r="G77" s="3" t="s">
        <v>306</v>
      </c>
    </row>
    <row r="78" spans="2:7">
      <c r="B78" s="92" t="s">
        <v>375</v>
      </c>
      <c r="D78" s="92">
        <v>5</v>
      </c>
      <c r="E78" s="92">
        <v>0</v>
      </c>
      <c r="G78" s="3" t="s">
        <v>306</v>
      </c>
    </row>
    <row r="79" spans="2:7">
      <c r="B79" s="92" t="s">
        <v>376</v>
      </c>
      <c r="D79" s="92">
        <v>10</v>
      </c>
      <c r="E79" s="92">
        <v>1</v>
      </c>
      <c r="G79" s="3" t="s">
        <v>306</v>
      </c>
    </row>
    <row r="80" spans="2:7">
      <c r="B80" s="92" t="s">
        <v>377</v>
      </c>
      <c r="D80" s="92">
        <v>15</v>
      </c>
      <c r="E80" s="92">
        <v>1</v>
      </c>
      <c r="G80" s="3" t="s">
        <v>306</v>
      </c>
    </row>
    <row r="81" spans="2:11">
      <c r="B81" s="92" t="s">
        <v>378</v>
      </c>
      <c r="D81" s="92">
        <v>15</v>
      </c>
      <c r="E81" s="92">
        <v>0</v>
      </c>
      <c r="G81" s="3" t="s">
        <v>306</v>
      </c>
    </row>
    <row r="82" spans="2:11">
      <c r="B82" s="92" t="s">
        <v>379</v>
      </c>
      <c r="D82" s="92">
        <v>15</v>
      </c>
      <c r="E82" s="92">
        <v>0</v>
      </c>
      <c r="G82" s="3" t="s">
        <v>306</v>
      </c>
    </row>
    <row r="83" spans="2:11">
      <c r="B83" s="92" t="s">
        <v>380</v>
      </c>
      <c r="D83" s="92">
        <v>55</v>
      </c>
      <c r="E83" s="92">
        <v>1</v>
      </c>
      <c r="G83" s="3" t="s">
        <v>306</v>
      </c>
    </row>
    <row r="84" spans="2:11">
      <c r="B84" s="92" t="s">
        <v>381</v>
      </c>
      <c r="D84" s="92">
        <v>30</v>
      </c>
      <c r="E84" s="92">
        <v>0</v>
      </c>
      <c r="G84" s="3" t="s">
        <v>306</v>
      </c>
    </row>
    <row r="85" spans="2:11">
      <c r="B85" s="92" t="s">
        <v>382</v>
      </c>
      <c r="D85" s="92">
        <v>0</v>
      </c>
      <c r="E85" s="92">
        <v>0</v>
      </c>
      <c r="G85" s="3" t="s">
        <v>306</v>
      </c>
    </row>
    <row r="86" spans="2:11">
      <c r="B86" s="92" t="s">
        <v>383</v>
      </c>
      <c r="D86" s="92">
        <v>0</v>
      </c>
      <c r="E86" s="92">
        <v>0</v>
      </c>
      <c r="G86" s="3" t="s">
        <v>306</v>
      </c>
    </row>
    <row r="87" spans="2:11">
      <c r="B87" s="92" t="s">
        <v>384</v>
      </c>
      <c r="D87" s="92">
        <v>0</v>
      </c>
      <c r="E87" s="92">
        <v>0</v>
      </c>
      <c r="G87" s="3" t="s">
        <v>306</v>
      </c>
    </row>
    <row r="88" spans="2:11">
      <c r="B88" s="92" t="s">
        <v>385</v>
      </c>
      <c r="D88" s="92">
        <v>55</v>
      </c>
      <c r="E88" s="92">
        <v>0</v>
      </c>
      <c r="G88" s="3" t="s">
        <v>306</v>
      </c>
    </row>
    <row r="89" spans="2:11">
      <c r="B89" s="92" t="s">
        <v>386</v>
      </c>
      <c r="D89" s="92">
        <v>30</v>
      </c>
      <c r="E89" s="92">
        <v>0</v>
      </c>
      <c r="G89" s="3" t="s">
        <v>306</v>
      </c>
    </row>
    <row r="91" spans="2:11" s="33" customFormat="1">
      <c r="B91" s="33" t="s">
        <v>387</v>
      </c>
    </row>
    <row r="92" spans="2:11" s="39" customFormat="1">
      <c r="B92" s="39" t="s">
        <v>388</v>
      </c>
      <c r="D92" s="39" t="s">
        <v>389</v>
      </c>
      <c r="F92" s="40" t="s">
        <v>390</v>
      </c>
      <c r="G92" s="39" t="s">
        <v>302</v>
      </c>
      <c r="H92" s="40" t="s">
        <v>303</v>
      </c>
      <c r="I92" s="41" t="s">
        <v>391</v>
      </c>
      <c r="J92" s="41"/>
      <c r="K92" s="34" t="s">
        <v>206</v>
      </c>
    </row>
    <row r="93" spans="2:11" s="48" customFormat="1">
      <c r="F93" s="49"/>
      <c r="H93" s="49"/>
      <c r="I93" s="50"/>
    </row>
    <row r="94" spans="2:11">
      <c r="B94" s="291">
        <v>1529</v>
      </c>
      <c r="D94" s="146">
        <v>0</v>
      </c>
      <c r="F94" s="92">
        <v>2020</v>
      </c>
      <c r="G94" s="92" t="s">
        <v>392</v>
      </c>
      <c r="H94" s="92">
        <v>0</v>
      </c>
      <c r="I94" s="92">
        <v>1</v>
      </c>
      <c r="K94" s="3" t="s">
        <v>123</v>
      </c>
    </row>
    <row r="95" spans="2:11">
      <c r="B95" s="291">
        <v>1530</v>
      </c>
      <c r="D95" s="146">
        <v>16428371.587765666</v>
      </c>
      <c r="F95" s="92">
        <v>2020</v>
      </c>
      <c r="G95" s="92" t="s">
        <v>392</v>
      </c>
      <c r="H95" s="92">
        <v>5</v>
      </c>
      <c r="I95" s="92">
        <v>1</v>
      </c>
      <c r="K95" s="3" t="s">
        <v>123</v>
      </c>
    </row>
    <row r="96" spans="2:11">
      <c r="B96" s="291">
        <v>1531</v>
      </c>
      <c r="D96" s="146">
        <v>4983079.8391110003</v>
      </c>
      <c r="F96" s="92">
        <v>2020</v>
      </c>
      <c r="G96" s="92" t="s">
        <v>392</v>
      </c>
      <c r="H96" s="92">
        <v>10</v>
      </c>
      <c r="I96" s="92">
        <v>1</v>
      </c>
      <c r="K96" s="3" t="s">
        <v>123</v>
      </c>
    </row>
    <row r="97" spans="2:11">
      <c r="B97" s="291">
        <v>1532</v>
      </c>
      <c r="D97" s="146">
        <v>23504856.52408703</v>
      </c>
      <c r="F97" s="92">
        <v>2020</v>
      </c>
      <c r="G97" s="92" t="s">
        <v>392</v>
      </c>
      <c r="H97" s="92">
        <v>15</v>
      </c>
      <c r="I97" s="92">
        <v>1</v>
      </c>
      <c r="K97" s="3" t="s">
        <v>123</v>
      </c>
    </row>
    <row r="98" spans="2:11">
      <c r="B98" s="291">
        <v>1533</v>
      </c>
      <c r="D98" s="146">
        <v>28868891.250722278</v>
      </c>
      <c r="F98" s="92">
        <v>2020</v>
      </c>
      <c r="G98" s="92" t="s">
        <v>392</v>
      </c>
      <c r="H98" s="92">
        <v>30</v>
      </c>
      <c r="I98" s="92">
        <v>1</v>
      </c>
      <c r="K98" s="3" t="s">
        <v>123</v>
      </c>
    </row>
    <row r="99" spans="2:11">
      <c r="B99" s="291">
        <v>1534</v>
      </c>
      <c r="D99" s="146">
        <v>79913166.073822603</v>
      </c>
      <c r="F99" s="92">
        <v>2020</v>
      </c>
      <c r="G99" s="92" t="s">
        <v>392</v>
      </c>
      <c r="H99" s="92">
        <v>55</v>
      </c>
      <c r="I99" s="92">
        <v>1</v>
      </c>
      <c r="K99" s="3" t="s">
        <v>123</v>
      </c>
    </row>
    <row r="100" spans="2:11">
      <c r="B100" s="291">
        <v>1535</v>
      </c>
      <c r="D100" s="146">
        <v>-30502.390165910823</v>
      </c>
      <c r="F100" s="92">
        <v>2020</v>
      </c>
      <c r="G100" s="92" t="s">
        <v>392</v>
      </c>
      <c r="H100" s="92">
        <v>0</v>
      </c>
      <c r="I100" s="92">
        <v>0</v>
      </c>
      <c r="K100" s="3" t="s">
        <v>123</v>
      </c>
    </row>
    <row r="101" spans="2:11">
      <c r="B101" s="291">
        <v>1536</v>
      </c>
      <c r="D101" s="146">
        <v>429610.71824132768</v>
      </c>
      <c r="F101" s="92">
        <v>2020</v>
      </c>
      <c r="G101" s="92" t="s">
        <v>392</v>
      </c>
      <c r="H101" s="92">
        <v>5</v>
      </c>
      <c r="I101" s="92">
        <v>0</v>
      </c>
      <c r="K101" s="3" t="s">
        <v>123</v>
      </c>
    </row>
    <row r="102" spans="2:11">
      <c r="B102" s="291">
        <v>1537</v>
      </c>
      <c r="D102" s="146">
        <v>1540614.7503467209</v>
      </c>
      <c r="F102" s="92">
        <v>2020</v>
      </c>
      <c r="G102" s="92" t="s">
        <v>392</v>
      </c>
      <c r="H102" s="92">
        <v>10</v>
      </c>
      <c r="I102" s="92">
        <v>0</v>
      </c>
      <c r="K102" s="3" t="s">
        <v>123</v>
      </c>
    </row>
    <row r="103" spans="2:11">
      <c r="B103" s="291">
        <v>1538</v>
      </c>
      <c r="D103" s="146">
        <v>4629744.6502016177</v>
      </c>
      <c r="F103" s="92">
        <v>2020</v>
      </c>
      <c r="G103" s="92" t="s">
        <v>392</v>
      </c>
      <c r="H103" s="92">
        <v>15</v>
      </c>
      <c r="I103" s="92">
        <v>0</v>
      </c>
      <c r="K103" s="3" t="s">
        <v>123</v>
      </c>
    </row>
    <row r="104" spans="2:11">
      <c r="B104" s="291">
        <v>1539</v>
      </c>
      <c r="D104" s="146">
        <v>26259145.971940324</v>
      </c>
      <c r="F104" s="92">
        <v>2020</v>
      </c>
      <c r="G104" s="92" t="s">
        <v>392</v>
      </c>
      <c r="H104" s="92">
        <v>30</v>
      </c>
      <c r="I104" s="92">
        <v>0</v>
      </c>
      <c r="K104" s="3" t="s">
        <v>123</v>
      </c>
    </row>
    <row r="105" spans="2:11">
      <c r="B105" s="291">
        <v>1540</v>
      </c>
      <c r="D105" s="146">
        <v>37094.77163904941</v>
      </c>
      <c r="F105" s="92">
        <v>2020</v>
      </c>
      <c r="G105" s="92" t="s">
        <v>392</v>
      </c>
      <c r="H105" s="92">
        <v>55</v>
      </c>
      <c r="I105" s="92">
        <v>0</v>
      </c>
      <c r="K105" s="3" t="s">
        <v>123</v>
      </c>
    </row>
    <row r="106" spans="2:11">
      <c r="B106" s="291">
        <v>1541</v>
      </c>
      <c r="D106" s="146">
        <v>0</v>
      </c>
      <c r="F106" s="92">
        <v>2020</v>
      </c>
      <c r="G106" s="92" t="s">
        <v>392</v>
      </c>
      <c r="H106" s="92">
        <v>0</v>
      </c>
      <c r="I106" s="92">
        <v>0</v>
      </c>
      <c r="K106" s="3" t="s">
        <v>123</v>
      </c>
    </row>
    <row r="107" spans="2:11" ht="12" customHeight="1">
      <c r="B107" s="291">
        <v>1542</v>
      </c>
      <c r="D107" s="146">
        <v>617395.17786534363</v>
      </c>
      <c r="F107" s="92">
        <v>2020</v>
      </c>
      <c r="G107" s="92" t="s">
        <v>392</v>
      </c>
      <c r="H107" s="92">
        <v>5</v>
      </c>
      <c r="I107" s="92">
        <v>0</v>
      </c>
      <c r="K107" s="3" t="s">
        <v>123</v>
      </c>
    </row>
    <row r="108" spans="2:11">
      <c r="B108" s="291">
        <v>1543</v>
      </c>
      <c r="D108" s="146">
        <v>4570297.1729062358</v>
      </c>
      <c r="F108" s="92">
        <v>2020</v>
      </c>
      <c r="G108" s="92" t="s">
        <v>392</v>
      </c>
      <c r="H108" s="92">
        <v>10</v>
      </c>
      <c r="I108" s="92">
        <v>0</v>
      </c>
      <c r="K108" s="3" t="s">
        <v>123</v>
      </c>
    </row>
    <row r="109" spans="2:11">
      <c r="B109" s="291">
        <v>1544</v>
      </c>
      <c r="D109" s="146">
        <v>7478818.3856429011</v>
      </c>
      <c r="F109" s="92">
        <v>2020</v>
      </c>
      <c r="G109" s="92" t="s">
        <v>392</v>
      </c>
      <c r="H109" s="92">
        <v>15</v>
      </c>
      <c r="I109" s="92">
        <v>0</v>
      </c>
      <c r="K109" s="3" t="s">
        <v>123</v>
      </c>
    </row>
    <row r="110" spans="2:11">
      <c r="B110" s="291">
        <v>1545</v>
      </c>
      <c r="D110" s="146">
        <v>7420552.1500870837</v>
      </c>
      <c r="F110" s="92">
        <v>2020</v>
      </c>
      <c r="G110" s="92" t="s">
        <v>392</v>
      </c>
      <c r="H110" s="92">
        <v>30</v>
      </c>
      <c r="I110" s="92">
        <v>0</v>
      </c>
      <c r="K110" s="3" t="s">
        <v>123</v>
      </c>
    </row>
    <row r="111" spans="2:11">
      <c r="B111" s="291">
        <v>1546</v>
      </c>
      <c r="D111" s="146">
        <v>0</v>
      </c>
      <c r="F111" s="92">
        <v>2020</v>
      </c>
      <c r="G111" s="92" t="s">
        <v>392</v>
      </c>
      <c r="H111" s="92">
        <v>55</v>
      </c>
      <c r="I111" s="92">
        <v>0</v>
      </c>
      <c r="K111" s="3" t="s">
        <v>123</v>
      </c>
    </row>
    <row r="112" spans="2:11">
      <c r="B112" s="291">
        <v>1547</v>
      </c>
      <c r="D112" s="146">
        <v>0</v>
      </c>
      <c r="F112" s="92">
        <v>2021</v>
      </c>
      <c r="G112" s="92" t="s">
        <v>392</v>
      </c>
      <c r="H112" s="92">
        <v>0</v>
      </c>
      <c r="I112" s="92">
        <v>1</v>
      </c>
      <c r="K112" s="3" t="s">
        <v>123</v>
      </c>
    </row>
    <row r="113" spans="2:11">
      <c r="B113" s="291">
        <v>1548</v>
      </c>
      <c r="D113" s="146">
        <v>16674534.307636745</v>
      </c>
      <c r="F113" s="92">
        <v>2021</v>
      </c>
      <c r="G113" s="92" t="s">
        <v>392</v>
      </c>
      <c r="H113" s="92">
        <v>5</v>
      </c>
      <c r="I113" s="92">
        <v>1</v>
      </c>
      <c r="K113" s="3" t="s">
        <v>123</v>
      </c>
    </row>
    <row r="114" spans="2:11">
      <c r="B114" s="291">
        <v>1549</v>
      </c>
      <c r="D114" s="146">
        <v>5057746.3074202398</v>
      </c>
      <c r="F114" s="92">
        <v>2021</v>
      </c>
      <c r="G114" s="92" t="s">
        <v>392</v>
      </c>
      <c r="H114" s="92">
        <v>10</v>
      </c>
      <c r="I114" s="92">
        <v>1</v>
      </c>
      <c r="K114" s="3" t="s">
        <v>123</v>
      </c>
    </row>
    <row r="115" spans="2:11">
      <c r="B115" s="291">
        <v>1550</v>
      </c>
      <c r="D115" s="146">
        <v>23857053.29424395</v>
      </c>
      <c r="F115" s="92">
        <v>2021</v>
      </c>
      <c r="G115" s="92" t="s">
        <v>392</v>
      </c>
      <c r="H115" s="92">
        <v>15</v>
      </c>
      <c r="I115" s="92">
        <v>1</v>
      </c>
      <c r="K115" s="3" t="s">
        <v>123</v>
      </c>
    </row>
    <row r="116" spans="2:11">
      <c r="B116" s="291">
        <v>1551</v>
      </c>
      <c r="D116" s="146">
        <v>29301462.7172231</v>
      </c>
      <c r="F116" s="92">
        <v>2021</v>
      </c>
      <c r="G116" s="92" t="s">
        <v>392</v>
      </c>
      <c r="H116" s="92">
        <v>30</v>
      </c>
      <c r="I116" s="92">
        <v>1</v>
      </c>
      <c r="K116" s="3" t="s">
        <v>123</v>
      </c>
    </row>
    <row r="117" spans="2:11">
      <c r="B117" s="291">
        <v>1552</v>
      </c>
      <c r="D117" s="146">
        <v>81110584.954272762</v>
      </c>
      <c r="F117" s="92">
        <v>2021</v>
      </c>
      <c r="G117" s="92" t="s">
        <v>392</v>
      </c>
      <c r="H117" s="92">
        <v>55</v>
      </c>
      <c r="I117" s="92">
        <v>1</v>
      </c>
      <c r="K117" s="3" t="s">
        <v>123</v>
      </c>
    </row>
    <row r="118" spans="2:11">
      <c r="B118" s="291">
        <v>1553</v>
      </c>
      <c r="D118" s="146">
        <v>-30959.437980156832</v>
      </c>
      <c r="F118" s="92">
        <v>2021</v>
      </c>
      <c r="G118" s="92" t="s">
        <v>392</v>
      </c>
      <c r="H118" s="92">
        <v>0</v>
      </c>
      <c r="I118" s="92">
        <v>0</v>
      </c>
      <c r="K118" s="3" t="s">
        <v>123</v>
      </c>
    </row>
    <row r="119" spans="2:11">
      <c r="B119" s="291">
        <v>1554</v>
      </c>
      <c r="D119" s="146">
        <v>436048.00524345576</v>
      </c>
      <c r="F119" s="92">
        <v>2021</v>
      </c>
      <c r="G119" s="92" t="s">
        <v>392</v>
      </c>
      <c r="H119" s="92">
        <v>5</v>
      </c>
      <c r="I119" s="92">
        <v>0</v>
      </c>
      <c r="K119" s="3" t="s">
        <v>123</v>
      </c>
    </row>
    <row r="120" spans="2:11">
      <c r="B120" s="291">
        <v>1555</v>
      </c>
      <c r="D120" s="146">
        <v>1563699.3217659162</v>
      </c>
      <c r="F120" s="92">
        <v>2021</v>
      </c>
      <c r="G120" s="92" t="s">
        <v>392</v>
      </c>
      <c r="H120" s="92">
        <v>10</v>
      </c>
      <c r="I120" s="92">
        <v>0</v>
      </c>
      <c r="K120" s="3" t="s">
        <v>123</v>
      </c>
    </row>
    <row r="121" spans="2:11">
      <c r="B121" s="291">
        <v>1556</v>
      </c>
      <c r="D121" s="146">
        <v>4699116.7440402387</v>
      </c>
      <c r="F121" s="92">
        <v>2021</v>
      </c>
      <c r="G121" s="92" t="s">
        <v>392</v>
      </c>
      <c r="H121" s="92">
        <v>15</v>
      </c>
      <c r="I121" s="92">
        <v>0</v>
      </c>
      <c r="K121" s="3" t="s">
        <v>123</v>
      </c>
    </row>
    <row r="122" spans="2:11">
      <c r="B122" s="291">
        <v>1557</v>
      </c>
      <c r="D122" s="146">
        <v>26652613.015183877</v>
      </c>
      <c r="F122" s="92">
        <v>2021</v>
      </c>
      <c r="G122" s="92" t="s">
        <v>392</v>
      </c>
      <c r="H122" s="92">
        <v>30</v>
      </c>
      <c r="I122" s="92">
        <v>0</v>
      </c>
      <c r="K122" s="3" t="s">
        <v>123</v>
      </c>
    </row>
    <row r="123" spans="2:11">
      <c r="B123" s="291">
        <v>1558</v>
      </c>
      <c r="D123" s="146">
        <v>37650.599697288933</v>
      </c>
      <c r="F123" s="92">
        <v>2021</v>
      </c>
      <c r="G123" s="92" t="s">
        <v>392</v>
      </c>
      <c r="H123" s="92">
        <v>55</v>
      </c>
      <c r="I123" s="92">
        <v>0</v>
      </c>
      <c r="K123" s="3" t="s">
        <v>123</v>
      </c>
    </row>
    <row r="124" spans="2:11">
      <c r="B124" s="291">
        <v>1559</v>
      </c>
      <c r="D124" s="146">
        <v>0</v>
      </c>
      <c r="F124" s="92">
        <v>2021</v>
      </c>
      <c r="G124" s="92" t="s">
        <v>392</v>
      </c>
      <c r="H124" s="92">
        <v>0</v>
      </c>
      <c r="I124" s="92">
        <v>0</v>
      </c>
      <c r="K124" s="3" t="s">
        <v>123</v>
      </c>
    </row>
    <row r="125" spans="2:11">
      <c r="B125" s="291">
        <v>1560</v>
      </c>
      <c r="D125" s="146">
        <v>626646.22721047793</v>
      </c>
      <c r="F125" s="92">
        <v>2021</v>
      </c>
      <c r="G125" s="92" t="s">
        <v>392</v>
      </c>
      <c r="H125" s="92">
        <v>5</v>
      </c>
      <c r="I125" s="92">
        <v>0</v>
      </c>
      <c r="K125" s="3" t="s">
        <v>123</v>
      </c>
    </row>
    <row r="126" spans="2:11">
      <c r="B126" s="291">
        <v>1561</v>
      </c>
      <c r="D126" s="146">
        <v>4638778.5057450626</v>
      </c>
      <c r="F126" s="92">
        <v>2021</v>
      </c>
      <c r="G126" s="92" t="s">
        <v>392</v>
      </c>
      <c r="H126" s="92">
        <v>10</v>
      </c>
      <c r="I126" s="92">
        <v>0</v>
      </c>
      <c r="K126" s="3" t="s">
        <v>123</v>
      </c>
    </row>
    <row r="127" spans="2:11">
      <c r="B127" s="291">
        <v>1562</v>
      </c>
      <c r="D127" s="146">
        <v>7590881.0003333744</v>
      </c>
      <c r="F127" s="92">
        <v>2021</v>
      </c>
      <c r="G127" s="92" t="s">
        <v>392</v>
      </c>
      <c r="H127" s="92">
        <v>15</v>
      </c>
      <c r="I127" s="92">
        <v>0</v>
      </c>
      <c r="K127" s="3" t="s">
        <v>123</v>
      </c>
    </row>
    <row r="128" spans="2:11">
      <c r="B128" s="291">
        <v>1563</v>
      </c>
      <c r="D128" s="146">
        <v>7531741.7035039887</v>
      </c>
      <c r="F128" s="92">
        <v>2021</v>
      </c>
      <c r="G128" s="92" t="s">
        <v>392</v>
      </c>
      <c r="H128" s="92">
        <v>30</v>
      </c>
      <c r="I128" s="92">
        <v>0</v>
      </c>
      <c r="K128" s="3" t="s">
        <v>123</v>
      </c>
    </row>
    <row r="129" spans="2:11">
      <c r="B129" s="291">
        <v>1564</v>
      </c>
      <c r="D129" s="146">
        <v>0</v>
      </c>
      <c r="F129" s="92">
        <v>2021</v>
      </c>
      <c r="G129" s="92" t="s">
        <v>392</v>
      </c>
      <c r="H129" s="92">
        <v>55</v>
      </c>
      <c r="I129" s="92">
        <v>0</v>
      </c>
      <c r="K129" s="3" t="s">
        <v>123</v>
      </c>
    </row>
    <row r="130" spans="2:11">
      <c r="B130" s="291">
        <v>1565</v>
      </c>
      <c r="D130" s="146">
        <v>0</v>
      </c>
      <c r="F130" s="92">
        <v>2022</v>
      </c>
      <c r="G130" s="92" t="s">
        <v>392</v>
      </c>
      <c r="H130" s="92">
        <v>0</v>
      </c>
      <c r="I130" s="92">
        <v>1</v>
      </c>
      <c r="K130" s="3" t="s">
        <v>123</v>
      </c>
    </row>
    <row r="131" spans="2:11">
      <c r="B131" s="291">
        <v>1566</v>
      </c>
      <c r="D131" s="146">
        <v>16890169.385303106</v>
      </c>
      <c r="F131" s="92">
        <v>2022</v>
      </c>
      <c r="G131" s="92" t="s">
        <v>392</v>
      </c>
      <c r="H131" s="92">
        <v>5</v>
      </c>
      <c r="I131" s="92">
        <v>1</v>
      </c>
      <c r="K131" s="3" t="s">
        <v>123</v>
      </c>
    </row>
    <row r="132" spans="2:11">
      <c r="B132" s="291">
        <v>1567</v>
      </c>
      <c r="D132" s="146">
        <v>5123153.0826677978</v>
      </c>
      <c r="F132" s="92">
        <v>2022</v>
      </c>
      <c r="G132" s="92" t="s">
        <v>392</v>
      </c>
      <c r="H132" s="92">
        <v>10</v>
      </c>
      <c r="I132" s="92">
        <v>1</v>
      </c>
      <c r="K132" s="3" t="s">
        <v>123</v>
      </c>
    </row>
    <row r="133" spans="2:11">
      <c r="B133" s="291">
        <v>1568</v>
      </c>
      <c r="D133" s="146">
        <v>24165572.707445111</v>
      </c>
      <c r="F133" s="92">
        <v>2022</v>
      </c>
      <c r="G133" s="92" t="s">
        <v>392</v>
      </c>
      <c r="H133" s="92">
        <v>15</v>
      </c>
      <c r="I133" s="92">
        <v>1</v>
      </c>
      <c r="K133" s="3" t="s">
        <v>123</v>
      </c>
    </row>
    <row r="134" spans="2:11">
      <c r="B134" s="291">
        <v>1569</v>
      </c>
      <c r="D134" s="146">
        <v>29680389.233082227</v>
      </c>
      <c r="F134" s="92">
        <v>2022</v>
      </c>
      <c r="G134" s="92" t="s">
        <v>392</v>
      </c>
      <c r="H134" s="92">
        <v>30</v>
      </c>
      <c r="I134" s="92">
        <v>1</v>
      </c>
      <c r="K134" s="3" t="s">
        <v>123</v>
      </c>
    </row>
    <row r="135" spans="2:11">
      <c r="B135" s="291">
        <v>1570</v>
      </c>
      <c r="D135" s="146">
        <v>82159507.038901418</v>
      </c>
      <c r="F135" s="92">
        <v>2022</v>
      </c>
      <c r="G135" s="92" t="s">
        <v>392</v>
      </c>
      <c r="H135" s="92">
        <v>55</v>
      </c>
      <c r="I135" s="92">
        <v>1</v>
      </c>
      <c r="K135" s="3" t="s">
        <v>123</v>
      </c>
    </row>
    <row r="136" spans="2:11">
      <c r="B136" s="291">
        <v>1571</v>
      </c>
      <c r="D136" s="146">
        <v>-31359.805432116216</v>
      </c>
      <c r="F136" s="92">
        <v>2022</v>
      </c>
      <c r="G136" s="92" t="s">
        <v>392</v>
      </c>
      <c r="H136" s="92">
        <v>0</v>
      </c>
      <c r="I136" s="92">
        <v>0</v>
      </c>
      <c r="K136" s="3" t="s">
        <v>123</v>
      </c>
    </row>
    <row r="137" spans="2:11">
      <c r="B137" s="291">
        <v>1572</v>
      </c>
      <c r="D137" s="146">
        <v>441686.97804726404</v>
      </c>
      <c r="F137" s="92">
        <v>2022</v>
      </c>
      <c r="G137" s="92" t="s">
        <v>392</v>
      </c>
      <c r="H137" s="92">
        <v>5</v>
      </c>
      <c r="I137" s="92">
        <v>0</v>
      </c>
      <c r="K137" s="3" t="s">
        <v>123</v>
      </c>
    </row>
    <row r="138" spans="2:11">
      <c r="B138" s="291">
        <v>1573</v>
      </c>
      <c r="D138" s="146">
        <v>1583921.081394993</v>
      </c>
      <c r="F138" s="92">
        <v>2022</v>
      </c>
      <c r="G138" s="92" t="s">
        <v>392</v>
      </c>
      <c r="H138" s="92">
        <v>10</v>
      </c>
      <c r="I138" s="92">
        <v>0</v>
      </c>
      <c r="K138" s="3" t="s">
        <v>123</v>
      </c>
    </row>
    <row r="139" spans="2:11">
      <c r="B139" s="291">
        <v>1574</v>
      </c>
      <c r="D139" s="146">
        <v>4759885.7217741664</v>
      </c>
      <c r="F139" s="92">
        <v>2022</v>
      </c>
      <c r="G139" s="92" t="s">
        <v>392</v>
      </c>
      <c r="H139" s="92">
        <v>15</v>
      </c>
      <c r="I139" s="92">
        <v>0</v>
      </c>
      <c r="K139" s="3" t="s">
        <v>123</v>
      </c>
    </row>
    <row r="140" spans="2:11">
      <c r="B140" s="291">
        <v>1575</v>
      </c>
      <c r="D140" s="146">
        <v>26997284.606696233</v>
      </c>
      <c r="F140" s="92">
        <v>2022</v>
      </c>
      <c r="G140" s="92" t="s">
        <v>392</v>
      </c>
      <c r="H140" s="92">
        <v>30</v>
      </c>
      <c r="I140" s="92">
        <v>0</v>
      </c>
      <c r="K140" s="3" t="s">
        <v>123</v>
      </c>
    </row>
    <row r="141" spans="2:11">
      <c r="B141" s="291">
        <v>1576</v>
      </c>
      <c r="D141" s="146">
        <v>38137.497252574271</v>
      </c>
      <c r="F141" s="92">
        <v>2022</v>
      </c>
      <c r="G141" s="92" t="s">
        <v>392</v>
      </c>
      <c r="H141" s="92">
        <v>55</v>
      </c>
      <c r="I141" s="92">
        <v>0</v>
      </c>
      <c r="K141" s="3" t="s">
        <v>123</v>
      </c>
    </row>
    <row r="142" spans="2:11">
      <c r="B142" s="291">
        <v>1577</v>
      </c>
      <c r="D142" s="146">
        <v>0</v>
      </c>
      <c r="F142" s="92">
        <v>2022</v>
      </c>
      <c r="G142" s="92" t="s">
        <v>392</v>
      </c>
      <c r="H142" s="92">
        <v>0</v>
      </c>
      <c r="I142" s="92">
        <v>0</v>
      </c>
      <c r="K142" s="3" t="s">
        <v>123</v>
      </c>
    </row>
    <row r="143" spans="2:11">
      <c r="B143" s="291">
        <v>1578</v>
      </c>
      <c r="D143" s="146">
        <v>634750.01622076391</v>
      </c>
      <c r="F143" s="92">
        <v>2022</v>
      </c>
      <c r="G143" s="92" t="s">
        <v>392</v>
      </c>
      <c r="H143" s="92">
        <v>5</v>
      </c>
      <c r="I143" s="92">
        <v>0</v>
      </c>
      <c r="K143" s="3" t="s">
        <v>123</v>
      </c>
    </row>
    <row r="144" spans="2:11">
      <c r="B144" s="291">
        <v>1579</v>
      </c>
      <c r="D144" s="146">
        <v>4698767.1893813582</v>
      </c>
      <c r="F144" s="92">
        <v>2022</v>
      </c>
      <c r="G144" s="92" t="s">
        <v>392</v>
      </c>
      <c r="H144" s="92">
        <v>10</v>
      </c>
      <c r="I144" s="92">
        <v>0</v>
      </c>
      <c r="K144" s="3" t="s">
        <v>123</v>
      </c>
    </row>
    <row r="145" spans="2:11">
      <c r="B145" s="291">
        <v>1580</v>
      </c>
      <c r="D145" s="146">
        <v>7689046.2734296853</v>
      </c>
      <c r="F145" s="92">
        <v>2022</v>
      </c>
      <c r="G145" s="92" t="s">
        <v>392</v>
      </c>
      <c r="H145" s="92">
        <v>15</v>
      </c>
      <c r="I145" s="92">
        <v>0</v>
      </c>
      <c r="K145" s="3" t="s">
        <v>123</v>
      </c>
    </row>
    <row r="146" spans="2:11">
      <c r="B146" s="291">
        <v>1581</v>
      </c>
      <c r="D146" s="146">
        <v>7629142.1872137021</v>
      </c>
      <c r="F146" s="92">
        <v>2022</v>
      </c>
      <c r="G146" s="92" t="s">
        <v>392</v>
      </c>
      <c r="H146" s="92">
        <v>30</v>
      </c>
      <c r="I146" s="92">
        <v>0</v>
      </c>
      <c r="K146" s="3" t="s">
        <v>123</v>
      </c>
    </row>
    <row r="147" spans="2:11">
      <c r="B147" s="291">
        <v>1582</v>
      </c>
      <c r="D147" s="146">
        <v>0</v>
      </c>
      <c r="F147" s="92">
        <v>2022</v>
      </c>
      <c r="G147" s="92" t="s">
        <v>392</v>
      </c>
      <c r="H147" s="92">
        <v>55</v>
      </c>
      <c r="I147" s="92">
        <v>0</v>
      </c>
      <c r="K147" s="3" t="s">
        <v>123</v>
      </c>
    </row>
    <row r="148" spans="2:11">
      <c r="B148" s="291">
        <v>1583</v>
      </c>
      <c r="D148" s="146">
        <v>0</v>
      </c>
      <c r="F148" s="92">
        <v>2023</v>
      </c>
      <c r="G148" s="92" t="s">
        <v>392</v>
      </c>
      <c r="H148" s="92">
        <v>0</v>
      </c>
      <c r="I148" s="92">
        <v>1</v>
      </c>
      <c r="K148" s="3" t="s">
        <v>123</v>
      </c>
    </row>
    <row r="149" spans="2:11">
      <c r="B149" s="291">
        <v>1584</v>
      </c>
      <c r="D149" s="146">
        <v>17108593.055793844</v>
      </c>
      <c r="F149" s="92">
        <v>2023</v>
      </c>
      <c r="G149" s="92" t="s">
        <v>392</v>
      </c>
      <c r="H149" s="92">
        <v>5</v>
      </c>
      <c r="I149" s="92">
        <v>1</v>
      </c>
      <c r="K149" s="3" t="s">
        <v>123</v>
      </c>
    </row>
    <row r="150" spans="2:11">
      <c r="B150" s="291">
        <v>1585</v>
      </c>
      <c r="D150" s="146">
        <v>5189405.6983328583</v>
      </c>
      <c r="F150" s="92">
        <v>2023</v>
      </c>
      <c r="G150" s="92" t="s">
        <v>392</v>
      </c>
      <c r="H150" s="92">
        <v>10</v>
      </c>
      <c r="I150" s="92">
        <v>1</v>
      </c>
      <c r="K150" s="3" t="s">
        <v>123</v>
      </c>
    </row>
    <row r="151" spans="2:11">
      <c r="B151" s="291">
        <v>1586</v>
      </c>
      <c r="D151" s="146">
        <v>24478081.893697795</v>
      </c>
      <c r="F151" s="92">
        <v>2023</v>
      </c>
      <c r="G151" s="92" t="s">
        <v>392</v>
      </c>
      <c r="H151" s="92">
        <v>15</v>
      </c>
      <c r="I151" s="92">
        <v>1</v>
      </c>
      <c r="K151" s="3" t="s">
        <v>123</v>
      </c>
    </row>
    <row r="152" spans="2:11">
      <c r="B152" s="291">
        <v>1587</v>
      </c>
      <c r="D152" s="146">
        <v>30064216.026644446</v>
      </c>
      <c r="F152" s="92">
        <v>2023</v>
      </c>
      <c r="G152" s="92" t="s">
        <v>392</v>
      </c>
      <c r="H152" s="92">
        <v>30</v>
      </c>
      <c r="I152" s="92">
        <v>1</v>
      </c>
      <c r="K152" s="3" t="s">
        <v>123</v>
      </c>
    </row>
    <row r="153" spans="2:11">
      <c r="B153" s="291">
        <v>1588</v>
      </c>
      <c r="D153" s="146">
        <v>83221993.783928484</v>
      </c>
      <c r="F153" s="92">
        <v>2023</v>
      </c>
      <c r="G153" s="92" t="s">
        <v>392</v>
      </c>
      <c r="H153" s="92">
        <v>55</v>
      </c>
      <c r="I153" s="92">
        <v>1</v>
      </c>
      <c r="K153" s="3" t="s">
        <v>123</v>
      </c>
    </row>
    <row r="154" spans="2:11">
      <c r="B154" s="291">
        <v>1589</v>
      </c>
      <c r="D154" s="146">
        <v>-31765.350435964345</v>
      </c>
      <c r="F154" s="92">
        <v>2023</v>
      </c>
      <c r="G154" s="92" t="s">
        <v>392</v>
      </c>
      <c r="H154" s="92">
        <v>0</v>
      </c>
      <c r="I154" s="92">
        <v>0</v>
      </c>
      <c r="K154" s="3" t="s">
        <v>123</v>
      </c>
    </row>
    <row r="155" spans="2:11">
      <c r="B155" s="291">
        <v>1590</v>
      </c>
      <c r="D155" s="146">
        <v>447398.87404737127</v>
      </c>
      <c r="F155" s="92">
        <v>2023</v>
      </c>
      <c r="G155" s="92" t="s">
        <v>392</v>
      </c>
      <c r="H155" s="92">
        <v>5</v>
      </c>
      <c r="I155" s="92">
        <v>0</v>
      </c>
      <c r="K155" s="3" t="s">
        <v>123</v>
      </c>
    </row>
    <row r="156" spans="2:11">
      <c r="B156" s="291">
        <v>1591</v>
      </c>
      <c r="D156" s="146">
        <v>1604404.348819593</v>
      </c>
      <c r="F156" s="92">
        <v>2023</v>
      </c>
      <c r="G156" s="92" t="s">
        <v>392</v>
      </c>
      <c r="H156" s="92">
        <v>10</v>
      </c>
      <c r="I156" s="92">
        <v>0</v>
      </c>
      <c r="K156" s="3" t="s">
        <v>123</v>
      </c>
    </row>
    <row r="157" spans="2:11">
      <c r="B157" s="291">
        <v>1592</v>
      </c>
      <c r="D157" s="146">
        <v>4821440.5639281506</v>
      </c>
      <c r="F157" s="92">
        <v>2023</v>
      </c>
      <c r="G157" s="92" t="s">
        <v>392</v>
      </c>
      <c r="H157" s="92">
        <v>15</v>
      </c>
      <c r="I157" s="92">
        <v>0</v>
      </c>
      <c r="K157" s="3" t="s">
        <v>123</v>
      </c>
    </row>
    <row r="158" spans="2:11">
      <c r="B158" s="291">
        <v>1593</v>
      </c>
      <c r="D158" s="146">
        <v>27346413.49123003</v>
      </c>
      <c r="F158" s="92">
        <v>2023</v>
      </c>
      <c r="G158" s="92" t="s">
        <v>392</v>
      </c>
      <c r="H158" s="92">
        <v>30</v>
      </c>
      <c r="I158" s="92">
        <v>0</v>
      </c>
      <c r="K158" s="3" t="s">
        <v>123</v>
      </c>
    </row>
    <row r="159" spans="2:11">
      <c r="B159" s="291">
        <v>1594</v>
      </c>
      <c r="D159" s="146">
        <v>38630.691367044557</v>
      </c>
      <c r="F159" s="92">
        <v>2023</v>
      </c>
      <c r="G159" s="92" t="s">
        <v>392</v>
      </c>
      <c r="H159" s="92">
        <v>55</v>
      </c>
      <c r="I159" s="92">
        <v>0</v>
      </c>
      <c r="K159" s="3" t="s">
        <v>123</v>
      </c>
    </row>
    <row r="160" spans="2:11">
      <c r="B160" s="291">
        <v>1595</v>
      </c>
      <c r="D160" s="146">
        <v>0</v>
      </c>
      <c r="F160" s="92">
        <v>2023</v>
      </c>
      <c r="G160" s="92" t="s">
        <v>392</v>
      </c>
      <c r="H160" s="92">
        <v>0</v>
      </c>
      <c r="I160" s="92">
        <v>0</v>
      </c>
      <c r="K160" s="3" t="s">
        <v>123</v>
      </c>
    </row>
    <row r="161" spans="2:11">
      <c r="B161" s="291">
        <v>1596</v>
      </c>
      <c r="D161" s="146">
        <v>642958.60343053075</v>
      </c>
      <c r="F161" s="92">
        <v>2023</v>
      </c>
      <c r="G161" s="92" t="s">
        <v>392</v>
      </c>
      <c r="H161" s="92">
        <v>5</v>
      </c>
      <c r="I161" s="92">
        <v>0</v>
      </c>
      <c r="K161" s="3" t="s">
        <v>123</v>
      </c>
    </row>
    <row r="162" spans="2:11">
      <c r="B162" s="291">
        <v>1597</v>
      </c>
      <c r="D162" s="146">
        <v>4759531.6466744374</v>
      </c>
      <c r="F162" s="92">
        <v>2023</v>
      </c>
      <c r="G162" s="92" t="s">
        <v>392</v>
      </c>
      <c r="H162" s="92">
        <v>10</v>
      </c>
      <c r="I162" s="92">
        <v>0</v>
      </c>
      <c r="K162" s="3" t="s">
        <v>123</v>
      </c>
    </row>
    <row r="163" spans="2:11">
      <c r="B163" s="291">
        <v>1598</v>
      </c>
      <c r="D163" s="146">
        <v>7788481.0198376775</v>
      </c>
      <c r="F163" s="92">
        <v>2023</v>
      </c>
      <c r="G163" s="92" t="s">
        <v>392</v>
      </c>
      <c r="H163" s="92">
        <v>15</v>
      </c>
      <c r="I163" s="92">
        <v>0</v>
      </c>
      <c r="K163" s="3" t="s">
        <v>123</v>
      </c>
    </row>
    <row r="164" spans="2:11">
      <c r="B164" s="291">
        <v>1599</v>
      </c>
      <c r="D164" s="146">
        <v>7727802.2539787497</v>
      </c>
      <c r="F164" s="92">
        <v>2023</v>
      </c>
      <c r="G164" s="92" t="s">
        <v>392</v>
      </c>
      <c r="H164" s="92">
        <v>30</v>
      </c>
      <c r="I164" s="92">
        <v>0</v>
      </c>
      <c r="K164" s="3" t="s">
        <v>123</v>
      </c>
    </row>
    <row r="165" spans="2:11">
      <c r="B165" s="291">
        <v>1600</v>
      </c>
      <c r="D165" s="146">
        <v>0</v>
      </c>
      <c r="F165" s="92">
        <v>2023</v>
      </c>
      <c r="G165" s="92" t="s">
        <v>392</v>
      </c>
      <c r="H165" s="92">
        <v>55</v>
      </c>
      <c r="I165" s="92">
        <v>0</v>
      </c>
      <c r="K165" s="3" t="s">
        <v>123</v>
      </c>
    </row>
    <row r="166" spans="2:11">
      <c r="B166" s="291">
        <v>1601</v>
      </c>
      <c r="D166" s="146">
        <v>0</v>
      </c>
      <c r="F166" s="92">
        <v>2024</v>
      </c>
      <c r="G166" s="92" t="s">
        <v>392</v>
      </c>
      <c r="H166" s="92">
        <v>0</v>
      </c>
      <c r="I166" s="92">
        <v>1</v>
      </c>
      <c r="K166" s="3" t="s">
        <v>123</v>
      </c>
    </row>
    <row r="167" spans="2:11">
      <c r="B167" s="291">
        <v>1602</v>
      </c>
      <c r="D167" s="146">
        <v>17329841.381191369</v>
      </c>
      <c r="F167" s="92">
        <v>2024</v>
      </c>
      <c r="G167" s="92" t="s">
        <v>392</v>
      </c>
      <c r="H167" s="92">
        <v>5</v>
      </c>
      <c r="I167" s="92">
        <v>1</v>
      </c>
      <c r="K167" s="3" t="s">
        <v>123</v>
      </c>
    </row>
    <row r="168" spans="2:11">
      <c r="B168" s="291">
        <v>1603</v>
      </c>
      <c r="D168" s="146">
        <v>5256515.0928236982</v>
      </c>
      <c r="F168" s="92">
        <v>2024</v>
      </c>
      <c r="G168" s="92" t="s">
        <v>392</v>
      </c>
      <c r="H168" s="92">
        <v>10</v>
      </c>
      <c r="I168" s="92">
        <v>1</v>
      </c>
      <c r="K168" s="3" t="s">
        <v>123</v>
      </c>
    </row>
    <row r="169" spans="2:11">
      <c r="B169" s="291">
        <v>1604</v>
      </c>
      <c r="D169" s="146">
        <v>24794632.448747091</v>
      </c>
      <c r="F169" s="92">
        <v>2024</v>
      </c>
      <c r="G169" s="92" t="s">
        <v>392</v>
      </c>
      <c r="H169" s="92">
        <v>15</v>
      </c>
      <c r="I169" s="92">
        <v>1</v>
      </c>
      <c r="K169" s="3" t="s">
        <v>123</v>
      </c>
    </row>
    <row r="170" spans="2:11">
      <c r="B170" s="291">
        <v>1605</v>
      </c>
      <c r="D170" s="146">
        <v>30453006.468301013</v>
      </c>
      <c r="F170" s="92">
        <v>2024</v>
      </c>
      <c r="G170" s="92" t="s">
        <v>392</v>
      </c>
      <c r="H170" s="92">
        <v>30</v>
      </c>
      <c r="I170" s="92">
        <v>1</v>
      </c>
      <c r="K170" s="3" t="s">
        <v>123</v>
      </c>
    </row>
    <row r="171" spans="2:11">
      <c r="B171" s="291">
        <v>1606</v>
      </c>
      <c r="D171" s="146">
        <v>84298220.607542247</v>
      </c>
      <c r="F171" s="92">
        <v>2024</v>
      </c>
      <c r="G171" s="92" t="s">
        <v>392</v>
      </c>
      <c r="H171" s="92">
        <v>55</v>
      </c>
      <c r="I171" s="92">
        <v>1</v>
      </c>
      <c r="K171" s="3" t="s">
        <v>123</v>
      </c>
    </row>
    <row r="172" spans="2:11">
      <c r="B172" s="291">
        <v>1607</v>
      </c>
      <c r="D172" s="146">
        <v>-32176.139947802236</v>
      </c>
      <c r="F172" s="92">
        <v>2024</v>
      </c>
      <c r="G172" s="92" t="s">
        <v>392</v>
      </c>
      <c r="H172" s="92">
        <v>0</v>
      </c>
      <c r="I172" s="92">
        <v>0</v>
      </c>
      <c r="K172" s="3" t="s">
        <v>123</v>
      </c>
    </row>
    <row r="173" spans="2:11">
      <c r="B173" s="291">
        <v>1608</v>
      </c>
      <c r="D173" s="146">
        <v>453184.63628655189</v>
      </c>
      <c r="F173" s="92">
        <v>2024</v>
      </c>
      <c r="G173" s="92" t="s">
        <v>392</v>
      </c>
      <c r="H173" s="92">
        <v>5</v>
      </c>
      <c r="I173" s="92">
        <v>0</v>
      </c>
      <c r="K173" s="3" t="s">
        <v>123</v>
      </c>
    </row>
    <row r="174" spans="2:11">
      <c r="B174" s="291">
        <v>1609</v>
      </c>
      <c r="D174" s="146">
        <v>1625152.505858528</v>
      </c>
      <c r="F174" s="92">
        <v>2024</v>
      </c>
      <c r="G174" s="92" t="s">
        <v>392</v>
      </c>
      <c r="H174" s="92">
        <v>10</v>
      </c>
      <c r="I174" s="92">
        <v>0</v>
      </c>
      <c r="K174" s="3" t="s">
        <v>123</v>
      </c>
    </row>
    <row r="175" spans="2:11">
      <c r="B175" s="291">
        <v>1610</v>
      </c>
      <c r="D175" s="146">
        <v>4883791.4333008695</v>
      </c>
      <c r="F175" s="92">
        <v>2024</v>
      </c>
      <c r="G175" s="92" t="s">
        <v>392</v>
      </c>
      <c r="H175" s="92">
        <v>15</v>
      </c>
      <c r="I175" s="92">
        <v>0</v>
      </c>
      <c r="K175" s="3" t="s">
        <v>123</v>
      </c>
    </row>
    <row r="176" spans="2:11">
      <c r="B176" s="291">
        <v>1611</v>
      </c>
      <c r="D176" s="146">
        <v>27700057.310498618</v>
      </c>
      <c r="F176" s="92">
        <v>2024</v>
      </c>
      <c r="G176" s="92" t="s">
        <v>392</v>
      </c>
      <c r="H176" s="92">
        <v>30</v>
      </c>
      <c r="I176" s="92">
        <v>0</v>
      </c>
      <c r="K176" s="3" t="s">
        <v>123</v>
      </c>
    </row>
    <row r="177" spans="2:11">
      <c r="B177" s="291">
        <v>1612</v>
      </c>
      <c r="D177" s="146">
        <v>39130.263467803168</v>
      </c>
      <c r="F177" s="92">
        <v>2024</v>
      </c>
      <c r="G177" s="92" t="s">
        <v>392</v>
      </c>
      <c r="H177" s="92">
        <v>55</v>
      </c>
      <c r="I177" s="92">
        <v>0</v>
      </c>
      <c r="K177" s="3" t="s">
        <v>123</v>
      </c>
    </row>
    <row r="178" spans="2:11">
      <c r="B178" s="291">
        <v>1613</v>
      </c>
      <c r="D178" s="146">
        <v>0</v>
      </c>
      <c r="F178" s="92">
        <v>2024</v>
      </c>
      <c r="G178" s="92" t="s">
        <v>392</v>
      </c>
      <c r="H178" s="92">
        <v>0</v>
      </c>
      <c r="I178" s="92">
        <v>0</v>
      </c>
      <c r="K178" s="3" t="s">
        <v>123</v>
      </c>
    </row>
    <row r="179" spans="2:11">
      <c r="B179" s="291">
        <v>1614</v>
      </c>
      <c r="D179" s="146">
        <v>651273.34409009432</v>
      </c>
      <c r="F179" s="92">
        <v>2024</v>
      </c>
      <c r="G179" s="92" t="s">
        <v>392</v>
      </c>
      <c r="H179" s="92">
        <v>5</v>
      </c>
      <c r="I179" s="92">
        <v>0</v>
      </c>
      <c r="K179" s="3" t="s">
        <v>123</v>
      </c>
    </row>
    <row r="180" spans="2:11">
      <c r="B180" s="291">
        <v>1615</v>
      </c>
      <c r="D180" s="146">
        <v>4821081.9099292308</v>
      </c>
      <c r="F180" s="92">
        <v>2024</v>
      </c>
      <c r="G180" s="92" t="s">
        <v>392</v>
      </c>
      <c r="H180" s="92">
        <v>10</v>
      </c>
      <c r="I180" s="92">
        <v>0</v>
      </c>
      <c r="K180" s="3" t="s">
        <v>123</v>
      </c>
    </row>
    <row r="181" spans="2:11">
      <c r="B181" s="291">
        <v>1616</v>
      </c>
      <c r="D181" s="146">
        <v>7889201.656386218</v>
      </c>
      <c r="F181" s="92">
        <v>2024</v>
      </c>
      <c r="G181" s="92" t="s">
        <v>392</v>
      </c>
      <c r="H181" s="92">
        <v>15</v>
      </c>
      <c r="I181" s="92">
        <v>0</v>
      </c>
      <c r="K181" s="3" t="s">
        <v>123</v>
      </c>
    </row>
    <row r="182" spans="2:11">
      <c r="B182" s="291">
        <v>1617</v>
      </c>
      <c r="D182" s="146">
        <v>7827738.1927272025</v>
      </c>
      <c r="F182" s="92">
        <v>2024</v>
      </c>
      <c r="G182" s="92" t="s">
        <v>392</v>
      </c>
      <c r="H182" s="92">
        <v>30</v>
      </c>
      <c r="I182" s="92">
        <v>0</v>
      </c>
      <c r="K182" s="3" t="s">
        <v>123</v>
      </c>
    </row>
    <row r="183" spans="2:11">
      <c r="B183" s="291">
        <v>1618</v>
      </c>
      <c r="D183" s="146">
        <v>0</v>
      </c>
      <c r="F183" s="92">
        <v>2024</v>
      </c>
      <c r="G183" s="92" t="s">
        <v>392</v>
      </c>
      <c r="H183" s="92">
        <v>55</v>
      </c>
      <c r="I183" s="92">
        <v>0</v>
      </c>
      <c r="K183" s="3" t="s">
        <v>123</v>
      </c>
    </row>
    <row r="184" spans="2:11">
      <c r="B184" s="291">
        <v>1619</v>
      </c>
      <c r="D184" s="146">
        <v>0</v>
      </c>
      <c r="F184" s="92">
        <v>2025</v>
      </c>
      <c r="G184" s="92" t="s">
        <v>392</v>
      </c>
      <c r="H184" s="92">
        <v>0</v>
      </c>
      <c r="I184" s="92">
        <v>1</v>
      </c>
      <c r="K184" s="3" t="s">
        <v>123</v>
      </c>
    </row>
    <row r="185" spans="2:11">
      <c r="B185" s="291">
        <v>1620</v>
      </c>
      <c r="D185" s="146">
        <v>17553950.889932934</v>
      </c>
      <c r="F185" s="92">
        <v>2025</v>
      </c>
      <c r="G185" s="92" t="s">
        <v>392</v>
      </c>
      <c r="H185" s="92">
        <v>5</v>
      </c>
      <c r="I185" s="92">
        <v>1</v>
      </c>
      <c r="K185" s="3" t="s">
        <v>123</v>
      </c>
    </row>
    <row r="186" spans="2:11">
      <c r="B186" s="291">
        <v>1621</v>
      </c>
      <c r="D186" s="146">
        <v>5324492.346004094</v>
      </c>
      <c r="F186" s="92">
        <v>2025</v>
      </c>
      <c r="G186" s="92" t="s">
        <v>392</v>
      </c>
      <c r="H186" s="92">
        <v>10</v>
      </c>
      <c r="I186" s="92">
        <v>1</v>
      </c>
      <c r="K186" s="3" t="s">
        <v>123</v>
      </c>
    </row>
    <row r="187" spans="2:11">
      <c r="B187" s="291">
        <v>1622</v>
      </c>
      <c r="D187" s="146">
        <v>25115276.635574285</v>
      </c>
      <c r="F187" s="92">
        <v>2025</v>
      </c>
      <c r="G187" s="92" t="s">
        <v>392</v>
      </c>
      <c r="H187" s="92">
        <v>15</v>
      </c>
      <c r="I187" s="92">
        <v>1</v>
      </c>
      <c r="K187" s="3" t="s">
        <v>123</v>
      </c>
    </row>
    <row r="188" spans="2:11">
      <c r="B188" s="291">
        <v>1623</v>
      </c>
      <c r="D188" s="146">
        <v>30846824.747949079</v>
      </c>
      <c r="F188" s="92">
        <v>2025</v>
      </c>
      <c r="G188" s="92" t="s">
        <v>392</v>
      </c>
      <c r="H188" s="92">
        <v>30</v>
      </c>
      <c r="I188" s="92">
        <v>1</v>
      </c>
      <c r="K188" s="3" t="s">
        <v>123</v>
      </c>
    </row>
    <row r="189" spans="2:11">
      <c r="B189" s="291">
        <v>1624</v>
      </c>
      <c r="D189" s="146">
        <v>85388365.196438983</v>
      </c>
      <c r="F189" s="92">
        <v>2025</v>
      </c>
      <c r="G189" s="92" t="s">
        <v>392</v>
      </c>
      <c r="H189" s="92">
        <v>55</v>
      </c>
      <c r="I189" s="92">
        <v>1</v>
      </c>
      <c r="K189" s="3" t="s">
        <v>123</v>
      </c>
    </row>
    <row r="190" spans="2:11">
      <c r="B190" s="291">
        <v>1625</v>
      </c>
      <c r="D190" s="146">
        <v>-32592.241789607215</v>
      </c>
      <c r="F190" s="92">
        <v>2025</v>
      </c>
      <c r="G190" s="92" t="s">
        <v>392</v>
      </c>
      <c r="H190" s="92">
        <v>0</v>
      </c>
      <c r="I190" s="92">
        <v>0</v>
      </c>
      <c r="K190" s="3" t="s">
        <v>123</v>
      </c>
    </row>
    <row r="191" spans="2:11">
      <c r="B191" s="291">
        <v>1626</v>
      </c>
      <c r="D191" s="146">
        <v>459045.22000300954</v>
      </c>
      <c r="F191" s="92">
        <v>2025</v>
      </c>
      <c r="G191" s="92" t="s">
        <v>392</v>
      </c>
      <c r="H191" s="92">
        <v>5</v>
      </c>
      <c r="I191" s="92">
        <v>0</v>
      </c>
      <c r="K191" s="3" t="s">
        <v>123</v>
      </c>
    </row>
    <row r="192" spans="2:11">
      <c r="B192" s="291">
        <v>1627</v>
      </c>
      <c r="D192" s="146">
        <v>1646168.9780642902</v>
      </c>
      <c r="F192" s="92">
        <v>2025</v>
      </c>
      <c r="G192" s="92" t="s">
        <v>392</v>
      </c>
      <c r="H192" s="92">
        <v>10</v>
      </c>
      <c r="I192" s="92">
        <v>0</v>
      </c>
      <c r="K192" s="3" t="s">
        <v>123</v>
      </c>
    </row>
    <row r="193" spans="2:11">
      <c r="B193" s="291">
        <v>1628</v>
      </c>
      <c r="D193" s="146">
        <v>4946948.6241163164</v>
      </c>
      <c r="F193" s="92">
        <v>2025</v>
      </c>
      <c r="G193" s="92" t="s">
        <v>392</v>
      </c>
      <c r="H193" s="92">
        <v>15</v>
      </c>
      <c r="I193" s="92">
        <v>0</v>
      </c>
      <c r="K193" s="3" t="s">
        <v>123</v>
      </c>
    </row>
    <row r="194" spans="2:11">
      <c r="B194" s="291">
        <v>1629</v>
      </c>
      <c r="D194" s="146">
        <v>28058274.451637983</v>
      </c>
      <c r="F194" s="92">
        <v>2025</v>
      </c>
      <c r="G194" s="92" t="s">
        <v>392</v>
      </c>
      <c r="H194" s="92">
        <v>30</v>
      </c>
      <c r="I194" s="92">
        <v>0</v>
      </c>
      <c r="K194" s="3" t="s">
        <v>123</v>
      </c>
    </row>
    <row r="195" spans="2:11">
      <c r="B195" s="291">
        <v>1630</v>
      </c>
      <c r="D195" s="146">
        <v>39636.2960349688</v>
      </c>
      <c r="F195" s="92">
        <v>2025</v>
      </c>
      <c r="G195" s="92" t="s">
        <v>392</v>
      </c>
      <c r="H195" s="92">
        <v>55</v>
      </c>
      <c r="I195" s="92">
        <v>0</v>
      </c>
      <c r="K195" s="3" t="s">
        <v>123</v>
      </c>
    </row>
    <row r="196" spans="2:11">
      <c r="B196" s="291">
        <v>1631</v>
      </c>
      <c r="D196" s="146">
        <v>0</v>
      </c>
      <c r="F196" s="92">
        <v>2025</v>
      </c>
      <c r="G196" s="92" t="s">
        <v>392</v>
      </c>
      <c r="H196" s="92">
        <v>0</v>
      </c>
      <c r="I196" s="92">
        <v>0</v>
      </c>
      <c r="K196" s="3" t="s">
        <v>123</v>
      </c>
    </row>
    <row r="197" spans="2:11">
      <c r="B197" s="291">
        <v>1632</v>
      </c>
      <c r="D197" s="146">
        <v>659695.61097586737</v>
      </c>
      <c r="F197" s="92">
        <v>2025</v>
      </c>
      <c r="G197" s="92" t="s">
        <v>392</v>
      </c>
      <c r="H197" s="92">
        <v>5</v>
      </c>
      <c r="I197" s="92">
        <v>0</v>
      </c>
      <c r="K197" s="3" t="s">
        <v>123</v>
      </c>
    </row>
    <row r="198" spans="2:11">
      <c r="B198" s="291">
        <v>1633</v>
      </c>
      <c r="D198" s="146">
        <v>4883428.1411884353</v>
      </c>
      <c r="F198" s="92">
        <v>2025</v>
      </c>
      <c r="G198" s="92" t="s">
        <v>392</v>
      </c>
      <c r="H198" s="92">
        <v>10</v>
      </c>
      <c r="I198" s="92">
        <v>0</v>
      </c>
      <c r="K198" s="3" t="s">
        <v>123</v>
      </c>
    </row>
    <row r="199" spans="2:11">
      <c r="B199" s="291">
        <v>1634</v>
      </c>
      <c r="D199" s="146">
        <v>7991224.8122066045</v>
      </c>
      <c r="F199" s="92">
        <v>2025</v>
      </c>
      <c r="G199" s="92" t="s">
        <v>392</v>
      </c>
      <c r="H199" s="92">
        <v>15</v>
      </c>
      <c r="I199" s="92">
        <v>0</v>
      </c>
      <c r="K199" s="3" t="s">
        <v>123</v>
      </c>
    </row>
    <row r="200" spans="2:11">
      <c r="B200" s="291">
        <v>1635</v>
      </c>
      <c r="D200" s="146">
        <v>7928966.50303555</v>
      </c>
      <c r="F200" s="92">
        <v>2025</v>
      </c>
      <c r="G200" s="92" t="s">
        <v>392</v>
      </c>
      <c r="H200" s="92">
        <v>30</v>
      </c>
      <c r="I200" s="92">
        <v>0</v>
      </c>
      <c r="K200" s="3" t="s">
        <v>123</v>
      </c>
    </row>
    <row r="201" spans="2:11">
      <c r="B201" s="291">
        <v>1636</v>
      </c>
      <c r="D201" s="146">
        <v>0</v>
      </c>
      <c r="F201" s="92">
        <v>2025</v>
      </c>
      <c r="G201" s="92" t="s">
        <v>392</v>
      </c>
      <c r="H201" s="92">
        <v>55</v>
      </c>
      <c r="I201" s="92">
        <v>0</v>
      </c>
      <c r="K201" s="3" t="s">
        <v>123</v>
      </c>
    </row>
    <row r="202" spans="2:11">
      <c r="B202" s="291">
        <v>1637</v>
      </c>
      <c r="D202" s="146">
        <v>0</v>
      </c>
      <c r="F202" s="92">
        <v>2026</v>
      </c>
      <c r="G202" s="92" t="s">
        <v>392</v>
      </c>
      <c r="H202" s="92">
        <v>0</v>
      </c>
      <c r="I202" s="92">
        <v>1</v>
      </c>
      <c r="K202" s="3" t="s">
        <v>123</v>
      </c>
    </row>
    <row r="203" spans="2:11">
      <c r="B203" s="291">
        <v>1638</v>
      </c>
      <c r="D203" s="146">
        <v>17780958.582841545</v>
      </c>
      <c r="F203" s="92">
        <v>2026</v>
      </c>
      <c r="G203" s="92" t="s">
        <v>392</v>
      </c>
      <c r="H203" s="92">
        <v>5</v>
      </c>
      <c r="I203" s="92">
        <v>1</v>
      </c>
      <c r="K203" s="3" t="s">
        <v>123</v>
      </c>
    </row>
    <row r="204" spans="2:11">
      <c r="B204" s="291">
        <v>1639</v>
      </c>
      <c r="D204" s="146">
        <v>5393348.681022618</v>
      </c>
      <c r="F204" s="92">
        <v>2026</v>
      </c>
      <c r="G204" s="92" t="s">
        <v>392</v>
      </c>
      <c r="H204" s="92">
        <v>10</v>
      </c>
      <c r="I204" s="92">
        <v>1</v>
      </c>
      <c r="K204" s="3" t="s">
        <v>123</v>
      </c>
    </row>
    <row r="205" spans="2:11">
      <c r="B205" s="291">
        <v>1640</v>
      </c>
      <c r="D205" s="146">
        <v>25440067.393025532</v>
      </c>
      <c r="F205" s="92">
        <v>2026</v>
      </c>
      <c r="G205" s="92" t="s">
        <v>392</v>
      </c>
      <c r="H205" s="92">
        <v>15</v>
      </c>
      <c r="I205" s="92">
        <v>1</v>
      </c>
      <c r="K205" s="3" t="s">
        <v>123</v>
      </c>
    </row>
    <row r="206" spans="2:11">
      <c r="B206" s="291">
        <v>1641</v>
      </c>
      <c r="D206" s="146">
        <v>31245735.885589555</v>
      </c>
      <c r="F206" s="92">
        <v>2026</v>
      </c>
      <c r="G206" s="92" t="s">
        <v>392</v>
      </c>
      <c r="H206" s="92">
        <v>30</v>
      </c>
      <c r="I206" s="92">
        <v>1</v>
      </c>
      <c r="K206" s="3" t="s">
        <v>123</v>
      </c>
    </row>
    <row r="207" spans="2:11">
      <c r="B207" s="291">
        <v>1642</v>
      </c>
      <c r="D207" s="146">
        <v>86492607.535159335</v>
      </c>
      <c r="F207" s="92">
        <v>2026</v>
      </c>
      <c r="G207" s="92" t="s">
        <v>392</v>
      </c>
      <c r="H207" s="92">
        <v>55</v>
      </c>
      <c r="I207" s="92">
        <v>1</v>
      </c>
      <c r="K207" s="3" t="s">
        <v>123</v>
      </c>
    </row>
    <row r="208" spans="2:11">
      <c r="B208" s="291">
        <v>1643</v>
      </c>
      <c r="D208" s="146">
        <v>-33013.724660430409</v>
      </c>
      <c r="F208" s="92">
        <v>2026</v>
      </c>
      <c r="G208" s="92" t="s">
        <v>392</v>
      </c>
      <c r="H208" s="92">
        <v>0</v>
      </c>
      <c r="I208" s="92">
        <v>0</v>
      </c>
      <c r="K208" s="3" t="s">
        <v>123</v>
      </c>
    </row>
    <row r="209" spans="2:11">
      <c r="B209" s="291">
        <v>1644</v>
      </c>
      <c r="D209" s="146">
        <v>464981.59278808843</v>
      </c>
      <c r="F209" s="92">
        <v>2026</v>
      </c>
      <c r="G209" s="92" t="s">
        <v>392</v>
      </c>
      <c r="H209" s="92">
        <v>5</v>
      </c>
      <c r="I209" s="92">
        <v>0</v>
      </c>
      <c r="K209" s="3" t="s">
        <v>123</v>
      </c>
    </row>
    <row r="210" spans="2:11">
      <c r="B210" s="291">
        <v>1645</v>
      </c>
      <c r="D210" s="146">
        <v>1667457.2352886177</v>
      </c>
      <c r="F210" s="92">
        <v>2026</v>
      </c>
      <c r="G210" s="92" t="s">
        <v>392</v>
      </c>
      <c r="H210" s="92">
        <v>10</v>
      </c>
      <c r="I210" s="92">
        <v>0</v>
      </c>
      <c r="K210" s="3" t="s">
        <v>123</v>
      </c>
    </row>
    <row r="211" spans="2:11">
      <c r="B211" s="291">
        <v>1646</v>
      </c>
      <c r="D211" s="146">
        <v>5010922.5637233881</v>
      </c>
      <c r="F211" s="92">
        <v>2026</v>
      </c>
      <c r="G211" s="92" t="s">
        <v>392</v>
      </c>
      <c r="H211" s="92">
        <v>15</v>
      </c>
      <c r="I211" s="92">
        <v>0</v>
      </c>
      <c r="K211" s="3" t="s">
        <v>123</v>
      </c>
    </row>
    <row r="212" spans="2:11">
      <c r="B212" s="291">
        <v>1647</v>
      </c>
      <c r="D212" s="146">
        <v>28421124.056846563</v>
      </c>
      <c r="F212" s="92">
        <v>2026</v>
      </c>
      <c r="G212" s="92" t="s">
        <v>392</v>
      </c>
      <c r="H212" s="92">
        <v>30</v>
      </c>
      <c r="I212" s="92">
        <v>0</v>
      </c>
      <c r="K212" s="3" t="s">
        <v>123</v>
      </c>
    </row>
    <row r="213" spans="2:11">
      <c r="B213" s="291">
        <v>1648</v>
      </c>
      <c r="D213" s="146">
        <v>40148.872615293018</v>
      </c>
      <c r="F213" s="92">
        <v>2026</v>
      </c>
      <c r="G213" s="92" t="s">
        <v>392</v>
      </c>
      <c r="H213" s="92">
        <v>55</v>
      </c>
      <c r="I213" s="92">
        <v>0</v>
      </c>
      <c r="K213" s="3" t="s">
        <v>123</v>
      </c>
    </row>
    <row r="214" spans="2:11">
      <c r="B214" s="291">
        <v>1649</v>
      </c>
      <c r="D214" s="146">
        <v>0</v>
      </c>
      <c r="F214" s="92">
        <v>2026</v>
      </c>
      <c r="G214" s="92" t="s">
        <v>392</v>
      </c>
      <c r="H214" s="92">
        <v>0</v>
      </c>
      <c r="I214" s="92">
        <v>0</v>
      </c>
      <c r="K214" s="3" t="s">
        <v>123</v>
      </c>
    </row>
    <row r="215" spans="2:11">
      <c r="B215" s="291">
        <v>1650</v>
      </c>
      <c r="D215" s="146">
        <v>668226.79461700725</v>
      </c>
      <c r="F215" s="92">
        <v>2026</v>
      </c>
      <c r="G215" s="92" t="s">
        <v>392</v>
      </c>
      <c r="H215" s="92">
        <v>5</v>
      </c>
      <c r="I215" s="92">
        <v>0</v>
      </c>
      <c r="K215" s="3" t="s">
        <v>123</v>
      </c>
    </row>
    <row r="216" spans="2:11">
      <c r="B216" s="291">
        <v>1651</v>
      </c>
      <c r="D216" s="146">
        <v>4946580.6339102844</v>
      </c>
      <c r="F216" s="92">
        <v>2026</v>
      </c>
      <c r="G216" s="92" t="s">
        <v>392</v>
      </c>
      <c r="H216" s="92">
        <v>10</v>
      </c>
      <c r="I216" s="92">
        <v>0</v>
      </c>
      <c r="K216" s="3" t="s">
        <v>123</v>
      </c>
    </row>
    <row r="217" spans="2:11">
      <c r="B217" s="291">
        <v>1652</v>
      </c>
      <c r="D217" s="146">
        <v>8094567.3314780593</v>
      </c>
      <c r="F217" s="92">
        <v>2026</v>
      </c>
      <c r="G217" s="92" t="s">
        <v>392</v>
      </c>
      <c r="H217" s="92">
        <v>15</v>
      </c>
      <c r="I217" s="92">
        <v>0</v>
      </c>
      <c r="K217" s="3" t="s">
        <v>123</v>
      </c>
    </row>
    <row r="218" spans="2:11">
      <c r="B218" s="291">
        <v>1653</v>
      </c>
      <c r="D218" s="146">
        <v>8031503.8978528045</v>
      </c>
      <c r="F218" s="92">
        <v>2026</v>
      </c>
      <c r="G218" s="92" t="s">
        <v>392</v>
      </c>
      <c r="H218" s="92">
        <v>30</v>
      </c>
      <c r="I218" s="92">
        <v>0</v>
      </c>
      <c r="K218" s="3" t="s">
        <v>123</v>
      </c>
    </row>
    <row r="219" spans="2:11">
      <c r="B219" s="291">
        <v>1654</v>
      </c>
      <c r="D219" s="146">
        <v>0</v>
      </c>
      <c r="F219" s="92">
        <v>2026</v>
      </c>
      <c r="G219" s="92" t="s">
        <v>392</v>
      </c>
      <c r="H219" s="92">
        <v>55</v>
      </c>
      <c r="I219" s="92">
        <v>0</v>
      </c>
      <c r="K219" s="3" t="s">
        <v>123</v>
      </c>
    </row>
    <row r="220" spans="2:11">
      <c r="B220" s="291">
        <v>1655</v>
      </c>
      <c r="D220" s="146">
        <v>1823110</v>
      </c>
      <c r="F220" s="92">
        <v>2020</v>
      </c>
      <c r="G220" s="92" t="s">
        <v>305</v>
      </c>
      <c r="H220" s="92">
        <v>55</v>
      </c>
      <c r="I220" s="92">
        <v>1</v>
      </c>
      <c r="K220" s="3" t="s">
        <v>123</v>
      </c>
    </row>
    <row r="221" spans="2:11">
      <c r="B221" s="291">
        <v>1656</v>
      </c>
      <c r="D221" s="146">
        <v>1850427.4802399999</v>
      </c>
      <c r="F221" s="92">
        <v>2021</v>
      </c>
      <c r="G221" s="92" t="s">
        <v>305</v>
      </c>
      <c r="H221" s="92">
        <v>55</v>
      </c>
      <c r="I221" s="92">
        <v>1</v>
      </c>
      <c r="K221" s="3" t="s">
        <v>123</v>
      </c>
    </row>
    <row r="222" spans="2:11">
      <c r="B222" s="291">
        <v>1657</v>
      </c>
      <c r="D222" s="146">
        <v>1874357.2084144636</v>
      </c>
      <c r="F222" s="92">
        <v>2022</v>
      </c>
      <c r="G222" s="92" t="s">
        <v>305</v>
      </c>
      <c r="H222" s="92">
        <v>55</v>
      </c>
      <c r="I222" s="92">
        <v>1</v>
      </c>
      <c r="K222" s="3" t="s">
        <v>123</v>
      </c>
    </row>
    <row r="223" spans="2:11">
      <c r="B223" s="291">
        <v>1658</v>
      </c>
      <c r="D223" s="146">
        <v>1898596.3958336795</v>
      </c>
      <c r="F223" s="92">
        <v>2023</v>
      </c>
      <c r="G223" s="92" t="s">
        <v>305</v>
      </c>
      <c r="H223" s="92">
        <v>55</v>
      </c>
      <c r="I223" s="92">
        <v>1</v>
      </c>
      <c r="K223" s="3" t="s">
        <v>123</v>
      </c>
    </row>
    <row r="224" spans="2:11">
      <c r="B224" s="291">
        <v>1659</v>
      </c>
      <c r="D224" s="146">
        <v>1923149.0444246007</v>
      </c>
      <c r="F224" s="92">
        <v>2024</v>
      </c>
      <c r="G224" s="92" t="s">
        <v>305</v>
      </c>
      <c r="H224" s="92">
        <v>55</v>
      </c>
      <c r="I224" s="92">
        <v>1</v>
      </c>
      <c r="K224" s="3" t="s">
        <v>123</v>
      </c>
    </row>
    <row r="225" spans="2:87">
      <c r="B225" s="291">
        <v>1660</v>
      </c>
      <c r="D225" s="146">
        <v>1948019.2078670992</v>
      </c>
      <c r="F225" s="92">
        <v>2025</v>
      </c>
      <c r="G225" s="92" t="s">
        <v>305</v>
      </c>
      <c r="H225" s="92">
        <v>55</v>
      </c>
      <c r="I225" s="92">
        <v>1</v>
      </c>
      <c r="K225" s="3" t="s">
        <v>123</v>
      </c>
    </row>
    <row r="226" spans="2:87">
      <c r="B226" s="291">
        <v>1661</v>
      </c>
      <c r="D226" s="146">
        <v>1973210.9922632365</v>
      </c>
      <c r="F226" s="92">
        <v>2026</v>
      </c>
      <c r="G226" s="92" t="s">
        <v>305</v>
      </c>
      <c r="H226" s="92">
        <v>55</v>
      </c>
      <c r="I226" s="92">
        <v>1</v>
      </c>
      <c r="K226" s="3" t="s">
        <v>123</v>
      </c>
    </row>
    <row r="227" spans="2:87">
      <c r="B227" s="291">
        <v>1662</v>
      </c>
      <c r="D227" s="146">
        <v>463333.33333333337</v>
      </c>
      <c r="F227" s="92">
        <v>2020</v>
      </c>
      <c r="G227" s="92" t="s">
        <v>309</v>
      </c>
      <c r="H227" s="92">
        <v>30</v>
      </c>
      <c r="I227" s="92">
        <v>0</v>
      </c>
      <c r="K227" s="3" t="s">
        <v>123</v>
      </c>
    </row>
    <row r="228" spans="2:87">
      <c r="B228" s="291">
        <v>1663</v>
      </c>
      <c r="D228" s="146">
        <v>470275.92000000004</v>
      </c>
      <c r="F228" s="92">
        <v>2021</v>
      </c>
      <c r="G228" s="92" t="s">
        <v>309</v>
      </c>
      <c r="H228" s="92">
        <v>30</v>
      </c>
      <c r="I228" s="92">
        <v>0</v>
      </c>
      <c r="K228" s="3" t="s">
        <v>123</v>
      </c>
    </row>
    <row r="229" spans="2:87">
      <c r="B229" s="291">
        <v>1664</v>
      </c>
      <c r="D229" s="146">
        <v>476357.52819743997</v>
      </c>
      <c r="F229" s="92">
        <v>2022</v>
      </c>
      <c r="G229" s="92" t="s">
        <v>309</v>
      </c>
      <c r="H229" s="92">
        <v>30</v>
      </c>
      <c r="I229" s="92">
        <v>0</v>
      </c>
      <c r="K229" s="3" t="s">
        <v>123</v>
      </c>
    </row>
    <row r="230" spans="2:87">
      <c r="B230" s="291">
        <v>1665</v>
      </c>
      <c r="D230" s="146">
        <v>482517.78375208931</v>
      </c>
      <c r="F230" s="92">
        <v>2023</v>
      </c>
      <c r="G230" s="92" t="s">
        <v>309</v>
      </c>
      <c r="H230" s="92">
        <v>30</v>
      </c>
      <c r="I230" s="92">
        <v>0</v>
      </c>
      <c r="K230" s="3" t="s">
        <v>123</v>
      </c>
    </row>
    <row r="231" spans="2:87">
      <c r="B231" s="291">
        <v>1666</v>
      </c>
      <c r="D231" s="146">
        <v>488757.70373157132</v>
      </c>
      <c r="F231" s="92">
        <v>2024</v>
      </c>
      <c r="G231" s="92" t="s">
        <v>309</v>
      </c>
      <c r="H231" s="92">
        <v>30</v>
      </c>
      <c r="I231" s="92">
        <v>0</v>
      </c>
      <c r="K231" s="3" t="s">
        <v>123</v>
      </c>
    </row>
    <row r="232" spans="2:87">
      <c r="B232" s="291">
        <v>1667</v>
      </c>
      <c r="D232" s="146">
        <v>495078.31835622794</v>
      </c>
      <c r="F232" s="92">
        <v>2025</v>
      </c>
      <c r="G232" s="92" t="s">
        <v>309</v>
      </c>
      <c r="H232" s="92">
        <v>30</v>
      </c>
      <c r="I232" s="92">
        <v>0</v>
      </c>
      <c r="K232" s="3" t="s">
        <v>123</v>
      </c>
    </row>
    <row r="233" spans="2:87">
      <c r="B233" s="291">
        <v>1668</v>
      </c>
      <c r="D233" s="146">
        <v>501480.67116921069</v>
      </c>
      <c r="F233" s="92">
        <v>2026</v>
      </c>
      <c r="G233" s="92" t="s">
        <v>309</v>
      </c>
      <c r="H233" s="92">
        <v>30</v>
      </c>
      <c r="I233" s="92">
        <v>0</v>
      </c>
      <c r="K233" s="3" t="s">
        <v>123</v>
      </c>
    </row>
    <row r="235" spans="2:87" s="8" customFormat="1">
      <c r="B235" s="8" t="s">
        <v>393</v>
      </c>
      <c r="D235" s="8" t="s">
        <v>204</v>
      </c>
      <c r="F235" s="110" t="s">
        <v>394</v>
      </c>
      <c r="G235" s="110" t="s">
        <v>395</v>
      </c>
      <c r="H235" s="110" t="s">
        <v>396</v>
      </c>
      <c r="I235" s="110" t="s">
        <v>397</v>
      </c>
      <c r="J235" s="110" t="s">
        <v>398</v>
      </c>
      <c r="K235" s="110" t="s">
        <v>399</v>
      </c>
      <c r="L235" s="110" t="s">
        <v>400</v>
      </c>
      <c r="M235" s="110" t="s">
        <v>401</v>
      </c>
      <c r="N235" s="110" t="s">
        <v>402</v>
      </c>
      <c r="O235" s="110" t="s">
        <v>403</v>
      </c>
      <c r="P235" s="110" t="s">
        <v>404</v>
      </c>
      <c r="Q235" s="110" t="s">
        <v>405</v>
      </c>
      <c r="R235" s="110" t="s">
        <v>406</v>
      </c>
      <c r="S235" s="110" t="s">
        <v>407</v>
      </c>
      <c r="T235" s="110" t="s">
        <v>408</v>
      </c>
      <c r="U235" s="110" t="s">
        <v>409</v>
      </c>
      <c r="V235" s="110" t="s">
        <v>410</v>
      </c>
      <c r="W235" s="110" t="s">
        <v>411</v>
      </c>
      <c r="X235" s="110" t="s">
        <v>412</v>
      </c>
      <c r="Y235" s="110" t="s">
        <v>413</v>
      </c>
      <c r="Z235" s="110" t="s">
        <v>414</v>
      </c>
      <c r="AA235" s="110" t="s">
        <v>415</v>
      </c>
      <c r="AB235" s="110" t="s">
        <v>416</v>
      </c>
      <c r="AC235" s="110" t="s">
        <v>417</v>
      </c>
      <c r="AD235" s="110" t="s">
        <v>418</v>
      </c>
      <c r="AE235" s="110" t="s">
        <v>419</v>
      </c>
      <c r="AF235" s="110" t="s">
        <v>420</v>
      </c>
      <c r="AG235" s="110" t="s">
        <v>421</v>
      </c>
      <c r="AH235" s="110" t="s">
        <v>422</v>
      </c>
      <c r="AI235" s="110" t="s">
        <v>423</v>
      </c>
      <c r="AJ235" s="110" t="s">
        <v>424</v>
      </c>
      <c r="AK235" s="110" t="s">
        <v>425</v>
      </c>
      <c r="AL235" s="110" t="s">
        <v>426</v>
      </c>
      <c r="AM235" s="110" t="s">
        <v>427</v>
      </c>
      <c r="AN235" s="110" t="s">
        <v>428</v>
      </c>
      <c r="AO235" s="110" t="s">
        <v>429</v>
      </c>
      <c r="AP235" s="110" t="s">
        <v>430</v>
      </c>
      <c r="AQ235" s="110" t="s">
        <v>431</v>
      </c>
      <c r="AR235" s="110" t="s">
        <v>432</v>
      </c>
      <c r="AS235" s="110" t="s">
        <v>433</v>
      </c>
      <c r="AT235" s="110" t="s">
        <v>434</v>
      </c>
      <c r="AU235" s="110" t="s">
        <v>435</v>
      </c>
      <c r="AV235" s="110" t="s">
        <v>436</v>
      </c>
      <c r="AW235" s="110" t="s">
        <v>437</v>
      </c>
      <c r="AX235" s="110" t="s">
        <v>438</v>
      </c>
      <c r="AY235" s="110" t="s">
        <v>439</v>
      </c>
      <c r="AZ235" s="110" t="s">
        <v>440</v>
      </c>
      <c r="BA235" s="110" t="s">
        <v>441</v>
      </c>
      <c r="BB235" s="110" t="s">
        <v>442</v>
      </c>
      <c r="BC235" s="110" t="s">
        <v>443</v>
      </c>
      <c r="BD235" s="110" t="s">
        <v>444</v>
      </c>
      <c r="BE235" s="110" t="s">
        <v>445</v>
      </c>
      <c r="BF235" s="110" t="s">
        <v>446</v>
      </c>
      <c r="BG235" s="110" t="s">
        <v>447</v>
      </c>
      <c r="BH235" s="110" t="s">
        <v>448</v>
      </c>
      <c r="BI235" s="110" t="s">
        <v>449</v>
      </c>
      <c r="BJ235" s="110" t="s">
        <v>450</v>
      </c>
      <c r="BK235" s="110" t="s">
        <v>451</v>
      </c>
      <c r="BL235" s="110" t="s">
        <v>452</v>
      </c>
      <c r="BM235" s="110" t="s">
        <v>453</v>
      </c>
      <c r="BN235" s="110" t="s">
        <v>454</v>
      </c>
      <c r="BO235" s="110" t="s">
        <v>455</v>
      </c>
      <c r="BP235" s="110" t="s">
        <v>456</v>
      </c>
      <c r="BQ235" s="110" t="s">
        <v>457</v>
      </c>
      <c r="BR235" s="110" t="s">
        <v>458</v>
      </c>
      <c r="BS235" s="110" t="s">
        <v>459</v>
      </c>
      <c r="BT235" s="110" t="s">
        <v>460</v>
      </c>
      <c r="BU235" s="110" t="s">
        <v>461</v>
      </c>
      <c r="BV235" s="110" t="s">
        <v>462</v>
      </c>
      <c r="BW235" s="110" t="s">
        <v>463</v>
      </c>
      <c r="BX235" s="110" t="s">
        <v>464</v>
      </c>
      <c r="BY235" s="110" t="s">
        <v>465</v>
      </c>
      <c r="BZ235" s="110" t="s">
        <v>466</v>
      </c>
      <c r="CA235" s="110" t="s">
        <v>467</v>
      </c>
      <c r="CB235" s="110" t="s">
        <v>468</v>
      </c>
      <c r="CC235" s="110" t="s">
        <v>469</v>
      </c>
      <c r="CD235" s="110" t="s">
        <v>470</v>
      </c>
      <c r="CE235" s="110" t="s">
        <v>471</v>
      </c>
      <c r="CF235" s="110" t="s">
        <v>472</v>
      </c>
      <c r="CG235" s="110" t="s">
        <v>473</v>
      </c>
      <c r="CH235" s="110" t="s">
        <v>474</v>
      </c>
      <c r="CI235" s="110" t="s">
        <v>475</v>
      </c>
    </row>
    <row r="237" spans="2:87">
      <c r="B237" s="3" t="s">
        <v>476</v>
      </c>
      <c r="D237" s="3" t="s">
        <v>214</v>
      </c>
      <c r="F237" s="132">
        <v>9.0830073880921361E-2</v>
      </c>
      <c r="G237" s="132">
        <v>3.6254980079681365E-2</v>
      </c>
      <c r="H237" s="132">
        <v>3.5371011149557818E-2</v>
      </c>
      <c r="I237" s="132">
        <v>6.3126624582250282E-2</v>
      </c>
      <c r="J237" s="132">
        <v>9.1163115612993242E-2</v>
      </c>
      <c r="K237" s="132">
        <v>9.6350832266325306E-2</v>
      </c>
      <c r="L237" s="132">
        <v>0</v>
      </c>
      <c r="M237" s="132">
        <v>0</v>
      </c>
      <c r="N237" s="132">
        <v>0.04</v>
      </c>
      <c r="O237" s="132">
        <v>1.909039865244248E-2</v>
      </c>
      <c r="P237" s="132">
        <v>1.9008264462809853E-2</v>
      </c>
      <c r="Q237" s="132">
        <v>6.4882400648824015E-2</v>
      </c>
      <c r="R237" s="132">
        <v>1.7263264788017294E-2</v>
      </c>
      <c r="S237" s="132">
        <v>8.4851509857749793E-3</v>
      </c>
      <c r="T237" s="132">
        <v>2.5488740410789294E-2</v>
      </c>
      <c r="U237" s="132">
        <v>1.6650579150579235E-2</v>
      </c>
      <c r="V237" s="132">
        <v>1.92262046047946E-2</v>
      </c>
      <c r="W237" s="132">
        <v>3.8192827200745308E-2</v>
      </c>
      <c r="X237" s="132">
        <v>1.9E-2</v>
      </c>
      <c r="Y237" s="132">
        <v>8.4000000000000005E-2</v>
      </c>
      <c r="Z237" s="132">
        <v>4.2999999999999997E-2</v>
      </c>
      <c r="AA237" s="132">
        <v>5.7999999999999996E-2</v>
      </c>
      <c r="AB237" s="132">
        <v>3.9E-2</v>
      </c>
      <c r="AC237" s="132">
        <v>3.3000000000000002E-2</v>
      </c>
      <c r="AD237" s="132">
        <v>6.9000000000000006E-2</v>
      </c>
      <c r="AE237" s="132">
        <v>5.4000000000000006E-2</v>
      </c>
      <c r="AF237" s="132">
        <v>7.5999999999999998E-2</v>
      </c>
      <c r="AG237" s="132">
        <v>7.400000000000001E-2</v>
      </c>
      <c r="AH237" s="132">
        <v>8.1000000000000003E-2</v>
      </c>
      <c r="AI237" s="132">
        <v>9.8000000000000004E-2</v>
      </c>
      <c r="AJ237" s="132">
        <v>0.107</v>
      </c>
      <c r="AK237" s="132">
        <v>8.3000000000000004E-2</v>
      </c>
      <c r="AL237" s="132">
        <v>6.8000000000000005E-2</v>
      </c>
      <c r="AM237" s="132">
        <v>4.2000000000000003E-2</v>
      </c>
      <c r="AN237" s="132">
        <v>3.7999999999999999E-2</v>
      </c>
      <c r="AO237" s="132">
        <v>7.0999999999999994E-2</v>
      </c>
      <c r="AP237" s="132">
        <v>6.4000000000000001E-2</v>
      </c>
      <c r="AQ237" s="132">
        <v>5.9000000000000004E-2</v>
      </c>
      <c r="AR237" s="132">
        <v>2.6000000000000002E-2</v>
      </c>
      <c r="AS237" s="132">
        <v>2.7999999999999997E-2</v>
      </c>
      <c r="AT237" s="132">
        <v>2.3E-2</v>
      </c>
      <c r="AU237" s="132">
        <v>-5.0000000000000001E-3</v>
      </c>
      <c r="AV237" s="132">
        <v>2E-3</v>
      </c>
      <c r="AW237" s="132">
        <v>9.0000000000000011E-3</v>
      </c>
      <c r="AX237" s="132">
        <v>1.1000000000000001E-2</v>
      </c>
      <c r="AY237" s="132">
        <v>2.4E-2</v>
      </c>
      <c r="AZ237" s="132">
        <v>4.5999999999999999E-2</v>
      </c>
      <c r="BA237" s="132">
        <v>3.5000000000000003E-2</v>
      </c>
      <c r="BB237" s="132">
        <v>0.02</v>
      </c>
      <c r="BC237" s="132">
        <v>2.6000000000000002E-2</v>
      </c>
      <c r="BD237" s="132">
        <v>1.4999999999999999E-2</v>
      </c>
      <c r="BE237" s="132">
        <v>1.9E-2</v>
      </c>
      <c r="BF237" s="132">
        <v>2.6000000000000002E-2</v>
      </c>
      <c r="BG237" s="132">
        <v>1.7000000000000001E-2</v>
      </c>
      <c r="BH237" s="132">
        <v>2.6000000000000002E-2</v>
      </c>
      <c r="BI237" s="132">
        <v>2.5000000000000001E-2</v>
      </c>
      <c r="BJ237" s="132">
        <v>4.7E-2</v>
      </c>
      <c r="BK237" s="132">
        <v>3.3000000000000002E-2</v>
      </c>
      <c r="BL237" s="132">
        <v>2.1000000000000001E-2</v>
      </c>
      <c r="BM237" s="132">
        <v>1.1000000000000001E-2</v>
      </c>
      <c r="BN237" s="132">
        <v>1.7999999999999999E-2</v>
      </c>
      <c r="BO237" s="132">
        <v>1.4E-2</v>
      </c>
      <c r="BP237" s="132">
        <v>1.0999999999999999E-2</v>
      </c>
      <c r="BQ237" s="132">
        <v>3.2000000000000001E-2</v>
      </c>
      <c r="BR237" s="132">
        <v>3.0000000000000001E-3</v>
      </c>
      <c r="BS237" s="132">
        <v>1.4999999999999999E-2</v>
      </c>
      <c r="BT237" s="132">
        <v>2.5999999999999999E-2</v>
      </c>
      <c r="BU237" s="132">
        <v>2.3E-2</v>
      </c>
      <c r="BV237" s="132">
        <v>2.8000000000000001E-2</v>
      </c>
      <c r="BW237" s="132">
        <v>0.01</v>
      </c>
      <c r="BX237" s="132">
        <v>8.0000000000000002E-3</v>
      </c>
      <c r="BY237" s="132">
        <v>2E-3</v>
      </c>
      <c r="BZ237" s="132">
        <v>1.4E-2</v>
      </c>
      <c r="CA237" s="132">
        <v>1.2E-2</v>
      </c>
      <c r="CB237" s="132">
        <v>2.5999999999999999E-2</v>
      </c>
      <c r="CC237" s="132">
        <v>1.6E-2</v>
      </c>
      <c r="CD237" s="55">
        <f>'2. Parameters'!M32</f>
        <v>1.7999999999999999E-2</v>
      </c>
      <c r="CE237" s="55">
        <f>'2. Parameters'!N32</f>
        <v>6.2E-2</v>
      </c>
      <c r="CF237" s="55">
        <f>'2. Parameters'!O32</f>
        <v>0.08</v>
      </c>
      <c r="CG237" s="55">
        <f>'2. Parameters'!P32</f>
        <v>2.8000000000000001E-2</v>
      </c>
      <c r="CH237" s="55">
        <f>'2. Parameters'!Q32</f>
        <v>3.7999999999999999E-2</v>
      </c>
      <c r="CI237" s="55">
        <f>'2. Parameters'!R32</f>
        <v>0</v>
      </c>
    </row>
    <row r="238" spans="2:87">
      <c r="CI238" s="3" t="s">
        <v>477</v>
      </c>
    </row>
  </sheetData>
  <mergeCells count="1">
    <mergeCell ref="B5:E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Z61"/>
  <sheetViews>
    <sheetView showGridLines="0" zoomScale="85" zoomScaleNormal="85" workbookViewId="0">
      <pane xSplit="4" ySplit="7" topLeftCell="N8" activePane="bottomRight" state="frozen"/>
      <selection pane="bottomRight"/>
      <selection pane="bottomLeft"/>
      <selection pane="topRight"/>
    </sheetView>
  </sheetViews>
  <sheetFormatPr defaultColWidth="9" defaultRowHeight="12.75"/>
  <cols>
    <col min="1" max="1" width="2.5703125" style="3" customWidth="1"/>
    <col min="2" max="2" width="79.85546875" style="3" customWidth="1"/>
    <col min="3" max="3" width="2.5703125" style="3" customWidth="1"/>
    <col min="4" max="4" width="13.5703125" style="3" customWidth="1"/>
    <col min="5" max="5" width="2.5703125" style="3" customWidth="1"/>
    <col min="6" max="6" width="9.5703125" style="3" customWidth="1"/>
    <col min="7" max="7" width="2.5703125" style="3" customWidth="1"/>
    <col min="8" max="8" width="7" style="3" customWidth="1"/>
    <col min="9" max="11" width="11.5703125" style="3" customWidth="1"/>
    <col min="12" max="12" width="10.85546875" style="3" customWidth="1"/>
    <col min="13" max="13" width="9" style="3" customWidth="1"/>
    <col min="14" max="16" width="14.85546875" style="3" bestFit="1" customWidth="1"/>
    <col min="17" max="17" width="16.28515625" style="3" bestFit="1" customWidth="1"/>
    <col min="18" max="18" width="14.85546875" style="3" bestFit="1" customWidth="1"/>
    <col min="19" max="19" width="14.85546875" style="3" customWidth="1"/>
    <col min="20" max="20" width="2.5703125" style="3" customWidth="1"/>
    <col min="21" max="21" width="30" style="3" customWidth="1"/>
    <col min="22" max="22" width="2.5703125" style="3" customWidth="1"/>
    <col min="23" max="33" width="13.5703125" style="3" customWidth="1"/>
    <col min="34" max="16384" width="9" style="3"/>
  </cols>
  <sheetData>
    <row r="2" spans="2:23" s="12" customFormat="1" ht="18">
      <c r="B2" s="12" t="s">
        <v>478</v>
      </c>
    </row>
    <row r="4" spans="2:23">
      <c r="B4" s="16" t="s">
        <v>202</v>
      </c>
      <c r="C4" s="2"/>
    </row>
    <row r="5" spans="2:23" ht="27.75" customHeight="1">
      <c r="B5" s="359" t="s">
        <v>479</v>
      </c>
      <c r="C5" s="359"/>
      <c r="D5" s="359"/>
      <c r="F5" s="13"/>
    </row>
    <row r="6" spans="2:23" ht="12" customHeight="1"/>
    <row r="7" spans="2:23" s="8" customFormat="1" ht="12" customHeight="1">
      <c r="B7" s="8" t="s">
        <v>162</v>
      </c>
      <c r="D7" s="8" t="s">
        <v>204</v>
      </c>
      <c r="F7" s="8" t="s">
        <v>205</v>
      </c>
      <c r="H7" s="53">
        <v>2016</v>
      </c>
      <c r="I7" s="46">
        <v>2017</v>
      </c>
      <c r="J7" s="53">
        <v>2018</v>
      </c>
      <c r="K7" s="46">
        <v>2019</v>
      </c>
      <c r="L7" s="53">
        <v>2020</v>
      </c>
      <c r="M7" s="46">
        <v>2021</v>
      </c>
      <c r="N7" s="46">
        <v>2022</v>
      </c>
      <c r="O7" s="46">
        <v>2023</v>
      </c>
      <c r="P7" s="46">
        <v>2024</v>
      </c>
      <c r="Q7" s="46">
        <v>2025</v>
      </c>
      <c r="R7" s="46">
        <v>2026</v>
      </c>
      <c r="S7" s="46">
        <v>2027</v>
      </c>
      <c r="U7" s="8" t="s">
        <v>206</v>
      </c>
      <c r="W7" s="8" t="s">
        <v>207</v>
      </c>
    </row>
    <row r="9" spans="2:23" s="8" customFormat="1">
      <c r="B9" s="8" t="s">
        <v>480</v>
      </c>
    </row>
    <row r="11" spans="2:23">
      <c r="B11" s="3" t="s">
        <v>481</v>
      </c>
      <c r="D11" s="3" t="s">
        <v>482</v>
      </c>
      <c r="H11" s="10"/>
      <c r="I11" s="10"/>
      <c r="J11" s="10"/>
      <c r="K11" s="10"/>
      <c r="L11" s="10"/>
      <c r="M11" s="10"/>
      <c r="N11" s="10"/>
      <c r="O11" s="10"/>
      <c r="P11" s="10"/>
      <c r="Q11" s="307">
        <v>1069469892.4698374</v>
      </c>
      <c r="R11" s="10"/>
      <c r="S11" s="10"/>
      <c r="U11" s="3" t="s">
        <v>483</v>
      </c>
    </row>
    <row r="13" spans="2:23" s="8" customFormat="1">
      <c r="B13" s="8" t="s">
        <v>484</v>
      </c>
    </row>
    <row r="15" spans="2:23">
      <c r="B15" s="3" t="s">
        <v>485</v>
      </c>
      <c r="D15" s="3" t="s">
        <v>482</v>
      </c>
      <c r="H15" s="10"/>
      <c r="I15" s="10"/>
      <c r="J15" s="10"/>
      <c r="K15" s="10"/>
      <c r="L15" s="10"/>
      <c r="M15" s="10"/>
      <c r="N15" s="10"/>
      <c r="O15" s="10"/>
      <c r="P15" s="10"/>
      <c r="Q15" s="10"/>
      <c r="R15" s="164">
        <v>0</v>
      </c>
      <c r="S15" s="10"/>
      <c r="U15" s="3" t="s">
        <v>486</v>
      </c>
    </row>
    <row r="16" spans="2:23">
      <c r="B16" s="3" t="s">
        <v>487</v>
      </c>
      <c r="D16" s="3" t="s">
        <v>482</v>
      </c>
      <c r="H16" s="10"/>
      <c r="I16" s="10"/>
      <c r="J16" s="10"/>
      <c r="K16" s="10"/>
      <c r="L16" s="10"/>
      <c r="M16" s="10"/>
      <c r="N16" s="10"/>
      <c r="O16" s="10"/>
      <c r="P16" s="10"/>
      <c r="Q16" s="10"/>
      <c r="R16" s="10"/>
      <c r="S16" s="166">
        <f>'20. Nacalculaties'!R90</f>
        <v>5120776.1841599997</v>
      </c>
      <c r="W16" s="3" t="s">
        <v>488</v>
      </c>
    </row>
    <row r="17" spans="2:23">
      <c r="B17" s="3" t="s">
        <v>489</v>
      </c>
      <c r="D17" s="3" t="s">
        <v>482</v>
      </c>
      <c r="H17" s="10"/>
      <c r="I17" s="10"/>
      <c r="J17" s="10"/>
      <c r="K17" s="10"/>
      <c r="L17" s="10"/>
      <c r="M17" s="10"/>
      <c r="N17" s="10"/>
      <c r="O17" s="10"/>
      <c r="P17" s="10"/>
      <c r="Q17" s="10"/>
      <c r="R17" s="10"/>
      <c r="S17" s="131">
        <v>0</v>
      </c>
      <c r="W17" s="3" t="s">
        <v>490</v>
      </c>
    </row>
    <row r="18" spans="2:23">
      <c r="B18" s="3" t="s">
        <v>491</v>
      </c>
      <c r="D18" s="3" t="s">
        <v>482</v>
      </c>
      <c r="H18" s="10"/>
      <c r="I18" s="10"/>
      <c r="J18" s="10"/>
      <c r="K18" s="10"/>
      <c r="L18" s="10"/>
      <c r="M18" s="10"/>
      <c r="N18" s="10"/>
      <c r="O18" s="10"/>
      <c r="P18" s="10"/>
      <c r="Q18" s="10"/>
      <c r="R18" s="10"/>
      <c r="S18" s="299">
        <f>-S16</f>
        <v>-5120776.1841599997</v>
      </c>
      <c r="W18" s="3" t="s">
        <v>490</v>
      </c>
    </row>
    <row r="20" spans="2:23" s="8" customFormat="1">
      <c r="B20" s="8" t="s">
        <v>492</v>
      </c>
    </row>
    <row r="22" spans="2:23">
      <c r="B22" s="3" t="s">
        <v>493</v>
      </c>
      <c r="D22" s="3" t="s">
        <v>482</v>
      </c>
      <c r="H22" s="10"/>
      <c r="I22" s="10"/>
      <c r="J22" s="10"/>
      <c r="K22" s="10"/>
      <c r="L22" s="10"/>
      <c r="M22" s="10"/>
      <c r="N22" s="164">
        <v>5268139756.0391312</v>
      </c>
      <c r="O22" s="164">
        <v>5115634665.0918875</v>
      </c>
      <c r="P22" s="164">
        <v>4980890118.9719696</v>
      </c>
      <c r="Q22" s="164">
        <v>4857675740.1304922</v>
      </c>
      <c r="R22" s="164">
        <v>4748752834.5466137</v>
      </c>
      <c r="S22" s="96"/>
      <c r="U22" s="3" t="s">
        <v>494</v>
      </c>
    </row>
    <row r="23" spans="2:23">
      <c r="B23" s="3" t="s">
        <v>495</v>
      </c>
      <c r="D23" s="3" t="s">
        <v>482</v>
      </c>
      <c r="H23" s="10"/>
      <c r="I23" s="10"/>
      <c r="J23" s="10"/>
      <c r="K23" s="10"/>
      <c r="L23" s="10"/>
      <c r="M23" s="10"/>
      <c r="N23" s="164">
        <v>1236767462.5833061</v>
      </c>
      <c r="O23" s="164">
        <v>1207881645.0947828</v>
      </c>
      <c r="P23" s="164">
        <v>1182417569.8607492</v>
      </c>
      <c r="Q23" s="164">
        <v>1160937568.2311876</v>
      </c>
      <c r="R23" s="164">
        <v>1143786642.7114766</v>
      </c>
      <c r="S23" s="96"/>
      <c r="U23" s="3" t="s">
        <v>494</v>
      </c>
    </row>
    <row r="24" spans="2:23">
      <c r="N24" s="88"/>
      <c r="O24" s="88"/>
      <c r="P24" s="88"/>
      <c r="Q24" s="88"/>
      <c r="R24" s="88"/>
      <c r="S24" s="88"/>
    </row>
    <row r="25" spans="2:23" s="8" customFormat="1">
      <c r="B25" s="8" t="s">
        <v>496</v>
      </c>
    </row>
    <row r="26" spans="2:23">
      <c r="N26" s="88"/>
      <c r="O26" s="88"/>
      <c r="P26" s="88"/>
      <c r="Q26" s="88"/>
      <c r="R26" s="88"/>
      <c r="S26" s="88"/>
    </row>
    <row r="27" spans="2:23">
      <c r="B27" s="3" t="s">
        <v>497</v>
      </c>
      <c r="H27" s="10"/>
      <c r="I27" s="248">
        <v>44821191.142850496</v>
      </c>
      <c r="J27" s="248">
        <v>58525786.829999998</v>
      </c>
      <c r="K27" s="248">
        <v>58366350.850000001</v>
      </c>
      <c r="L27" s="10"/>
      <c r="M27" s="10"/>
      <c r="N27" s="10"/>
      <c r="O27" s="10"/>
      <c r="P27" s="10"/>
      <c r="Q27" s="10"/>
      <c r="R27" s="10"/>
      <c r="S27" s="10"/>
      <c r="U27" s="3" t="s">
        <v>498</v>
      </c>
    </row>
    <row r="28" spans="2:23">
      <c r="B28" s="3" t="s">
        <v>499</v>
      </c>
      <c r="H28" s="10"/>
      <c r="I28" s="248">
        <v>51772596.931449495</v>
      </c>
      <c r="J28" s="248">
        <v>57577907.726399995</v>
      </c>
      <c r="K28" s="248">
        <v>46608188.220100001</v>
      </c>
      <c r="L28" s="10"/>
      <c r="M28" s="10"/>
      <c r="N28" s="10"/>
      <c r="O28" s="10"/>
      <c r="P28" s="10"/>
      <c r="Q28" s="10"/>
      <c r="R28" s="10"/>
      <c r="S28" s="10"/>
      <c r="U28" s="3" t="s">
        <v>494</v>
      </c>
    </row>
    <row r="30" spans="2:23" s="8" customFormat="1">
      <c r="B30" s="8" t="s">
        <v>500</v>
      </c>
    </row>
    <row r="32" spans="2:23">
      <c r="B32" s="3" t="s">
        <v>501</v>
      </c>
      <c r="H32" s="10"/>
      <c r="I32" s="10"/>
      <c r="J32" s="10"/>
      <c r="K32" s="10"/>
      <c r="L32" s="248">
        <v>2227061.457252</v>
      </c>
      <c r="M32" s="10"/>
      <c r="N32" s="10"/>
      <c r="O32" s="10"/>
      <c r="P32" s="10"/>
      <c r="Q32" s="10"/>
      <c r="R32" s="10"/>
      <c r="S32" s="10"/>
      <c r="U32" s="3" t="s">
        <v>502</v>
      </c>
      <c r="W32" s="3" t="s">
        <v>503</v>
      </c>
    </row>
    <row r="34" spans="2:21" s="8" customFormat="1">
      <c r="B34" s="8" t="s">
        <v>504</v>
      </c>
    </row>
    <row r="36" spans="2:21">
      <c r="B36" s="3" t="s">
        <v>505</v>
      </c>
      <c r="D36" s="3" t="s">
        <v>482</v>
      </c>
      <c r="H36" s="10"/>
      <c r="I36" s="10"/>
      <c r="J36" s="10"/>
      <c r="K36" s="10"/>
      <c r="L36" s="10"/>
      <c r="M36" s="10"/>
      <c r="N36" s="282">
        <v>0</v>
      </c>
      <c r="O36" s="282">
        <v>0</v>
      </c>
      <c r="P36" s="307">
        <v>0</v>
      </c>
      <c r="Q36" s="282">
        <v>53053730.542234212</v>
      </c>
      <c r="R36" s="282">
        <v>141713845.03448284</v>
      </c>
      <c r="S36" s="303"/>
      <c r="U36" s="3" t="s">
        <v>506</v>
      </c>
    </row>
    <row r="37" spans="2:21">
      <c r="B37" s="3" t="s">
        <v>507</v>
      </c>
      <c r="D37" s="3" t="s">
        <v>482</v>
      </c>
      <c r="H37" s="10"/>
      <c r="I37" s="10"/>
      <c r="J37" s="10"/>
      <c r="K37" s="10"/>
      <c r="L37" s="10"/>
      <c r="M37" s="10"/>
      <c r="N37" s="282">
        <v>119072.05535743562</v>
      </c>
      <c r="O37" s="282">
        <v>43971.119724233969</v>
      </c>
      <c r="P37" s="307">
        <v>2404144.6778045101</v>
      </c>
      <c r="Q37" s="282">
        <v>2407837.6116711642</v>
      </c>
      <c r="R37" s="282">
        <v>9785566.4517509788</v>
      </c>
      <c r="S37" s="303"/>
      <c r="U37" s="3" t="s">
        <v>506</v>
      </c>
    </row>
    <row r="38" spans="2:21">
      <c r="B38" s="3" t="s">
        <v>508</v>
      </c>
      <c r="D38" s="3" t="s">
        <v>482</v>
      </c>
      <c r="H38" s="10"/>
      <c r="I38" s="10"/>
      <c r="J38" s="10"/>
      <c r="K38" s="10"/>
      <c r="L38" s="10"/>
      <c r="M38" s="10"/>
      <c r="N38" s="282">
        <v>-2514124.5400079801</v>
      </c>
      <c r="O38" s="282">
        <v>-892610.16077459906</v>
      </c>
      <c r="P38" s="307">
        <v>-418587875.91763008</v>
      </c>
      <c r="Q38" s="282">
        <v>-31230124.495261651</v>
      </c>
      <c r="R38" s="282">
        <v>66872286.285418212</v>
      </c>
      <c r="S38" s="303"/>
      <c r="U38" s="3" t="s">
        <v>506</v>
      </c>
    </row>
    <row r="39" spans="2:21">
      <c r="B39" s="3" t="s">
        <v>509</v>
      </c>
      <c r="D39" s="3" t="s">
        <v>482</v>
      </c>
      <c r="H39" s="10"/>
      <c r="I39" s="10"/>
      <c r="J39" s="10"/>
      <c r="K39" s="10"/>
      <c r="L39" s="10"/>
      <c r="M39" s="10"/>
      <c r="N39" s="282">
        <v>-3840127.8443999998</v>
      </c>
      <c r="O39" s="282">
        <v>-7019622.9493739996</v>
      </c>
      <c r="P39" s="307">
        <v>-17676502.662623998</v>
      </c>
      <c r="Q39" s="282">
        <v>-20334638.624196</v>
      </c>
      <c r="R39" s="282">
        <v>-9566363.896687502</v>
      </c>
      <c r="S39" s="303"/>
      <c r="U39" s="3" t="s">
        <v>506</v>
      </c>
    </row>
    <row r="40" spans="2:21">
      <c r="B40" s="3" t="s">
        <v>510</v>
      </c>
      <c r="D40" s="3" t="s">
        <v>482</v>
      </c>
      <c r="H40" s="10"/>
      <c r="I40" s="10"/>
      <c r="J40" s="10"/>
      <c r="K40" s="10"/>
      <c r="L40" s="10"/>
      <c r="M40" s="10"/>
      <c r="N40" s="282">
        <v>-1510375</v>
      </c>
      <c r="O40" s="282">
        <v>-1091840.3578679999</v>
      </c>
      <c r="P40" s="307">
        <v>0</v>
      </c>
      <c r="Q40" s="282">
        <v>-430850783.87126899</v>
      </c>
      <c r="R40" s="282">
        <v>-54292976.244045004</v>
      </c>
      <c r="S40" s="303"/>
      <c r="U40" s="3" t="s">
        <v>506</v>
      </c>
    </row>
    <row r="41" spans="2:21">
      <c r="B41" s="3" t="s">
        <v>511</v>
      </c>
      <c r="D41" s="3" t="s">
        <v>482</v>
      </c>
      <c r="H41" s="10"/>
      <c r="I41" s="10"/>
      <c r="J41" s="10"/>
      <c r="K41" s="10"/>
      <c r="L41" s="10"/>
      <c r="M41" s="10"/>
      <c r="N41" s="282">
        <v>37459989.57773035</v>
      </c>
      <c r="O41" s="282">
        <v>94853547.603668377</v>
      </c>
      <c r="P41" s="10"/>
      <c r="Q41" s="282">
        <v>218988596.2163403</v>
      </c>
      <c r="R41" s="282">
        <v>83371027.523610294</v>
      </c>
      <c r="S41" s="303"/>
      <c r="U41" s="3" t="s">
        <v>506</v>
      </c>
    </row>
    <row r="42" spans="2:21">
      <c r="B42" s="3" t="s">
        <v>512</v>
      </c>
      <c r="D42" s="3" t="s">
        <v>482</v>
      </c>
      <c r="H42" s="10"/>
      <c r="I42" s="10"/>
      <c r="J42" s="10"/>
      <c r="K42" s="10"/>
      <c r="L42" s="10"/>
      <c r="M42" s="10"/>
      <c r="N42" s="282">
        <v>7429834.5300000003</v>
      </c>
      <c r="O42" s="282">
        <v>22739593.510152001</v>
      </c>
      <c r="P42" s="307">
        <v>2370440.480303999</v>
      </c>
      <c r="Q42" s="282">
        <v>84987160.105392396</v>
      </c>
      <c r="R42" s="282">
        <v>46590933.973290004</v>
      </c>
      <c r="S42" s="303"/>
      <c r="U42" s="3" t="s">
        <v>506</v>
      </c>
    </row>
    <row r="43" spans="2:21">
      <c r="B43" s="3" t="s">
        <v>513</v>
      </c>
      <c r="D43" s="3" t="s">
        <v>482</v>
      </c>
      <c r="H43" s="10"/>
      <c r="I43" s="10"/>
      <c r="J43" s="10"/>
      <c r="K43" s="10"/>
      <c r="L43" s="10"/>
      <c r="M43" s="10"/>
      <c r="N43" s="282">
        <v>-6987581.421986118</v>
      </c>
      <c r="O43" s="282">
        <v>-26590510.266268313</v>
      </c>
      <c r="P43" s="307">
        <v>-37620979.270649046</v>
      </c>
      <c r="Q43" s="282">
        <v>-85362788.83980006</v>
      </c>
      <c r="R43" s="282">
        <v>-92141688.170288146</v>
      </c>
      <c r="S43" s="303"/>
      <c r="U43" s="3" t="s">
        <v>506</v>
      </c>
    </row>
    <row r="44" spans="2:21">
      <c r="B44" s="3" t="s">
        <v>514</v>
      </c>
      <c r="D44" s="3" t="s">
        <v>482</v>
      </c>
      <c r="H44" s="10"/>
      <c r="I44" s="10"/>
      <c r="J44" s="10"/>
      <c r="K44" s="10"/>
      <c r="L44" s="10"/>
      <c r="M44" s="10"/>
      <c r="N44" s="303"/>
      <c r="O44" s="303"/>
      <c r="P44" s="307">
        <v>2363403.9056672235</v>
      </c>
      <c r="Q44" s="282">
        <v>14755154.906724626</v>
      </c>
      <c r="R44" s="282">
        <v>34143314.35257566</v>
      </c>
      <c r="S44" s="303"/>
      <c r="U44" s="3" t="s">
        <v>506</v>
      </c>
    </row>
    <row r="45" spans="2:21">
      <c r="B45" s="3" t="s">
        <v>515</v>
      </c>
      <c r="D45" s="3" t="s">
        <v>482</v>
      </c>
      <c r="H45" s="10"/>
      <c r="I45" s="10"/>
      <c r="J45" s="10"/>
      <c r="K45" s="10"/>
      <c r="L45" s="10"/>
      <c r="M45" s="10"/>
      <c r="N45" s="303"/>
      <c r="O45" s="303"/>
      <c r="P45" s="307">
        <v>14652295.895247623</v>
      </c>
      <c r="Q45" s="282">
        <v>16724582.409155497</v>
      </c>
      <c r="R45" s="282">
        <v>18703759.82677523</v>
      </c>
      <c r="S45" s="303"/>
      <c r="U45" s="3" t="s">
        <v>506</v>
      </c>
    </row>
    <row r="46" spans="2:21">
      <c r="B46" s="3" t="s">
        <v>516</v>
      </c>
      <c r="D46" s="3" t="s">
        <v>482</v>
      </c>
      <c r="H46" s="10"/>
      <c r="I46" s="10"/>
      <c r="J46" s="10"/>
      <c r="K46" s="10"/>
      <c r="L46" s="10"/>
      <c r="M46" s="10"/>
      <c r="N46" s="282">
        <v>-651743.81498073554</v>
      </c>
      <c r="O46" s="282">
        <v>-2713634.922561896</v>
      </c>
      <c r="P46" s="307">
        <v>-6263691.195662085</v>
      </c>
      <c r="Q46" s="282">
        <v>-7178437.7711590901</v>
      </c>
      <c r="R46" s="282">
        <v>-13167856.604152044</v>
      </c>
      <c r="S46" s="303"/>
      <c r="U46" s="3" t="s">
        <v>506</v>
      </c>
    </row>
    <row r="47" spans="2:21">
      <c r="B47" s="3" t="s">
        <v>517</v>
      </c>
      <c r="D47" s="3" t="s">
        <v>482</v>
      </c>
      <c r="H47" s="10"/>
      <c r="I47" s="10"/>
      <c r="J47" s="10"/>
      <c r="K47" s="10"/>
      <c r="L47" s="10"/>
      <c r="M47" s="10"/>
      <c r="N47" s="303"/>
      <c r="O47" s="303"/>
      <c r="P47" s="307">
        <v>56578492.792342328</v>
      </c>
      <c r="Q47" s="282">
        <v>122315270.04842561</v>
      </c>
      <c r="R47" s="282">
        <v>93323791.857641906</v>
      </c>
      <c r="S47" s="303"/>
      <c r="U47" s="3" t="s">
        <v>506</v>
      </c>
    </row>
    <row r="48" spans="2:21">
      <c r="B48" s="3" t="s">
        <v>518</v>
      </c>
      <c r="D48" s="3" t="s">
        <v>482</v>
      </c>
      <c r="H48" s="10"/>
      <c r="I48" s="10"/>
      <c r="J48" s="10"/>
      <c r="K48" s="10"/>
      <c r="L48" s="10"/>
      <c r="M48" s="10"/>
      <c r="N48" s="303"/>
      <c r="O48" s="303"/>
      <c r="P48" s="307">
        <v>5993118.6408960866</v>
      </c>
      <c r="Q48" s="282">
        <v>6269821.1828594869</v>
      </c>
      <c r="R48" s="282">
        <v>6247008.5743884807</v>
      </c>
      <c r="S48" s="303"/>
      <c r="U48" s="3" t="s">
        <v>506</v>
      </c>
    </row>
    <row r="49" spans="2:26">
      <c r="B49" s="3" t="s">
        <v>519</v>
      </c>
      <c r="D49" s="3" t="s">
        <v>482</v>
      </c>
      <c r="H49" s="10"/>
      <c r="I49" s="10"/>
      <c r="J49" s="10"/>
      <c r="K49" s="10"/>
      <c r="L49" s="10"/>
      <c r="M49" s="10"/>
      <c r="N49" s="282">
        <v>109745.32379785551</v>
      </c>
      <c r="O49" s="10"/>
      <c r="P49" s="10"/>
      <c r="Q49" s="10"/>
      <c r="R49" s="10"/>
      <c r="S49" s="303"/>
      <c r="U49" s="3" t="s">
        <v>506</v>
      </c>
    </row>
    <row r="50" spans="2:26">
      <c r="B50" s="3" t="s">
        <v>520</v>
      </c>
      <c r="D50" s="3" t="s">
        <v>482</v>
      </c>
      <c r="H50" s="10"/>
      <c r="I50" s="10"/>
      <c r="J50" s="10"/>
      <c r="K50" s="10"/>
      <c r="L50" s="10"/>
      <c r="M50" s="10"/>
      <c r="N50" s="303"/>
      <c r="O50" s="303"/>
      <c r="P50" s="307">
        <v>270388092.45989364</v>
      </c>
      <c r="Q50" s="10"/>
      <c r="R50" s="10"/>
      <c r="S50" s="303"/>
      <c r="U50" s="3" t="s">
        <v>506</v>
      </c>
    </row>
    <row r="51" spans="2:26">
      <c r="B51" s="3" t="s">
        <v>521</v>
      </c>
      <c r="D51" s="3" t="s">
        <v>482</v>
      </c>
      <c r="H51" s="10"/>
      <c r="I51" s="10"/>
      <c r="J51" s="10"/>
      <c r="K51" s="10"/>
      <c r="L51" s="10"/>
      <c r="M51" s="10"/>
      <c r="N51" s="10"/>
      <c r="O51" s="282">
        <v>-6549650.4501419598</v>
      </c>
      <c r="P51" s="307">
        <v>1236097.6837258562</v>
      </c>
      <c r="Q51" s="282">
        <v>14624633.370419957</v>
      </c>
      <c r="R51" s="282">
        <v>27827156.062316984</v>
      </c>
      <c r="S51" s="303"/>
      <c r="U51" s="3" t="s">
        <v>506</v>
      </c>
      <c r="Z51" s="154"/>
    </row>
    <row r="52" spans="2:26">
      <c r="B52" s="3" t="s">
        <v>522</v>
      </c>
      <c r="D52" s="3" t="s">
        <v>482</v>
      </c>
      <c r="H52" s="10"/>
      <c r="I52" s="10"/>
      <c r="J52" s="10"/>
      <c r="K52" s="10"/>
      <c r="L52" s="10"/>
      <c r="M52" s="10"/>
      <c r="N52" s="303"/>
      <c r="O52" s="303"/>
      <c r="P52" s="307">
        <v>-18434074.327111505</v>
      </c>
      <c r="Q52" s="282">
        <v>-19829873.659733675</v>
      </c>
      <c r="R52" s="282">
        <v>-19994603.596221652</v>
      </c>
      <c r="S52" s="303"/>
      <c r="U52" s="3" t="s">
        <v>506</v>
      </c>
    </row>
    <row r="53" spans="2:26">
      <c r="B53" s="3" t="s">
        <v>523</v>
      </c>
      <c r="D53" s="3" t="s">
        <v>482</v>
      </c>
      <c r="H53" s="10"/>
      <c r="I53" s="10"/>
      <c r="J53" s="10"/>
      <c r="K53" s="10"/>
      <c r="L53" s="10"/>
      <c r="M53" s="10"/>
      <c r="N53" s="303"/>
      <c r="O53" s="303"/>
      <c r="P53" s="303"/>
      <c r="Q53" s="282">
        <v>177577613.12560752</v>
      </c>
      <c r="R53" s="303"/>
      <c r="S53" s="303"/>
      <c r="U53" s="3" t="s">
        <v>506</v>
      </c>
    </row>
    <row r="54" spans="2:26">
      <c r="B54" s="3" t="s">
        <v>524</v>
      </c>
      <c r="D54" s="3" t="s">
        <v>482</v>
      </c>
      <c r="H54" s="10"/>
      <c r="I54" s="10"/>
      <c r="J54" s="10"/>
      <c r="K54" s="10"/>
      <c r="L54" s="10"/>
      <c r="M54" s="10"/>
      <c r="N54" s="303"/>
      <c r="O54" s="303"/>
      <c r="P54" s="303"/>
      <c r="Q54" s="282">
        <v>-106774394.81170595</v>
      </c>
      <c r="R54" s="303"/>
      <c r="S54" s="303"/>
      <c r="U54" s="3" t="s">
        <v>506</v>
      </c>
    </row>
    <row r="55" spans="2:26">
      <c r="B55" s="3" t="s">
        <v>525</v>
      </c>
      <c r="D55" s="3" t="s">
        <v>482</v>
      </c>
      <c r="H55" s="10"/>
      <c r="I55" s="10"/>
      <c r="J55" s="10"/>
      <c r="K55" s="10"/>
      <c r="L55" s="10"/>
      <c r="M55" s="10"/>
      <c r="N55" s="303"/>
      <c r="O55" s="303"/>
      <c r="P55" s="303"/>
      <c r="Q55" s="282">
        <v>-10000000</v>
      </c>
      <c r="R55" s="303"/>
      <c r="S55" s="303"/>
      <c r="U55" s="3" t="s">
        <v>506</v>
      </c>
    </row>
    <row r="56" spans="2:26">
      <c r="N56" s="154"/>
      <c r="O56" s="154"/>
      <c r="P56" s="154"/>
      <c r="Q56" s="154"/>
    </row>
    <row r="57" spans="2:26" s="8" customFormat="1">
      <c r="B57" s="8" t="s">
        <v>526</v>
      </c>
    </row>
    <row r="59" spans="2:26">
      <c r="B59" s="3" t="s">
        <v>527</v>
      </c>
      <c r="D59" s="3" t="s">
        <v>482</v>
      </c>
      <c r="H59" s="10"/>
      <c r="I59" s="10"/>
      <c r="J59" s="10"/>
      <c r="K59" s="10"/>
      <c r="L59" s="10"/>
      <c r="M59" s="10"/>
      <c r="N59" s="10"/>
      <c r="O59" s="10"/>
      <c r="P59" s="10"/>
      <c r="Q59" s="10"/>
      <c r="R59" s="164">
        <v>0</v>
      </c>
      <c r="S59" s="10"/>
      <c r="U59" s="4" t="s">
        <v>528</v>
      </c>
      <c r="W59" s="3" t="s">
        <v>529</v>
      </c>
    </row>
    <row r="60" spans="2:26">
      <c r="B60" s="3" t="s">
        <v>530</v>
      </c>
      <c r="D60" s="3" t="s">
        <v>482</v>
      </c>
      <c r="H60" s="10"/>
      <c r="I60" s="10"/>
      <c r="J60" s="10"/>
      <c r="K60" s="10"/>
      <c r="L60" s="10"/>
      <c r="M60" s="10"/>
      <c r="N60" s="10"/>
      <c r="O60" s="10"/>
      <c r="P60" s="10"/>
      <c r="Q60" s="10"/>
      <c r="R60" s="10"/>
      <c r="S60" s="345">
        <f ca="1" xml:space="preserve"> '26. Toegestane inkomsten'!N46</f>
        <v>312536705.76722199</v>
      </c>
      <c r="W60" s="3" t="s">
        <v>531</v>
      </c>
    </row>
    <row r="61" spans="2:26">
      <c r="B61" s="3" t="s">
        <v>532</v>
      </c>
      <c r="D61" s="3" t="s">
        <v>482</v>
      </c>
      <c r="H61" s="10"/>
      <c r="I61" s="10"/>
      <c r="J61" s="10"/>
      <c r="K61" s="10"/>
      <c r="L61" s="10"/>
      <c r="M61" s="10"/>
      <c r="N61" s="10"/>
      <c r="O61" s="10"/>
      <c r="P61" s="10"/>
      <c r="Q61" s="10"/>
      <c r="R61" s="10"/>
      <c r="S61" s="346">
        <v>275536705.76722199</v>
      </c>
      <c r="W61" s="3" t="s">
        <v>533</v>
      </c>
    </row>
  </sheetData>
  <mergeCells count="1">
    <mergeCell ref="B5:D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89D6-977C-4043-B9CC-F60F585E2D52}">
  <sheetPr>
    <tabColor rgb="FFCCFFCC"/>
  </sheetPr>
  <dimension ref="A2:J477"/>
  <sheetViews>
    <sheetView showGridLines="0" zoomScale="85" zoomScaleNormal="85" workbookViewId="0">
      <pane ySplit="10" topLeftCell="A11" activePane="bottomLeft" state="frozen"/>
      <selection pane="bottomLeft"/>
    </sheetView>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16384" width="13.5703125" style="3"/>
  </cols>
  <sheetData>
    <row r="2" spans="1:10" s="12" customFormat="1" ht="18">
      <c r="B2" s="12" t="s">
        <v>534</v>
      </c>
    </row>
    <row r="4" spans="1:10">
      <c r="B4" s="16" t="s">
        <v>300</v>
      </c>
    </row>
    <row r="5" spans="1:10" ht="46.5" customHeight="1">
      <c r="B5" s="359" t="s">
        <v>535</v>
      </c>
      <c r="C5" s="359"/>
      <c r="D5" s="359"/>
      <c r="E5" s="359"/>
    </row>
    <row r="7" spans="1:10" s="8" customFormat="1">
      <c r="A7" s="149"/>
      <c r="B7" s="8" t="s">
        <v>162</v>
      </c>
      <c r="F7" s="46"/>
      <c r="G7" s="46"/>
    </row>
    <row r="8" spans="1:10" s="48" customFormat="1"/>
    <row r="9" spans="1:10" s="135" customFormat="1">
      <c r="A9" s="236"/>
      <c r="B9" s="135" t="s">
        <v>536</v>
      </c>
      <c r="D9" s="135" t="s">
        <v>537</v>
      </c>
      <c r="F9" s="8" t="s">
        <v>206</v>
      </c>
    </row>
    <row r="10" spans="1:10" s="48" customFormat="1"/>
    <row r="11" spans="1:10">
      <c r="B11" s="92" cm="1">
        <f t="array" ref="B11:B102">'13. Desinvesteringen'!B335:B426</f>
        <v>316</v>
      </c>
      <c r="D11" s="237">
        <v>0</v>
      </c>
      <c r="F11" s="3" t="s">
        <v>538</v>
      </c>
      <c r="J11" s="88"/>
    </row>
    <row r="12" spans="1:10">
      <c r="B12" s="92">
        <v>317</v>
      </c>
      <c r="D12" s="237">
        <v>0</v>
      </c>
      <c r="F12" s="3" t="s">
        <v>538</v>
      </c>
      <c r="J12" s="88"/>
    </row>
    <row r="13" spans="1:10">
      <c r="B13" s="92">
        <v>318</v>
      </c>
      <c r="D13" s="237">
        <v>0</v>
      </c>
      <c r="F13" s="3" t="s">
        <v>538</v>
      </c>
      <c r="J13" s="88"/>
    </row>
    <row r="14" spans="1:10">
      <c r="B14" s="92">
        <v>319</v>
      </c>
      <c r="D14" s="237">
        <v>0</v>
      </c>
      <c r="F14" s="3" t="s">
        <v>538</v>
      </c>
      <c r="J14" s="88"/>
    </row>
    <row r="15" spans="1:10">
      <c r="B15" s="92">
        <v>320</v>
      </c>
      <c r="D15" s="237">
        <v>0</v>
      </c>
      <c r="F15" s="3" t="s">
        <v>538</v>
      </c>
      <c r="J15" s="88"/>
    </row>
    <row r="16" spans="1:10">
      <c r="B16" s="92">
        <v>321</v>
      </c>
      <c r="D16" s="237">
        <v>0</v>
      </c>
      <c r="F16" s="3" t="s">
        <v>538</v>
      </c>
      <c r="J16" s="88"/>
    </row>
    <row r="17" spans="2:10">
      <c r="B17" s="92">
        <v>322</v>
      </c>
      <c r="D17" s="237">
        <v>0</v>
      </c>
      <c r="F17" s="3" t="s">
        <v>538</v>
      </c>
      <c r="J17" s="88"/>
    </row>
    <row r="18" spans="2:10">
      <c r="B18" s="92">
        <v>323</v>
      </c>
      <c r="D18" s="146">
        <v>4800.0618690721003</v>
      </c>
      <c r="F18" s="3" t="s">
        <v>538</v>
      </c>
      <c r="J18" s="88"/>
    </row>
    <row r="19" spans="2:10">
      <c r="B19" s="92">
        <v>324</v>
      </c>
      <c r="D19" s="146">
        <v>7362.4523493487277</v>
      </c>
      <c r="F19" s="3" t="s">
        <v>538</v>
      </c>
      <c r="J19" s="88"/>
    </row>
    <row r="20" spans="2:10">
      <c r="B20" s="92">
        <v>325</v>
      </c>
      <c r="D20" s="146">
        <v>19106.465971183679</v>
      </c>
      <c r="F20" s="3" t="s">
        <v>538</v>
      </c>
      <c r="J20" s="88"/>
    </row>
    <row r="21" spans="2:10">
      <c r="B21" s="92">
        <v>326</v>
      </c>
      <c r="D21" s="146">
        <v>34361.047919882221</v>
      </c>
      <c r="F21" s="3" t="s">
        <v>538</v>
      </c>
      <c r="J21" s="88"/>
    </row>
    <row r="22" spans="2:10">
      <c r="B22" s="92">
        <v>327</v>
      </c>
      <c r="D22" s="146">
        <v>24689.78297700132</v>
      </c>
      <c r="F22" s="3" t="s">
        <v>538</v>
      </c>
      <c r="J22" s="88"/>
    </row>
    <row r="23" spans="2:10">
      <c r="B23" s="92">
        <v>328</v>
      </c>
      <c r="D23" s="146">
        <v>84795.96142136406</v>
      </c>
      <c r="F23" s="3" t="s">
        <v>538</v>
      </c>
      <c r="J23" s="88"/>
    </row>
    <row r="24" spans="2:10" ht="12" customHeight="1">
      <c r="B24" s="92">
        <v>329</v>
      </c>
      <c r="D24" s="146">
        <v>73143.543504977206</v>
      </c>
      <c r="F24" s="3" t="s">
        <v>538</v>
      </c>
      <c r="J24" s="88"/>
    </row>
    <row r="25" spans="2:10">
      <c r="B25" s="92">
        <v>330</v>
      </c>
      <c r="D25" s="146">
        <v>28650.688160986421</v>
      </c>
      <c r="F25" s="3" t="s">
        <v>538</v>
      </c>
      <c r="J25" s="88"/>
    </row>
    <row r="26" spans="2:10">
      <c r="B26" s="92">
        <v>331</v>
      </c>
      <c r="D26" s="146">
        <v>22915.340357348177</v>
      </c>
      <c r="F26" s="3" t="s">
        <v>538</v>
      </c>
      <c r="J26" s="88"/>
    </row>
    <row r="27" spans="2:10">
      <c r="B27" s="92">
        <v>332</v>
      </c>
      <c r="D27" s="146">
        <v>52322.526677778427</v>
      </c>
      <c r="F27" s="3" t="s">
        <v>538</v>
      </c>
      <c r="J27" s="88"/>
    </row>
    <row r="28" spans="2:10">
      <c r="B28" s="92">
        <v>333</v>
      </c>
      <c r="D28" s="146">
        <v>22168.241432612802</v>
      </c>
      <c r="F28" s="3" t="s">
        <v>538</v>
      </c>
      <c r="J28" s="88"/>
    </row>
    <row r="29" spans="2:10">
      <c r="B29" s="92">
        <v>334</v>
      </c>
      <c r="D29" s="146">
        <v>74293.951826154895</v>
      </c>
      <c r="F29" s="3" t="s">
        <v>538</v>
      </c>
      <c r="J29" s="88"/>
    </row>
    <row r="30" spans="2:10">
      <c r="B30" s="92">
        <v>335</v>
      </c>
      <c r="D30" s="146">
        <v>357.48421114725051</v>
      </c>
      <c r="F30" s="3" t="s">
        <v>538</v>
      </c>
      <c r="J30" s="88"/>
    </row>
    <row r="31" spans="2:10">
      <c r="B31" s="92">
        <v>336</v>
      </c>
      <c r="D31" s="146">
        <v>38915.650783577308</v>
      </c>
      <c r="F31" s="3" t="s">
        <v>538</v>
      </c>
      <c r="J31" s="88"/>
    </row>
    <row r="32" spans="2:10">
      <c r="B32" s="92">
        <v>337</v>
      </c>
      <c r="D32" s="146">
        <v>22545.342886393813</v>
      </c>
      <c r="F32" s="3" t="s">
        <v>538</v>
      </c>
      <c r="J32" s="88"/>
    </row>
    <row r="33" spans="2:10">
      <c r="B33" s="92">
        <v>338</v>
      </c>
      <c r="D33" s="146">
        <v>91128.347042326975</v>
      </c>
      <c r="F33" s="3" t="s">
        <v>538</v>
      </c>
      <c r="J33" s="88"/>
    </row>
    <row r="34" spans="2:10">
      <c r="B34" s="92">
        <v>339</v>
      </c>
      <c r="D34" s="146">
        <v>19475.506076320318</v>
      </c>
      <c r="F34" s="3" t="s">
        <v>538</v>
      </c>
      <c r="J34" s="88"/>
    </row>
    <row r="35" spans="2:10">
      <c r="B35" s="92">
        <v>340</v>
      </c>
      <c r="D35" s="146">
        <v>4265.7894840755598</v>
      </c>
      <c r="F35" s="3" t="s">
        <v>538</v>
      </c>
      <c r="J35" s="88"/>
    </row>
    <row r="36" spans="2:10">
      <c r="B36" s="92">
        <v>341</v>
      </c>
      <c r="D36" s="146">
        <v>6065.0353725967525</v>
      </c>
      <c r="F36" s="3" t="s">
        <v>538</v>
      </c>
      <c r="J36" s="88"/>
    </row>
    <row r="37" spans="2:10">
      <c r="B37" s="92">
        <v>342</v>
      </c>
      <c r="D37" s="146">
        <v>3963.0132452867715</v>
      </c>
      <c r="F37" s="3" t="s">
        <v>538</v>
      </c>
      <c r="J37" s="88"/>
    </row>
    <row r="38" spans="2:10">
      <c r="B38" s="92">
        <v>343</v>
      </c>
      <c r="D38" s="146">
        <v>99386.826026262308</v>
      </c>
      <c r="F38" s="3" t="s">
        <v>538</v>
      </c>
      <c r="J38" s="88"/>
    </row>
    <row r="39" spans="2:10">
      <c r="B39" s="92">
        <v>344</v>
      </c>
      <c r="D39" s="146">
        <v>21724.935672167638</v>
      </c>
      <c r="F39" s="3" t="s">
        <v>538</v>
      </c>
      <c r="J39" s="88"/>
    </row>
    <row r="40" spans="2:10">
      <c r="B40" s="92">
        <v>345</v>
      </c>
      <c r="D40" s="146">
        <v>354150.64233630133</v>
      </c>
      <c r="F40" s="3" t="s">
        <v>538</v>
      </c>
      <c r="J40" s="88"/>
    </row>
    <row r="41" spans="2:10">
      <c r="B41" s="92">
        <v>346</v>
      </c>
      <c r="D41" s="146">
        <v>152476.71374613314</v>
      </c>
      <c r="F41" s="3" t="s">
        <v>538</v>
      </c>
      <c r="J41" s="88"/>
    </row>
    <row r="42" spans="2:10">
      <c r="B42" s="92">
        <v>347</v>
      </c>
      <c r="D42" s="146">
        <v>56089.001773568591</v>
      </c>
      <c r="F42" s="3" t="s">
        <v>538</v>
      </c>
      <c r="J42" s="88"/>
    </row>
    <row r="43" spans="2:10">
      <c r="B43" s="92">
        <v>348</v>
      </c>
      <c r="D43" s="146">
        <v>89195.270846924876</v>
      </c>
      <c r="F43" s="3" t="s">
        <v>538</v>
      </c>
      <c r="J43" s="88"/>
    </row>
    <row r="44" spans="2:10">
      <c r="B44" s="92">
        <v>349</v>
      </c>
      <c r="D44" s="146">
        <v>160239.08891040052</v>
      </c>
      <c r="F44" s="3" t="s">
        <v>538</v>
      </c>
      <c r="J44" s="88"/>
    </row>
    <row r="45" spans="2:10">
      <c r="B45" s="92">
        <v>350</v>
      </c>
      <c r="D45" s="237">
        <v>0</v>
      </c>
      <c r="F45" s="3" t="s">
        <v>538</v>
      </c>
      <c r="J45" s="88"/>
    </row>
    <row r="46" spans="2:10">
      <c r="B46" s="92">
        <v>351</v>
      </c>
      <c r="D46" s="237">
        <v>0</v>
      </c>
      <c r="F46" s="3" t="s">
        <v>538</v>
      </c>
      <c r="J46" s="88"/>
    </row>
    <row r="47" spans="2:10">
      <c r="B47" s="92">
        <v>352</v>
      </c>
      <c r="D47" s="237">
        <v>0</v>
      </c>
      <c r="F47" s="3" t="s">
        <v>538</v>
      </c>
      <c r="J47" s="88"/>
    </row>
    <row r="48" spans="2:10">
      <c r="B48" s="92">
        <v>353</v>
      </c>
      <c r="D48" s="237">
        <v>0</v>
      </c>
      <c r="F48" s="3" t="s">
        <v>538</v>
      </c>
      <c r="J48" s="88"/>
    </row>
    <row r="49" spans="2:10">
      <c r="B49" s="92">
        <v>354</v>
      </c>
      <c r="D49" s="237">
        <v>0</v>
      </c>
      <c r="F49" s="3" t="s">
        <v>538</v>
      </c>
      <c r="J49" s="88"/>
    </row>
    <row r="50" spans="2:10">
      <c r="B50" s="92">
        <v>355</v>
      </c>
      <c r="D50" s="237">
        <v>0</v>
      </c>
      <c r="F50" s="3" t="s">
        <v>538</v>
      </c>
      <c r="J50" s="88"/>
    </row>
    <row r="51" spans="2:10">
      <c r="B51" s="92">
        <v>356</v>
      </c>
      <c r="D51" s="237">
        <v>0</v>
      </c>
      <c r="F51" s="3" t="s">
        <v>538</v>
      </c>
      <c r="J51" s="88"/>
    </row>
    <row r="52" spans="2:10">
      <c r="B52" s="92">
        <v>357</v>
      </c>
      <c r="D52" s="237">
        <v>0</v>
      </c>
      <c r="F52" s="3" t="s">
        <v>538</v>
      </c>
      <c r="J52" s="88"/>
    </row>
    <row r="53" spans="2:10">
      <c r="B53" s="92">
        <v>358</v>
      </c>
      <c r="D53" s="237">
        <v>0</v>
      </c>
      <c r="F53" s="3" t="s">
        <v>538</v>
      </c>
      <c r="J53" s="88"/>
    </row>
    <row r="54" spans="2:10">
      <c r="B54" s="92">
        <v>359</v>
      </c>
      <c r="D54" s="237">
        <v>0</v>
      </c>
      <c r="F54" s="3" t="s">
        <v>538</v>
      </c>
      <c r="J54" s="88"/>
    </row>
    <row r="55" spans="2:10">
      <c r="B55" s="92">
        <v>360</v>
      </c>
      <c r="D55" s="237">
        <v>0</v>
      </c>
      <c r="F55" s="3" t="s">
        <v>538</v>
      </c>
      <c r="J55" s="88"/>
    </row>
    <row r="56" spans="2:10">
      <c r="B56" s="92">
        <v>361</v>
      </c>
      <c r="D56" s="237">
        <v>0</v>
      </c>
      <c r="F56" s="3" t="s">
        <v>538</v>
      </c>
      <c r="J56" s="88"/>
    </row>
    <row r="57" spans="2:10">
      <c r="B57" s="92">
        <v>362</v>
      </c>
      <c r="D57" s="237">
        <v>0</v>
      </c>
      <c r="F57" s="3" t="s">
        <v>538</v>
      </c>
      <c r="J57" s="88"/>
    </row>
    <row r="58" spans="2:10">
      <c r="B58" s="92">
        <v>363</v>
      </c>
      <c r="D58" s="237">
        <v>0</v>
      </c>
      <c r="F58" s="3" t="s">
        <v>538</v>
      </c>
      <c r="J58" s="88"/>
    </row>
    <row r="59" spans="2:10">
      <c r="B59" s="92">
        <v>364</v>
      </c>
      <c r="D59" s="237">
        <v>0</v>
      </c>
      <c r="F59" s="3" t="s">
        <v>538</v>
      </c>
      <c r="J59" s="88"/>
    </row>
    <row r="60" spans="2:10">
      <c r="B60" s="92">
        <v>365</v>
      </c>
      <c r="D60" s="237">
        <v>0</v>
      </c>
      <c r="F60" s="3" t="s">
        <v>538</v>
      </c>
      <c r="J60" s="88"/>
    </row>
    <row r="61" spans="2:10">
      <c r="B61" s="92">
        <v>366</v>
      </c>
      <c r="D61" s="237">
        <v>0</v>
      </c>
      <c r="F61" s="3" t="s">
        <v>538</v>
      </c>
      <c r="J61" s="88"/>
    </row>
    <row r="62" spans="2:10">
      <c r="B62" s="92">
        <v>367</v>
      </c>
      <c r="D62" s="237">
        <v>0</v>
      </c>
      <c r="F62" s="3" t="s">
        <v>538</v>
      </c>
      <c r="J62" s="88"/>
    </row>
    <row r="63" spans="2:10">
      <c r="B63" s="92">
        <v>368</v>
      </c>
      <c r="D63" s="237">
        <v>0</v>
      </c>
      <c r="F63" s="3" t="s">
        <v>538</v>
      </c>
      <c r="J63" s="88"/>
    </row>
    <row r="64" spans="2:10">
      <c r="B64" s="92">
        <v>369</v>
      </c>
      <c r="D64" s="237">
        <v>0</v>
      </c>
      <c r="F64" s="3" t="s">
        <v>538</v>
      </c>
      <c r="J64" s="88"/>
    </row>
    <row r="65" spans="2:10">
      <c r="B65" s="92">
        <v>370</v>
      </c>
      <c r="D65" s="237">
        <v>0</v>
      </c>
      <c r="F65" s="3" t="s">
        <v>538</v>
      </c>
      <c r="J65" s="88"/>
    </row>
    <row r="66" spans="2:10">
      <c r="B66" s="92">
        <v>371</v>
      </c>
      <c r="D66" s="146">
        <v>646.89002615775189</v>
      </c>
      <c r="F66" s="3" t="s">
        <v>538</v>
      </c>
      <c r="J66" s="88"/>
    </row>
    <row r="67" spans="2:10">
      <c r="B67" s="92">
        <v>372</v>
      </c>
      <c r="D67" s="146">
        <v>1357.7574875549008</v>
      </c>
      <c r="F67" s="3" t="s">
        <v>538</v>
      </c>
      <c r="J67" s="88"/>
    </row>
    <row r="68" spans="2:10">
      <c r="B68" s="92">
        <v>373</v>
      </c>
      <c r="D68" s="146">
        <v>7195.5569834638591</v>
      </c>
      <c r="F68" s="3" t="s">
        <v>538</v>
      </c>
      <c r="J68" s="88"/>
    </row>
    <row r="69" spans="2:10">
      <c r="B69" s="92">
        <v>374</v>
      </c>
      <c r="D69" s="146">
        <v>11931.605633190833</v>
      </c>
      <c r="F69" s="3" t="s">
        <v>538</v>
      </c>
      <c r="J69" s="88"/>
    </row>
    <row r="70" spans="2:10">
      <c r="B70" s="92">
        <v>375</v>
      </c>
      <c r="D70" s="146">
        <v>4008.6360537194205</v>
      </c>
      <c r="F70" s="3" t="s">
        <v>538</v>
      </c>
      <c r="J70" s="88"/>
    </row>
    <row r="71" spans="2:10">
      <c r="B71" s="92">
        <v>376</v>
      </c>
      <c r="D71" s="146">
        <v>4682.8462589200817</v>
      </c>
      <c r="F71" s="3" t="s">
        <v>538</v>
      </c>
      <c r="J71" s="88"/>
    </row>
    <row r="72" spans="2:10">
      <c r="B72" s="92">
        <v>377</v>
      </c>
      <c r="D72" s="146">
        <v>4626.8552263726942</v>
      </c>
      <c r="F72" s="3" t="s">
        <v>538</v>
      </c>
      <c r="J72" s="88"/>
    </row>
    <row r="73" spans="2:10">
      <c r="B73" s="92">
        <v>378</v>
      </c>
      <c r="D73" s="146">
        <v>4611.6740310663999</v>
      </c>
      <c r="F73" s="3" t="s">
        <v>538</v>
      </c>
      <c r="J73" s="88"/>
    </row>
    <row r="74" spans="2:10">
      <c r="B74" s="92">
        <v>379</v>
      </c>
      <c r="D74" s="146">
        <v>19084.802391040361</v>
      </c>
      <c r="F74" s="3" t="s">
        <v>538</v>
      </c>
      <c r="J74" s="88"/>
    </row>
    <row r="75" spans="2:10">
      <c r="B75" s="92">
        <v>380</v>
      </c>
      <c r="D75" s="146">
        <v>7912.0882258856245</v>
      </c>
      <c r="F75" s="3" t="s">
        <v>538</v>
      </c>
      <c r="J75" s="88"/>
    </row>
    <row r="76" spans="2:10">
      <c r="B76" s="92">
        <v>381</v>
      </c>
      <c r="D76" s="146">
        <v>204757.05379307119</v>
      </c>
      <c r="F76" s="3" t="s">
        <v>538</v>
      </c>
      <c r="J76" s="88"/>
    </row>
    <row r="77" spans="2:10">
      <c r="B77" s="92">
        <v>382</v>
      </c>
      <c r="D77" s="146">
        <v>114014.92388584625</v>
      </c>
      <c r="F77" s="3" t="s">
        <v>538</v>
      </c>
      <c r="J77" s="88"/>
    </row>
    <row r="78" spans="2:10">
      <c r="B78" s="92">
        <v>383</v>
      </c>
      <c r="D78" s="146">
        <v>32772.828513993481</v>
      </c>
      <c r="F78" s="3" t="s">
        <v>538</v>
      </c>
      <c r="J78" s="88"/>
    </row>
    <row r="79" spans="2:10">
      <c r="B79" s="92">
        <v>384</v>
      </c>
      <c r="D79" s="237">
        <v>0</v>
      </c>
      <c r="F79" s="3" t="s">
        <v>538</v>
      </c>
      <c r="J79" s="88"/>
    </row>
    <row r="80" spans="2:10">
      <c r="B80" s="92">
        <v>385</v>
      </c>
      <c r="D80" s="237">
        <v>0</v>
      </c>
      <c r="F80" s="3" t="s">
        <v>538</v>
      </c>
      <c r="J80" s="88"/>
    </row>
    <row r="81" spans="2:10">
      <c r="B81" s="92">
        <v>386</v>
      </c>
      <c r="D81" s="237">
        <v>0</v>
      </c>
      <c r="F81" s="3" t="s">
        <v>538</v>
      </c>
      <c r="J81" s="88"/>
    </row>
    <row r="82" spans="2:10">
      <c r="B82" s="92">
        <v>387</v>
      </c>
      <c r="D82" s="237">
        <v>0</v>
      </c>
      <c r="F82" s="3" t="s">
        <v>538</v>
      </c>
      <c r="J82" s="88"/>
    </row>
    <row r="83" spans="2:10">
      <c r="B83" s="92">
        <v>388</v>
      </c>
      <c r="D83" s="146">
        <v>4540.0402775800039</v>
      </c>
      <c r="F83" s="3" t="s">
        <v>538</v>
      </c>
      <c r="J83" s="88"/>
    </row>
    <row r="84" spans="2:10">
      <c r="B84" s="92">
        <v>389</v>
      </c>
      <c r="D84" s="146">
        <v>89847.095733059148</v>
      </c>
      <c r="F84" s="3" t="s">
        <v>538</v>
      </c>
      <c r="J84" s="88"/>
    </row>
    <row r="85" spans="2:10">
      <c r="B85" s="92">
        <v>390</v>
      </c>
      <c r="D85" s="237">
        <v>0</v>
      </c>
      <c r="F85" s="3" t="s">
        <v>538</v>
      </c>
      <c r="J85" s="88"/>
    </row>
    <row r="86" spans="2:10">
      <c r="B86" s="92">
        <v>391</v>
      </c>
      <c r="D86" s="146">
        <v>614953.64546122367</v>
      </c>
      <c r="F86" s="3" t="s">
        <v>538</v>
      </c>
      <c r="J86" s="88"/>
    </row>
    <row r="87" spans="2:10">
      <c r="B87" s="92">
        <v>392</v>
      </c>
      <c r="D87" s="146">
        <v>61437.139832305947</v>
      </c>
      <c r="F87" s="3" t="s">
        <v>538</v>
      </c>
      <c r="J87" s="88"/>
    </row>
    <row r="88" spans="2:10">
      <c r="B88" s="92">
        <v>393</v>
      </c>
      <c r="D88" s="237">
        <v>0</v>
      </c>
      <c r="F88" s="3" t="s">
        <v>538</v>
      </c>
      <c r="J88" s="88"/>
    </row>
    <row r="89" spans="2:10">
      <c r="B89" s="92">
        <v>394</v>
      </c>
      <c r="D89" s="146">
        <v>27710.301790765967</v>
      </c>
      <c r="F89" s="3" t="s">
        <v>538</v>
      </c>
      <c r="J89" s="88"/>
    </row>
    <row r="90" spans="2:10">
      <c r="B90" s="92">
        <v>395</v>
      </c>
      <c r="D90" s="146">
        <v>9353.7976978691713</v>
      </c>
      <c r="F90" s="3" t="s">
        <v>538</v>
      </c>
      <c r="J90" s="88"/>
    </row>
    <row r="91" spans="2:10">
      <c r="B91" s="92">
        <v>396</v>
      </c>
      <c r="D91" s="146">
        <v>27670.188323616749</v>
      </c>
      <c r="F91" s="3" t="s">
        <v>538</v>
      </c>
      <c r="J91" s="88"/>
    </row>
    <row r="92" spans="2:10">
      <c r="B92" s="92">
        <v>397</v>
      </c>
      <c r="D92" s="146">
        <v>65069.242178936642</v>
      </c>
      <c r="F92" s="3" t="s">
        <v>538</v>
      </c>
      <c r="J92" s="88"/>
    </row>
    <row r="93" spans="2:10">
      <c r="B93" s="92">
        <v>398</v>
      </c>
      <c r="D93" s="237">
        <v>0</v>
      </c>
      <c r="F93" s="3" t="s">
        <v>538</v>
      </c>
      <c r="J93" s="88"/>
    </row>
    <row r="94" spans="2:10">
      <c r="B94" s="92">
        <v>399</v>
      </c>
      <c r="D94" s="237">
        <v>0</v>
      </c>
      <c r="F94" s="3" t="s">
        <v>538</v>
      </c>
      <c r="J94" s="88"/>
    </row>
    <row r="95" spans="2:10">
      <c r="B95" s="92">
        <v>400</v>
      </c>
      <c r="D95" s="237">
        <v>0</v>
      </c>
      <c r="F95" s="3" t="s">
        <v>538</v>
      </c>
      <c r="J95" s="88"/>
    </row>
    <row r="96" spans="2:10">
      <c r="B96" s="92">
        <v>401</v>
      </c>
      <c r="D96" s="237">
        <v>0</v>
      </c>
      <c r="F96" s="3" t="s">
        <v>538</v>
      </c>
      <c r="J96" s="88"/>
    </row>
    <row r="97" spans="2:10">
      <c r="B97" s="92">
        <v>402</v>
      </c>
      <c r="D97" s="237">
        <v>0</v>
      </c>
      <c r="F97" s="3" t="s">
        <v>538</v>
      </c>
      <c r="J97" s="88"/>
    </row>
    <row r="98" spans="2:10">
      <c r="B98" s="92">
        <v>403</v>
      </c>
      <c r="D98" s="237">
        <v>0</v>
      </c>
      <c r="F98" s="3" t="s">
        <v>538</v>
      </c>
      <c r="J98" s="88"/>
    </row>
    <row r="99" spans="2:10">
      <c r="B99" s="92">
        <v>404</v>
      </c>
      <c r="D99" s="237">
        <v>0</v>
      </c>
      <c r="F99" s="3" t="s">
        <v>538</v>
      </c>
      <c r="J99" s="88"/>
    </row>
    <row r="100" spans="2:10">
      <c r="B100" s="92">
        <v>405</v>
      </c>
      <c r="D100" s="146">
        <v>3006.4882057138966</v>
      </c>
      <c r="F100" s="3" t="s">
        <v>538</v>
      </c>
      <c r="J100" s="88"/>
    </row>
    <row r="101" spans="2:10">
      <c r="B101" s="92">
        <v>406</v>
      </c>
      <c r="D101" s="146">
        <v>303439.87492153718</v>
      </c>
      <c r="F101" s="3" t="s">
        <v>538</v>
      </c>
      <c r="J101" s="88"/>
    </row>
    <row r="102" spans="2:10">
      <c r="B102" s="92">
        <v>407</v>
      </c>
      <c r="D102" s="237">
        <v>0</v>
      </c>
      <c r="F102" s="3" t="s">
        <v>538</v>
      </c>
      <c r="J102" s="88"/>
    </row>
    <row r="103" spans="2:10">
      <c r="B103" s="92">
        <v>408</v>
      </c>
      <c r="D103" s="146">
        <v>0</v>
      </c>
      <c r="F103" s="3" t="s">
        <v>539</v>
      </c>
      <c r="J103" s="88"/>
    </row>
    <row r="104" spans="2:10">
      <c r="B104" s="92">
        <v>409</v>
      </c>
      <c r="D104" s="146">
        <v>0</v>
      </c>
      <c r="F104" s="3" t="s">
        <v>539</v>
      </c>
      <c r="J104" s="88"/>
    </row>
    <row r="105" spans="2:10">
      <c r="B105" s="92">
        <v>410</v>
      </c>
      <c r="D105" s="146">
        <v>0</v>
      </c>
      <c r="F105" s="3" t="s">
        <v>539</v>
      </c>
      <c r="J105" s="88"/>
    </row>
    <row r="106" spans="2:10">
      <c r="B106" s="92">
        <v>411</v>
      </c>
      <c r="D106" s="146">
        <v>0</v>
      </c>
      <c r="F106" s="3" t="s">
        <v>539</v>
      </c>
      <c r="J106" s="88"/>
    </row>
    <row r="107" spans="2:10">
      <c r="B107" s="92">
        <v>412</v>
      </c>
      <c r="D107" s="146">
        <v>0</v>
      </c>
      <c r="F107" s="3" t="s">
        <v>539</v>
      </c>
      <c r="J107" s="88"/>
    </row>
    <row r="108" spans="2:10">
      <c r="B108" s="92">
        <v>413</v>
      </c>
      <c r="D108" s="146">
        <v>0</v>
      </c>
      <c r="F108" s="3" t="s">
        <v>539</v>
      </c>
      <c r="J108" s="88"/>
    </row>
    <row r="109" spans="2:10">
      <c r="B109" s="92">
        <v>414</v>
      </c>
      <c r="D109" s="146">
        <v>4066.6917785254955</v>
      </c>
      <c r="F109" s="3" t="s">
        <v>539</v>
      </c>
      <c r="J109" s="88"/>
    </row>
    <row r="110" spans="2:10">
      <c r="B110" s="92">
        <v>415</v>
      </c>
      <c r="D110" s="146">
        <v>72313.792532278865</v>
      </c>
      <c r="F110" s="3" t="s">
        <v>539</v>
      </c>
      <c r="J110" s="88"/>
    </row>
    <row r="111" spans="2:10">
      <c r="B111" s="92">
        <v>416</v>
      </c>
      <c r="D111" s="146">
        <v>39219.604478837689</v>
      </c>
      <c r="F111" s="3" t="s">
        <v>539</v>
      </c>
    </row>
    <row r="112" spans="2:10">
      <c r="B112" s="92">
        <v>417</v>
      </c>
      <c r="D112" s="146">
        <v>69808.707803642814</v>
      </c>
      <c r="F112" s="3" t="s">
        <v>539</v>
      </c>
    </row>
    <row r="113" spans="2:6">
      <c r="B113" s="92">
        <v>418</v>
      </c>
      <c r="D113" s="146">
        <v>38586.635084201873</v>
      </c>
      <c r="F113" s="3" t="s">
        <v>539</v>
      </c>
    </row>
    <row r="114" spans="2:6">
      <c r="B114" s="92">
        <v>419</v>
      </c>
      <c r="D114" s="146">
        <v>21904.077054372625</v>
      </c>
      <c r="F114" s="3" t="s">
        <v>539</v>
      </c>
    </row>
    <row r="115" spans="2:6">
      <c r="B115" s="92">
        <v>420</v>
      </c>
      <c r="D115" s="146">
        <v>17162.736023996706</v>
      </c>
      <c r="F115" s="3" t="s">
        <v>539</v>
      </c>
    </row>
    <row r="116" spans="2:6">
      <c r="B116" s="92">
        <v>421</v>
      </c>
      <c r="D116" s="146">
        <v>2951.3714473540831</v>
      </c>
      <c r="F116" s="3" t="s">
        <v>539</v>
      </c>
    </row>
    <row r="117" spans="2:6">
      <c r="B117" s="92">
        <v>422</v>
      </c>
      <c r="D117" s="146">
        <v>1042.7959463378704</v>
      </c>
      <c r="F117" s="3" t="s">
        <v>539</v>
      </c>
    </row>
    <row r="118" spans="2:6">
      <c r="B118" s="92">
        <v>423</v>
      </c>
      <c r="D118" s="146">
        <v>1583.1020339233444</v>
      </c>
      <c r="F118" s="3" t="s">
        <v>539</v>
      </c>
    </row>
    <row r="119" spans="2:6">
      <c r="B119" s="92">
        <v>424</v>
      </c>
      <c r="D119" s="146">
        <v>7373.2798573001292</v>
      </c>
      <c r="F119" s="3" t="s">
        <v>539</v>
      </c>
    </row>
    <row r="120" spans="2:6">
      <c r="B120" s="92">
        <v>425</v>
      </c>
      <c r="D120" s="146">
        <v>138596.0081293541</v>
      </c>
      <c r="F120" s="3" t="s">
        <v>539</v>
      </c>
    </row>
    <row r="121" spans="2:6">
      <c r="B121" s="92">
        <v>426</v>
      </c>
      <c r="D121" s="146">
        <v>0</v>
      </c>
      <c r="F121" s="3" t="s">
        <v>539</v>
      </c>
    </row>
    <row r="122" spans="2:6">
      <c r="B122" s="92">
        <v>427</v>
      </c>
      <c r="D122" s="146">
        <v>30711.765477463152</v>
      </c>
      <c r="F122" s="3" t="s">
        <v>539</v>
      </c>
    </row>
    <row r="123" spans="2:6">
      <c r="B123" s="92">
        <v>428</v>
      </c>
      <c r="D123" s="146">
        <v>13771.568761085329</v>
      </c>
      <c r="F123" s="3" t="s">
        <v>539</v>
      </c>
    </row>
    <row r="124" spans="2:6">
      <c r="B124" s="92">
        <v>429</v>
      </c>
      <c r="D124" s="146">
        <v>38953.348948547842</v>
      </c>
      <c r="F124" s="3" t="s">
        <v>539</v>
      </c>
    </row>
    <row r="125" spans="2:6">
      <c r="B125" s="92">
        <v>430</v>
      </c>
      <c r="D125" s="146">
        <v>49700.604054063915</v>
      </c>
      <c r="F125" s="3" t="s">
        <v>539</v>
      </c>
    </row>
    <row r="126" spans="2:6">
      <c r="B126" s="92">
        <v>431</v>
      </c>
      <c r="D126" s="146">
        <v>9176.6384417978097</v>
      </c>
      <c r="F126" s="3" t="s">
        <v>539</v>
      </c>
    </row>
    <row r="127" spans="2:6">
      <c r="B127" s="92">
        <v>432</v>
      </c>
      <c r="D127" s="146">
        <v>350173.006424536</v>
      </c>
      <c r="F127" s="3" t="s">
        <v>539</v>
      </c>
    </row>
    <row r="128" spans="2:6">
      <c r="B128" s="92">
        <v>433</v>
      </c>
      <c r="D128" s="146">
        <v>16791.944833574824</v>
      </c>
      <c r="F128" s="3" t="s">
        <v>539</v>
      </c>
    </row>
    <row r="129" spans="2:6">
      <c r="B129" s="92">
        <v>434</v>
      </c>
      <c r="D129" s="146">
        <v>368844.5346481328</v>
      </c>
      <c r="F129" s="3" t="s">
        <v>539</v>
      </c>
    </row>
    <row r="130" spans="2:6">
      <c r="B130" s="92">
        <v>435</v>
      </c>
      <c r="D130" s="146">
        <v>0</v>
      </c>
      <c r="F130" s="3" t="s">
        <v>539</v>
      </c>
    </row>
    <row r="131" spans="2:6">
      <c r="B131" s="92">
        <v>436</v>
      </c>
      <c r="D131" s="146">
        <v>0</v>
      </c>
      <c r="F131" s="3" t="s">
        <v>539</v>
      </c>
    </row>
    <row r="132" spans="2:6">
      <c r="B132" s="92">
        <v>437</v>
      </c>
      <c r="D132" s="146">
        <v>0</v>
      </c>
      <c r="F132" s="3" t="s">
        <v>539</v>
      </c>
    </row>
    <row r="133" spans="2:6">
      <c r="B133" s="92">
        <v>438</v>
      </c>
      <c r="D133" s="146">
        <v>0</v>
      </c>
      <c r="F133" s="3" t="s">
        <v>539</v>
      </c>
    </row>
    <row r="134" spans="2:6">
      <c r="B134" s="92">
        <v>439</v>
      </c>
      <c r="D134" s="146">
        <v>0</v>
      </c>
      <c r="F134" s="3" t="s">
        <v>539</v>
      </c>
    </row>
    <row r="135" spans="2:6">
      <c r="B135" s="92">
        <v>440</v>
      </c>
      <c r="D135" s="146">
        <v>0</v>
      </c>
      <c r="F135" s="3" t="s">
        <v>539</v>
      </c>
    </row>
    <row r="136" spans="2:6">
      <c r="B136" s="92">
        <v>441</v>
      </c>
      <c r="D136" s="146">
        <v>0</v>
      </c>
      <c r="F136" s="3" t="s">
        <v>539</v>
      </c>
    </row>
    <row r="137" spans="2:6">
      <c r="B137" s="92">
        <v>442</v>
      </c>
      <c r="D137" s="146">
        <v>0</v>
      </c>
      <c r="F137" s="3" t="s">
        <v>539</v>
      </c>
    </row>
    <row r="138" spans="2:6">
      <c r="B138" s="92">
        <v>443</v>
      </c>
      <c r="D138" s="146">
        <v>0</v>
      </c>
      <c r="F138" s="3" t="s">
        <v>539</v>
      </c>
    </row>
    <row r="139" spans="2:6">
      <c r="B139" s="92">
        <v>444</v>
      </c>
      <c r="D139" s="146">
        <v>0</v>
      </c>
      <c r="F139" s="3" t="s">
        <v>539</v>
      </c>
    </row>
    <row r="140" spans="2:6">
      <c r="B140" s="92">
        <v>445</v>
      </c>
      <c r="D140" s="146">
        <v>0</v>
      </c>
      <c r="F140" s="3" t="s">
        <v>539</v>
      </c>
    </row>
    <row r="141" spans="2:6">
      <c r="B141" s="92">
        <v>446</v>
      </c>
      <c r="D141" s="146">
        <v>0</v>
      </c>
      <c r="F141" s="3" t="s">
        <v>539</v>
      </c>
    </row>
    <row r="142" spans="2:6">
      <c r="B142" s="92">
        <v>447</v>
      </c>
      <c r="D142" s="146">
        <v>0</v>
      </c>
      <c r="F142" s="3" t="s">
        <v>539</v>
      </c>
    </row>
    <row r="143" spans="2:6">
      <c r="B143" s="92">
        <v>448</v>
      </c>
      <c r="D143" s="146">
        <v>0</v>
      </c>
      <c r="F143" s="3" t="s">
        <v>539</v>
      </c>
    </row>
    <row r="144" spans="2:6">
      <c r="B144" s="92">
        <v>449</v>
      </c>
      <c r="D144" s="146">
        <v>0</v>
      </c>
      <c r="F144" s="3" t="s">
        <v>539</v>
      </c>
    </row>
    <row r="145" spans="2:6">
      <c r="B145" s="92">
        <v>450</v>
      </c>
      <c r="D145" s="146">
        <v>0</v>
      </c>
      <c r="F145" s="3" t="s">
        <v>539</v>
      </c>
    </row>
    <row r="146" spans="2:6">
      <c r="B146" s="92">
        <v>451</v>
      </c>
      <c r="D146" s="146">
        <v>192.7950154920913</v>
      </c>
      <c r="F146" s="3" t="s">
        <v>539</v>
      </c>
    </row>
    <row r="147" spans="2:6">
      <c r="B147" s="92">
        <v>452</v>
      </c>
      <c r="D147" s="146">
        <v>17486.319304522516</v>
      </c>
      <c r="F147" s="3" t="s">
        <v>539</v>
      </c>
    </row>
    <row r="148" spans="2:6">
      <c r="B148" s="92">
        <v>453</v>
      </c>
      <c r="D148" s="146">
        <v>1732.4051614647706</v>
      </c>
      <c r="F148" s="3" t="s">
        <v>539</v>
      </c>
    </row>
    <row r="149" spans="2:6">
      <c r="B149" s="92">
        <v>454</v>
      </c>
      <c r="D149" s="146">
        <v>2852.1763921840106</v>
      </c>
      <c r="F149" s="3" t="s">
        <v>539</v>
      </c>
    </row>
    <row r="150" spans="2:6">
      <c r="B150" s="92">
        <v>455</v>
      </c>
      <c r="D150" s="146">
        <v>9316.2155574158933</v>
      </c>
      <c r="F150" s="3" t="s">
        <v>539</v>
      </c>
    </row>
    <row r="151" spans="2:6">
      <c r="B151" s="92">
        <v>456</v>
      </c>
      <c r="D151" s="146">
        <v>14209.467414292769</v>
      </c>
      <c r="F151" s="3" t="s">
        <v>539</v>
      </c>
    </row>
    <row r="152" spans="2:6">
      <c r="B152" s="92">
        <v>457</v>
      </c>
      <c r="D152" s="146">
        <v>37532.285815813477</v>
      </c>
      <c r="F152" s="3" t="s">
        <v>539</v>
      </c>
    </row>
    <row r="153" spans="2:6">
      <c r="B153" s="92">
        <v>458</v>
      </c>
      <c r="D153" s="146">
        <v>18395.575662272393</v>
      </c>
      <c r="F153" s="3" t="s">
        <v>539</v>
      </c>
    </row>
    <row r="154" spans="2:6">
      <c r="B154" s="92">
        <v>459</v>
      </c>
      <c r="D154" s="146">
        <v>45342.950536082608</v>
      </c>
      <c r="F154" s="3" t="s">
        <v>539</v>
      </c>
    </row>
    <row r="155" spans="2:6">
      <c r="B155" s="92">
        <v>460</v>
      </c>
      <c r="D155" s="146">
        <v>0</v>
      </c>
      <c r="F155" s="3" t="s">
        <v>539</v>
      </c>
    </row>
    <row r="156" spans="2:6">
      <c r="B156" s="92">
        <v>461</v>
      </c>
      <c r="D156" s="146">
        <v>0</v>
      </c>
      <c r="F156" s="3" t="s">
        <v>539</v>
      </c>
    </row>
    <row r="157" spans="2:6">
      <c r="B157" s="92">
        <v>462</v>
      </c>
      <c r="D157" s="146">
        <v>0</v>
      </c>
      <c r="F157" s="3" t="s">
        <v>539</v>
      </c>
    </row>
    <row r="158" spans="2:6">
      <c r="B158" s="92">
        <v>463</v>
      </c>
      <c r="D158" s="146">
        <v>0</v>
      </c>
      <c r="F158" s="3" t="s">
        <v>539</v>
      </c>
    </row>
    <row r="159" spans="2:6">
      <c r="B159" s="92">
        <v>464</v>
      </c>
      <c r="D159" s="146">
        <v>0</v>
      </c>
      <c r="F159" s="3" t="s">
        <v>539</v>
      </c>
    </row>
    <row r="160" spans="2:6">
      <c r="B160" s="92">
        <v>465</v>
      </c>
      <c r="D160" s="146">
        <v>0</v>
      </c>
      <c r="F160" s="3" t="s">
        <v>539</v>
      </c>
    </row>
    <row r="161" spans="2:6">
      <c r="B161" s="92">
        <v>466</v>
      </c>
      <c r="D161" s="146">
        <v>0</v>
      </c>
      <c r="F161" s="3" t="s">
        <v>539</v>
      </c>
    </row>
    <row r="162" spans="2:6">
      <c r="B162" s="92">
        <v>467</v>
      </c>
      <c r="D162" s="146">
        <v>0</v>
      </c>
      <c r="F162" s="3" t="s">
        <v>539</v>
      </c>
    </row>
    <row r="163" spans="2:6">
      <c r="B163" s="92">
        <v>468</v>
      </c>
      <c r="D163" s="146">
        <v>0</v>
      </c>
      <c r="F163" s="3" t="s">
        <v>539</v>
      </c>
    </row>
    <row r="164" spans="2:6">
      <c r="B164" s="92">
        <v>469</v>
      </c>
      <c r="D164" s="146">
        <v>0</v>
      </c>
      <c r="F164" s="3" t="s">
        <v>539</v>
      </c>
    </row>
    <row r="165" spans="2:6">
      <c r="B165" s="92">
        <v>470</v>
      </c>
      <c r="D165" s="146">
        <v>0</v>
      </c>
      <c r="F165" s="3" t="s">
        <v>539</v>
      </c>
    </row>
    <row r="166" spans="2:6">
      <c r="B166" s="92">
        <v>471</v>
      </c>
      <c r="D166" s="146">
        <v>0</v>
      </c>
      <c r="F166" s="3" t="s">
        <v>539</v>
      </c>
    </row>
    <row r="167" spans="2:6">
      <c r="B167" s="92">
        <v>472</v>
      </c>
      <c r="D167" s="146">
        <v>20595.049218865919</v>
      </c>
      <c r="F167" s="3" t="s">
        <v>539</v>
      </c>
    </row>
    <row r="168" spans="2:6">
      <c r="B168" s="92">
        <v>473</v>
      </c>
      <c r="D168" s="146">
        <v>6033.3008476088025</v>
      </c>
      <c r="F168" s="3" t="s">
        <v>539</v>
      </c>
    </row>
    <row r="169" spans="2:6">
      <c r="B169" s="92">
        <v>474</v>
      </c>
      <c r="D169" s="146">
        <v>114286.36357614314</v>
      </c>
      <c r="F169" s="3" t="s">
        <v>539</v>
      </c>
    </row>
    <row r="170" spans="2:6">
      <c r="B170" s="92">
        <v>475</v>
      </c>
      <c r="D170" s="146">
        <v>1010914.3326142207</v>
      </c>
      <c r="F170" s="3" t="s">
        <v>539</v>
      </c>
    </row>
    <row r="171" spans="2:6">
      <c r="B171" s="92">
        <v>476</v>
      </c>
      <c r="D171" s="146">
        <v>110113.496706638</v>
      </c>
      <c r="F171" s="3" t="s">
        <v>539</v>
      </c>
    </row>
    <row r="172" spans="2:6">
      <c r="B172" s="92">
        <v>477</v>
      </c>
      <c r="D172" s="146">
        <v>26631.619932073358</v>
      </c>
      <c r="F172" s="3" t="s">
        <v>539</v>
      </c>
    </row>
    <row r="173" spans="2:6">
      <c r="B173" s="92">
        <v>478</v>
      </c>
      <c r="D173" s="146">
        <v>1462385.1890917395</v>
      </c>
      <c r="F173" s="3" t="s">
        <v>539</v>
      </c>
    </row>
    <row r="174" spans="2:6">
      <c r="B174" s="92">
        <v>479</v>
      </c>
      <c r="D174" s="146">
        <v>26797.310321813446</v>
      </c>
      <c r="F174" s="3" t="s">
        <v>539</v>
      </c>
    </row>
    <row r="175" spans="2:6">
      <c r="B175" s="92">
        <v>480</v>
      </c>
      <c r="D175" s="146">
        <v>143440.45474083052</v>
      </c>
      <c r="F175" s="3" t="s">
        <v>539</v>
      </c>
    </row>
    <row r="176" spans="2:6">
      <c r="B176" s="92">
        <v>481</v>
      </c>
      <c r="D176" s="146">
        <v>37686.268046364217</v>
      </c>
      <c r="F176" s="3" t="s">
        <v>539</v>
      </c>
    </row>
    <row r="177" spans="2:6">
      <c r="B177" s="92">
        <v>482</v>
      </c>
      <c r="D177" s="146">
        <v>5687877.4465793725</v>
      </c>
      <c r="F177" s="3" t="s">
        <v>539</v>
      </c>
    </row>
    <row r="178" spans="2:6">
      <c r="B178" s="92">
        <v>483</v>
      </c>
      <c r="D178" s="146">
        <v>611283.63783680694</v>
      </c>
      <c r="F178" s="3" t="s">
        <v>539</v>
      </c>
    </row>
    <row r="179" spans="2:6">
      <c r="B179" s="92">
        <v>484</v>
      </c>
      <c r="D179" s="146">
        <v>348308.75445981714</v>
      </c>
      <c r="F179" s="3" t="s">
        <v>539</v>
      </c>
    </row>
    <row r="180" spans="2:6">
      <c r="B180" s="92">
        <v>485</v>
      </c>
      <c r="D180" s="146">
        <v>119705.82972723366</v>
      </c>
      <c r="F180" s="3" t="s">
        <v>539</v>
      </c>
    </row>
    <row r="181" spans="2:6">
      <c r="B181" s="92">
        <v>486</v>
      </c>
      <c r="D181" s="146">
        <v>0</v>
      </c>
      <c r="F181" s="3" t="s">
        <v>539</v>
      </c>
    </row>
    <row r="182" spans="2:6">
      <c r="B182" s="92">
        <v>487</v>
      </c>
      <c r="D182" s="146">
        <v>0</v>
      </c>
      <c r="F182" s="3" t="s">
        <v>539</v>
      </c>
    </row>
    <row r="183" spans="2:6">
      <c r="B183" s="92">
        <v>488</v>
      </c>
      <c r="D183" s="146">
        <v>0</v>
      </c>
      <c r="F183" s="3" t="s">
        <v>539</v>
      </c>
    </row>
    <row r="184" spans="2:6">
      <c r="B184" s="92">
        <v>489</v>
      </c>
      <c r="D184" s="146">
        <v>0</v>
      </c>
      <c r="F184" s="3" t="s">
        <v>539</v>
      </c>
    </row>
    <row r="185" spans="2:6">
      <c r="B185" s="92">
        <v>490</v>
      </c>
      <c r="D185" s="146">
        <v>165539.3694759488</v>
      </c>
      <c r="F185" s="3" t="s">
        <v>539</v>
      </c>
    </row>
    <row r="186" spans="2:6">
      <c r="B186" s="92">
        <v>491</v>
      </c>
      <c r="D186" s="146">
        <v>487022.63956122473</v>
      </c>
      <c r="F186" s="3" t="s">
        <v>539</v>
      </c>
    </row>
    <row r="187" spans="2:6">
      <c r="B187" s="92">
        <v>492</v>
      </c>
      <c r="D187" s="146">
        <v>2791.7858330904492</v>
      </c>
      <c r="F187" s="3" t="s">
        <v>539</v>
      </c>
    </row>
    <row r="188" spans="2:6">
      <c r="B188" s="92">
        <v>493</v>
      </c>
      <c r="D188" s="146">
        <v>9448.553239950219</v>
      </c>
      <c r="F188" s="3" t="s">
        <v>539</v>
      </c>
    </row>
    <row r="189" spans="2:6">
      <c r="B189" s="92">
        <v>494</v>
      </c>
      <c r="D189" s="146">
        <v>124976.62709455805</v>
      </c>
      <c r="F189" s="3" t="s">
        <v>539</v>
      </c>
    </row>
    <row r="190" spans="2:6">
      <c r="B190" s="92">
        <v>495</v>
      </c>
      <c r="D190" s="146">
        <v>18067.471447845164</v>
      </c>
      <c r="F190" s="3" t="s">
        <v>539</v>
      </c>
    </row>
    <row r="191" spans="2:6">
      <c r="B191" s="92">
        <v>496</v>
      </c>
      <c r="D191" s="146">
        <v>24745.075221292602</v>
      </c>
      <c r="F191" s="3" t="s">
        <v>539</v>
      </c>
    </row>
    <row r="192" spans="2:6">
      <c r="B192" s="92">
        <v>497</v>
      </c>
      <c r="D192" s="146">
        <v>96007.434247363446</v>
      </c>
      <c r="F192" s="3" t="s">
        <v>539</v>
      </c>
    </row>
    <row r="193" spans="2:6">
      <c r="B193" s="92">
        <v>498</v>
      </c>
      <c r="D193" s="146">
        <v>256937.21086962681</v>
      </c>
      <c r="F193" s="3" t="s">
        <v>539</v>
      </c>
    </row>
    <row r="194" spans="2:6">
      <c r="B194" s="92">
        <v>499</v>
      </c>
      <c r="D194" s="146">
        <v>702049.39906389359</v>
      </c>
      <c r="F194" s="3" t="s">
        <v>539</v>
      </c>
    </row>
    <row r="195" spans="2:6">
      <c r="B195" s="92">
        <v>500</v>
      </c>
      <c r="D195" s="146">
        <v>1042957.4504958389</v>
      </c>
      <c r="F195" s="3" t="s">
        <v>539</v>
      </c>
    </row>
    <row r="196" spans="2:6">
      <c r="B196" s="92">
        <v>501</v>
      </c>
      <c r="D196" s="146">
        <v>70079.94837897965</v>
      </c>
      <c r="F196" s="3" t="s">
        <v>539</v>
      </c>
    </row>
    <row r="197" spans="2:6">
      <c r="B197" s="92">
        <v>502</v>
      </c>
      <c r="D197" s="146">
        <v>704771.29332217178</v>
      </c>
      <c r="F197" s="3" t="s">
        <v>539</v>
      </c>
    </row>
    <row r="198" spans="2:6">
      <c r="B198" s="92">
        <v>503</v>
      </c>
      <c r="D198" s="146">
        <v>1024239.4945113533</v>
      </c>
      <c r="F198" s="3" t="s">
        <v>539</v>
      </c>
    </row>
    <row r="199" spans="2:6">
      <c r="B199" s="92">
        <v>504</v>
      </c>
      <c r="D199" s="146">
        <v>376397.15055039537</v>
      </c>
      <c r="F199" s="3" t="s">
        <v>539</v>
      </c>
    </row>
    <row r="200" spans="2:6">
      <c r="B200" s="92">
        <v>505</v>
      </c>
      <c r="D200" s="146">
        <v>514916.23301467963</v>
      </c>
      <c r="F200" s="3" t="s">
        <v>539</v>
      </c>
    </row>
    <row r="201" spans="2:6">
      <c r="B201" s="92">
        <v>506</v>
      </c>
      <c r="D201" s="146">
        <v>1302.0888101333342</v>
      </c>
      <c r="F201" s="3" t="s">
        <v>539</v>
      </c>
    </row>
    <row r="202" spans="2:6">
      <c r="B202" s="92">
        <v>507</v>
      </c>
      <c r="D202" s="146">
        <v>32369.723836884237</v>
      </c>
      <c r="F202" s="3" t="s">
        <v>539</v>
      </c>
    </row>
    <row r="203" spans="2:6">
      <c r="B203" s="92">
        <v>508</v>
      </c>
      <c r="D203" s="146">
        <v>0</v>
      </c>
      <c r="F203" s="3" t="s">
        <v>539</v>
      </c>
    </row>
    <row r="204" spans="2:6">
      <c r="B204" s="92">
        <v>509</v>
      </c>
      <c r="D204" s="146">
        <v>0</v>
      </c>
      <c r="F204" s="3" t="s">
        <v>539</v>
      </c>
    </row>
    <row r="205" spans="2:6">
      <c r="B205" s="92">
        <v>510</v>
      </c>
      <c r="D205" s="146">
        <v>391.2500930325707</v>
      </c>
      <c r="F205" s="3" t="s">
        <v>539</v>
      </c>
    </row>
    <row r="206" spans="2:6">
      <c r="B206" s="92">
        <v>511</v>
      </c>
      <c r="D206" s="146">
        <v>5807.0127406390793</v>
      </c>
      <c r="F206" s="3" t="s">
        <v>539</v>
      </c>
    </row>
    <row r="207" spans="2:6">
      <c r="B207" s="92">
        <v>512</v>
      </c>
      <c r="D207" s="146">
        <v>3846.4772684956265</v>
      </c>
      <c r="F207" s="3" t="s">
        <v>539</v>
      </c>
    </row>
    <row r="208" spans="2:6">
      <c r="B208" s="92">
        <v>513</v>
      </c>
      <c r="D208" s="146">
        <v>68227.138320870654</v>
      </c>
      <c r="F208" s="3" t="s">
        <v>539</v>
      </c>
    </row>
    <row r="209" spans="2:6">
      <c r="B209" s="92">
        <v>514</v>
      </c>
      <c r="D209" s="146">
        <v>18541.10836769961</v>
      </c>
      <c r="F209" s="3" t="s">
        <v>539</v>
      </c>
    </row>
    <row r="210" spans="2:6">
      <c r="B210" s="92">
        <v>515</v>
      </c>
      <c r="D210" s="146">
        <v>9654.3986266756274</v>
      </c>
      <c r="F210" s="3" t="s">
        <v>539</v>
      </c>
    </row>
    <row r="211" spans="2:6">
      <c r="B211" s="92">
        <v>516</v>
      </c>
      <c r="D211" s="146">
        <v>11416.655239751346</v>
      </c>
      <c r="F211" s="3" t="s">
        <v>539</v>
      </c>
    </row>
    <row r="212" spans="2:6">
      <c r="B212" s="92">
        <v>517</v>
      </c>
      <c r="D212" s="146">
        <v>17633.404807314058</v>
      </c>
      <c r="F212" s="3" t="s">
        <v>539</v>
      </c>
    </row>
    <row r="213" spans="2:6">
      <c r="B213" s="92">
        <v>518</v>
      </c>
      <c r="D213" s="146">
        <v>15300.61437397597</v>
      </c>
      <c r="F213" s="3" t="s">
        <v>539</v>
      </c>
    </row>
    <row r="214" spans="2:6">
      <c r="B214" s="92">
        <v>519</v>
      </c>
      <c r="D214" s="146">
        <v>16001.249643380297</v>
      </c>
      <c r="F214" s="3" t="s">
        <v>539</v>
      </c>
    </row>
    <row r="215" spans="2:6">
      <c r="B215" s="92">
        <v>520</v>
      </c>
      <c r="D215" s="146">
        <v>20208.996722083291</v>
      </c>
      <c r="F215" s="3" t="s">
        <v>539</v>
      </c>
    </row>
    <row r="216" spans="2:6">
      <c r="B216" s="92">
        <v>521</v>
      </c>
      <c r="D216" s="146">
        <v>58527.314744578129</v>
      </c>
      <c r="F216" s="3" t="s">
        <v>539</v>
      </c>
    </row>
    <row r="217" spans="2:6">
      <c r="B217" s="92">
        <v>522</v>
      </c>
      <c r="D217" s="146">
        <v>247531.06540005477</v>
      </c>
      <c r="F217" s="3" t="s">
        <v>539</v>
      </c>
    </row>
    <row r="218" spans="2:6">
      <c r="B218" s="92">
        <v>523</v>
      </c>
      <c r="D218" s="146">
        <v>31800.173255745365</v>
      </c>
      <c r="F218" s="3" t="s">
        <v>539</v>
      </c>
    </row>
    <row r="219" spans="2:6">
      <c r="B219" s="92">
        <v>524</v>
      </c>
      <c r="D219" s="146">
        <v>0</v>
      </c>
      <c r="F219" s="3" t="s">
        <v>539</v>
      </c>
    </row>
    <row r="220" spans="2:6">
      <c r="B220" s="92">
        <v>525</v>
      </c>
      <c r="D220" s="146">
        <v>0</v>
      </c>
      <c r="F220" s="3" t="s">
        <v>539</v>
      </c>
    </row>
    <row r="221" spans="2:6">
      <c r="B221" s="92">
        <v>526</v>
      </c>
      <c r="D221" s="146">
        <v>0</v>
      </c>
      <c r="F221" s="3" t="s">
        <v>539</v>
      </c>
    </row>
    <row r="222" spans="2:6">
      <c r="B222" s="92">
        <v>527</v>
      </c>
      <c r="D222" s="146">
        <v>0</v>
      </c>
      <c r="F222" s="3" t="s">
        <v>539</v>
      </c>
    </row>
    <row r="223" spans="2:6">
      <c r="B223" s="92">
        <v>528</v>
      </c>
      <c r="D223" s="146">
        <v>0</v>
      </c>
      <c r="F223" s="3" t="s">
        <v>539</v>
      </c>
    </row>
    <row r="224" spans="2:6">
      <c r="B224" s="92">
        <v>529</v>
      </c>
      <c r="D224" s="146">
        <v>0</v>
      </c>
      <c r="F224" s="3" t="s">
        <v>539</v>
      </c>
    </row>
    <row r="225" spans="2:6">
      <c r="B225" s="92">
        <v>530</v>
      </c>
      <c r="D225" s="146">
        <v>0</v>
      </c>
      <c r="F225" s="3" t="s">
        <v>539</v>
      </c>
    </row>
    <row r="226" spans="2:6">
      <c r="B226" s="92">
        <v>531</v>
      </c>
      <c r="D226" s="146">
        <v>2913299.7564751511</v>
      </c>
      <c r="F226" s="3" t="s">
        <v>539</v>
      </c>
    </row>
    <row r="227" spans="2:6">
      <c r="B227" s="92">
        <v>532</v>
      </c>
      <c r="D227" s="146">
        <v>0</v>
      </c>
      <c r="F227" s="3" t="s">
        <v>540</v>
      </c>
    </row>
    <row r="228" spans="2:6">
      <c r="B228" s="92">
        <v>533</v>
      </c>
      <c r="D228" s="146">
        <v>0</v>
      </c>
      <c r="F228" s="3" t="s">
        <v>540</v>
      </c>
    </row>
    <row r="229" spans="2:6">
      <c r="B229" s="92">
        <v>534</v>
      </c>
      <c r="D229" s="146">
        <v>0</v>
      </c>
      <c r="F229" s="3" t="s">
        <v>540</v>
      </c>
    </row>
    <row r="230" spans="2:6">
      <c r="B230" s="92">
        <v>535</v>
      </c>
      <c r="D230" s="146">
        <v>0</v>
      </c>
      <c r="F230" s="3" t="s">
        <v>540</v>
      </c>
    </row>
    <row r="231" spans="2:6">
      <c r="B231" s="92">
        <v>536</v>
      </c>
      <c r="D231" s="146">
        <v>0</v>
      </c>
      <c r="F231" s="3" t="s">
        <v>540</v>
      </c>
    </row>
    <row r="232" spans="2:6">
      <c r="B232" s="92">
        <v>537</v>
      </c>
      <c r="D232" s="146">
        <v>0</v>
      </c>
      <c r="F232" s="3" t="s">
        <v>540</v>
      </c>
    </row>
    <row r="233" spans="2:6">
      <c r="B233" s="92">
        <v>538</v>
      </c>
      <c r="D233" s="146">
        <v>1574.447054456984</v>
      </c>
      <c r="F233" s="3" t="s">
        <v>540</v>
      </c>
    </row>
    <row r="234" spans="2:6">
      <c r="B234" s="92">
        <v>539</v>
      </c>
      <c r="D234" s="146">
        <v>20479.328356270184</v>
      </c>
      <c r="F234" s="3" t="s">
        <v>540</v>
      </c>
    </row>
    <row r="235" spans="2:6">
      <c r="B235" s="92">
        <v>540</v>
      </c>
      <c r="D235" s="146">
        <v>25374.385345644296</v>
      </c>
      <c r="F235" s="3" t="s">
        <v>540</v>
      </c>
    </row>
    <row r="236" spans="2:6">
      <c r="B236" s="92">
        <v>541</v>
      </c>
      <c r="D236" s="146">
        <v>19518.619853143853</v>
      </c>
      <c r="F236" s="3" t="s">
        <v>540</v>
      </c>
    </row>
    <row r="237" spans="2:6">
      <c r="B237" s="92">
        <v>542</v>
      </c>
      <c r="D237" s="146">
        <v>111800.93961557576</v>
      </c>
      <c r="F237" s="3" t="s">
        <v>540</v>
      </c>
    </row>
    <row r="238" spans="2:6">
      <c r="B238" s="92">
        <v>543</v>
      </c>
      <c r="D238" s="146">
        <v>31700.152105729732</v>
      </c>
      <c r="F238" s="3" t="s">
        <v>540</v>
      </c>
    </row>
    <row r="239" spans="2:6">
      <c r="B239" s="92">
        <v>544</v>
      </c>
      <c r="D239" s="146">
        <v>50171.039481668777</v>
      </c>
      <c r="F239" s="3" t="s">
        <v>540</v>
      </c>
    </row>
    <row r="240" spans="2:6">
      <c r="B240" s="92">
        <v>545</v>
      </c>
      <c r="D240" s="146">
        <v>20841.942479994177</v>
      </c>
      <c r="F240" s="3" t="s">
        <v>540</v>
      </c>
    </row>
    <row r="241" spans="2:6">
      <c r="B241" s="92">
        <v>546</v>
      </c>
      <c r="D241" s="146">
        <v>21512.630367935792</v>
      </c>
      <c r="F241" s="3" t="s">
        <v>540</v>
      </c>
    </row>
    <row r="242" spans="2:6">
      <c r="B242" s="92">
        <v>547</v>
      </c>
      <c r="D242" s="146">
        <v>125308.74203121607</v>
      </c>
      <c r="F242" s="3" t="s">
        <v>540</v>
      </c>
    </row>
    <row r="243" spans="2:6">
      <c r="B243" s="92">
        <v>548</v>
      </c>
      <c r="D243" s="146">
        <v>10935.593498707885</v>
      </c>
      <c r="F243" s="3" t="s">
        <v>540</v>
      </c>
    </row>
    <row r="244" spans="2:6">
      <c r="B244" s="92">
        <v>549</v>
      </c>
      <c r="D244" s="146">
        <v>626.06137659381329</v>
      </c>
      <c r="F244" s="3" t="s">
        <v>540</v>
      </c>
    </row>
    <row r="245" spans="2:6">
      <c r="B245" s="92">
        <v>550</v>
      </c>
      <c r="D245" s="146">
        <v>1810.4047177063972</v>
      </c>
      <c r="F245" s="3" t="s">
        <v>540</v>
      </c>
    </row>
    <row r="246" spans="2:6">
      <c r="B246" s="92">
        <v>551</v>
      </c>
      <c r="D246" s="146">
        <v>10852.493952417557</v>
      </c>
      <c r="F246" s="3" t="s">
        <v>540</v>
      </c>
    </row>
    <row r="247" spans="2:6">
      <c r="B247" s="92">
        <v>552</v>
      </c>
      <c r="D247" s="146">
        <v>8422.2344911531891</v>
      </c>
      <c r="F247" s="3" t="s">
        <v>540</v>
      </c>
    </row>
    <row r="248" spans="2:6">
      <c r="B248" s="92">
        <v>553</v>
      </c>
      <c r="D248" s="146">
        <v>104614.15808228625</v>
      </c>
      <c r="F248" s="3" t="s">
        <v>540</v>
      </c>
    </row>
    <row r="249" spans="2:6">
      <c r="B249" s="92">
        <v>554</v>
      </c>
      <c r="D249" s="146">
        <v>49487.380757693187</v>
      </c>
      <c r="F249" s="3" t="s">
        <v>540</v>
      </c>
    </row>
    <row r="250" spans="2:6">
      <c r="B250" s="92">
        <v>555</v>
      </c>
      <c r="D250" s="146">
        <v>6751.8169181566982</v>
      </c>
      <c r="F250" s="3" t="s">
        <v>540</v>
      </c>
    </row>
    <row r="251" spans="2:6">
      <c r="B251" s="92">
        <v>556</v>
      </c>
      <c r="D251" s="146">
        <v>69100.503781985579</v>
      </c>
      <c r="F251" s="3" t="s">
        <v>540</v>
      </c>
    </row>
    <row r="252" spans="2:6">
      <c r="B252" s="92">
        <v>557</v>
      </c>
      <c r="D252" s="146">
        <v>5340.5922809351332</v>
      </c>
      <c r="F252" s="3" t="s">
        <v>540</v>
      </c>
    </row>
    <row r="253" spans="2:6">
      <c r="B253" s="92">
        <v>558</v>
      </c>
      <c r="D253" s="146">
        <v>6203.2247031267789</v>
      </c>
      <c r="F253" s="3" t="s">
        <v>540</v>
      </c>
    </row>
    <row r="254" spans="2:6">
      <c r="B254" s="92">
        <v>559</v>
      </c>
      <c r="D254" s="146">
        <v>367448.10804205487</v>
      </c>
      <c r="F254" s="3" t="s">
        <v>540</v>
      </c>
    </row>
    <row r="255" spans="2:6">
      <c r="B255" s="92">
        <v>560</v>
      </c>
      <c r="D255" s="146">
        <v>493283.8055615066</v>
      </c>
      <c r="F255" s="3" t="s">
        <v>540</v>
      </c>
    </row>
    <row r="256" spans="2:6">
      <c r="B256" s="92">
        <v>561</v>
      </c>
      <c r="D256" s="146">
        <v>3398.0182232575817</v>
      </c>
      <c r="F256" s="3" t="s">
        <v>540</v>
      </c>
    </row>
    <row r="257" spans="2:6">
      <c r="B257" s="92">
        <v>562</v>
      </c>
      <c r="D257" s="146">
        <v>415690.8352187156</v>
      </c>
      <c r="F257" s="3" t="s">
        <v>540</v>
      </c>
    </row>
    <row r="258" spans="2:6">
      <c r="B258" s="92">
        <v>563</v>
      </c>
      <c r="D258" s="146">
        <v>0</v>
      </c>
      <c r="F258" s="3" t="s">
        <v>540</v>
      </c>
    </row>
    <row r="259" spans="2:6">
      <c r="B259" s="92">
        <v>564</v>
      </c>
      <c r="D259" s="146">
        <v>0</v>
      </c>
      <c r="F259" s="3" t="s">
        <v>540</v>
      </c>
    </row>
    <row r="260" spans="2:6">
      <c r="B260" s="92">
        <v>565</v>
      </c>
      <c r="D260" s="146">
        <v>0</v>
      </c>
      <c r="F260" s="3" t="s">
        <v>540</v>
      </c>
    </row>
    <row r="261" spans="2:6">
      <c r="B261" s="92">
        <v>566</v>
      </c>
      <c r="D261" s="146">
        <v>0</v>
      </c>
      <c r="F261" s="3" t="s">
        <v>540</v>
      </c>
    </row>
    <row r="262" spans="2:6">
      <c r="B262" s="92">
        <v>567</v>
      </c>
      <c r="D262" s="146">
        <v>0</v>
      </c>
      <c r="F262" s="3" t="s">
        <v>540</v>
      </c>
    </row>
    <row r="263" spans="2:6">
      <c r="B263" s="92">
        <v>568</v>
      </c>
      <c r="D263" s="146">
        <v>0</v>
      </c>
      <c r="F263" s="3" t="s">
        <v>540</v>
      </c>
    </row>
    <row r="264" spans="2:6">
      <c r="B264" s="92">
        <v>569</v>
      </c>
      <c r="D264" s="146">
        <v>0</v>
      </c>
      <c r="F264" s="3" t="s">
        <v>540</v>
      </c>
    </row>
    <row r="265" spans="2:6">
      <c r="B265" s="92">
        <v>570</v>
      </c>
      <c r="D265" s="146">
        <v>0</v>
      </c>
      <c r="F265" s="3" t="s">
        <v>540</v>
      </c>
    </row>
    <row r="266" spans="2:6">
      <c r="B266" s="92">
        <v>571</v>
      </c>
      <c r="D266" s="146">
        <v>0</v>
      </c>
      <c r="F266" s="3" t="s">
        <v>540</v>
      </c>
    </row>
    <row r="267" spans="2:6">
      <c r="B267" s="92">
        <v>572</v>
      </c>
      <c r="D267" s="146">
        <v>0</v>
      </c>
      <c r="F267" s="3" t="s">
        <v>540</v>
      </c>
    </row>
    <row r="268" spans="2:6">
      <c r="B268" s="92">
        <v>573</v>
      </c>
      <c r="D268" s="146">
        <v>53427.92963177264</v>
      </c>
      <c r="F268" s="3" t="s">
        <v>540</v>
      </c>
    </row>
    <row r="269" spans="2:6">
      <c r="B269" s="92">
        <v>574</v>
      </c>
      <c r="D269" s="146">
        <v>6869.2461574103609</v>
      </c>
      <c r="F269" s="3" t="s">
        <v>540</v>
      </c>
    </row>
    <row r="270" spans="2:6">
      <c r="B270" s="92">
        <v>575</v>
      </c>
      <c r="D270" s="146">
        <v>4716.7151587022527</v>
      </c>
      <c r="F270" s="3" t="s">
        <v>540</v>
      </c>
    </row>
    <row r="271" spans="2:6">
      <c r="B271" s="92">
        <v>576</v>
      </c>
      <c r="D271" s="146">
        <v>65931.311505200705</v>
      </c>
      <c r="F271" s="3" t="s">
        <v>540</v>
      </c>
    </row>
    <row r="272" spans="2:6">
      <c r="B272" s="92">
        <v>577</v>
      </c>
      <c r="D272" s="146">
        <v>24863.217055860056</v>
      </c>
      <c r="F272" s="3" t="s">
        <v>540</v>
      </c>
    </row>
    <row r="273" spans="2:6">
      <c r="B273" s="92">
        <v>578</v>
      </c>
      <c r="D273" s="146">
        <v>21467.5396328608</v>
      </c>
      <c r="F273" s="3" t="s">
        <v>540</v>
      </c>
    </row>
    <row r="274" spans="2:6">
      <c r="B274" s="92">
        <v>579</v>
      </c>
      <c r="D274" s="146">
        <v>83136.628234360018</v>
      </c>
      <c r="F274" s="3" t="s">
        <v>540</v>
      </c>
    </row>
    <row r="275" spans="2:6">
      <c r="B275" s="92">
        <v>580</v>
      </c>
      <c r="D275" s="146">
        <v>41879.587518857079</v>
      </c>
      <c r="F275" s="3" t="s">
        <v>540</v>
      </c>
    </row>
    <row r="276" spans="2:6">
      <c r="B276" s="92">
        <v>581</v>
      </c>
      <c r="D276" s="146">
        <v>16441.216799999998</v>
      </c>
      <c r="F276" s="3" t="s">
        <v>540</v>
      </c>
    </row>
    <row r="277" spans="2:6">
      <c r="B277" s="92">
        <v>582</v>
      </c>
      <c r="D277" s="146">
        <v>0</v>
      </c>
      <c r="F277" s="3" t="s">
        <v>540</v>
      </c>
    </row>
    <row r="278" spans="2:6">
      <c r="B278" s="92">
        <v>583</v>
      </c>
      <c r="D278" s="146">
        <v>156251.04854529988</v>
      </c>
      <c r="F278" s="3" t="s">
        <v>540</v>
      </c>
    </row>
    <row r="279" spans="2:6">
      <c r="B279" s="92">
        <v>584</v>
      </c>
      <c r="D279" s="146">
        <v>571344.07191404735</v>
      </c>
      <c r="F279" s="3" t="s">
        <v>540</v>
      </c>
    </row>
    <row r="280" spans="2:6">
      <c r="B280" s="92">
        <v>585</v>
      </c>
      <c r="D280" s="146">
        <v>16920.652386594666</v>
      </c>
      <c r="F280" s="3" t="s">
        <v>540</v>
      </c>
    </row>
    <row r="281" spans="2:6">
      <c r="B281" s="92">
        <v>586</v>
      </c>
      <c r="D281" s="146">
        <v>161395.41974096847</v>
      </c>
      <c r="F281" s="3" t="s">
        <v>540</v>
      </c>
    </row>
    <row r="282" spans="2:6">
      <c r="B282" s="92">
        <v>587</v>
      </c>
      <c r="D282" s="146">
        <v>107094.4472815734</v>
      </c>
      <c r="F282" s="3" t="s">
        <v>540</v>
      </c>
    </row>
    <row r="283" spans="2:6">
      <c r="B283" s="92">
        <v>588</v>
      </c>
      <c r="D283" s="146">
        <v>67773.247093874292</v>
      </c>
      <c r="F283" s="3" t="s">
        <v>540</v>
      </c>
    </row>
    <row r="284" spans="2:6">
      <c r="B284" s="92">
        <v>589</v>
      </c>
      <c r="D284" s="146">
        <v>520303.7394086328</v>
      </c>
      <c r="F284" s="3" t="s">
        <v>540</v>
      </c>
    </row>
    <row r="285" spans="2:6">
      <c r="B285" s="92">
        <v>590</v>
      </c>
      <c r="D285" s="146">
        <v>0</v>
      </c>
      <c r="F285" s="3" t="s">
        <v>540</v>
      </c>
    </row>
    <row r="286" spans="2:6">
      <c r="B286" s="92">
        <v>591</v>
      </c>
      <c r="D286" s="146">
        <v>0</v>
      </c>
      <c r="F286" s="3" t="s">
        <v>540</v>
      </c>
    </row>
    <row r="287" spans="2:6">
      <c r="B287" s="92">
        <v>592</v>
      </c>
      <c r="D287" s="146">
        <v>0</v>
      </c>
      <c r="F287" s="3" t="s">
        <v>540</v>
      </c>
    </row>
    <row r="288" spans="2:6">
      <c r="B288" s="92">
        <v>593</v>
      </c>
      <c r="D288" s="146">
        <v>0</v>
      </c>
      <c r="F288" s="3" t="s">
        <v>540</v>
      </c>
    </row>
    <row r="289" spans="2:6">
      <c r="B289" s="92">
        <v>594</v>
      </c>
      <c r="D289" s="146">
        <v>0</v>
      </c>
      <c r="F289" s="3" t="s">
        <v>540</v>
      </c>
    </row>
    <row r="290" spans="2:6">
      <c r="B290" s="92">
        <v>595</v>
      </c>
      <c r="D290" s="146">
        <v>0</v>
      </c>
      <c r="F290" s="3" t="s">
        <v>540</v>
      </c>
    </row>
    <row r="291" spans="2:6">
      <c r="B291" s="92">
        <v>596</v>
      </c>
      <c r="D291" s="146">
        <v>0</v>
      </c>
      <c r="F291" s="3" t="s">
        <v>540</v>
      </c>
    </row>
    <row r="292" spans="2:6">
      <c r="B292" s="92">
        <v>597</v>
      </c>
      <c r="D292" s="146">
        <v>0</v>
      </c>
      <c r="F292" s="3" t="s">
        <v>540</v>
      </c>
    </row>
    <row r="293" spans="2:6">
      <c r="B293" s="92">
        <v>598</v>
      </c>
      <c r="D293" s="146">
        <v>0</v>
      </c>
      <c r="F293" s="3" t="s">
        <v>540</v>
      </c>
    </row>
    <row r="294" spans="2:6">
      <c r="B294" s="92">
        <v>599</v>
      </c>
      <c r="D294" s="146">
        <v>0</v>
      </c>
      <c r="F294" s="3" t="s">
        <v>540</v>
      </c>
    </row>
    <row r="295" spans="2:6">
      <c r="B295" s="92">
        <v>600</v>
      </c>
      <c r="D295" s="146">
        <v>0</v>
      </c>
      <c r="F295" s="3" t="s">
        <v>540</v>
      </c>
    </row>
    <row r="296" spans="2:6">
      <c r="B296" s="92">
        <v>601</v>
      </c>
      <c r="D296" s="146">
        <v>0</v>
      </c>
      <c r="F296" s="3" t="s">
        <v>540</v>
      </c>
    </row>
    <row r="297" spans="2:6">
      <c r="B297" s="92">
        <v>602</v>
      </c>
      <c r="D297" s="146">
        <v>0</v>
      </c>
      <c r="F297" s="3" t="s">
        <v>540</v>
      </c>
    </row>
    <row r="298" spans="2:6">
      <c r="B298" s="92">
        <v>603</v>
      </c>
      <c r="D298" s="146">
        <v>5866.8839006931503</v>
      </c>
      <c r="F298" s="3" t="s">
        <v>540</v>
      </c>
    </row>
    <row r="299" spans="2:6">
      <c r="B299" s="92">
        <v>604</v>
      </c>
      <c r="D299" s="146">
        <v>9075542.9359124992</v>
      </c>
      <c r="F299" s="3" t="s">
        <v>540</v>
      </c>
    </row>
    <row r="300" spans="2:6">
      <c r="B300" s="92">
        <v>605</v>
      </c>
      <c r="D300" s="146">
        <v>87331.73753895532</v>
      </c>
      <c r="F300" s="3" t="s">
        <v>540</v>
      </c>
    </row>
    <row r="301" spans="2:6">
      <c r="B301" s="92">
        <v>606</v>
      </c>
      <c r="D301" s="146">
        <v>20500.533572624918</v>
      </c>
      <c r="F301" s="3" t="s">
        <v>540</v>
      </c>
    </row>
    <row r="302" spans="2:6">
      <c r="B302" s="92">
        <v>607</v>
      </c>
      <c r="D302" s="146">
        <v>228572.72715228627</v>
      </c>
      <c r="F302" s="3" t="s">
        <v>540</v>
      </c>
    </row>
    <row r="303" spans="2:6">
      <c r="B303" s="92">
        <v>608</v>
      </c>
      <c r="D303" s="146">
        <v>287131.81151071272</v>
      </c>
      <c r="F303" s="3" t="s">
        <v>540</v>
      </c>
    </row>
    <row r="304" spans="2:6">
      <c r="B304" s="92">
        <v>609</v>
      </c>
      <c r="D304" s="146">
        <v>193601.40516849293</v>
      </c>
      <c r="F304" s="3" t="s">
        <v>540</v>
      </c>
    </row>
    <row r="305" spans="2:6">
      <c r="B305" s="92">
        <v>610</v>
      </c>
      <c r="D305" s="146">
        <v>800920.7553862785</v>
      </c>
      <c r="F305" s="3" t="s">
        <v>540</v>
      </c>
    </row>
    <row r="306" spans="2:6">
      <c r="B306" s="92">
        <v>611</v>
      </c>
      <c r="D306" s="146">
        <v>668161.29475516581</v>
      </c>
      <c r="F306" s="3" t="s">
        <v>540</v>
      </c>
    </row>
    <row r="307" spans="2:6">
      <c r="B307" s="92">
        <v>612</v>
      </c>
      <c r="D307" s="146">
        <v>1872522.2209963768</v>
      </c>
      <c r="F307" s="3" t="s">
        <v>540</v>
      </c>
    </row>
    <row r="308" spans="2:6">
      <c r="B308" s="92">
        <v>613</v>
      </c>
      <c r="D308" s="146">
        <v>2079569.9240820273</v>
      </c>
      <c r="F308" s="3" t="s">
        <v>540</v>
      </c>
    </row>
    <row r="309" spans="2:6">
      <c r="B309" s="92">
        <v>614</v>
      </c>
      <c r="D309" s="146">
        <v>206182.49436233655</v>
      </c>
      <c r="F309" s="3" t="s">
        <v>540</v>
      </c>
    </row>
    <row r="310" spans="2:6">
      <c r="B310" s="92">
        <v>615</v>
      </c>
      <c r="D310" s="146">
        <v>166559.3552970431</v>
      </c>
      <c r="F310" s="3" t="s">
        <v>540</v>
      </c>
    </row>
    <row r="311" spans="2:6">
      <c r="B311" s="92">
        <v>616</v>
      </c>
      <c r="D311" s="146">
        <v>1045405.8018708032</v>
      </c>
      <c r="F311" s="3" t="s">
        <v>540</v>
      </c>
    </row>
    <row r="312" spans="2:6">
      <c r="B312" s="92">
        <v>617</v>
      </c>
      <c r="D312" s="146">
        <v>3985882.0977839921</v>
      </c>
      <c r="F312" s="3" t="s">
        <v>540</v>
      </c>
    </row>
    <row r="313" spans="2:6">
      <c r="B313" s="92">
        <v>618</v>
      </c>
      <c r="D313" s="146">
        <v>41545.737407650391</v>
      </c>
      <c r="F313" s="3" t="s">
        <v>540</v>
      </c>
    </row>
    <row r="314" spans="2:6">
      <c r="B314" s="92">
        <v>619</v>
      </c>
      <c r="D314" s="146">
        <v>4236969.0556051834</v>
      </c>
      <c r="F314" s="3" t="s">
        <v>540</v>
      </c>
    </row>
    <row r="315" spans="2:6">
      <c r="B315" s="92">
        <v>620</v>
      </c>
      <c r="D315" s="146">
        <v>1309899.9728682514</v>
      </c>
      <c r="F315" s="3" t="s">
        <v>540</v>
      </c>
    </row>
    <row r="316" spans="2:6">
      <c r="B316" s="92">
        <v>621</v>
      </c>
      <c r="D316" s="146">
        <v>352279.26825206354</v>
      </c>
      <c r="F316" s="3" t="s">
        <v>540</v>
      </c>
    </row>
    <row r="317" spans="2:6">
      <c r="B317" s="92">
        <v>622</v>
      </c>
      <c r="D317" s="146">
        <v>8614670.2533826157</v>
      </c>
      <c r="F317" s="3" t="s">
        <v>540</v>
      </c>
    </row>
    <row r="318" spans="2:6">
      <c r="B318" s="92">
        <v>623</v>
      </c>
      <c r="D318" s="146">
        <v>205179.23220155045</v>
      </c>
      <c r="F318" s="3" t="s">
        <v>540</v>
      </c>
    </row>
    <row r="319" spans="2:6">
      <c r="B319" s="92">
        <v>624</v>
      </c>
      <c r="D319" s="146">
        <v>15286337.673415478</v>
      </c>
      <c r="F319" s="3" t="s">
        <v>540</v>
      </c>
    </row>
    <row r="320" spans="2:6">
      <c r="B320" s="92">
        <v>625</v>
      </c>
      <c r="D320" s="146">
        <v>132877.15359999999</v>
      </c>
      <c r="F320" s="3" t="s">
        <v>540</v>
      </c>
    </row>
    <row r="321" spans="2:6">
      <c r="B321" s="92">
        <v>626</v>
      </c>
      <c r="D321" s="146">
        <v>0</v>
      </c>
      <c r="F321" s="3" t="s">
        <v>540</v>
      </c>
    </row>
    <row r="322" spans="2:6">
      <c r="B322" s="92">
        <v>627</v>
      </c>
      <c r="D322" s="146">
        <v>0</v>
      </c>
      <c r="F322" s="3" t="s">
        <v>540</v>
      </c>
    </row>
    <row r="323" spans="2:6">
      <c r="B323" s="92">
        <v>628</v>
      </c>
      <c r="D323" s="146">
        <v>1302.4440570578504</v>
      </c>
      <c r="F323" s="3" t="s">
        <v>540</v>
      </c>
    </row>
    <row r="324" spans="2:6">
      <c r="B324" s="92">
        <v>629</v>
      </c>
      <c r="D324" s="146">
        <v>5160.0974238485833</v>
      </c>
      <c r="F324" s="3" t="s">
        <v>540</v>
      </c>
    </row>
    <row r="325" spans="2:6">
      <c r="B325" s="92">
        <v>630</v>
      </c>
      <c r="D325" s="146">
        <v>62368.739652133881</v>
      </c>
      <c r="F325" s="3" t="s">
        <v>540</v>
      </c>
    </row>
    <row r="326" spans="2:6">
      <c r="B326" s="92">
        <v>631</v>
      </c>
      <c r="D326" s="146">
        <v>30973.850514933041</v>
      </c>
      <c r="F326" s="3" t="s">
        <v>540</v>
      </c>
    </row>
    <row r="327" spans="2:6">
      <c r="B327" s="92">
        <v>632</v>
      </c>
      <c r="D327" s="146">
        <v>66842.607864033591</v>
      </c>
      <c r="F327" s="3" t="s">
        <v>540</v>
      </c>
    </row>
    <row r="328" spans="2:6">
      <c r="B328" s="92">
        <v>633</v>
      </c>
      <c r="D328" s="146">
        <v>93362.46843644914</v>
      </c>
      <c r="F328" s="3" t="s">
        <v>540</v>
      </c>
    </row>
    <row r="329" spans="2:6">
      <c r="B329" s="92">
        <v>634</v>
      </c>
      <c r="D329" s="146">
        <v>0</v>
      </c>
      <c r="F329" s="3" t="s">
        <v>540</v>
      </c>
    </row>
    <row r="330" spans="2:6">
      <c r="B330" s="92">
        <v>635</v>
      </c>
      <c r="D330" s="146">
        <v>0</v>
      </c>
      <c r="F330" s="3" t="s">
        <v>540</v>
      </c>
    </row>
    <row r="331" spans="2:6">
      <c r="B331" s="92">
        <v>636</v>
      </c>
      <c r="D331" s="146">
        <v>3167.6844298719025</v>
      </c>
      <c r="F331" s="3" t="s">
        <v>540</v>
      </c>
    </row>
    <row r="332" spans="2:6">
      <c r="B332" s="92">
        <v>637</v>
      </c>
      <c r="D332" s="146">
        <v>8760.1489617965944</v>
      </c>
      <c r="F332" s="3" t="s">
        <v>540</v>
      </c>
    </row>
    <row r="333" spans="2:6">
      <c r="B333" s="92">
        <v>638</v>
      </c>
      <c r="D333" s="146">
        <v>3367.2299483855559</v>
      </c>
      <c r="F333" s="3" t="s">
        <v>540</v>
      </c>
    </row>
    <row r="334" spans="2:6">
      <c r="B334" s="92">
        <v>639</v>
      </c>
      <c r="D334" s="146">
        <v>103376.24222389152</v>
      </c>
      <c r="F334" s="3" t="s">
        <v>540</v>
      </c>
    </row>
    <row r="335" spans="2:6">
      <c r="B335" s="92">
        <v>640</v>
      </c>
      <c r="D335" s="146">
        <v>46475.668533117961</v>
      </c>
      <c r="F335" s="3" t="s">
        <v>540</v>
      </c>
    </row>
    <row r="336" spans="2:6">
      <c r="B336" s="92">
        <v>641</v>
      </c>
      <c r="D336" s="146">
        <v>16985.961159910781</v>
      </c>
      <c r="F336" s="3" t="s">
        <v>540</v>
      </c>
    </row>
    <row r="337" spans="2:6">
      <c r="B337" s="92">
        <v>642</v>
      </c>
      <c r="D337" s="146">
        <v>26102.739490909091</v>
      </c>
      <c r="F337" s="3" t="s">
        <v>540</v>
      </c>
    </row>
    <row r="338" spans="2:6">
      <c r="B338" s="92">
        <v>643</v>
      </c>
      <c r="D338" s="146">
        <v>87808</v>
      </c>
      <c r="F338" s="3" t="s">
        <v>540</v>
      </c>
    </row>
    <row r="339" spans="2:6">
      <c r="B339" s="92">
        <v>644</v>
      </c>
      <c r="D339" s="146">
        <v>0</v>
      </c>
      <c r="F339" s="3" t="s">
        <v>540</v>
      </c>
    </row>
    <row r="340" spans="2:6">
      <c r="B340" s="92">
        <v>645</v>
      </c>
      <c r="D340" s="146">
        <v>0</v>
      </c>
      <c r="F340" s="3" t="s">
        <v>540</v>
      </c>
    </row>
    <row r="341" spans="2:6">
      <c r="B341" s="92">
        <v>646</v>
      </c>
      <c r="D341" s="146">
        <v>0</v>
      </c>
      <c r="F341" s="3" t="s">
        <v>540</v>
      </c>
    </row>
    <row r="342" spans="2:6">
      <c r="B342" s="92">
        <v>647</v>
      </c>
      <c r="D342" s="146">
        <v>26595.363825908324</v>
      </c>
      <c r="F342" s="3" t="s">
        <v>540</v>
      </c>
    </row>
    <row r="343" spans="2:6">
      <c r="B343" s="92">
        <v>648</v>
      </c>
      <c r="D343" s="146">
        <v>4399.4836460310435</v>
      </c>
      <c r="F343" s="3" t="s">
        <v>540</v>
      </c>
    </row>
    <row r="344" spans="2:6">
      <c r="B344" s="131">
        <v>649</v>
      </c>
      <c r="D344" s="281">
        <v>0</v>
      </c>
      <c r="F344" s="342"/>
    </row>
    <row r="345" spans="2:6">
      <c r="B345" s="131">
        <v>650</v>
      </c>
      <c r="D345" s="281">
        <v>0</v>
      </c>
    </row>
    <row r="346" spans="2:6">
      <c r="B346" s="131">
        <v>651</v>
      </c>
      <c r="D346" s="281">
        <v>0</v>
      </c>
    </row>
    <row r="347" spans="2:6">
      <c r="B347" s="131">
        <v>652</v>
      </c>
      <c r="D347" s="281">
        <v>0</v>
      </c>
    </row>
    <row r="348" spans="2:6">
      <c r="B348" s="131">
        <v>653</v>
      </c>
      <c r="D348" s="281">
        <v>0</v>
      </c>
    </row>
    <row r="349" spans="2:6">
      <c r="B349" s="131">
        <v>654</v>
      </c>
      <c r="D349" s="281">
        <v>0</v>
      </c>
    </row>
    <row r="350" spans="2:6">
      <c r="B350" s="131">
        <v>655</v>
      </c>
      <c r="D350" s="281">
        <v>0</v>
      </c>
    </row>
    <row r="351" spans="2:6">
      <c r="B351" s="131">
        <v>656</v>
      </c>
      <c r="D351" s="281">
        <v>0</v>
      </c>
    </row>
    <row r="352" spans="2:6">
      <c r="B352" s="131">
        <v>657</v>
      </c>
      <c r="D352" s="281">
        <v>6693</v>
      </c>
    </row>
    <row r="353" spans="2:4">
      <c r="B353" s="131">
        <v>658</v>
      </c>
      <c r="D353" s="281">
        <v>14367</v>
      </c>
    </row>
    <row r="354" spans="2:4">
      <c r="B354" s="131">
        <v>659</v>
      </c>
      <c r="D354" s="281">
        <v>93948</v>
      </c>
    </row>
    <row r="355" spans="2:4">
      <c r="B355" s="131">
        <v>660</v>
      </c>
      <c r="D355" s="281">
        <v>18198</v>
      </c>
    </row>
    <row r="356" spans="2:4">
      <c r="B356" s="131">
        <v>661</v>
      </c>
      <c r="D356" s="281">
        <v>15661</v>
      </c>
    </row>
    <row r="357" spans="2:4">
      <c r="B357" s="131">
        <v>662</v>
      </c>
      <c r="D357" s="281">
        <v>35764</v>
      </c>
    </row>
    <row r="358" spans="2:4">
      <c r="B358" s="131">
        <v>663</v>
      </c>
      <c r="D358" s="281">
        <v>19266</v>
      </c>
    </row>
    <row r="359" spans="2:4">
      <c r="B359" s="131">
        <v>664</v>
      </c>
      <c r="D359" s="281">
        <v>20844</v>
      </c>
    </row>
    <row r="360" spans="2:4">
      <c r="B360" s="131">
        <v>665</v>
      </c>
      <c r="D360" s="281">
        <v>21515</v>
      </c>
    </row>
    <row r="361" spans="2:4">
      <c r="B361" s="131">
        <v>666</v>
      </c>
      <c r="D361" s="281">
        <v>22168</v>
      </c>
    </row>
    <row r="362" spans="2:4">
      <c r="B362" s="131">
        <v>667</v>
      </c>
      <c r="D362" s="281">
        <v>22734</v>
      </c>
    </row>
    <row r="363" spans="2:4">
      <c r="B363" s="131">
        <v>668</v>
      </c>
      <c r="D363" s="281">
        <v>24435</v>
      </c>
    </row>
    <row r="364" spans="2:4">
      <c r="B364" s="131">
        <v>669</v>
      </c>
      <c r="D364" s="281">
        <v>34214</v>
      </c>
    </row>
    <row r="365" spans="2:4">
      <c r="B365" s="131">
        <v>670</v>
      </c>
      <c r="D365" s="281">
        <v>15206</v>
      </c>
    </row>
    <row r="366" spans="2:4">
      <c r="B366" s="131">
        <v>671</v>
      </c>
      <c r="D366" s="281">
        <v>22137</v>
      </c>
    </row>
    <row r="367" spans="2:4">
      <c r="B367" s="131">
        <v>672</v>
      </c>
      <c r="D367" s="281">
        <v>33597</v>
      </c>
    </row>
    <row r="368" spans="2:4">
      <c r="B368" s="131">
        <v>673</v>
      </c>
      <c r="D368" s="281">
        <v>14916</v>
      </c>
    </row>
    <row r="369" spans="2:4">
      <c r="B369" s="131">
        <v>674</v>
      </c>
      <c r="D369" s="281">
        <v>5509</v>
      </c>
    </row>
    <row r="370" spans="2:4">
      <c r="B370" s="131">
        <v>675</v>
      </c>
      <c r="D370" s="281">
        <v>6680</v>
      </c>
    </row>
    <row r="371" spans="2:4">
      <c r="B371" s="131">
        <v>676</v>
      </c>
      <c r="D371" s="281">
        <v>452654</v>
      </c>
    </row>
    <row r="372" spans="2:4">
      <c r="B372" s="131">
        <v>677</v>
      </c>
      <c r="D372" s="281">
        <v>216564</v>
      </c>
    </row>
    <row r="373" spans="2:4">
      <c r="B373" s="131">
        <v>678</v>
      </c>
      <c r="D373" s="281">
        <v>1006173</v>
      </c>
    </row>
    <row r="374" spans="2:4">
      <c r="B374" s="131">
        <v>679</v>
      </c>
      <c r="D374" s="281">
        <v>85313</v>
      </c>
    </row>
    <row r="375" spans="2:4">
      <c r="B375" s="131">
        <v>680</v>
      </c>
      <c r="D375" s="281">
        <v>578683</v>
      </c>
    </row>
    <row r="376" spans="2:4">
      <c r="B376" s="131">
        <v>681</v>
      </c>
      <c r="D376" s="281">
        <v>183743</v>
      </c>
    </row>
    <row r="377" spans="2:4">
      <c r="B377" s="131">
        <v>682</v>
      </c>
      <c r="D377" s="281">
        <v>431227</v>
      </c>
    </row>
    <row r="378" spans="2:4">
      <c r="B378" s="131">
        <v>683</v>
      </c>
      <c r="D378" s="281">
        <v>-2839</v>
      </c>
    </row>
    <row r="379" spans="2:4">
      <c r="B379" s="131">
        <v>684</v>
      </c>
      <c r="D379" s="281">
        <v>0</v>
      </c>
    </row>
    <row r="380" spans="2:4">
      <c r="B380" s="131">
        <v>685</v>
      </c>
      <c r="D380" s="281">
        <v>0</v>
      </c>
    </row>
    <row r="381" spans="2:4">
      <c r="B381" s="131">
        <v>686</v>
      </c>
      <c r="D381" s="281">
        <v>0</v>
      </c>
    </row>
    <row r="382" spans="2:4">
      <c r="B382" s="131">
        <v>687</v>
      </c>
      <c r="D382" s="281">
        <v>0</v>
      </c>
    </row>
    <row r="383" spans="2:4">
      <c r="B383" s="131">
        <v>688</v>
      </c>
      <c r="D383" s="281">
        <v>0</v>
      </c>
    </row>
    <row r="384" spans="2:4">
      <c r="B384" s="131">
        <v>689</v>
      </c>
      <c r="D384" s="281">
        <v>0</v>
      </c>
    </row>
    <row r="385" spans="2:4">
      <c r="B385" s="131">
        <v>690</v>
      </c>
      <c r="D385" s="281">
        <v>0</v>
      </c>
    </row>
    <row r="386" spans="2:4">
      <c r="B386" s="131">
        <v>691</v>
      </c>
      <c r="D386" s="281">
        <v>0</v>
      </c>
    </row>
    <row r="387" spans="2:4">
      <c r="B387" s="131">
        <v>692</v>
      </c>
      <c r="D387" s="281">
        <v>0</v>
      </c>
    </row>
    <row r="388" spans="2:4">
      <c r="B388" s="131">
        <v>693</v>
      </c>
      <c r="D388" s="281">
        <v>0</v>
      </c>
    </row>
    <row r="389" spans="2:4">
      <c r="B389" s="131">
        <v>694</v>
      </c>
      <c r="D389" s="281">
        <v>0</v>
      </c>
    </row>
    <row r="390" spans="2:4">
      <c r="B390" s="131">
        <v>695</v>
      </c>
      <c r="D390" s="281">
        <v>0</v>
      </c>
    </row>
    <row r="391" spans="2:4">
      <c r="B391" s="131">
        <v>696</v>
      </c>
      <c r="D391" s="281">
        <v>0</v>
      </c>
    </row>
    <row r="392" spans="2:4">
      <c r="B392" s="131">
        <v>697</v>
      </c>
      <c r="D392" s="281">
        <v>0</v>
      </c>
    </row>
    <row r="393" spans="2:4">
      <c r="B393" s="131">
        <v>698</v>
      </c>
      <c r="D393" s="281">
        <v>0</v>
      </c>
    </row>
    <row r="394" spans="2:4">
      <c r="B394" s="131">
        <v>699</v>
      </c>
      <c r="D394" s="281">
        <v>0</v>
      </c>
    </row>
    <row r="395" spans="2:4">
      <c r="B395" s="131">
        <v>700</v>
      </c>
      <c r="D395" s="281">
        <v>0</v>
      </c>
    </row>
    <row r="396" spans="2:4">
      <c r="B396" s="131">
        <v>701</v>
      </c>
      <c r="D396" s="281">
        <v>0</v>
      </c>
    </row>
    <row r="397" spans="2:4">
      <c r="B397" s="131">
        <v>702</v>
      </c>
      <c r="D397" s="281">
        <v>0</v>
      </c>
    </row>
    <row r="398" spans="2:4">
      <c r="B398" s="131">
        <v>703</v>
      </c>
      <c r="D398" s="281">
        <v>0</v>
      </c>
    </row>
    <row r="399" spans="2:4">
      <c r="B399" s="131">
        <v>704</v>
      </c>
      <c r="D399" s="281">
        <v>2417</v>
      </c>
    </row>
    <row r="400" spans="2:4">
      <c r="B400" s="131">
        <v>705</v>
      </c>
      <c r="D400" s="281">
        <v>13470</v>
      </c>
    </row>
    <row r="401" spans="2:4">
      <c r="B401" s="131">
        <v>706</v>
      </c>
      <c r="D401" s="281">
        <v>9189</v>
      </c>
    </row>
    <row r="402" spans="2:4">
      <c r="B402" s="131">
        <v>707</v>
      </c>
      <c r="D402" s="281">
        <v>29766</v>
      </c>
    </row>
    <row r="403" spans="2:4">
      <c r="B403" s="131">
        <v>708</v>
      </c>
      <c r="D403" s="281">
        <v>6878</v>
      </c>
    </row>
    <row r="404" spans="2:4">
      <c r="B404" s="131">
        <v>709</v>
      </c>
      <c r="D404" s="281">
        <v>23564</v>
      </c>
    </row>
    <row r="405" spans="2:4">
      <c r="B405" s="131">
        <v>710</v>
      </c>
      <c r="D405" s="281">
        <v>10484</v>
      </c>
    </row>
    <row r="406" spans="2:4">
      <c r="B406" s="131">
        <v>711</v>
      </c>
      <c r="D406" s="281">
        <v>12672</v>
      </c>
    </row>
    <row r="407" spans="2:4">
      <c r="B407" s="131">
        <v>712</v>
      </c>
      <c r="D407" s="281">
        <v>17647</v>
      </c>
    </row>
    <row r="408" spans="2:4">
      <c r="B408" s="131">
        <v>713</v>
      </c>
      <c r="D408" s="281">
        <v>54274</v>
      </c>
    </row>
    <row r="409" spans="2:4">
      <c r="B409" s="131">
        <v>714</v>
      </c>
      <c r="D409" s="281">
        <v>34231</v>
      </c>
    </row>
    <row r="410" spans="2:4">
      <c r="B410" s="131">
        <v>715</v>
      </c>
      <c r="D410" s="281">
        <v>17490</v>
      </c>
    </row>
    <row r="411" spans="2:4">
      <c r="B411" s="131">
        <v>716</v>
      </c>
      <c r="D411" s="281">
        <v>58833</v>
      </c>
    </row>
    <row r="412" spans="2:4">
      <c r="B412" s="131">
        <v>717</v>
      </c>
      <c r="D412" s="281">
        <v>24808</v>
      </c>
    </row>
    <row r="413" spans="2:4">
      <c r="B413" s="131">
        <v>718</v>
      </c>
      <c r="D413" s="281">
        <v>57851</v>
      </c>
    </row>
    <row r="414" spans="2:4">
      <c r="B414" s="131">
        <v>719</v>
      </c>
      <c r="D414" s="281">
        <v>-1152</v>
      </c>
    </row>
    <row r="415" spans="2:4">
      <c r="B415" s="131">
        <v>720</v>
      </c>
      <c r="D415" s="281">
        <v>20375</v>
      </c>
    </row>
    <row r="416" spans="2:4">
      <c r="B416" s="131">
        <v>721</v>
      </c>
      <c r="D416" s="281">
        <v>55782</v>
      </c>
    </row>
    <row r="417" spans="2:4">
      <c r="B417" s="131">
        <v>722</v>
      </c>
      <c r="D417" s="281">
        <v>9194</v>
      </c>
    </row>
    <row r="418" spans="2:4">
      <c r="B418" s="131">
        <v>723</v>
      </c>
      <c r="D418" s="281">
        <v>24947</v>
      </c>
    </row>
    <row r="419" spans="2:4">
      <c r="B419" s="131">
        <v>724</v>
      </c>
      <c r="D419" s="281">
        <v>42726</v>
      </c>
    </row>
    <row r="420" spans="2:4">
      <c r="B420" s="131">
        <v>725</v>
      </c>
      <c r="D420" s="281">
        <v>0</v>
      </c>
    </row>
    <row r="421" spans="2:4">
      <c r="B421" s="131">
        <v>726</v>
      </c>
      <c r="D421" s="281">
        <v>0</v>
      </c>
    </row>
    <row r="422" spans="2:4">
      <c r="B422" s="131">
        <v>727</v>
      </c>
      <c r="D422" s="281">
        <v>0</v>
      </c>
    </row>
    <row r="423" spans="2:4">
      <c r="B423" s="131">
        <v>728</v>
      </c>
      <c r="D423" s="281">
        <v>0</v>
      </c>
    </row>
    <row r="424" spans="2:4">
      <c r="B424" s="131">
        <v>729</v>
      </c>
      <c r="D424" s="281">
        <v>0</v>
      </c>
    </row>
    <row r="425" spans="2:4">
      <c r="B425" s="131">
        <v>730</v>
      </c>
      <c r="D425" s="281">
        <v>0</v>
      </c>
    </row>
    <row r="426" spans="2:4">
      <c r="B426" s="131">
        <v>731</v>
      </c>
      <c r="D426" s="281">
        <v>0</v>
      </c>
    </row>
    <row r="427" spans="2:4">
      <c r="B427" s="131">
        <v>732</v>
      </c>
      <c r="D427" s="281">
        <v>323324</v>
      </c>
    </row>
    <row r="428" spans="2:4">
      <c r="B428" s="131">
        <v>733</v>
      </c>
      <c r="D428" s="281">
        <v>23561</v>
      </c>
    </row>
    <row r="429" spans="2:4">
      <c r="B429" s="131">
        <v>734</v>
      </c>
      <c r="D429" s="281">
        <v>744081</v>
      </c>
    </row>
    <row r="430" spans="2:4">
      <c r="B430" s="131">
        <v>735</v>
      </c>
      <c r="D430" s="281">
        <v>153272</v>
      </c>
    </row>
    <row r="431" spans="2:4">
      <c r="B431" s="131">
        <v>736</v>
      </c>
      <c r="D431" s="281">
        <v>0</v>
      </c>
    </row>
    <row r="432" spans="2:4">
      <c r="B432" s="131">
        <v>737</v>
      </c>
      <c r="D432" s="281">
        <v>0</v>
      </c>
    </row>
    <row r="433" spans="2:4">
      <c r="B433" s="131">
        <v>738</v>
      </c>
      <c r="D433" s="281">
        <v>0</v>
      </c>
    </row>
    <row r="434" spans="2:4">
      <c r="B434" s="131">
        <v>739</v>
      </c>
      <c r="D434" s="281">
        <v>0</v>
      </c>
    </row>
    <row r="435" spans="2:4">
      <c r="B435" s="131">
        <v>740</v>
      </c>
      <c r="D435" s="281">
        <v>14109</v>
      </c>
    </row>
    <row r="436" spans="2:4">
      <c r="B436" s="131">
        <v>741</v>
      </c>
      <c r="D436" s="281">
        <v>410</v>
      </c>
    </row>
    <row r="437" spans="2:4">
      <c r="B437" s="131">
        <v>742</v>
      </c>
      <c r="D437" s="281">
        <v>298590</v>
      </c>
    </row>
    <row r="438" spans="2:4">
      <c r="B438" s="131">
        <v>743</v>
      </c>
      <c r="D438" s="281">
        <v>936661</v>
      </c>
    </row>
    <row r="439" spans="2:4">
      <c r="B439" s="131">
        <v>744</v>
      </c>
      <c r="D439" s="281">
        <v>104558</v>
      </c>
    </row>
    <row r="440" spans="2:4">
      <c r="B440" s="131">
        <v>745</v>
      </c>
      <c r="D440" s="281">
        <v>88806</v>
      </c>
    </row>
    <row r="441" spans="2:4">
      <c r="B441" s="131">
        <v>746</v>
      </c>
      <c r="D441" s="281">
        <v>0</v>
      </c>
    </row>
    <row r="442" spans="2:4">
      <c r="B442" s="131">
        <v>747</v>
      </c>
      <c r="D442" s="281">
        <v>0</v>
      </c>
    </row>
    <row r="443" spans="2:4">
      <c r="B443" s="131">
        <v>748</v>
      </c>
      <c r="D443" s="281">
        <v>1187</v>
      </c>
    </row>
    <row r="444" spans="2:4">
      <c r="B444" s="131">
        <v>749</v>
      </c>
      <c r="D444" s="281">
        <v>22413</v>
      </c>
    </row>
    <row r="445" spans="2:4">
      <c r="B445" s="131">
        <v>750</v>
      </c>
      <c r="D445" s="281">
        <v>1097</v>
      </c>
    </row>
    <row r="446" spans="2:4">
      <c r="B446" s="131">
        <v>751</v>
      </c>
      <c r="D446" s="281">
        <v>75827</v>
      </c>
    </row>
    <row r="447" spans="2:4">
      <c r="B447" s="131">
        <v>752</v>
      </c>
      <c r="D447" s="281">
        <v>72643</v>
      </c>
    </row>
    <row r="448" spans="2:4">
      <c r="B448" s="131">
        <v>753</v>
      </c>
      <c r="D448" s="281">
        <v>9985</v>
      </c>
    </row>
    <row r="449" spans="2:4">
      <c r="B449" s="131">
        <v>754</v>
      </c>
      <c r="D449" s="281">
        <v>50722</v>
      </c>
    </row>
    <row r="450" spans="2:4">
      <c r="B450" s="131">
        <v>755</v>
      </c>
      <c r="D450" s="281">
        <v>54089</v>
      </c>
    </row>
    <row r="451" spans="2:4">
      <c r="B451" s="131">
        <v>756</v>
      </c>
      <c r="D451" s="281">
        <v>143516</v>
      </c>
    </row>
    <row r="452" spans="2:4">
      <c r="B452" s="131">
        <v>757</v>
      </c>
      <c r="D452" s="281">
        <v>168982</v>
      </c>
    </row>
    <row r="453" spans="2:4">
      <c r="B453" s="131">
        <v>758</v>
      </c>
      <c r="D453" s="281">
        <v>18167</v>
      </c>
    </row>
    <row r="454" spans="2:4">
      <c r="B454" s="131">
        <v>759</v>
      </c>
      <c r="D454" s="281">
        <v>7986</v>
      </c>
    </row>
    <row r="455" spans="2:4">
      <c r="B455" s="131">
        <v>760</v>
      </c>
      <c r="D455" s="281">
        <v>11808</v>
      </c>
    </row>
    <row r="456" spans="2:4">
      <c r="B456" s="131">
        <v>761</v>
      </c>
      <c r="D456" s="281">
        <v>89571</v>
      </c>
    </row>
    <row r="457" spans="2:4">
      <c r="B457" s="131">
        <v>762</v>
      </c>
      <c r="D457" s="281">
        <v>5680</v>
      </c>
    </row>
    <row r="458" spans="2:4">
      <c r="B458" s="131">
        <v>763</v>
      </c>
      <c r="D458" s="281">
        <v>101239</v>
      </c>
    </row>
    <row r="459" spans="2:4">
      <c r="B459" s="131">
        <v>764</v>
      </c>
      <c r="D459" s="281">
        <v>53910</v>
      </c>
    </row>
    <row r="460" spans="2:4">
      <c r="B460" s="131">
        <v>765</v>
      </c>
      <c r="D460" s="281">
        <v>45</v>
      </c>
    </row>
    <row r="461" spans="2:4">
      <c r="B461" s="131">
        <v>766</v>
      </c>
      <c r="D461" s="281">
        <v>0</v>
      </c>
    </row>
    <row r="462" spans="2:4">
      <c r="B462" s="131">
        <v>767</v>
      </c>
      <c r="D462" s="281">
        <v>0</v>
      </c>
    </row>
    <row r="463" spans="2:4">
      <c r="B463" s="131">
        <v>768</v>
      </c>
      <c r="D463" s="281">
        <v>17208</v>
      </c>
    </row>
    <row r="464" spans="2:4">
      <c r="B464" s="131">
        <v>769</v>
      </c>
      <c r="D464" s="281">
        <v>0</v>
      </c>
    </row>
    <row r="465" spans="2:4">
      <c r="B465" s="131">
        <v>770</v>
      </c>
      <c r="D465" s="281">
        <v>0</v>
      </c>
    </row>
    <row r="466" spans="2:4">
      <c r="B466" s="131">
        <v>771</v>
      </c>
      <c r="D466" s="281">
        <v>0</v>
      </c>
    </row>
    <row r="467" spans="2:4">
      <c r="B467" s="131">
        <v>772</v>
      </c>
      <c r="D467" s="281">
        <v>14374</v>
      </c>
    </row>
    <row r="468" spans="2:4">
      <c r="B468" s="131">
        <v>773</v>
      </c>
      <c r="D468" s="281">
        <v>100816</v>
      </c>
    </row>
    <row r="469" spans="2:4">
      <c r="B469" s="131">
        <v>774</v>
      </c>
      <c r="D469" s="281">
        <v>8539</v>
      </c>
    </row>
    <row r="470" spans="2:4">
      <c r="B470" s="131">
        <v>775</v>
      </c>
      <c r="D470" s="281">
        <v>14644</v>
      </c>
    </row>
    <row r="471" spans="2:4">
      <c r="B471" s="131">
        <v>776</v>
      </c>
      <c r="D471" s="281">
        <v>229382</v>
      </c>
    </row>
    <row r="472" spans="2:4">
      <c r="B472" s="131">
        <v>777</v>
      </c>
      <c r="D472" s="281">
        <v>122132</v>
      </c>
    </row>
    <row r="473" spans="2:4">
      <c r="B473" s="131">
        <v>778</v>
      </c>
      <c r="D473" s="281">
        <v>0</v>
      </c>
    </row>
    <row r="474" spans="2:4">
      <c r="B474" s="131">
        <v>779</v>
      </c>
      <c r="D474" s="281">
        <v>0</v>
      </c>
    </row>
    <row r="475" spans="2:4">
      <c r="B475" s="131">
        <v>780</v>
      </c>
      <c r="D475" s="281">
        <v>92560</v>
      </c>
    </row>
    <row r="476" spans="2:4">
      <c r="B476" s="131">
        <v>781</v>
      </c>
      <c r="D476" s="281">
        <v>135438</v>
      </c>
    </row>
    <row r="477" spans="2:4">
      <c r="B477" s="131">
        <v>782</v>
      </c>
      <c r="D477" s="281">
        <v>0</v>
      </c>
    </row>
  </sheetData>
  <mergeCells count="1">
    <mergeCell ref="B5:E5"/>
  </mergeCells>
  <phoneticPr fontId="41" type="noConversion"/>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1 6 " ? > < D a t a M a s h u p   s q m i d = " 0 2 6 1 0 2 1 6 - 1 3 f f - 4 e 2 2 - 8 9 1 c - 6 6 0 1 c b 2 3 8 5 f 6 "   x m l n s = " h t t p : / / s c h e m a s . m i c r o s o f t . c o m / D a t a M a s h u p " > A A A A A H o I A A B Q S w M E F A A C A A g A m W W u W j 4 n 4 4 a k A A A A 9 g A A A B I A H A B D b 2 5 m a W c v U G F j a 2 F n Z S 5 4 b W w g o h g A K K A U A A A A A A A A A A A A A A A A A A A A A A A A A A A A h Y + x D o I w G I R f h X S n L W U h 5 K c O r m B M T I w r K R U a 4 c f Q Y n k 3 B x / J V x C j q J v j 3 X 2 X 3 N 2 v N 1 h N X R t c 9 G B N j x m J K C e B R t V X B u u M j O 4 Y J m Q l Y V u q U 1 n r Y I b R p p M 1 G W m c O 6 e M e e + p j 2 k / 1 E x w H r F D k e 9 U o 7 s y N G h d i U q T T 6 v 6 3 y I S 9 q 8 x U t A o F j Q W C e X A F h M K g 1 9 A z H u f 6 Y 8 J 6 7 F 1 4 6 A l t u E m B 7 Z I Y O 8 P 8 g F Q S w M E F A A C A A g A m W W u 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l l r l q X 3 F r f f Q U A A O o c A A A T A B w A R m 9 y b X V s Y X M v U 2 V j d G l v b j E u b S C i G A A o o B Q A A A A A A A A A A A A A A A A A A A A A A A A A A A D t W V t v 4 k Y U f o + 0 / 2 H k v I A E J A a 2 L 1 s i w W 4 b Z Z u E b q D Z B 4 S i A R / M B N t D x 2 P S B v H f e 8 Y G b O O x g a S 7 3 a 0 2 Q s G X m X O f 7 5 s z + D C W j H u k F 3 2 b 7 0 5 O / C k V Y J F T 4 / M f V 2 d d d 8 S D J 4 O 0 i A P y z Q n B v 4 7 A 8 S 3 S + 9 O p f a C S j q g P f s l o v 7 + p 3 v Q + X V f P q 4 1 G x W w 2 G u d G u R L N u P v w c H 3 b e b j E W W r y c n B L X W g Z m 8 f G c D V Q k o b r 4 d a I P 1 x 5 C / A l C O b Z o L R t x i 4 H v f E U X N o y c J R R u Z L g t o z U 4 F 1 p p 8 Z H S s V F q 3 5 e P 1 d + 9 O n I g V o P H P T 4 j j / 5 p Y y 6 C g E 6 n p K B m k d G Y D O P 0 I k / n g r 2 u A B v S C 5 a R A k r b x X c s U c 0 0 o Y J c 1 C G p d W S M m O t o T Q 4 N e 5 B L K i H O m x y R g I m R w K Y h X f G E K W o F B i E C 0 I G U S I k p b P w x U d q l H M N M H M s 2 L V z a 0 Y b k 7 + g Y y r B 5 o L B k P x 8 Q Y x m g / Q k m / m S T 2 J d b b Q V 5 t S X 5 k E q z K 0 O 5 a s + o K G n K i y E e h a J Q u I z C B + b Z e X 9 / r n m K + b W N X P r B 8 5 t v E J v U z s 3 k d X f u M N d F 8 O 5 A P H E H q 1 U a d 2 B y x f w n j u B 6 / m l O C 2 V p f E Z p A S H P c 6 A q H r B F B j 9 v + d A q M p y W O P q 0 Q 1 V 6 t P P u n M X x G x 9 0 8 E V g U P 8 O V W V Y v z K H b R A X a 3 t V W L R K s I 8 B 5 7 R L b x v B x I C Y a w y 1 f J 2 a / e l 4 M G 8 p H e u Q p b G T i k q q T l h j C z R L x 7 l y 3 b B J J 3 x K H W N F S p a J l H D H 4 E l q L 0 p 1 m v m y 1 o v c E u D 7 J h h u U K k i q Y X O I 7 y C C / c E Y h V 1 u l G v E S 4 k H G O 3 l Z Q e 4 H p X Y H R q H 0 A f w y e e q Q R X c 8 R 3 V C i c + M V C W 5 n 5 Z 5 i M C z 4 i 0 g O N i z w X 6 L Q 2 p Y V v o x K L V Z V x 6 i G L 1 C w G X 6 u P P l T s 6 Z K L Z Z 7 z x 3 M o w U E n S W z T c 5 t w J Q / M z t V z 2 q Y 2 B S 0 x q L K c q t P n 7 u C Q t F U 1 U t r p / z m h H m H u h f T 6 S 6 h / a D T H D r d x z A 6 G t 0 h x 1 s A D W P V 9 f J i f Y f T 8 v 3 9 h p b 3 j b x D A s + a 0 t h j S v 0 H b b 6 c N j d b E F t w m E O K N C P y S a D l s Y S T g o K Y C r 8 s o c Q u + Q j 2 a Y 9 C + N f 5 / M W J Q G P V d 8 4 I e c l 9 I e I j g b P Y q G 8 b 8 t O 2 6 l D / k B 4 n D / o R x V Q i 0 o A V R T e 5 8 h N j z A P G 1 H f H 1 L N j G g e M a W Z 1 F Z J H e s V t e y l c b 1 0 u / D m m Z x b u v k k i o v 4 j 6 i t a e D r W S + 3 s 6 k p B V L Q z h / o + F C / j P Y i R 7 B c i n C g W d 0 Q r o s O F Z X 4 z s a + F O A q R 9 E 3 F f w d K O / k 6 o E A 2 u d A 1 c T u A U u I p a Z A S F 0 F g O W r q c E u C j y R 6 Z D E g P k K H N 6 U h L L g g i Z U S W w i E R f V g 5 h f E v u h q e t b V w b k x C 5 K j N f O V C f p q W d h U w r 9 B S 2 a C l 7 r u M + o L 6 S i P j f R k h L q 3 h F O u b I l m l z u 2 H K X h m V B 3 T C 5 H c s u u p m + P X j R y 9 P T y G l y N K e d o W A 1 7 W 0 y B A D t w o g L 2 G M i q p L g H m t g Q P V / D Z o c 6 1 B t H l c z j 8 g 2 F q D M j W 6 3 S 4 0 4 g 9 Q C 9 7 r p 6 w S h x B I n N U 5 8 j F j h E C u r 5 c y S T a o W M E j b h L c U 3 D j Z d Y T l U C Q q e P V G H S W D S H 3 O s F R X 0 E F A K Y 1 6 A X d k D z e X G r k S 4 1 o d r o W K M 0 K q M S 7 N I X f K Y v T s H Q d X h O w Y K l 2 4 Y 4 q + 6 W z x V K / Q h x 4 z C b a N u T k b 4 U T W e Z 4 m K e v + s g 5 9 2 / 6 z d V z X 4 + 3 X I k 5 / a 6 u s W A i y T d e a n M J m s Q X R f q k i i m v H q F 4 e 5 z E P l 4 B M Z I C l 4 5 L L f I 5 3 a f U 0 V 1 + V l d J 2 Q r G h B w A y 8 C P u O G L 0 d W 3 j Y u n 9 / d N i v D 0 U r T 4 N 7 m t V 4 5 c 0 4 n 0 f 5 Q P d A 2 E h j b i 2 o L W p k D n S G B Y 2 y w 3 O R A y f H s 0 j O t K 4 n X e q p n Q G u 9 / V s a 7 d X K a 8 t T k J 1 i M N Z q P 6 + 3 T I z X j X / F 1 4 V / r q U 3 2 7 l t i 3 x x i g W + O 4 f U E s B A i 0 A F A A C A A g A m W W u W j 4 n 4 4 a k A A A A 9 g A A A B I A A A A A A A A A A A A A A A A A A A A A A E N v b m Z p Z y 9 Q Y W N r Y W d l L n h t b F B L A Q I t A B Q A A g A I A J l l r l p T c j g s m w A A A O E A A A A T A A A A A A A A A A A A A A A A A P A A A A B b Q 2 9 u d G V u d F 9 U e X B l c 1 0 u e G 1 s U E s B A i 0 A F A A C A A g A m W W u W p f c W t 9 9 B Q A A 6 h w A A B M A A A A A A A A A A A A A A A A A 2 A E A A E Z v c m 1 1 b G F z L 1 N l Y 3 R p b 2 4 x L m 1 Q S w U G A A A A A A M A A w D C A A A A o g 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1 I A A A A A A A A 5 U g 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S W 5 2 Z X N 0 Z X J p b m d l b j w v S X R l b V B h d G g + P C 9 J d G V t T G 9 j Y X R p b 2 4 + P F N 0 Y W J s Z U V u d H J p Z X M + P E V u d H J 5 I F R 5 c G U 9 I k Z p b G x D b 2 x 1 b W 5 U e X B l c y I g V m F s d W U 9 I n N B d 1 V G Q m d Z R C I g L z 4 8 R W 5 0 c n k g V H l w Z T 0 i T m F 2 a W d h d G l v b l N 0 Z X B O Y W 1 l I i B W Y W x 1 Z T 0 i c 0 5 h d m l n Y X R p Z S I g L z 4 8 R W 5 0 c n k g V H l w Z T 0 i R m l s b E x h c 3 R V c G R h d G V k I i B W Y W x 1 Z T 0 i Z D I w M j U t M D U t M T R U M T A 6 N D Q 6 N D g u M z g 2 O T c z M l o 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l N j M z N T A z O S 1 m Y z h j L T Q z O T Q t O W I 0 N y 0 y M 2 I w M m Z l M G Q 5 M j E i I C 8 + P E V u d H J 5 I F R 5 c G U 9 I k 5 h b W V V c G R h d G V k Q W Z 0 Z X J G a W x s I i B W Y W x 1 Z T 0 i b D A i I C 8 + P E V u d H J 5 I F R 5 c G U 9 I k J 1 Z m Z l c k 5 l e H R S Z W Z y Z X N o I i B W Y W x 1 Z T 0 i b D E i I C 8 + P E V u d H J 5 I F R 5 c G U 9 I k Z p b G x P Y m p l Y 3 R U e X B l I i B W Y W x 1 Z T 0 i c 1 R h Y m x l I i A v P j x F b n R y e S B U e X B l P S J S Z X N 1 b H R U e X B l I i B W Y W x 1 Z T 0 i c 1 R h Y m x l I i A v P j x F b n R y e S B U e X B l P S J G a W x s V G F y Z 2 V 0 I i B W Y W x 1 Z T 0 i c 0 l u d m V z d G V y a W 5 n Z W 5 f M i I g L z 4 8 R W 5 0 c n k g V H l w Z T 0 i T G 9 h Z G V k V G 9 B b m F s e X N p c 1 N l c n Z p Y 2 V z I i B W Y W x 1 Z T 0 i b D A i I C 8 + P E V u d H J 5 I F R 5 c G U 9 I k Z p b G x D b 2 x 1 b W 5 O Y W 1 l c y I g V m F s d W U 9 I n N b J n F 1 b 3 Q 7 S W 5 k Z X g m c X V v d D s s J n F 1 b 3 Q 7 S W 5 2 Z X N 0 Z X J p b m d z Y m V k c m F n J n F 1 b 3 Q 7 L C Z x d W 9 0 O 0 p h Y X I g Y m V n a W 4 g Y W Z z Y 2 h y a W p 2 Z W 4 m c X V v d D s s J n F 1 b 3 Q 7 Q W N 0 a X Z h Y 2 F 0 Z W d v c m l l J n F 1 b 3 Q 7 L C Z x d W 9 0 O 0 J l c 3 R h b m R z b m F h b S Z x d W 9 0 O y w m c X V v d D t W Z X J z a W U m c X V v d D t d I i A v P j x F b n R y e S B U e X B l P S J G a W x s R X J y b 3 J D b 3 V u d C I g V m F s d W U 9 I m w w I i A v P j x F b n R y e S B U e X B l P S J G a W x s R X J y b 3 J D b 2 R l I i B W Y W x 1 Z T 0 i c 1 V u a 2 5 v d 2 4 i I C 8 + P E V u d H J 5 I F R 5 c G U 9 I k Z p b G x T d G F 0 d X M i I F Z h b H V l P S J z Q 2 9 t c G x l d G U i I C 8 + P E V u d H J 5 I F R 5 c G U 9 I k Z p b G x D b 3 V u d C I g V m F s d W U 9 I m w x M D g 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0 N v b H V t b k N v d W 5 0 J n F 1 b 3 Q 7 O j Y s J n F 1 b 3 Q 7 S 2 V 5 Q 2 9 s d W 1 u T m F t Z X M m c X V v d D s 6 W 1 0 s J n F 1 b 3 Q 7 Q 2 9 s d W 1 u S W R l b n R p d G l l c y Z x d W 9 0 O z p b J n F 1 b 3 Q 7 U 2 V j d G l v b j E v S W 5 2 Z X N 0 Z X J p b m d l b i 9 B d X R v U m V t b 3 Z l Z E N v b H V t b n M x L n t J b m R l e C w w f S Z x d W 9 0 O y w m c X V v d D t T Z W N 0 a W 9 u M S 9 J b n Z l c 3 R l c m l u Z 2 V u L 0 F 1 d G 9 S Z W 1 v d m V k Q 2 9 s d W 1 u c z E u e 0 l u d m V z d G V y a W 5 n c 2 J l Z H J h Z y w x f S Z x d W 9 0 O y w m c X V v d D t T Z W N 0 a W 9 u M S 9 J b n Z l c 3 R l c m l u Z 2 V u L 0 F 1 d G 9 S Z W 1 v d m V k Q 2 9 s d W 1 u c z E u e 0 p h Y X I g Y m V n a W 4 g Y W Z z Y 2 h y a W p 2 Z W 4 s M n 0 m c X V v d D s s J n F 1 b 3 Q 7 U 2 V j d G l v b j E v S W 5 2 Z X N 0 Z X J p b m d l b i 9 B d X R v U m V t b 3 Z l Z E N v b H V t b n M x L n t B Y 3 R p d m F j Y X R l Z 2 9 y a W U s M 3 0 m c X V v d D s s J n F 1 b 3 Q 7 U 2 V j d G l v b j E v S W 5 2 Z X N 0 Z X J p b m d l b i 9 B d X R v U m V t b 3 Z l Z E N v b H V t b n M x L n t C Z X N 0 Y W 5 k c 2 5 h Y W 0 s N H 0 m c X V v d D s s J n F 1 b 3 Q 7 U 2 V j d G l v b j E v S W 5 2 Z X N 0 Z X J p b m d l b i 9 B d X R v U m V t b 3 Z l Z E N v b H V t b n M x L n t W Z X J z a W U s N X 0 m c X V v d D t d L C Z x d W 9 0 O 1 J l b G F 0 a W 9 u c 2 h p c E l u Z m 8 m c X V v d D s 6 W 1 1 9 I i A v P j w v U 3 R h Y m x l R W 5 0 c m l l c z 4 8 L 0 l 0 Z W 0 + P E l 0 Z W 0 + P E l 0 Z W 1 M b 2 N h d G l v b j 4 8 S X R l b V R 5 c G U + R m 9 y b X V s Y T w v S X R l b V R 5 c G U + P E l 0 Z W 1 Q Y X R o P l N l Y 3 R p b 2 4 x L 0 R l c 2 l u d m V z d G V y a W 5 n P C 9 J d G V t U G F 0 a D 4 8 L 0 l 0 Z W 1 M b 2 N h d G l v b j 4 8 U 3 R h Y m x l R W 5 0 c m l l c z 4 8 R W 5 0 c n k g V H l w Z T 0 i Q n V m Z m V y T m V 4 d F J l Z n J l c 2 g i I F Z h b H V l P S J s M S I g L z 4 8 R W 5 0 c n k g V H l w Z T 0 i R m l s b E V u Y W J s Z W Q i I F Z h b H V l P S J s M S I g L z 4 8 R W 5 0 c n k g V H l w Z T 0 i R m l s b E N v b H V t b k 5 h b W V z I i B W Y W x 1 Z T 0 i c 1 s m c X V v d D t J b m R l e C Z x d W 9 0 O y w m c X V v d D t B Y 3 R p d m F r b G F z c 2 U m c X V v d D s s J n F 1 b 3 Q 7 T 2 9 y c 3 B y b 2 5 r Z W x p a m s g a W 5 2 Z X N 0 Z X J p b m d z a m F h c i Z x d W 9 0 O y w m c X V v d D t E Z X N p b n Z l c 3 R l c m l u Z y A o b 2 9 y c 3 B y b 2 5 r Z W x p a m t l I G l u d m V z d G V y a W 5 n c 2 J l Z H J h Z y k m c X V v d D s s J n F 1 b 3 Q 7 T 3 B i c m V u Z 3 N 0 Z W 4 g Z G l l I H N h b W V u a G F u Z 2 V u I G 1 l d C B k Z X N p b n Z l c 3 R l c m l u Z y Z x d W 9 0 O y w m c X V v d D t K Y W F y J n F 1 b 3 Q 7 L C Z x d W 9 0 O 0 J l c 3 R h b m R z b m F h b S Z x d W 9 0 O y w m c X V v d D t W Z X J z a W U m c X V v d D t d I i A v P j x F b n R y e S B U e X B l P S J G a W x s Z W R D b 2 1 w b G V 0 Z V J l c 3 V s d F R v V 2 9 y a 3 N o Z W V 0 I i B W Y W x 1 Z T 0 i b D E i I C 8 + P E V u d H J 5 I F R 5 c G U 9 I k Z p b G x T d G F 0 d X M i I F Z h b H V l P S J z Q 2 9 t c G x l d G U i I C 8 + P E V u d H J 5 I F R 5 c G U 9 I k l z U H J p d m F 0 Z S I g V m F s d W U 9 I m w w I i A v P j x F b n R y e S B U e X B l P S J G a W x s T G F z d F V w Z G F 0 Z W Q i I F Z h b H V l P S J k M j A y N S 0 w N S 0 x N F Q x M D o 0 N D o 1 M S 4 1 N D U y O D Y 0 W i I g L z 4 8 R W 5 0 c n k g V H l w Z T 0 i U m V z d W x 0 V H l w Z S I g V m F s d W U 9 I n N U Y W J s Z S I g L z 4 8 R W 5 0 c n k g V H l w Z T 0 i T m F 2 a W d h d G l v b l N 0 Z X B O Y W 1 l I i B W Y W x 1 Z T 0 i c 0 5 h d m l n Y X R p Z S I g L z 4 8 R W 5 0 c n k g V H l w Z T 0 i T m F t Z V V w Z G F 0 Z W R B Z n R l c k Z p b G w i I F Z h b H V l P S J s M C I g L z 4 8 R W 5 0 c n k g V H l w Z T 0 i R m l s b F R h c m d l d C I g V m F s d W U 9 I n N E Z X N p b n Z l c 3 R l c m l u Z y I g L z 4 8 R W 5 0 c n k g V H l w Z T 0 i T G 9 h Z G V k V G 9 B b m F s e X N p c 1 N l c n Z p Y 2 V z I i B W Y W x 1 Z T 0 i b D A i I C 8 + P E V u d H J 5 I F R 5 c G U 9 I l F 1 Z X J 5 S U Q i I F Z h b H V l P S J z M G E 5 N z N m Z W I t O W M 0 Y y 0 0 N z h k L W F j Y 2 M t N m M 0 M D N j M z h l Z m N j I i A v P j x F b n R y e S B U e X B l P S J G a W x s V G 9 E Y X R h T W 9 k Z W x F b m F i b G V k I i B W Y W x 1 Z T 0 i b D A i I C 8 + P E V u d H J 5 I F R 5 c G U 9 I k Z p b G x D b 2 x 1 b W 5 U e X B l c y I g V m F s d W U 9 I n N B d 1 l D Q l F V R E J n T T 0 i I C 8 + P E V u d H J 5 I F R 5 c G U 9 I k Z p b G x P Y m p l Y 3 R U e X B l I i B W Y W x 1 Z T 0 i c 1 R h Y m x l I i A v P j x F b n R y e S B U e X B l P S J G a W x s R X J y b 3 J D b 3 V u d C I g V m F s d W U 9 I m w w I i A v P j x F b n R y e S B U e X B l P S J G a W x s R X J y b 3 J D b 2 R l I i B W Y W x 1 Z T 0 i c 1 V u a 2 5 v d 2 4 i I C 8 + P E V u d H J 5 I F R 5 c G U 9 I k Z p b G x D b 3 V u d C I g V m F s d W U 9 I m w 2 N D g 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D b 2 x 1 b W 5 D b 3 V u d C Z x d W 9 0 O z o 4 L C Z x d W 9 0 O 0 t l e U N v b H V t b k 5 h b W V z J n F 1 b 3 Q 7 O l t d L C Z x d W 9 0 O 0 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U m V s Y X R p b 2 5 z a G l w S W 5 m b y Z x d W 9 0 O z p b X X 0 i I C 8 + P C 9 T d G F i b G V F b n R y a W V z P j w v S X R l b T 4 8 S X R l b T 4 8 S X R l b U x v Y 2 F 0 a W 9 u P j x J d G V t V H l w Z T 5 G b 3 J t d W x h P C 9 J d G V t V H l w Z T 4 8 S X R l b V B h d G g + U 2 V j d G l v b j E v T 2 1 6 Z X Q 8 L 0 l 0 Z W 1 Q Y X R o P j w v S X R l b U x v Y 2 F 0 a W 9 u P j x T d G F i b G V F b n R y a W V z P j x F b n R y e S B U e X B l P S J G a W x s Q 2 9 s d W 1 u V H l w Z X M i I F Z h b H V l P S J z Q m d Z R E J R V U Z C U V l E I i A v P j x F b n R y e S B U e X B l P S J C d W Z m Z X J O Z X h 0 U m V m c m V z a C I g V m F s d W U 9 I m w x I i A v P j x F b n R y e S B U e X B l P S J G a W x s T G F z d F V w Z G F 0 Z W Q i I F Z h b H V l P S J k M j A y N S 0 w N S 0 x N F Q x M D o 0 N D o 1 M S 4 1 N j A y N z Y 2 W i I g L z 4 8 R W 5 0 c n k g V H l w Z T 0 i R m l s b E V u Y W J s Z W Q i I F Z h b H V l P S J s M S I g L z 4 8 R W 5 0 c n k g V H l w Z T 0 i R m l s b G V k Q 2 9 t c G x l d G V S Z X N 1 b H R U b 1 d v c m t z a G V l d C I g V m F s d W U 9 I m w x I i A v P j x F b n R y e S B U e X B l P S J G a W x s R X J y b 3 J D b 3 V u d C I g V m F s d W U 9 I m w w I i A v P j x F b n R y e S B U e X B l P S J G a W x s V G F y Z 2 V 0 T m F t Z U N 1 c 3 R v b W l 6 Z W Q i I F Z h b H V l P S J s M S I g L z 4 8 R W 5 0 c n k g V H l w Z T 0 i R m l s b F R v R G F 0 Y U 1 v Z G V s R W 5 h Y m x l Z C I g V m F s d W U 9 I m w w I i A v P j x F b n R y e S B U e X B l P S J J c 1 B y a X Z h d G U i I F Z h b H V l P S J s M C I g L z 4 8 R W 5 0 c n k g V H l w Z T 0 i R m l s b E V y c m 9 y Q 2 9 k Z S I g V m F s d W U 9 I n N V b m t u b 3 d u I i A v P j x F b n R y e S B U e X B l P S J S Z X N 1 b H R U e X B l I i B W Y W x 1 Z T 0 i c 1 R h Y m x l I i A v P j x F b n R y e S B U e X B l P S J O Y X Z p Z 2 F 0 a W 9 u U 3 R l c E 5 h b W U i I F Z h b H V l P S J z T m F 2 a W d h d G l l I i A v P j x F b n R y e S B U e X B l P S J G a W x s T 2 J q Z W N 0 V H l w Z S I g V m F s d W U 9 I n N U Y W J s Z S I g L z 4 8 R W 5 0 c n k g V H l w Z T 0 i T m F t Z V V w Z G F 0 Z W R B Z n R l c k Z p b G w i I F Z h b H V l P S J s M C I g L z 4 8 R W 5 0 c n k g V H l w Z T 0 i R m l s b F R h c m d l d C I g V m F s d W U 9 I n N P b X p l d C I g L z 4 8 R W 5 0 c n k g V H l w Z T 0 i U X V l c n l J R C I g V m F s d W U 9 I n M 2 M D Q x Z G Q w Z S 0 3 M j k w L T Q 1 M W Y t Y T c 4 N i 1 j O W Q 3 Z m F k O D c 2 Z T E i I C 8 + P E V u d H J 5 I F R 5 c G U 9 I k Z p b G x D b 2 x 1 b W 5 O Y W 1 l c y I g V m F s d W U 9 I n N b J n F 1 b 3 Q 7 Q 2 F 0 Z W d v c m l l J n F 1 b 3 Q 7 L C Z x d W 9 0 O 1 N 1 Y m N h d G V n b 3 J p Z S Z x d W 9 0 O y w m c X V v d D t K Y W F y J n F 1 b 3 Q 7 L C Z x d W 9 0 O 0 9 t e m V 0 c m V n d W x l c m l u Z y B 0 Y X J p Z W Z n Z X J l Z 3 V s Z W V y Z C Z x d W 9 0 O y w m c X V v d D t P d m V y Y m 9 l a y 0 g Z W 4 g d G V y d W d r b 2 9 w c m V n Z W x p b m c m c X V v d D s s J n F 1 b 3 Q 7 V m V p b G l u Z 2 d l b G R l b i Z x d W 9 0 O y w m c X V v d D t T Y W x k b y B h Z G 1 p b m l z d H J h d G l l d m U g b 2 5 i Y W x h b n M m c X V v d D s s J n F 1 b 3 Q 7 Q m V z d G F u Z H N u Y W F t J n F 1 b 3 Q 7 L C Z x d W 9 0 O 1 Z l c n N p Z S Z x d W 9 0 O 1 0 i I C 8 + P E V u d H J 5 I F R 5 c G U 9 I k Z p b G x D b 3 V u d C I g V m F s d W U 9 I m w 1 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0 N v b H V t b k N v d W 5 0 J n F 1 b 3 Q 7 O j k s J n F 1 b 3 Q 7 S 2 V 5 Q 2 9 s d W 1 u T m F t Z X M m c X V v d D s 6 W 1 0 s J n F 1 b 3 Q 7 Q 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U m V s Y X R p b 2 5 z a G l w S W 5 m b y Z x d W 9 0 O z p b X X 0 i I C 8 + P C 9 T d G F i b G V F b n R y a W V z P j w v S X R l b T 4 8 S X R l b T 4 8 S X R l b U x v Y 2 F 0 a W 9 u P j x J d G V t V H l w Z T 5 G b 3 J t d W x h P C 9 J d G V t V H l w Z T 4 8 S X R l b V B h d G g + U 2 V j d G l v b j E v V 1 V J J T J G T 2 1 i b 3 V 3 P C 9 J d G V t U G F 0 a D 4 8 L 0 l 0 Z W 1 M b 2 N h d G l v b j 4 8 U 3 R h Y m x l R W 5 0 c m l l c 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g L z 4 8 R W 5 0 c n k g V H l w Z T 0 i Q n V m Z m V y T m V 4 d F J l Z n J l c 2 g i I F Z h b H V l P S J s M S I g L z 4 8 R W 5 0 c n k g V H l w Z T 0 i R m l s b E V u Y W J s Z W Q i I F Z h b H V l P S J s M S I g L z 4 8 R W 5 0 c n k g V H l w Z T 0 i R m l s b G V k Q 2 9 t c G x l d G V S Z X N 1 b H R U b 1 d v c m t z a G V l d C I g V m F s d W U 9 I m w x I i A v P j x F b n R y e S B U e X B l P S J J c 1 B y a X Z h d G U i I F Z h b H V l P S J s M C I g L z 4 8 R W 5 0 c n k g V H l w Z T 0 i U X V l c n l J R C I g V m F s d W U 9 I n M x O W N j Z T c 3 M y 0 w M z d j L T R m Z T M t O T I 5 N C 1 j N G M 1 O T E 2 N G Q 4 M z A i I C 8 + P E V u d H J 5 I F R 5 c G U 9 I l J l c 3 V s d F R 5 c G U i I F Z h b H V l P S J z V G F i b G U i I C 8 + P E V u d H J 5 I F R 5 c G U 9 I k 5 h d m l n Y X R p b 2 5 T d G V w T m F t Z S I g V m F s d W U 9 I n N O Y X Z p Z 2 F 0 a W U i I C 8 + P E V u d H J 5 I F R 5 c G U 9 I k Z p b G x F c n J v c k N v d W 5 0 I i B W Y W x 1 Z T 0 i b D A i I C 8 + P E V u d H J 5 I F R 5 c G U 9 I k 5 h b W V V c G R h d G V k Q W Z 0 Z X J G a W x s I i B W Y W x 1 Z T 0 i b D A i I C 8 + P E V u d H J 5 I F R 5 c G U 9 I k Z p b G x U Y X J n Z X Q i I F Z h b H V l P S J z V 1 V J X 0 9 t Y m 9 1 d y I g L z 4 8 R W 5 0 c n k g V H l w Z T 0 i T G 9 h Z G V k V G 9 B b m F s e X N p c 1 N l c n Z p Y 2 V z I i B W Y W x 1 Z T 0 i b D A i I C 8 + P E V u d H J 5 I F R 5 c G U 9 I k Z p b G x T d G F 0 d X M i I F Z h b H V l P S J z Q 2 9 t c G x l d G U i I C 8 + P E V u d H J 5 I F R 5 c G U 9 I k Z p b G x M Y X N 0 V X B k Y X R l Z C I g V m F s d W U 9 I m Q y M D I 1 L T A 1 L T E 0 V D E w O j Q 0 O j Q 5 L j Q 1 M T k 3 M j h a I i A v P j x F b n R y e S B U e X B l P S J G a W x s V G 9 E Y X R h T W 9 k Z W x F b m F i b G V k I i B W Y W x 1 Z T 0 i b D A i I C 8 + P E V u d H J 5 I F R 5 c G U 9 I k Z p b G x P Y m p l Y 3 R U e X B l I i B W Y W x 1 Z T 0 i c 1 R h Y m x l I i A v P j x F b n R y e S B U e X B l P S J G a W x s Q 2 9 s d W 1 u V H l w Z X M i I F Z h b H V l P S J z Q X d V R k J n W U d C Z z 0 9 I i A v P j x F b n R y e S B U e X B l P S J G a W x s R X J y b 3 J D b 2 R l I i B W Y W x 1 Z T 0 i c 1 V u a 2 5 v d 2 4 i I C 8 + P E V u d H J 5 I F R 5 c G U 9 I k Z p b G x D b 3 V u d C I g V m F s d W U 9 I m w z M 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Q 2 9 s d W 1 u Q 2 9 1 b n Q m c X V v d D s 6 N y w m c X V v d D t L Z X l D b 2 x 1 b W 5 O Y W 1 l c y Z x d W 9 0 O z p b X S w m c X V v d D t D 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U m V s Y X R p b 2 5 z a G l w S W 5 m b y Z x d W 9 0 O z p b X X 0 i I C 8 + P C 9 T d G F i b G V F b n R y a W V z P j w v S X R l b T 4 8 S X R l b T 4 8 S X R l b U x v Y 2 F 0 a W 9 u P j x J d G V t V H l w Z T 5 G b 3 J t d W x h P C 9 J d G V t V H l w Z T 4 8 S X R l b V B h d G g + U 2 V j d G l v b j E v T 3 B l c m F 0 a W 9 u Z W x l J T I w a 2 9 z d G V u P C 9 J d G V t U G F 0 a D 4 8 L 0 l 0 Z W 1 M b 2 N h d G l v b j 4 8 U 3 R h Y m x l R W 5 0 c m l l c z 4 8 R W 5 0 c n k g V H l w Z T 0 i R m l s b E V y c m 9 y Q 2 9 k Z S I g V m F s d W U 9 I n N V b m t u b 3 d u I i A v P j x F b n R y e S B U e X B l P S J C d W Z m Z X J O Z X h 0 U m V m c m V z a C I g V m F s d W U 9 I m w x I i A v P j x F b n R y e S B U e X B l P S J G a W x s R X J y b 3 J D b 3 V u d C I g V m F s d W U 9 I m w w I i A v P j x F b n R y e S B U e X B l P S J G a W x s R W 5 h Y m x l Z C I g V m F s d W U 9 I m w x I i A v P j x F b n R y e S B U e X B l P S J G a W x s Z W R D b 2 1 w b G V 0 Z V J l c 3 V s d F R v V 2 9 y a 3 N o Z W V 0 I i B W Y W x 1 Z T 0 i b D E i I C 8 + P E V u d H J 5 I F R 5 c G U 9 I k Z p b G x M Y X N 0 V X B k Y X R l Z C I g V m F s d W U 9 I m Q y M D I 1 L T A 1 L T E 0 V D E w O j Q 0 O j U x L j U 5 M D I 3 N j V a I i A v P j x F b n R y e S B U e X B l P S J G a W x s V G F y Z 2 V 0 T m F t Z U N 1 c 3 R v b W l 6 Z W Q i I F Z h b H V l P S J s M S I g L z 4 8 R W 5 0 c n k g V H l w Z T 0 i R m l s b F R v R G F 0 Y U 1 v Z G V s R W 5 h Y m x l Z C I g V m F s d W U 9 I m w w I i A v P j x F b n R y e S B U e X B l P S J J c 1 B y a X Z h d G U i I F Z h b H V l P S J s M C I g L z 4 8 R W 5 0 c n k g V H l w Z T 0 i U X V l c n l J R C I g V m F s d W U 9 I n M 0 M T F k Z m Q 4 Y S 0 y Y j k 4 L T Q 3 O W Q t O T I 0 M i 0 y N G Q 4 M D E x M z l m M T M i I C 8 + P E V u d H J 5 I F R 5 c G U 9 I k Z p b G x D b 2 x 1 b W 5 U e X B l c y I g V m F s d W U 9 I n N C Z 1 l E Q l F V R 0 F 3 P T 0 i I C 8 + P E V u d H J 5 I F R 5 c G U 9 I l J l c 3 V s d F R 5 c G U i I F Z h b H V l P S J z V G F i b G U i I C 8 + P E V u d H J 5 I F R 5 c G U 9 I k 5 h d m l n Y X R p b 2 5 T d G V w T m F t Z S I g V m F s d W U 9 I n N O Y X Z p Z 2 F 0 a W U i I C 8 + P E V u d H J 5 I F R 5 c G U 9 I k Z p b G x P Y m p l Y 3 R U e X B l I i B W Y W x 1 Z T 0 i c 1 R h Y m x l I i A v P j x F b n R y e S B U e X B l P S J O Y W 1 l V X B k Y X R l Z E F m d G V y R m l s b C I g V m F s d W U 9 I m w w I i A v P j x F b n R y e S B U e X B l P S J G a W x s V G F y Z 2 V 0 I i B W Y W x 1 Z T 0 i c 0 9 w Z X J h d G l v b m V s Z V 9 r b 3 N 0 Z W 4 i I C 8 + P E V u d H J 5 I F R 5 c G U 9 I k Z p b G x D b 3 V u d C I g V m F s d W U 9 I m w x M i I g L z 4 8 R W 5 0 c n k g V H l w Z T 0 i R m l s b E N v b H V t b k 5 h b W V z I i B W Y W x 1 Z T 0 i c 1 s m c X V v d D t D Y X R l Z 2 9 y a W U m c X V v d D s s J n F 1 b 3 Q 7 U 3 V i Y 2 F 0 Z W d v c m l l J n F 1 b 3 Q 7 L C Z x d W 9 0 O 0 p h Y X I m c X V v d D s s J n F 1 b 3 Q 7 V F Q v Q l Q v Q V Q m c X V v d D s s J n F 1 b 3 Q 7 S 0 M m c X V v d D s s J n F 1 b 3 Q 7 Q m V z d G F u Z H N u Y W F t J n F 1 b 3 Q 7 L C Z x d W 9 0 O 1 Z l c n N p Z S Z x d W 9 0 O 1 0 i I C 8 + P E V u d H J 5 I F R 5 c G U 9 I k F k Z G V k V G 9 E Y X R h T W 9 k Z W w i I F Z h b H V l P S J s M C 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Q 2 9 s d W 1 u Q 2 9 1 b n Q m c X V v d D s 6 N y w m c X V v d D t L Z X l D b 2 x 1 b W 5 O Y W 1 l c y Z x d W 9 0 O z p b X S w m c X V v d D t D 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S Z W x h d G l v b n N o a X B J b m Z v J n F 1 b 3 Q 7 O l t d f S I g L z 4 8 L 1 N 0 Y W J s Z U V u d H J p Z X M + P C 9 J d G V t P j x J d G V t P j x J d G V t T G 9 j Y X R p b 2 4 + P E l 0 Z W 1 U e X B l P k Z v c m 1 1 b G E 8 L 0 l 0 Z W 1 U e X B l P j x J d G V t U G F 0 a D 5 T Z W N 0 a W 9 u M S 9 J b n Z l c 3 R l c m l u Z 2 V u L 0 J y b 2 4 8 L 0 l 0 Z W 1 Q Y X R o P j w v S X R l b U x v Y 2 F 0 a W 9 u P j x T d G F i b G V F b n R y a W V z I C 8 + P C 9 J d G V t P j x J d G V t P j x J d G V t T G 9 j Y X R p b 2 4 + P E l 0 Z W 1 U e X B l P k Z v c m 1 1 b G E 8 L 0 l 0 Z W 1 U e X B l P j x J d G V t U G F 0 a D 5 T Z W N 0 a W 9 u M S 9 J b n Z l c 3 R l c m l u Z 2 V u L 1 J E X 0 x O Q l 9 H P C 9 J d G V t U G F 0 a D 4 8 L 0 l 0 Z W 1 M b 2 N h d G l v b j 4 8 U 3 R h Y m x l R W 5 0 c m l l c y A v P j w v S X R l b T 4 8 S X R l b T 4 8 S X R l b U x v Y 2 F 0 a W 9 u P j x J d G V t V H l w Z T 5 G b 3 J t d W x h P C 9 J d G V t V H l w Z T 4 8 S X R l b V B h d G g + U 2 V j d G l v b j E v S W 5 2 Z X N 0 Z X J p b m d l b i 9 k Y m 9 f S W 5 2 Z X N 0 Z X J p b m d l b j w v S X R l b V B h d G g + P C 9 J d G V t T G 9 j Y X R p b 2 4 + P F N 0 Y W J s Z U V u d H J p Z X M g L z 4 8 L 0 l 0 Z W 0 + P E l 0 Z W 0 + P E l 0 Z W 1 M b 2 N h d G l v b j 4 8 S X R l b V R 5 c G U + R m 9 y b X V s Y T w v S X R l b V R 5 c G U + P E l 0 Z W 1 Q Y X R o P l N l Y 3 R p b 2 4 x L 0 l u d m V z d G V y a W 5 n Z W 4 v S m F h c i U z R S U z R D I w M j A 8 L 0 l 0 Z W 1 Q Y X R o P j w v S X R l b U x v Y 2 F 0 a W 9 u P j x T d G F i b G V F b n R y a W V z I C 8 + P C 9 J d G V t P j x J d G V t P j x J d G V t T G 9 j Y X R p b 2 4 + P E l 0 Z W 1 U e X B l P k Z v c m 1 1 b G E 8 L 0 l 0 Z W 1 U e X B l P j x J d G V t U G F 0 a D 5 T Z W N 0 a W 9 u M S 9 J b n Z l c 3 R l c m l u Z 2 V u L 1 J p a m V u J T I w Z 2 V n c m 9 l c G V l c m Q 8 L 0 l 0 Z W 1 Q Y X R o P j w v S X R l b U x v Y 2 F 0 a W 9 u P j x T d G F i b G V F b n R y a W V z I C 8 + P C 9 J d G V t P j x J d G V t P j x J d G V t T G 9 j Y X R p b 2 4 + P E l 0 Z W 1 U e X B l P k Z v c m 1 1 b G E 8 L 0 l 0 Z W 1 U e X B l P j x J d G V t U G F 0 a D 5 T Z W N 0 a W 9 u M S 9 J b n Z l c 3 R l c m l u Z 2 V u L 1 J p a m V u J T I w Z 2 V z b 3 J 0 Z W V y Z D w v S X R l b V B h d G g + P C 9 J d G V t T G 9 j Y X R p b 2 4 + P F N 0 Y W J s Z U V u d H J p Z X M g L z 4 8 L 0 l 0 Z W 0 + P E l 0 Z W 0 + P E l 0 Z W 1 M b 2 N h d G l v b j 4 8 S X R l b V R 5 c G U + R m 9 y b X V s Y T w v S X R l b V R 5 c G U + P E l 0 Z W 1 Q Y X R o P l N l Y 3 R p b 2 4 x L 0 l u d m V z d G V y a W 5 n Z W 4 v S W 5 k Z X g l M j B 0 b 2 V n Z X Z v Z W d k P C 9 J d G V t U G F 0 a D 4 8 L 0 l 0 Z W 1 M b 2 N h d G l v b j 4 8 U 3 R h Y m x l R W 5 0 c m l l c y A v P j w v S X R l b T 4 8 S X R l b T 4 8 S X R l b U x v Y 2 F 0 a W 9 u P j x J d G V t V H l w Z T 5 G b 3 J t d W x h P C 9 J d G V t V H l w Z T 4 8 S X R l b V B h d G g + U 2 V j d G l v b j E v S W 5 2 Z X N 0 Z X J p b m d l b i 9 W b 2 x n b 3 J k Z S U y M H Z h b i U y M G t v b G 9 t b W V u J T I w Z 2 V 3 a W p 6 a W d k P C 9 J d G V t U G F 0 a D 4 8 L 0 l 0 Z W 1 M b 2 N h d G l v b j 4 8 U 3 R h Y m x l R W 5 0 c m l l c y A v P j w v S X R l b T 4 8 S X R l b T 4 8 S X R l b U x v Y 2 F 0 a W 9 u P j x J d G V t V H l w Z T 5 G b 3 J t d W x h P C 9 J d G V t V H l w Z T 4 8 S X R l b V B h d G g + U 2 V j d G l v b j E v R G V z a W 5 2 Z X N 0 Z X J p b m c v Q n J v b j w v S X R l b V B h d G g + P C 9 J d G V t T G 9 j Y X R p b 2 4 + P F N 0 Y W J s Z U V u d H J p Z X M g L z 4 8 L 0 l 0 Z W 0 + P E l 0 Z W 0 + P E l 0 Z W 1 M b 2 N h d G l v b j 4 8 S X R l b V R 5 c G U + R m 9 y b X V s Y T w v S X R l b V R 5 c G U + P E l 0 Z W 1 Q Y X R o P l N l Y 3 R p b 2 4 x L 0 R l c 2 l u d m V z d G V y a W 5 n L 1 J E X 0 x O Q l 9 H P C 9 J d G V t U G F 0 a D 4 8 L 0 l 0 Z W 1 M b 2 N h d G l v b j 4 8 U 3 R h Y m x l R W 5 0 c m l l c y A v P j w v S X R l b T 4 8 S X R l b T 4 8 S X R l b U x v Y 2 F 0 a W 9 u P j x J d G V t V H l w Z T 5 G b 3 J t d W x h P C 9 J d G V t V H l w Z T 4 8 S X R l b V B h d G g + U 2 V j d G l v b j E v R G V z a W 5 2 Z X N 0 Z X J p b m c v Z G J v X 0 l u d m V z d G V y a W 5 n Z W 4 8 L 0 l 0 Z W 1 Q Y X R o P j w v S X R l b U x v Y 2 F 0 a W 9 u P j x T d G F i b G V F b n R y a W V z I C 8 + P C 9 J d G V t P j x J d G V t P j x J d G V t T G 9 j Y X R p b 2 4 + P E l 0 Z W 1 U e X B l P k Z v c m 1 1 b G E 8 L 0 l 0 Z W 1 U e X B l P j x J d G V t U G F 0 a D 5 T Z W N 0 a W 9 u M S 9 E Z X N p b n Z l c 3 R l c m l u Z y 9 S a W p l b i U y M G d l Z m l s d G V y Z D w v S X R l b V B h d G g + P C 9 J d G V t T G 9 j Y X R p b 2 4 + P F N 0 Y W J s Z U V u d H J p Z X M g L z 4 8 L 0 l 0 Z W 0 + P E l 0 Z W 0 + P E l 0 Z W 1 M b 2 N h d G l v b j 4 8 S X R l b V R 5 c G U + R m 9 y b X V s Y T w v S X R l b V R 5 c G U + P E l 0 Z W 1 Q Y X R o P l N l Y 3 R p b 2 4 x L 0 R l c 2 l u d m V z d G V y a W 5 n L 1 J p a m V u J T I w Z 2 V z b 3 J 0 Z W V y Z D w v S X R l b V B h d G g + P C 9 J d G V t T G 9 j Y X R p b 2 4 + P F N 0 Y W J s Z U V u d H J p Z X M g L z 4 8 L 0 l 0 Z W 0 + P E l 0 Z W 0 + P E l 0 Z W 1 M b 2 N h d G l v b j 4 8 S X R l b V R 5 c G U + R m 9 y b X V s Y T w v S X R l b V R 5 c G U + P E l 0 Z W 1 Q Y X R o P l N l Y 3 R p b 2 4 x L 0 R l c 2 l u d m V z d G V y a W 5 n L 0 t v b G 9 t b W V u J T I w d m V y d 2 l q Z G V y Z D w v S X R l b V B h d G g + P C 9 J d G V t T G 9 j Y X R p b 2 4 + P F N 0 Y W J s Z U V u d H J p Z X M g L z 4 8 L 0 l 0 Z W 0 + P E l 0 Z W 0 + P E l 0 Z W 1 M b 2 N h d G l v b j 4 8 S X R l b V R 5 c G U + R m 9 y b X V s Y T w v S X R l b V R 5 c G U + P E l 0 Z W 1 Q Y X R o P l N l Y 3 R p b 2 4 x L 0 R l c 2 l u d m V z d G V y a W 5 n L 0 l u Z G V 4 J T I w d G 9 l Z 2 V 2 b 2 V n Z D w v S X R l b V B h d G g + P C 9 J d G V t T G 9 j Y X R p b 2 4 + P F N 0 Y W J s Z U V u d H J p Z X M g L z 4 8 L 0 l 0 Z W 0 + P E l 0 Z W 0 + P E l 0 Z W 1 M b 2 N h d G l v b j 4 8 S X R l b V R 5 c G U + R m 9 y b X V s Y T w v S X R l b V R 5 c G U + P E l 0 Z W 1 Q Y X R o P l N l Y 3 R p b 2 4 x L 0 R l c 2 l u d m V z d G V y a W 5 n L 1 Z v b G d v c m R l J T I w d m F u J T I w a 2 9 s b 2 1 t Z W 4 l M j B n Z X d p a n p p Z 2 Q 8 L 0 l 0 Z W 1 Q Y X R o P j w v S X R l b U x v Y 2 F 0 a W 9 u P j x T d G F i b G V F b n R y a W V z I C 8 + P C 9 J d G V t P j x J d G V t P j x J d G V t T G 9 j Y X R p b 2 4 + P E l 0 Z W 1 U e X B l P k Z v c m 1 1 b G E 8 L 0 l 0 Z W 1 U e X B l P j x J d G V t U G F 0 a D 5 T Z W N 0 a W 9 u M S 9 E Z X N p b n Z l c 3 R l c m l u Z y 9 L b 2 x v b W 1 l b i U y M H Z l c n d p a m R l c m Q x P C 9 J d G V t U G F 0 a D 4 8 L 0 l 0 Z W 1 M b 2 N h d G l v b j 4 8 U 3 R h Y m x l R W 5 0 c m l l c y A v P j w v S X R l b T 4 8 S X R l b T 4 8 S X R l b U x v Y 2 F 0 a W 9 u P j x J d G V t V H l w Z T 5 G b 3 J t d W x h P C 9 J d G V t V H l w Z T 4 8 S X R l b V B h d G g + U 2 V j d G l v b j E v R G V z a W 5 2 Z X N 0 Z X J p b m c v V m 9 s Z 2 9 y Z G U l M j B 2 Y W 4 l M j B r b 2 x v b W 1 l b i U y M G d l d 2 l q e m l n Z D E 8 L 0 l 0 Z W 1 Q Y X R o P j w v S X R l b U x v Y 2 F 0 a W 9 u P j x T d G F i b G V F b n R y a W V z I C 8 + P C 9 J d G V t P j x J d G V t P j x J d G V t T G 9 j Y X R p b 2 4 + P E l 0 Z W 1 U e X B l P k Z v c m 1 1 b G E 8 L 0 l 0 Z W 1 U e X B l P j x J d G V t U G F 0 a D 5 T Z W N 0 a W 9 u M S 9 P b X p l d C 9 C c m 9 u P C 9 J d G V t U G F 0 a D 4 8 L 0 l 0 Z W 1 M b 2 N h d G l v b j 4 8 U 3 R h Y m x l R W 5 0 c m l l c y A v P j w v S X R l b T 4 8 S X R l b T 4 8 S X R l b U x v Y 2 F 0 a W 9 u P j x J d G V t V H l w Z T 5 G b 3 J t d W x h P C 9 J d G V t V H l w Z T 4 8 S X R l b V B h d G g + U 2 V j d G l v b j E v T 2 1 6 Z X Q v Z G J v X 0 R l c 2 l u d m V z d G V y a W 5 n Z W 4 8 L 0 l 0 Z W 1 Q Y X R o P j w v S X R l b U x v Y 2 F 0 a W 9 u P j x T d G F i b G V F b n R y a W V z I C 8 + P C 9 J d G V t P j x J d G V t P j x J d G V t T G 9 j Y X R p b 2 4 + P E l 0 Z W 1 U e X B l P k Z v c m 1 1 b G E 8 L 0 l 0 Z W 1 U e X B l P j x J d G V t U G F 0 a D 5 T Z W N 0 a W 9 u M S 9 P b X p l d C 9 S a W p l b i U y M G d l Z m l s d G V y Z D w v S X R l b V B h d G g + P C 9 J d G V t T G 9 j Y X R p b 2 4 + P F N 0 Y W J s Z U V u d H J p Z X M g L z 4 8 L 0 l 0 Z W 0 + P E l 0 Z W 0 + P E l 0 Z W 1 M b 2 N h d G l v b j 4 8 S X R l b V R 5 c G U + R m 9 y b X V s Y T w v S X R l b V R 5 c G U + P E l 0 Z W 1 Q Y X R o P l N l Y 3 R p b 2 4 x L 0 9 t e m V 0 L 0 t v b G 9 t b W V u J T I w d m V y d 2 l q Z G V y Z D w v S X R l b V B h d G g + P C 9 J d G V t T G 9 j Y X R p b 2 4 + P F N 0 Y W J s Z U V u d H J p Z X M g L z 4 8 L 0 l 0 Z W 0 + P E l 0 Z W 0 + P E l 0 Z W 1 M b 2 N h d G l v b j 4 8 S X R l b V R 5 c G U + R m 9 y b X V s Y T w v S X R l b V R 5 c G U + P E l 0 Z W 1 Q Y X R o P l N l Y 3 R p b 2 4 x L 0 9 t e m V 0 L 1 J p a m V u J T I w Z 2 V m a W x 0 Z X J k M T w v S X R l b V B h d G g + P C 9 J d G V t T G 9 j Y X R p b 2 4 + P F N 0 Y W J s Z U V u d H J p Z X M g L z 4 8 L 0 l 0 Z W 0 + P E l 0 Z W 0 + P E l 0 Z W 1 M b 2 N h d G l v b j 4 8 S X R l b V R 5 c G U + R m 9 y b X V s Y T w v S X R l b V R 5 c G U + P E l 0 Z W 1 Q Y X R o P l N l Y 3 R p b 2 4 x L 0 9 t e m V 0 L 0 t v b G 9 t b W V u J T I w d m V y d 2 l q Z G V y Z D E 8 L 0 l 0 Z W 1 Q Y X R o P j w v S X R l b U x v Y 2 F 0 a W 9 u P j x T d G F i b G V F b n R y a W V z I C 8 + P C 9 J d G V t P j x J d G V t P j x J d G V t T G 9 j Y X R p b 2 4 + P E l 0 Z W 1 U e X B l P k Z v c m 1 1 b G E 8 L 0 l 0 Z W 1 U e X B l P j x J d G V t U G F 0 a D 5 T Z W N 0 a W 9 u M S 9 X V U k l M k Z P b W J v d X c v Q n J v b j w v S X R l b V B h d G g + P C 9 J d G V t T G 9 j Y X R p b 2 4 + P F N 0 Y W J s Z U V u d H J p Z X M g L z 4 8 L 0 l 0 Z W 0 + P E l 0 Z W 0 + P E l 0 Z W 1 M b 2 N h d G l v b j 4 8 S X R l b V R 5 c G U + R m 9 y b X V s Y T w v S X R l b V R 5 c G U + P E l 0 Z W 1 Q Y X R o P l N l Y 3 R p b 2 4 x L 1 d V S S U y R k 9 t Y m 9 1 d y 9 S R F 9 M T k J f R z w v S X R l b V B h d G g + P C 9 J d G V t T G 9 j Y X R p b 2 4 + P F N 0 Y W J s Z U V u d H J p Z X M g L z 4 8 L 0 l 0 Z W 0 + P E l 0 Z W 0 + P E l 0 Z W 1 M b 2 N h d G l v b j 4 8 S X R l b V R 5 c G U + R m 9 y b X V s Y T w v S X R l b V R 5 c G U + P E l 0 Z W 1 Q Y X R o P l N l Y 3 R p b 2 4 x L 1 d V S S U y R k 9 t Y m 9 1 d y 9 k Y m 9 f S W 5 2 Z X N 0 Z X J p b m d l b j w v S X R l b V B h d G g + P C 9 J d G V t T G 9 j Y X R p b 2 4 + P F N 0 Y W J s Z U V u d H J p Z X M g L z 4 8 L 0 l 0 Z W 0 + P E l 0 Z W 0 + P E l 0 Z W 1 M b 2 N h d G l v b j 4 8 S X R l b V R 5 c G U + R m 9 y b X V s Y T w v S X R l b V R 5 c G U + P E l 0 Z W 1 Q Y X R o P l N l Y 3 R p b 2 4 x L 1 d V S S U y R k 9 t Y m 9 1 d y 9 K Y W F y J T N F J T N E M j A y M D w v S X R l b V B h d G g + P C 9 J d G V t T G 9 j Y X R p b 2 4 + P F N 0 Y W J s Z U V u d H J p Z X M g L z 4 8 L 0 l 0 Z W 0 + P E l 0 Z W 0 + P E l 0 Z W 1 M b 2 N h d G l v b j 4 8 S X R l b V R 5 c G U + R m 9 y b X V s Y T w v S X R l b V R 5 c G U + P E l 0 Z W 1 Q Y X R o P l N l Y 3 R p b 2 4 x L 1 d V S S U y R k 9 t Y m 9 1 d y 9 S a W p l b i U y M G d l Z m l s d G V y Z D w v S X R l b V B h d G g + P C 9 J d G V t T G 9 j Y X R p b 2 4 + P F N 0 Y W J s Z U V u d H J p Z X M g L z 4 8 L 0 l 0 Z W 0 + P E l 0 Z W 0 + P E l 0 Z W 1 M b 2 N h d G l v b j 4 8 S X R l b V R 5 c G U + R m 9 y b X V s Y T w v S X R l b V R 5 c G U + P E l 0 Z W 1 Q Y X R o P l N l Y 3 R p b 2 4 x L 1 d V S S U y R k 9 t Y m 9 1 d y 9 S a W p l b i U y M G d l Z m l s d G V y Z D E 8 L 0 l 0 Z W 1 Q Y X R o P j w v S X R l b U x v Y 2 F 0 a W 9 u P j x T d G F i b G V F b n R y a W V z I C 8 + P C 9 J d G V t P j x J d G V t P j x J d G V t T G 9 j Y X R p b 2 4 + P E l 0 Z W 1 U e X B l P k Z v c m 1 1 b G E 8 L 0 l 0 Z W 1 U e X B l P j x J d G V t U G F 0 a D 5 T Z W N 0 a W 9 u M S 9 X V U k l M k Z P b W J v d X c v S W 5 k Z X g l M j B 0 b 2 V n Z X Z v Z W d k P C 9 J d G V t U G F 0 a D 4 8 L 0 l 0 Z W 1 M b 2 N h d G l v b j 4 8 U 3 R h Y m x l R W 5 0 c m l l c y A v P j w v S X R l b T 4 8 S X R l b T 4 8 S X R l b U x v Y 2 F 0 a W 9 u P j x J d G V t V H l w Z T 5 G b 3 J t d W x h P C 9 J d G V t V H l w Z T 4 8 S X R l b V B h d G g + U 2 V j d G l v b j E v V 1 V J J T J G T 2 1 i b 3 V 3 L 1 Z v b G d v c m R l J T I w d m F u J T I w a 2 9 s b 2 1 t Z W 4 l M j B n Z X d p a n p p Z 2 Q 8 L 0 l 0 Z W 1 Q Y X R o P j w v S X R l b U x v Y 2 F 0 a W 9 u P j x T d G F i b G V F b n R y a W V z I C 8 + P C 9 J d G V t P j x J d G V t P j x J d G V t T G 9 j Y X R p b 2 4 + P E l 0 Z W 1 U e X B l P k Z v c m 1 1 b G E 8 L 0 l 0 Z W 1 U e X B l P j x J d G V t U G F 0 a D 5 T Z W N 0 a W 9 u M S 9 X V U k l M k Z P b W J v d X c v S 2 9 s b 2 1 t Z W 4 l M j B 2 Z X J 3 a W p k Z X J k P C 9 J d G V t U G F 0 a D 4 8 L 0 l 0 Z W 1 M b 2 N h d G l v b j 4 8 U 3 R h Y m x l R W 5 0 c m l l c y A v P j w v S X R l b T 4 8 S X R l b T 4 8 S X R l b U x v Y 2 F 0 a W 9 u P j x J d G V t V H l w Z T 5 G b 3 J t d W x h P C 9 J d G V t V H l w Z T 4 8 S X R l b V B h d G g + U 2 V j d G l v b j E v T 3 B l c m F 0 a W 9 u Z W x l J T I w a 2 9 z d G V u L 0 J y b 2 4 8 L 0 l 0 Z W 1 Q Y X R o P j w v S X R l b U x v Y 2 F 0 a W 9 u P j x T d G F i b G V F b n R y a W V z I C 8 + P C 9 J d G V t P j x J d G V t P j x J d G V t T G 9 j Y X R p b 2 4 + P E l 0 Z W 1 U e X B l P k Z v c m 1 1 b G E 8 L 0 l 0 Z W 1 U e X B l P j x J d G V t U G F 0 a D 5 T Z W N 0 a W 9 u M S 9 P c G V y Y X R p b 2 5 l b G U l M j B r b 3 N 0 Z W 4 v U k R f T E 5 C X 0 c 8 L 0 l 0 Z W 1 Q Y X R o P j w v S X R l b U x v Y 2 F 0 a W 9 u P j x T d G F i b G V F b n R y a W V z I C 8 + P C 9 J d G V t P j x J d G V t P j x J d G V t T G 9 j Y X R p b 2 4 + P E l 0 Z W 1 U e X B l P k Z v c m 1 1 b G E 8 L 0 l 0 Z W 1 U e X B l P j x J d G V t U G F 0 a D 5 T Z W N 0 a W 9 u M S 9 P c G V y Y X R p b 2 5 l b G U l M j B r b 3 N 0 Z W 4 v Z G J v X 0 9 w Z X J h d G l v b m V s Z S U y M G t v c 3 R l b j w v S X R l b V B h d G g + P C 9 J d G V t T G 9 j Y X R p b 2 4 + P F N 0 Y W J s Z U V u d H J p Z X M g L z 4 8 L 0 l 0 Z W 0 + P E l 0 Z W 0 + P E l 0 Z W 1 M b 2 N h d G l v b j 4 8 S X R l b V R 5 c G U + R m 9 y b X V s Y T w v S X R l b V R 5 c G U + P E l 0 Z W 1 Q Y X R o P l N l Y 3 R p b 2 4 x L 0 9 w Z X J h d G l v b m V s Z S U y M G t v c 3 R l b i 9 L b 2 x v b W 1 l b i U y M H Z l c n d p a m R l c m Q 8 L 0 l 0 Z W 1 Q Y X R o P j w v S X R l b U x v Y 2 F 0 a W 9 u P j x T d G F i b G V F b n R y a W V z I C 8 + P C 9 J d G V t P j x J d G V t P j x J d G V t T G 9 j Y X R p b 2 4 + P E l 0 Z W 1 U e X B l P k Z v c m 1 1 b G E 8 L 0 l 0 Z W 1 U e X B l P j x J d G V t U G F 0 a D 5 T Z W N 0 a W 9 u M S 9 J b n Z l c 3 R l c m l u Z 2 V u L 0 F h b m d l c G F z d D E 8 L 0 l 0 Z W 1 Q Y X R o P j w v S X R l b U x v Y 2 F 0 a W 9 u P j x T d G F i b G V F b n R y a W V z I C 8 + P C 9 J d G V t P j x J d G V t P j x J d G V t T G 9 j Y X R p b 2 4 + P E l 0 Z W 1 U e X B l P k Z v c m 1 1 b G E 8 L 0 l 0 Z W 1 U e X B l P j x J d G V t U G F 0 a D 5 T Z W N 0 a W 9 u M S 9 J b n Z l c 3 R l c m l u Z 2 V u L 0 F h b m d l c G F z d D I 8 L 0 l 0 Z W 1 Q Y X R o P j w v S X R l b U x v Y 2 F 0 a W 9 u P j x T d G F i b G V F b n R y a W V z I C 8 + P C 9 J d G V t P j x J d G V t P j x J d G V t T G 9 j Y X R p b 2 4 + P E l 0 Z W 1 U e X B l P k Z v c m 1 1 b G E 8 L 0 l 0 Z W 1 U e X B l P j x J d G V t U G F 0 a D 5 T Z W N 0 a W 9 u M S 9 P c G V y Y X R p b 2 5 l b G U l M j B r b 3 N 0 Z W 4 v U m l q Z W 4 l M j B n Z W Z p b H R l c m Q 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S W 5 2 Z X N 0 Z X J p b m d l b i 9 B Y W 5 n Z X B h c 3 Q z P C 9 J d G V t U G F 0 a D 4 8 L 0 l 0 Z W 1 M b 2 N h d G l v b j 4 8 U 3 R h Y m x l R W 5 0 c m l l c y A v P j w v S X R l b T 4 8 S X R l b T 4 8 S X R l b U x v Y 2 F 0 a W 9 u P j x J d G V t V H l w Z T 5 G b 3 J t d W x h P C 9 J d G V t V H l w Z T 4 8 S X R l b V B h d G g + U 2 V j d G l v b j E v V 1 V J J T J G T 2 1 i b 3 V 3 L 0 F h b m d l c G F z d D E 8 L 0 l 0 Z W 1 Q Y X R o P j w v S X R l b U x v Y 2 F 0 a W 9 u P j x T d G F i b G V F b n R y a W V z I C 8 + P C 9 J d G V t P j x J d G V t P j x J d G V t T G 9 j Y X R p b 2 4 + P E l 0 Z W 1 U e X B l P k Z v c m 1 1 b G E 8 L 0 l 0 Z W 1 U e X B l P j x J d G V t U G F 0 a D 5 T Z W N 0 a W 9 u M S 9 E Z X N p b n Z l c 3 R l c m l u Z y 9 B Y W 5 n Z X B h c 3 Q x P C 9 J d G V t U G F 0 a D 4 8 L 0 l 0 Z W 1 M b 2 N h d G l v b j 4 8 U 3 R h Y m x l R W 5 0 c m l l c y A v P j w v S X R l b T 4 8 S X R l b T 4 8 S X R l b U x v Y 2 F 0 a W 9 u P j x J d G V t V H l w Z T 5 G b 3 J t d W x h P C 9 J d G V t V H l w Z T 4 8 S X R l b V B h d G g + U 2 V j d G l v b j E v R G V z a W 5 2 Z X N 0 Z X J p b m c v Q W F u Z 2 V w Y X N 0 M j w v S X R l b V B h d G g + P C 9 J d G V t T G 9 j Y X R p b 2 4 + P F N 0 Y W J s Z U V u d H J p Z X M g L z 4 8 L 0 l 0 Z W 0 + P E l 0 Z W 0 + P E l 0 Z W 1 M b 2 N h d G l v b j 4 8 S X R l b V R 5 c G U + R m 9 y b X V s Y T w v S X R l b V R 5 c G U + P E l 0 Z W 1 Q Y X R o P l N l Y 3 R p b 2 4 x L 0 9 w Z X J h d G l v b m V s Z S U y M G t v c 3 R l b i 9 B Y W 5 n Z X B h c 3 Q x P C 9 J d G V t U G F 0 a D 4 8 L 0 l 0 Z W 1 M b 2 N h d G l v b j 4 8 U 3 R h Y m x l R W 5 0 c m l l c y A v P j w v S X R l b T 4 8 S X R l b T 4 8 S X R l b U x v Y 2 F 0 a W 9 u P j x J d G V t V H l w Z T 5 G b 3 J t d W x h P C 9 J d G V t V H l w Z T 4 8 S X R l b V B h d G g + U 2 V j d G l v b j E v V 1 V J J T J G T 2 1 i b 3 V 3 L 0 F h b m d l c G F z d D I 8 L 0 l 0 Z W 1 Q Y X R o P j w v S X R l b U x v Y 2 F 0 a W 9 u P j x T d G F i b G V F b n R y a W V z I C 8 + P C 9 J d G V t P j x J d G V t P j x J d G V t T G 9 j Y X R p b 2 4 + P E l 0 Z W 1 U e X B l P k Z v c m 1 1 b G E 8 L 0 l 0 Z W 1 U e X B l P j x J d G V t U G F 0 a D 5 T Z W N 0 a W 9 u M S 9 X V U k l M k Z P b W J v d X c v Q W F u Z 2 V w Y X N 0 M z w v S X R l b V B h d G g + P C 9 J d G V t T G 9 j Y X R p b 2 4 + P F N 0 Y W J s Z U V u d H J p Z X M g L z 4 8 L 0 l 0 Z W 0 + P E l 0 Z W 0 + P E l 0 Z W 1 M b 2 N h d G l v b j 4 8 S X R l b V R 5 c G U + R m 9 y b X V s Y T w v S X R l b V R 5 c G U + P E l 0 Z W 1 Q Y X R o P l N l Y 3 R p b 2 4 x L 1 d V S S U y R k 9 t Y m 9 1 d y 9 B Y W 5 n Z X B h c 3 Q 1 P C 9 J d G V t U G F 0 a D 4 8 L 0 l 0 Z W 1 M b 2 N h d G l v b j 4 8 U 3 R h Y m x l R W 5 0 c m l l c y A v P j w v S X R l b T 4 8 L 0 l 0 Z W 1 z P j w v T G 9 j Y W x Q Y W N r Y W d l T W V 0 Y W R h d G F G a W x l P h Y A A A B Q S w U G A A A A A A A A A A A A A A A A A A A A A A A A 2 g A A A A E A A A D Q j J 3 f A R X R E Y x 6 A M B P w p f r A Q A A A A P i l I t U o s 1 A k y A + V V Q m r n s A A A A A A g A A A A A A A 2 Y A A M A A A A A Q A A A A d B u Y s X + K 6 M O + p q j 3 k y w n R Q A A A A A E g A A A o A A A A B A A A A C o h P J c 7 W t B 1 W i O 8 m f 6 X p s P U A A A A E l x 8 D 6 j l S U Y 3 g N K Q w U f l D Y b / W 1 Y r l O 3 8 K A Q V d L N d k N n P 0 X C L 3 x F M b f U R Q P F x D y X u z x F w L X F k I v / Z x i L 7 i x Q X t 5 i a P 9 f q 9 X 8 F O I r i 3 a K A M y e F A A A A C V o / R e T r v X t G l P u t a A 3 e U z 2 / l F z < / 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6941099D2D6DF40A0D8D1DCC0BAEE09" ma:contentTypeVersion="4" ma:contentTypeDescription="Een nieuw document maken." ma:contentTypeScope="" ma:versionID="6be8bda42cb675d3097e4a9c5d614b57">
  <xsd:schema xmlns:xsd="http://www.w3.org/2001/XMLSchema" xmlns:xs="http://www.w3.org/2001/XMLSchema" xmlns:p="http://schemas.microsoft.com/office/2006/metadata/properties" xmlns:ns2="0009d3ae-0f9e-47be-ae31-9d6cd8b104c4" xmlns:ns3="0fe009b9-6f2d-4e7b-85d5-274f575a555c" targetNamespace="http://schemas.microsoft.com/office/2006/metadata/properties" ma:root="true" ma:fieldsID="9b8830dd18bca7a74274d2c0ffcd6322" ns2:_="" ns3:_="">
    <xsd:import namespace="0009d3ae-0f9e-47be-ae31-9d6cd8b104c4"/>
    <xsd:import namespace="0fe009b9-6f2d-4e7b-85d5-274f575a55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fe009b9-6f2d-4e7b-85d5-274f575a55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VYM6E4WDAQJW-1804863118-164</_dlc_DocId>
    <_dlc_DocIdUrl xmlns="0009d3ae-0f9e-47be-ae31-9d6cd8b104c4">
      <Url>https://gasunie.sharepoint.com/sites/20190841/_layouts/15/DocIdRedir.aspx?ID=VYM6E4WDAQJW-1804863118-164</Url>
      <Description>VYM6E4WDAQJW-1804863118-164</Description>
    </_dlc_DocIdUrl>
  </documentManagement>
</p:properties>
</file>

<file path=customXml/itemProps1.xml><?xml version="1.0" encoding="utf-8"?>
<ds:datastoreItem xmlns:ds="http://schemas.openxmlformats.org/officeDocument/2006/customXml" ds:itemID="{4651D173-5D1D-4DD1-A11E-C256FB3A6440}"/>
</file>

<file path=customXml/itemProps2.xml><?xml version="1.0" encoding="utf-8"?>
<ds:datastoreItem xmlns:ds="http://schemas.openxmlformats.org/officeDocument/2006/customXml" ds:itemID="{3CCC0C11-BCA0-40B0-A1EB-00F8BE4AEEA8}"/>
</file>

<file path=customXml/itemProps3.xml><?xml version="1.0" encoding="utf-8"?>
<ds:datastoreItem xmlns:ds="http://schemas.openxmlformats.org/officeDocument/2006/customXml" ds:itemID="{3F476EE9-57EE-4A57-9645-1C093EDB7BE0}"/>
</file>

<file path=customXml/itemProps4.xml><?xml version="1.0" encoding="utf-8"?>
<ds:datastoreItem xmlns:ds="http://schemas.openxmlformats.org/officeDocument/2006/customXml" ds:itemID="{03A3346E-4C4A-4D45-974D-56DD3C688F13}"/>
</file>

<file path=customXml/itemProps5.xml><?xml version="1.0" encoding="utf-8"?>
<ds:datastoreItem xmlns:ds="http://schemas.openxmlformats.org/officeDocument/2006/customXml" ds:itemID="{9CDAB9D1-B815-4B0E-93E7-4496A7FE99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Leeuwerke A. (Arjan)</cp:lastModifiedBy>
  <cp:revision/>
  <dcterms:created xsi:type="dcterms:W3CDTF">2018-05-15T11:27:11Z</dcterms:created>
  <dcterms:modified xsi:type="dcterms:W3CDTF">2026-03-11T15:53:52Z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0x01010076941099D2D6DF40A0D8D1DCC0BAEE09</vt:lpwstr>
  </property>
  <property fmtid="{D5CDD505-2E9C-101B-9397-08002B2CF9AE}" pid="3" name="_dlc_DocIdItemGuid">
    <vt:lpwstr>9e23b5ff-ba47-48c3-aca5-b43d2ad7bfe4</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